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rint Jobs" sheetId="3" r:id="rId3"/>
    <sheet name="Dashboard" sheetId="4" r:id="rId4"/>
    <sheet name="Method" sheetId="5" r:id="rId5"/>
    <sheet name="Verify" sheetId="6" r:id="rId6"/>
  </sheets>
  <definedNames>
    <definedName name="Currency">Setup!$C$7</definedName>
    <definedName name="KpiBelow">Dashboard!$D$5</definedName>
    <definedName name="KpiFail">Dashboard!$J$5</definedName>
    <definedName name="KpiHours">Dashboard!$G$5</definedName>
    <definedName name="KpiMargin">Dashboard!$B$5</definedName>
    <definedName name="LabourRate">Setup!$C$8</definedName>
    <definedName name="Materials">tblMaterials[Material]</definedName>
    <definedName name="PlantName">Setup!$C$6</definedName>
    <definedName name="_xlnm.Print_Area" localSheetId="3">Dashboard!$A$1:$L$72</definedName>
    <definedName name="_xlnm.Print_Area" localSheetId="4">Method!$A$1:$D$61</definedName>
    <definedName name="_xlnm.Print_Area" localSheetId="2">'Print Jobs'!$A$1:$AD$18</definedName>
    <definedName name="_xlnm.Print_Area" localSheetId="1">Setup!$A$1:$G$37</definedName>
    <definedName name="_xlnm.Print_Area" localSheetId="0">'Start Here'!$A$1:$F$56</definedName>
    <definedName name="_xlnm.Print_Area" localSheetId="5">Verify!$A$1:$AD$51</definedName>
    <definedName name="_xlnm.Print_Titles" localSheetId="4">Method!$1:$2</definedName>
    <definedName name="_xlnm.Print_Titles" localSheetId="2">'Print Jobs'!$1:$6</definedName>
    <definedName name="Printers">tblPrinters[Printer]</definedName>
    <definedName name="SelfCheck">Verify!$D$4</definedName>
    <definedName name="SelfCheckSummary">Verify!$F$4</definedName>
    <definedName name="TargetMargin">Setup!$C$9</definedName>
  </definedNames>
  <calcPr calcId="124519" fullCalcOnLoad="1"/>
</workbook>
</file>

<file path=xl/sharedStrings.xml><?xml version="1.0" encoding="utf-8"?>
<sst xmlns="http://schemas.openxmlformats.org/spreadsheetml/2006/main" count="548" uniqueCount="287">
  <si>
    <t>3D Printing Cost Estimator</t>
  </si>
  <si>
    <t>Read this first: what the workbook does and how to use it.</t>
  </si>
  <si>
    <t>mfgcalcs.com</t>
  </si>
  <si>
    <t>Cost every 3D print job from slicer estimates: material, machine time, labour and failed builds, then check each quoted price against your target margin.</t>
  </si>
  <si>
    <t>For: Additive manufacturing service bureaus, in-house AM labs, print farm owners and estimators who quote FDM, SLA, SLS or metal parts.</t>
  </si>
  <si>
    <t>Version 1.0.0  ·  updated 15 October 2026</t>
  </si>
  <si>
    <t>Quick start</t>
  </si>
  <si>
    <t>1.</t>
  </si>
  <si>
    <t>On Setup, type your currency, technician labour rate and target margin, and list your printers with their machine rates per print hour.</t>
  </si>
  <si>
    <t>2.</t>
  </si>
  <si>
    <t>List your materials with their price per kg, per lb or per litre; the cost per gram is calculated.</t>
  </si>
  <si>
    <t>3.</t>
  </si>
  <si>
    <t>On Print Jobs, add one row per job from the slicer: printer, material, quantity, parts per build, grams per part and build hours.</t>
  </si>
  <si>
    <t>4.</t>
  </si>
  <si>
    <t>Add setup and post-processing minutes, a failure rate and the price; read cost per part, margin and status, and fix anything Check reports.</t>
  </si>
  <si>
    <t>5.</t>
  </si>
  <si>
    <t>Open the Dashboard: margin against target and where each job's cost goes.</t>
  </si>
  <si>
    <t>What is in this workbook</t>
  </si>
  <si>
    <t>Start Here</t>
  </si>
  <si>
    <t>Setup</t>
  </si>
  <si>
    <t>Currency, technician rate, target margin, and the printers and materials the jobs use.</t>
  </si>
  <si>
    <t>Print Jobs</t>
  </si>
  <si>
    <t>One row per print job: slicer estimates, setup and finishing minutes, failure rate and price.</t>
  </si>
  <si>
    <t>Dashboard</t>
  </si>
  <si>
    <t>Margin against target, where each job's cost goes, and the load on every printer.</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</si>
  <si>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</si>
  <si>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</si>
  <si>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</si>
  <si>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</si>
  <si>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</si>
  <si>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</si>
  <si>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</si>
  <si>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</si>
  <si>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</si>
  <si>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</si>
  <si>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</si>
  <si>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</si>
  <si>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</si>
  <si>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</si>
  <si>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</si>
  <si>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</si>
  <si>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</si>
  <si>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</si>
  <si>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</si>
  <si>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</si>
  <si>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3D Printed Part Cost Calculator on mfgcalcs.com</t>
  </si>
  <si>
    <t>Latest version</t>
  </si>
  <si>
    <t>mfgcalcs.com/templates/3d-printing-cost</t>
  </si>
  <si>
    <t>More free templates</t>
  </si>
  <si>
    <t>mfgcalcs.com/templates</t>
  </si>
  <si>
    <t>Version</t>
  </si>
  <si>
    <t>1.0.0 (updated 15 October 2026)</t>
  </si>
  <si>
    <t>About the example data</t>
  </si>
  <si>
    <t>Every number already in this workbook is example data for Northgate Additive, a fictional business invented for this template, so the dashboard and charts show something meaningful on day one. It costs twelve print jobs on five printers (desktop and industrial FDM, SLA resin, SLS nylon and metal powder bed fusion); rates, material prices and job prices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</si>
  <si>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</si>
  <si>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</si>
  <si>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</si>
  <si>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</si>
  <si>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</si>
  <si>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</si>
  <si>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</si>
  <si>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</si>
  <si>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Printer</t>
  </si>
  <si>
    <t>Technology</t>
  </si>
  <si>
    <t>Machine rate</t>
  </si>
  <si>
    <t>Material</t>
  </si>
  <si>
    <t>Price</t>
  </si>
  <si>
    <t>Price unit</t>
  </si>
  <si>
    <t>Density</t>
  </si>
  <si>
    <t>Cost per g</t>
  </si>
  <si>
    <t>Check</t>
  </si>
  <si>
    <t>Rates and targets</t>
  </si>
  <si>
    <t>Company or lab</t>
  </si>
  <si>
    <t>Northgate Additive (example)</t>
  </si>
  <si>
    <t>Currency label</t>
  </si>
  <si>
    <t>USD</t>
  </si>
  <si>
    <t>Technician labour rate, loaded</t>
  </si>
  <si>
    <t>Target margin on price</t>
  </si>
  <si>
    <t>Margin is on price: a 35% margin is a 54% markup on cost. 'Near target' means within 5% of the target (33.25% to 35% against 35%). Rates and prices are examples: use your own.</t>
  </si>
  <si>
    <t>Printers</t>
  </si>
  <si>
    <t>Machine rate = the cost of one print hour without the technician: depreciation, interest, maintenance contract, power, gas and space (the Machine Hour Rate template builds one), plus wear parts such as resin tanks, nozzles or recoater blades. It is charged for the whole build time.</t>
  </si>
  <si>
    <t>Printers (example machine rates)</t>
  </si>
  <si>
    <t>FDM-A desktop</t>
  </si>
  <si>
    <t>FDM</t>
  </si>
  <si>
    <t>FDM-B industrial</t>
  </si>
  <si>
    <t>FDM, heated chamber</t>
  </si>
  <si>
    <t>SLA-1</t>
  </si>
  <si>
    <t>SLA resin</t>
  </si>
  <si>
    <t>SLS-1</t>
  </si>
  <si>
    <t>SLS polymer</t>
  </si>
  <si>
    <t>PBF-M1</t>
  </si>
  <si>
    <t>Metal powder bed fusion</t>
  </si>
  <si>
    <t>Materials</t>
  </si>
  <si>
    <t>Type the price in the unit you buy in: per kg, per lb (1 lb = 453.59237 g, exact) or per L for resin, which needs the density (g/cm3 = g/mL) to turn litres into grams. Cost per gram is calculated.</t>
  </si>
  <si>
    <t>Materials (example prices)</t>
  </si>
  <si>
    <t>g/cm3</t>
  </si>
  <si>
    <t>PLA filament</t>
  </si>
  <si>
    <t>kg</t>
  </si>
  <si>
    <t>ASA filament</t>
  </si>
  <si>
    <t>lb</t>
  </si>
  <si>
    <t>Nylon-CF filament</t>
  </si>
  <si>
    <t>General resin</t>
  </si>
  <si>
    <t>L</t>
  </si>
  <si>
    <t>Tough resin</t>
  </si>
  <si>
    <t>PA12 powder</t>
  </si>
  <si>
    <t>316L powder</t>
  </si>
  <si>
    <t>Job</t>
  </si>
  <si>
    <t>Part</t>
  </si>
  <si>
    <t>Quantity</t>
  </si>
  <si>
    <t>Parts per build</t>
  </si>
  <si>
    <t>Material used (g/part)</t>
  </si>
  <si>
    <t>Waste and refresh</t>
  </si>
  <si>
    <t>Build time (h/build)</t>
  </si>
  <si>
    <t>Setup (min/build)</t>
  </si>
  <si>
    <t>Post-processing (min/part)</t>
  </si>
  <si>
    <t>Failure rate</t>
  </si>
  <si>
    <t>Builds</t>
  </si>
  <si>
    <t>Machine hours</t>
  </si>
  <si>
    <t>Material cost</t>
  </si>
  <si>
    <t>Machine cost</t>
  </si>
  <si>
    <t>Labour cost</t>
  </si>
  <si>
    <t>Failure allowance</t>
  </si>
  <si>
    <t>Cost per part</t>
  </si>
  <si>
    <t>Margin</t>
  </si>
  <si>
    <t>Margin status</t>
  </si>
  <si>
    <t>Job cost</t>
  </si>
  <si>
    <t>Job value</t>
  </si>
  <si>
    <t>Job margin</t>
  </si>
  <si>
    <t>Notes</t>
  </si>
  <si>
    <t>Example data for Northgate Additive (fictional). Replace it with your own: select the example rows, right-click, Delete &gt; Table Rows. Yellow = you type; blue = calculated; Check names any problem.</t>
  </si>
  <si>
    <t>parts</t>
  </si>
  <si>
    <t>g</t>
  </si>
  <si>
    <t>%</t>
  </si>
  <si>
    <t>h</t>
  </si>
  <si>
    <t>min</t>
  </si>
  <si>
    <t>builds</t>
  </si>
  <si>
    <t>% of price</t>
  </si>
  <si>
    <t>J-2401</t>
  </si>
  <si>
    <t>Drone arm brackets</t>
  </si>
  <si>
    <t/>
  </si>
  <si>
    <t>J-2402</t>
  </si>
  <si>
    <t>Jig nest plates</t>
  </si>
  <si>
    <t>J-2403</t>
  </si>
  <si>
    <t>Cable clips</t>
  </si>
  <si>
    <t>J-2404</t>
  </si>
  <si>
    <t>Dental models</t>
  </si>
  <si>
    <t>J-2405</t>
  </si>
  <si>
    <t>Enclosure prototype</t>
  </si>
  <si>
    <t>J-2406</t>
  </si>
  <si>
    <t>Snap-fit housings</t>
  </si>
  <si>
    <t>J-2407</t>
  </si>
  <si>
    <t>Duct elbows</t>
  </si>
  <si>
    <t>J-2408</t>
  </si>
  <si>
    <t>Manifold demonstrator</t>
  </si>
  <si>
    <t>Metal: supports cut by wire EDM</t>
  </si>
  <si>
    <t>J-2409</t>
  </si>
  <si>
    <t>Gripper fingers</t>
  </si>
  <si>
    <t>J-2410</t>
  </si>
  <si>
    <t>Lamp shades</t>
  </si>
  <si>
    <t>J-2411</t>
  </si>
  <si>
    <t>Ear mould shells</t>
  </si>
  <si>
    <t>J-2412</t>
  </si>
  <si>
    <t>Sensor brackets</t>
  </si>
  <si>
    <t>WEIGHTED MARGIN ON PRICE</t>
  </si>
  <si>
    <t>JOBS BELOW TARGET MARGIN</t>
  </si>
  <si>
    <t>MACHINE HOURS BOOKED</t>
  </si>
  <si>
    <t>Margin status on Print Jobs</t>
  </si>
  <si>
    <t>Builds x build time, all jobs</t>
  </si>
  <si>
    <t>Cost of reprints carried by the jobs</t>
  </si>
  <si>
    <t>By job: cost per part, price and margin</t>
  </si>
  <si>
    <t>Target margin</t>
  </si>
  <si>
    <t>By printer: load, cost and margin</t>
  </si>
  <si>
    <t>Jobs</t>
  </si>
  <si>
    <t>jobs</t>
  </si>
  <si>
    <t>Chart data: share of cost per part by element</t>
  </si>
  <si>
    <t>Machine</t>
  </si>
  <si>
    <t>Labour</t>
  </si>
  <si>
    <t>The Dashboard shows the first 12 jobs and 5 printers. The tiles cover every job; to chart more, extend the By job, By printer and chart data blocks (see Method).</t>
  </si>
  <si>
    <t>What this workbook calculates</t>
  </si>
  <si>
    <t>The cost of a printed part is the material it consumes, the printer time it occupies, the technician time to set up builds and finish parts, and its share of the prints that fail. Each job is a row on Print Jobs: the slicer gives grams per part and build hours, you give the nesting (parts per build), the minutes and the failure rate, and the workbook turns them into a cost per good part and a margin on your price.</t>
  </si>
  <si>
    <t>Calculations</t>
  </si>
  <si>
    <t>How it is calculated</t>
  </si>
  <si>
    <t>Units</t>
  </si>
  <si>
    <t>Cost per g (Setup)</t>
  </si>
  <si>
    <t>Price / 1000 for a price per kg; price / 453.59237 per lb; price / (1000 x density) per L.</t>
  </si>
  <si>
    <t>currency/g</t>
  </si>
  <si>
    <t>ROUNDUP(quantity / parts per build): a part-full plate costs a whole build.</t>
  </si>
  <si>
    <t>Builds x build time.</t>
  </si>
  <si>
    <t>Grams per part x (1 + waste and refresh) x cost per g (looked up by material).</t>
  </si>
  <si>
    <t>currency/part</t>
  </si>
  <si>
    <t>Machine hours x the printer's machine rate (looked up) / quantity.</t>
  </si>
  <si>
    <t>(Builds x setup minutes + quantity x post-processing minutes) / 60 x labour rate / quantity.</t>
  </si>
  <si>
    <t>(Material + machine + labour) / (1 - failure rate): good parts carry the reprints.</t>
  </si>
  <si>
    <t>Cost per part - (material + machine + labour).</t>
  </si>
  <si>
    <t>Margin and status</t>
  </si>
  <si>
    <t>(Price - cost per part) / price. On target at or above target, Near target within 5% of it, else Below target.</t>
  </si>
  <si>
    <t>Job cost, value, margin</t>
  </si>
  <si>
    <t>Cost per part, price and price - cost per part, each x quantity.</t>
  </si>
  <si>
    <t>currency/job</t>
  </si>
  <si>
    <t>Weighted margin</t>
  </si>
  <si>
    <t>Sum of job margin / sum of job value over priced jobs (not an average of percentages).</t>
  </si>
  <si>
    <t>Failure allowance (tile)</t>
  </si>
  <si>
    <t>Sum over jobs of failure allowance x quantity.</t>
  </si>
  <si>
    <t>currency</t>
  </si>
  <si>
    <t>By printer</t>
  </si>
  <si>
    <t>COUNTIF and SUMIFS of jobs, builds, machine hours, job cost and value by printer; margin = margin sum / value sum.</t>
  </si>
  <si>
    <t>mixed</t>
  </si>
  <si>
    <t>Assumptions</t>
  </si>
  <si>
    <t>A failed part is printed again in full: it consumes the same material, machine time and labour as a good one, so cost per part = cost per part printed / (1 - failure rate).</t>
  </si>
  <si>
    <t>Machine time is charged per build for the whole build time, whether the build is full or not; parts per build is your nesting.</t>
  </si>
  <si>
    <t>Setup minutes are per build; post-processing minutes are per part. Both are paid at one loaded technician rate.</t>
  </si>
  <si>
    <t>The printer's machine rate already carries its overheads (depreciation, service, power, gas, space). No separate overhead is added.</t>
  </si>
  <si>
    <t>Limitations</t>
  </si>
  <si>
    <t>Slicer estimates of time and material are estimates; compare them with the printer's logs and adjust.</t>
  </si>
  <si>
    <t>Outside finishing (painting, machining, heat treatment bought in) is not modelled: add it to the price check by hand or as minutes.</t>
  </si>
  <si>
    <t>The Dashboard's job blocks have 12 slots and the printer block 5; a warning appears when the lists are longer. The tiles cover every job.</t>
  </si>
  <si>
    <t>No volume discounts, design fees or freight are included.</t>
  </si>
  <si>
    <t>Agreement with the live calculator</t>
  </si>
  <si>
    <t>The live 3D Printed Part Cost calculator adds quantity x variable cost per part, setup and labour, and overhead and burden, then divides by the quantity. With a 0% failure rate a job here is exactly that model: variable cost per part = material + post-processing labour, setup and labour = builds x setup minutes at the labour rate, and overhead and burden = the machine cost of the builds. This workbook adds builds from nesting, the material price conversion, the failure allowance and the margin check. The build runs the calculator's own example (80 parts, 18.50 per part, 240 setup, 160 overhead: 1,880 total, 23.50 per part) and example job J-2406 through its engine.</t>
  </si>
  <si>
    <t>Open the 3D Printed Part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</si>
  <si>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</si>
  <si>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</si>
  <si>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ISO/ASTM 52900, Additive manufacturing - General principles - Fundamentals and vocabulary (process category names).</t>
  </si>
  <si>
    <t>Hopkinson, N. and Dickens, P. (2003), Analysis of rapid manufacturing - using layer manufacturing processes for production, Proc. IMechE Part C 217(1): machine, labour and material cost per part.</t>
  </si>
  <si>
    <t>Rickenbacher, L., Spierings, A. and Wegener, K. (2013), An integrated cost-model for selective laser melting, Rapid Prototyping Journal 19(3): build-level cost allocation.</t>
  </si>
  <si>
    <t>NIST: 1 lb = 0.45359237 kg exactly (SP 811 / Handbook 44).</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</si>
  <si>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</si>
  <si>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</si>
  <si>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</si>
  <si>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</si>
  <si>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</si>
  <si>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</si>
  <si>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</si>
  <si>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</si>
  <si>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</si>
  <si>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</si>
  <si>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</si>
  <si>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</si>
  <si>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</si>
  <si>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</si>
  <si>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</si>
  <si>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</si>
  <si>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Price per kg: cost per g</t>
  </si>
  <si>
    <t>Price per lb: cost per g (1 lb = 453.59237 g)</t>
  </si>
  <si>
    <t>Price per L at 1.25 g/cm3: cost per g</t>
  </si>
  <si>
    <t>Price per L without density: Check</t>
  </si>
  <si>
    <t>Density needed for a price per L</t>
  </si>
  <si>
    <t>exact</t>
  </si>
  <si>
    <t>T-1 (calculator example): cost per part (calculator: 23.50)</t>
  </si>
  <si>
    <t>T-1: job cost (calculator total: 1,880)</t>
  </si>
  <si>
    <t>T-1: machine cost per part</t>
  </si>
  <si>
    <t>T-1: margin on a 30.00 price</t>
  </si>
  <si>
    <t>T-2: builds for 25 parts at 10 per build</t>
  </si>
  <si>
    <t>T-2: material cost per part</t>
  </si>
  <si>
    <t>T-2: labour cost per part</t>
  </si>
  <si>
    <t>T-2: failure allowance per part</t>
  </si>
  <si>
    <t>T-2: cost per part</t>
  </si>
  <si>
    <t>T-2: margin status against 35%</t>
  </si>
  <si>
    <t>Below target</t>
  </si>
  <si>
    <t>T-2: job margin</t>
  </si>
  <si>
    <t>T-3: Check names the unknown printer</t>
  </si>
  <si>
    <t>Printer not on Setup list</t>
  </si>
  <si>
    <t>Weighted margin (Dashboard formula)</t>
  </si>
  <si>
    <t>Jobs below target (Dashboard formula)</t>
  </si>
  <si>
    <t>Failure allowance (Dashboard formula)</t>
  </si>
  <si>
    <t>Fixed test inputs</t>
  </si>
  <si>
    <t>White cells are fixed test inputs; blue cells are the workbook's formulas evaluated on them.</t>
  </si>
  <si>
    <t>Parameters</t>
  </si>
  <si>
    <t>Technician labour rate</t>
  </si>
  <si>
    <t>Test table: Materials</t>
  </si>
  <si>
    <t>M-kg</t>
  </si>
  <si>
    <t>M-lb</t>
  </si>
  <si>
    <t>M-L</t>
  </si>
  <si>
    <t>M-L2</t>
  </si>
  <si>
    <t>Test table: Jobs</t>
  </si>
  <si>
    <t>T-1</t>
  </si>
  <si>
    <t>Calculator example</t>
  </si>
  <si>
    <t>P1</t>
  </si>
  <si>
    <t>M1</t>
  </si>
  <si>
    <t>T-2</t>
  </si>
  <si>
    <t>Part-full last build, failures</t>
  </si>
  <si>
    <t>P2</t>
  </si>
  <si>
    <t>M2</t>
  </si>
  <si>
    <t>T-3</t>
  </si>
  <si>
    <t>Unknown printer</t>
  </si>
  <si>
    <t>Typo</t>
  </si>
  <si>
    <t>Check speaks</t>
  </si>
</sst>
</file>

<file path=xl/styles.xml><?xml version="1.0" encoding="utf-8"?>
<styleSheet xmlns="http://schemas.openxmlformats.org/spreadsheetml/2006/main">
  <numFmts count="7">
    <numFmt numFmtId="164" formatCode="#,##0.00"/>
    <numFmt numFmtId="165" formatCode="0.0%"/>
    <numFmt numFmtId="166" formatCode="#,##0.0000"/>
    <numFmt numFmtId="167" formatCode="#,##0"/>
    <numFmt numFmtId="168" formatCode="#,##0.0"/>
    <numFmt numFmtId="169" formatCode="&quot;Target &quot;0.0%"/>
    <numFmt numFmtId="170"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sz val="9"/>
      <color rgb="FF8A4A06"/>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0" fontId="10" fillId="0" borderId="9" xfId="0" applyFont="1" applyBorder="1" applyAlignment="1">
      <alignment vertical="center"/>
    </xf>
    <xf numFmtId="165" fontId="10" fillId="0" borderId="9" xfId="0" applyNumberFormat="1" applyFont="1" applyBorder="1" applyAlignment="1">
      <alignment vertical="center"/>
    </xf>
    <xf numFmtId="0" fontId="10" fillId="4" borderId="3" xfId="0"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of each part goes</a:t>
            </a:r>
          </a:p>
        </c:rich>
      </c:tx>
      <c:layout/>
    </c:title>
    <c:plotArea>
      <c:layout/>
      <c:barChart>
        <c:barDir val="bar"/>
        <c:grouping val="stacked"/>
        <c:ser>
          <c:idx val="0"/>
          <c:order val="0"/>
          <c:tx>
            <c:v>Material</c:v>
          </c:tx>
          <c:spPr>
            <a:solidFill>
              <a:srgbClr val="3B64D8"/>
            </a:solidFill>
            <a:ln w="9525">
              <a:solidFill>
                <a:srgbClr val="FFFFFF"/>
              </a:solidFill>
            </a:ln>
          </c:spPr>
          <c:cat>
            <c:strRef>
              <c:f>Dashboard!$B$58:$B$69</c:f>
              <c:strCache>
                <c:ptCount val="12"/>
                <c:pt idx="0">
                  <c:v>J-2401</c:v>
                </c:pt>
                <c:pt idx="1">
                  <c:v>J-2402</c:v>
                </c:pt>
                <c:pt idx="2">
                  <c:v>J-2403</c:v>
                </c:pt>
                <c:pt idx="3">
                  <c:v>J-2404</c:v>
                </c:pt>
                <c:pt idx="4">
                  <c:v>J-2405</c:v>
                </c:pt>
                <c:pt idx="5">
                  <c:v>J-2406</c:v>
                </c:pt>
                <c:pt idx="6">
                  <c:v>J-2407</c:v>
                </c:pt>
                <c:pt idx="7">
                  <c:v>J-2408</c:v>
                </c:pt>
                <c:pt idx="8">
                  <c:v>J-2409</c:v>
                </c:pt>
                <c:pt idx="9">
                  <c:v>J-2410</c:v>
                </c:pt>
                <c:pt idx="10">
                  <c:v>J-2411</c:v>
                </c:pt>
                <c:pt idx="11">
                  <c:v>J-2412</c:v>
                </c:pt>
              </c:strCache>
            </c:strRef>
          </c:cat>
          <c:val>
            <c:numRef>
              <c:f>Dashboard!$C$58:$C$69</c:f>
              <c:numCache>
                <c:formatCode>General</c:formatCode>
                <c:ptCount val="12"/>
                <c:pt idx="0">
                  <c:v>0.0888359260874575</c:v>
                </c:pt>
                <c:pt idx="1">
                  <c:v>0.160098816071595</c:v>
                </c:pt>
                <c:pt idx="2">
                  <c:v>0.12455936751515</c:v>
                </c:pt>
                <c:pt idx="3">
                  <c:v>0.239324191342799</c:v>
                </c:pt>
                <c:pt idx="4">
                  <c:v>0.294556107395235</c:v>
                </c:pt>
                <c:pt idx="5">
                  <c:v>0.288551818805765</c:v>
                </c:pt>
                <c:pt idx="6">
                  <c:v>0.230808709175739</c:v>
                </c:pt>
                <c:pt idx="7">
                  <c:v>0.027989563932177</c:v>
                </c:pt>
                <c:pt idx="8">
                  <c:v>0.213393367311956</c:v>
                </c:pt>
                <c:pt idx="9">
                  <c:v>0.109422879893281</c:v>
                </c:pt>
                <c:pt idx="10">
                  <c:v>0.0720643431635389</c:v>
                </c:pt>
                <c:pt idx="11">
                  <c:v>0.0387860918729433</c:v>
                </c:pt>
              </c:numCache>
            </c:numRef>
          </c:val>
        </c:ser>
        <c:ser>
          <c:idx val="1"/>
          <c:order val="1"/>
          <c:tx>
            <c:v>Machine</c:v>
          </c:tx>
          <c:spPr>
            <a:solidFill>
              <a:srgbClr val="E8702A"/>
            </a:solidFill>
            <a:ln w="9525">
              <a:solidFill>
                <a:srgbClr val="FFFFFF"/>
              </a:solidFill>
            </a:ln>
          </c:spPr>
          <c:cat>
            <c:strRef>
              <c:f>Dashboard!$B$58:$B$69</c:f>
              <c:strCache>
                <c:ptCount val="12"/>
                <c:pt idx="0">
                  <c:v>J-2401</c:v>
                </c:pt>
                <c:pt idx="1">
                  <c:v>J-2402</c:v>
                </c:pt>
                <c:pt idx="2">
                  <c:v>J-2403</c:v>
                </c:pt>
                <c:pt idx="3">
                  <c:v>J-2404</c:v>
                </c:pt>
                <c:pt idx="4">
                  <c:v>J-2405</c:v>
                </c:pt>
                <c:pt idx="5">
                  <c:v>J-2406</c:v>
                </c:pt>
                <c:pt idx="6">
                  <c:v>J-2407</c:v>
                </c:pt>
                <c:pt idx="7">
                  <c:v>J-2408</c:v>
                </c:pt>
                <c:pt idx="8">
                  <c:v>J-2409</c:v>
                </c:pt>
                <c:pt idx="9">
                  <c:v>J-2410</c:v>
                </c:pt>
                <c:pt idx="10">
                  <c:v>J-2411</c:v>
                </c:pt>
                <c:pt idx="11">
                  <c:v>J-2412</c:v>
                </c:pt>
              </c:strCache>
            </c:strRef>
          </c:cat>
          <c:val>
            <c:numRef>
              <c:f>Dashboard!$D$58:$D$69</c:f>
              <c:numCache>
                <c:formatCode>General</c:formatCode>
                <c:ptCount val="12"/>
                <c:pt idx="0">
                  <c:v>0.50912186137746</c:v>
                </c:pt>
                <c:pt idx="1">
                  <c:v>0.613405425561667</c:v>
                </c:pt>
                <c:pt idx="2">
                  <c:v>0.292076438978526</c:v>
                </c:pt>
                <c:pt idx="3">
                  <c:v>0.219904596981354</c:v>
                </c:pt>
                <c:pt idx="4">
                  <c:v>0.329941094322585</c:v>
                </c:pt>
                <c:pt idx="5">
                  <c:v>0.401775337451384</c:v>
                </c:pt>
                <c:pt idx="6">
                  <c:v>0.58485464768513</c:v>
                </c:pt>
                <c:pt idx="7">
                  <c:v>0.787961237410684</c:v>
                </c:pt>
                <c:pt idx="8">
                  <c:v>0.447826434758759</c:v>
                </c:pt>
                <c:pt idx="9">
                  <c:v>0.52355444925015</c:v>
                </c:pt>
                <c:pt idx="10">
                  <c:v>0.154423592493298</c:v>
                </c:pt>
                <c:pt idx="11">
                  <c:v>0.760764987379983</c:v>
                </c:pt>
              </c:numCache>
            </c:numRef>
          </c:val>
        </c:ser>
        <c:ser>
          <c:idx val="2"/>
          <c:order val="2"/>
          <c:tx>
            <c:v>Labour</c:v>
          </c:tx>
          <c:spPr>
            <a:solidFill>
              <a:srgbClr val="1BA37A"/>
            </a:solidFill>
            <a:ln w="9525">
              <a:solidFill>
                <a:srgbClr val="FFFFFF"/>
              </a:solidFill>
            </a:ln>
          </c:spPr>
          <c:cat>
            <c:strRef>
              <c:f>Dashboard!$B$58:$B$69</c:f>
              <c:strCache>
                <c:ptCount val="12"/>
                <c:pt idx="0">
                  <c:v>J-2401</c:v>
                </c:pt>
                <c:pt idx="1">
                  <c:v>J-2402</c:v>
                </c:pt>
                <c:pt idx="2">
                  <c:v>J-2403</c:v>
                </c:pt>
                <c:pt idx="3">
                  <c:v>J-2404</c:v>
                </c:pt>
                <c:pt idx="4">
                  <c:v>J-2405</c:v>
                </c:pt>
                <c:pt idx="5">
                  <c:v>J-2406</c:v>
                </c:pt>
                <c:pt idx="6">
                  <c:v>J-2407</c:v>
                </c:pt>
                <c:pt idx="7">
                  <c:v>J-2408</c:v>
                </c:pt>
                <c:pt idx="8">
                  <c:v>J-2409</c:v>
                </c:pt>
                <c:pt idx="9">
                  <c:v>J-2410</c:v>
                </c:pt>
                <c:pt idx="10">
                  <c:v>J-2411</c:v>
                </c:pt>
                <c:pt idx="11">
                  <c:v>J-2412</c:v>
                </c:pt>
              </c:strCache>
            </c:strRef>
          </c:cat>
          <c:val>
            <c:numRef>
              <c:f>Dashboard!$E$58:$E$69</c:f>
              <c:numCache>
                <c:formatCode>General</c:formatCode>
                <c:ptCount val="12"/>
                <c:pt idx="0">
                  <c:v>0.362042212535083</c:v>
                </c:pt>
                <c:pt idx="1">
                  <c:v>0.166495758366738</c:v>
                </c:pt>
                <c:pt idx="2">
                  <c:v>0.553364193506324</c:v>
                </c:pt>
                <c:pt idx="3">
                  <c:v>0.490771211675847</c:v>
                </c:pt>
                <c:pt idx="4">
                  <c:v>0.29550279828218</c:v>
                </c:pt>
                <c:pt idx="5">
                  <c:v>0.289672843742851</c:v>
                </c:pt>
                <c:pt idx="6">
                  <c:v>0.154336643139131</c:v>
                </c:pt>
                <c:pt idx="7">
                  <c:v>0.0840491986571396</c:v>
                </c:pt>
                <c:pt idx="8">
                  <c:v>0.288780197929285</c:v>
                </c:pt>
                <c:pt idx="9">
                  <c:v>0.307022670856569</c:v>
                </c:pt>
                <c:pt idx="10">
                  <c:v>0.733512064343164</c:v>
                </c:pt>
                <c:pt idx="11">
                  <c:v>0.140448920747074</c:v>
                </c:pt>
              </c:numCache>
            </c:numRef>
          </c:val>
        </c:ser>
        <c:ser>
          <c:idx val="3"/>
          <c:order val="3"/>
          <c:tx>
            <c:v>Failure allowance</c:v>
          </c:tx>
          <c:spPr>
            <a:solidFill>
              <a:srgbClr val="E0A100"/>
            </a:solidFill>
            <a:ln w="9525">
              <a:solidFill>
                <a:srgbClr val="FFFFFF"/>
              </a:solidFill>
            </a:ln>
          </c:spPr>
          <c:cat>
            <c:strRef>
              <c:f>Dashboard!$B$58:$B$69</c:f>
              <c:strCache>
                <c:ptCount val="12"/>
                <c:pt idx="0">
                  <c:v>J-2401</c:v>
                </c:pt>
                <c:pt idx="1">
                  <c:v>J-2402</c:v>
                </c:pt>
                <c:pt idx="2">
                  <c:v>J-2403</c:v>
                </c:pt>
                <c:pt idx="3">
                  <c:v>J-2404</c:v>
                </c:pt>
                <c:pt idx="4">
                  <c:v>J-2405</c:v>
                </c:pt>
                <c:pt idx="5">
                  <c:v>J-2406</c:v>
                </c:pt>
                <c:pt idx="6">
                  <c:v>J-2407</c:v>
                </c:pt>
                <c:pt idx="7">
                  <c:v>J-2408</c:v>
                </c:pt>
                <c:pt idx="8">
                  <c:v>J-2409</c:v>
                </c:pt>
                <c:pt idx="9">
                  <c:v>J-2410</c:v>
                </c:pt>
                <c:pt idx="10">
                  <c:v>J-2411</c:v>
                </c:pt>
                <c:pt idx="11">
                  <c:v>J-2412</c:v>
                </c:pt>
              </c:strCache>
            </c:strRef>
          </c:cat>
          <c:val>
            <c:numRef>
              <c:f>Dashboard!$F$58:$F$69</c:f>
              <c:numCache>
                <c:formatCode>General</c:formatCode>
                <c:ptCount val="12"/>
                <c:pt idx="0">
                  <c:v>0.04</c:v>
                </c:pt>
                <c:pt idx="1">
                  <c:v>0.06</c:v>
                </c:pt>
                <c:pt idx="2">
                  <c:v>0.03</c:v>
                </c:pt>
                <c:pt idx="3">
                  <c:v>0.05</c:v>
                </c:pt>
                <c:pt idx="4">
                  <c:v>0.08</c:v>
                </c:pt>
                <c:pt idx="5">
                  <c:v>0.02</c:v>
                </c:pt>
                <c:pt idx="6">
                  <c:v>0.03</c:v>
                </c:pt>
                <c:pt idx="7">
                  <c:v>0.1</c:v>
                </c:pt>
                <c:pt idx="8">
                  <c:v>0.05</c:v>
                </c:pt>
                <c:pt idx="9">
                  <c:v>0.06</c:v>
                </c:pt>
                <c:pt idx="10">
                  <c:v>0.04</c:v>
                </c:pt>
                <c:pt idx="11">
                  <c:v>0.06</c:v>
                </c:pt>
              </c:numCache>
            </c:numRef>
          </c:val>
        </c:ser>
        <c:gapWidth val="5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Margin on price by job</a:t>
            </a:r>
          </a:p>
        </c:rich>
      </c:tx>
      <c:layout/>
    </c:title>
    <c:plotArea>
      <c:layout/>
      <c:barChart>
        <c:barDir val="col"/>
        <c:grouping val="clustered"/>
        <c:ser>
          <c:idx val="0"/>
          <c:order val="0"/>
          <c:tx>
            <c:v>Margin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Dashboard!$B$31:$B$42</c:f>
              <c:strCache>
                <c:ptCount val="12"/>
                <c:pt idx="0">
                  <c:v>J-2401</c:v>
                </c:pt>
                <c:pt idx="1">
                  <c:v>J-2402</c:v>
                </c:pt>
                <c:pt idx="2">
                  <c:v>J-2403</c:v>
                </c:pt>
                <c:pt idx="3">
                  <c:v>J-2404</c:v>
                </c:pt>
                <c:pt idx="4">
                  <c:v>J-2405</c:v>
                </c:pt>
                <c:pt idx="5">
                  <c:v>J-2406</c:v>
                </c:pt>
                <c:pt idx="6">
                  <c:v>J-2407</c:v>
                </c:pt>
                <c:pt idx="7">
                  <c:v>J-2408</c:v>
                </c:pt>
                <c:pt idx="8">
                  <c:v>J-2409</c:v>
                </c:pt>
                <c:pt idx="9">
                  <c:v>J-2410</c:v>
                </c:pt>
                <c:pt idx="10">
                  <c:v>J-2411</c:v>
                </c:pt>
                <c:pt idx="11">
                  <c:v>J-2412</c:v>
                </c:pt>
              </c:strCache>
            </c:strRef>
          </c:cat>
          <c:val>
            <c:numRef>
              <c:f>Dashboard!$I$31:$I$42</c:f>
              <c:numCache>
                <c:formatCode>General</c:formatCode>
                <c:ptCount val="12"/>
                <c:pt idx="0">
                  <c:v>0.36387796138354</c:v>
                </c:pt>
                <c:pt idx="1">
                  <c:v>0.366016548463357</c:v>
                </c:pt>
                <c:pt idx="2">
                  <c:v>0.359071890034364</c:v>
                </c:pt>
                <c:pt idx="3">
                  <c:v>0.360518143184047</c:v>
                </c:pt>
                <c:pt idx="4">
                  <c:v>0.341987806630628</c:v>
                </c:pt>
                <c:pt idx="5">
                  <c:v>0.370027672085784</c:v>
                </c:pt>
                <c:pt idx="6">
                  <c:v>0.347157138394252</c:v>
                </c:pt>
                <c:pt idx="7">
                  <c:v>0.0481765290072235</c:v>
                </c:pt>
                <c:pt idx="8">
                  <c:v>0.360336257309941</c:v>
                </c:pt>
                <c:pt idx="9">
                  <c:v>-0.146012608353034</c:v>
                </c:pt>
                <c:pt idx="10">
                  <c:v>0.386513157894737</c:v>
                </c:pt>
                <c:pt idx="11">
                  <c:v>0.370788379482104</c:v>
                </c:pt>
              </c:numCache>
            </c:numRef>
          </c:val>
        </c:ser>
        <c:gapWidth val="60"/>
        <c:overlap val="-10"/>
        <c:axId val="50020001"/>
        <c:axId val="50020002"/>
      </c:barChart>
      <c:lineChart>
        <c:grouping val="standard"/>
        <c:ser>
          <c:idx val="1"/>
          <c:order val="1"/>
          <c:tx>
            <c:v>Target margin</c:v>
          </c:tx>
          <c:spPr>
            <a:ln w="19050">
              <a:solidFill>
                <a:srgbClr val="4A5361"/>
              </a:solidFill>
              <a:prstDash val="dash"/>
            </a:ln>
          </c:spPr>
          <c:marker>
            <c:symbol val="none"/>
          </c:marker>
          <c:cat>
            <c:strRef>
              <c:f>Dashboard!$B$31:$B$42</c:f>
              <c:strCache>
                <c:ptCount val="12"/>
                <c:pt idx="0">
                  <c:v>J-2401</c:v>
                </c:pt>
                <c:pt idx="1">
                  <c:v>J-2402</c:v>
                </c:pt>
                <c:pt idx="2">
                  <c:v>J-2403</c:v>
                </c:pt>
                <c:pt idx="3">
                  <c:v>J-2404</c:v>
                </c:pt>
                <c:pt idx="4">
                  <c:v>J-2405</c:v>
                </c:pt>
                <c:pt idx="5">
                  <c:v>J-2406</c:v>
                </c:pt>
                <c:pt idx="6">
                  <c:v>J-2407</c:v>
                </c:pt>
                <c:pt idx="7">
                  <c:v>J-2408</c:v>
                </c:pt>
                <c:pt idx="8">
                  <c:v>J-2409</c:v>
                </c:pt>
                <c:pt idx="9">
                  <c:v>J-2410</c:v>
                </c:pt>
                <c:pt idx="10">
                  <c:v>J-2411</c:v>
                </c:pt>
                <c:pt idx="11">
                  <c:v>J-2412</c:v>
                </c:pt>
              </c:strCache>
            </c:strRef>
          </c:cat>
          <c:val>
            <c:numRef>
              <c:f>Dashboard!$J$31:$J$42</c:f>
              <c:numCache>
                <c:formatCode>General</c:formatCode>
                <c:ptCount val="12"/>
                <c:pt idx="0">
                  <c:v>0.35</c:v>
                </c:pt>
                <c:pt idx="1">
                  <c:v>0.35</c:v>
                </c:pt>
                <c:pt idx="2">
                  <c:v>0.35</c:v>
                </c:pt>
                <c:pt idx="3">
                  <c:v>0.35</c:v>
                </c:pt>
                <c:pt idx="4">
                  <c:v>0.35</c:v>
                </c:pt>
                <c:pt idx="5">
                  <c:v>0.35</c:v>
                </c:pt>
                <c:pt idx="6">
                  <c:v>0.35</c:v>
                </c:pt>
                <c:pt idx="7">
                  <c:v>0.35</c:v>
                </c:pt>
                <c:pt idx="8">
                  <c:v>0.35</c:v>
                </c:pt>
                <c:pt idx="9">
                  <c:v>0.35</c:v>
                </c:pt>
                <c:pt idx="10">
                  <c:v>0.35</c:v>
                </c:pt>
                <c:pt idx="11">
                  <c:v>0.35</c:v>
                </c:pt>
              </c:numCache>
            </c:numRef>
          </c:val>
        </c:ser>
        <c:marker val="1"/>
        <c:axId val="50020001"/>
        <c:axId val="50020002"/>
      </c:lineChart>
      <c:catAx>
        <c:axId val="50020001"/>
        <c:scaling>
          <c:orientation val="minMax"/>
        </c:scaling>
        <c:axPos val="b"/>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Machine hours by printer</a:t>
            </a:r>
          </a:p>
        </c:rich>
      </c:tx>
      <c:layout/>
    </c:title>
    <c:plotArea>
      <c:layout/>
      <c:barChart>
        <c:barDir val="col"/>
        <c:grouping val="clustered"/>
        <c:ser>
          <c:idx val="0"/>
          <c:order val="0"/>
          <c:tx>
            <c:v>Machine hours</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Dashboard!$B$47:$B$51</c:f>
              <c:strCache>
                <c:ptCount val="5"/>
                <c:pt idx="0">
                  <c:v>FDM-A desktop</c:v>
                </c:pt>
                <c:pt idx="1">
                  <c:v>FDM-B industrial</c:v>
                </c:pt>
                <c:pt idx="2">
                  <c:v>SLA-1</c:v>
                </c:pt>
                <c:pt idx="3">
                  <c:v>SLS-1</c:v>
                </c:pt>
                <c:pt idx="4">
                  <c:v>PBF-M1</c:v>
                </c:pt>
              </c:strCache>
            </c:strRef>
          </c:cat>
          <c:val>
            <c:numRef>
              <c:f>Dashboard!$E$47:$E$51</c:f>
              <c:numCache>
                <c:formatCode>General</c:formatCode>
                <c:ptCount val="5"/>
                <c:pt idx="0">
                  <c:v>185</c:v>
                </c:pt>
                <c:pt idx="1">
                  <c:v>102</c:v>
                </c:pt>
                <c:pt idx="2">
                  <c:v>51</c:v>
                </c:pt>
                <c:pt idx="3">
                  <c:v>68</c:v>
                </c:pt>
                <c:pt idx="4">
                  <c:v>56</c:v>
                </c:pt>
              </c:numCache>
            </c:numRef>
          </c:val>
        </c:ser>
        <c:gapWidth val="60"/>
        <c:overlap val="-10"/>
        <c:axId val="50030001"/>
        <c:axId val="50030002"/>
      </c:bar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5</xdr:col>
      <xdr:colOff>676275</xdr:colOff>
      <xdr:row>25</xdr:row>
      <xdr:rowOff>152400</xdr:rowOff>
    </xdr:to>
    <xdr:graphicFrame macro="">
      <xdr:nvGraphicFramePr>
        <xdr:cNvPr id="2" name="Chart 1" descr="Stacked bar chart of each job's cost per part split into shares of material, machine time, labour and failure allowance; machine time dominates the SLS and metal jobs, labour the SLA job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9</xdr:row>
      <xdr:rowOff>38100</xdr:rowOff>
    </xdr:from>
    <xdr:to>
      <xdr:col>11</xdr:col>
      <xdr:colOff>676275</xdr:colOff>
      <xdr:row>25</xdr:row>
      <xdr:rowOff>152400</xdr:rowOff>
    </xdr:to>
    <xdr:graphicFrame macro="">
      <xdr:nvGraphicFramePr>
        <xdr:cNvPr id="3" name="Chart 2" descr="Column chart of each job's margin on price with the target margin as a dashed line; jobs below the line miss the targ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38100</xdr:colOff>
      <xdr:row>43</xdr:row>
      <xdr:rowOff>38100</xdr:rowOff>
    </xdr:from>
    <xdr:to>
      <xdr:col>11</xdr:col>
      <xdr:colOff>676275</xdr:colOff>
      <xdr:row>52</xdr:row>
      <xdr:rowOff>171450</xdr:rowOff>
    </xdr:to>
    <xdr:graphicFrame macro="">
      <xdr:nvGraphicFramePr>
        <xdr:cNvPr id="4" name="Chart 3" descr="Column chart of the machine hours the jobs book on each printe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Printers" displayName="tblPrinters" ref="B18:D23" totalsRowShown="0">
  <autoFilter ref="B18:D23"/>
  <tableColumns count="3">
    <tableColumn id="1" name="Printer"/>
    <tableColumn id="2" name="Technology"/>
    <tableColumn id="3" name="Machine rate"/>
  </tableColumns>
  <tableStyleInfo name="TableStyleLight1" showFirstColumn="0" showLastColumn="0" showRowStripes="0" showColumnStripes="0"/>
</table>
</file>

<file path=xl/tables/table2.xml><?xml version="1.0" encoding="utf-8"?>
<table xmlns="http://schemas.openxmlformats.org/spreadsheetml/2006/main" id="2" name="tblMaterials" displayName="tblMaterials" ref="B30:G37" totalsRowShown="0">
  <autoFilter ref="B30:G37"/>
  <tableColumns count="6">
    <tableColumn id="1" name="Material"/>
    <tableColumn id="2" name="Price"/>
    <tableColumn id="3" name="Price unit"/>
    <tableColumn id="4" name="Density"/>
    <tableColumn id="5" name="Cost per g">
      <calculatedColumnFormula>IF(tblMaterials[[#This Row],[Price unit]]="kg",tblMaterials[[#This Row],[Price]]/1000,IF(tblMaterials[[#This Row],[Price unit]]="lb",tblMaterials[[#This Row],[Price]]/453.59237,IF(AND(tblMaterials[[#This Row],[Price unit]]="L",tblMaterials[[#This Row],[Density]]&gt;0),tblMaterials[[#This Row],[Price]]/(1000*tblMaterials[[#This Row],[Density]]),"")))</calculatedColumnFormula>
    </tableColumn>
    <tableColumn id="6" name="Check">
      <calculatedColumnFormula>IF(tblMaterials[[#This Row],[Price]]="","Missing price",IF(tblMaterials[[#This Row],[Price unit]]="","Missing price unit",IF(AND(tblMaterials[[#This Row],[Price unit]]="L",tblMaterials[[#This Row],[Density]]=""),"Density needed for a price per L","OK")))</calculatedColumnFormula>
    </tableColumn>
  </tableColumns>
  <tableStyleInfo name="TableStyleLight1" showFirstColumn="0" showLastColumn="0" showRowStripes="0" showColumnStripes="0"/>
</table>
</file>

<file path=xl/tables/table3.xml><?xml version="1.0" encoding="utf-8"?>
<table xmlns="http://schemas.openxmlformats.org/spreadsheetml/2006/main" id="3" name="tblJobs" displayName="tblJobs" ref="B6:AD18" totalsRowShown="0">
  <autoFilter ref="B6:AD18"/>
  <tableColumns count="29">
    <tableColumn id="1" name="Job"/>
    <tableColumn id="2" name="Part"/>
    <tableColumn id="3" name="Printer"/>
    <tableColumn id="4" name="Material"/>
    <tableColumn id="5" name="Quantity"/>
    <tableColumn id="6" name="Parts per build"/>
    <tableColumn id="7" name="Material used (g/part)"/>
    <tableColumn id="8" name="Waste and refresh"/>
    <tableColumn id="9" name="Build time (h/build)"/>
    <tableColumn id="10" name="Setup (min/build)"/>
    <tableColumn id="11" name="Post-processing (min/part)"/>
    <tableColumn id="12" name="Failure rate"/>
    <tableColumn id="13" name="Price"/>
    <tableColumn id="14" name="Builds">
      <calculatedColumnFormula>IF(tblJobs[[#This Row],[Job]]="","",IF(tblJobs[[#This Row],[Parts per build]]&gt;0,ROUNDUP(tblJobs[[#This Row],[Quantity]]/tblJobs[[#This Row],[Parts per build]],0),""))</calculatedColumnFormula>
    </tableColumn>
    <tableColumn id="15" name="Machine hours">
      <calculatedColumnFormula>IF(tblJobs[[#This Row],[Job]]="","",tblJobs[[#This Row],[Builds]]*tblJobs[[#This Row],[Build time (h/build)]])</calculatedColumnFormula>
    </tableColumn>
    <tableColumn id="16" name="Cost per g">
      <calculatedColumnFormula>IF(tblJobs[[#This Row],[Job]]="","",IFERROR(INDEX(tblMaterials[Cost per g],MATCH(tblJobs[[#This Row],[Material]],tblMaterials[Material],0)),""))</calculatedColumnFormula>
    </tableColumn>
    <tableColumn id="17" name="Machine rate">
      <calculatedColumnFormula>IF(tblJobs[[#This Row],[Job]]="","",IFERROR(INDEX(tblPrinters[Machine rate],MATCH(tblJobs[[#This Row],[Printer]],tblPrinters[Printer],0)),""))</calculatedColumnFormula>
    </tableColumn>
    <tableColumn id="18" name="Material cost">
      <calculatedColumnFormula>IF(tblJobs[[#This Row],[Job]]="","",IF(tblJobs[[#This Row],[Cost per g]]="","",tblJobs[[#This Row],[Material used (g/part)]]*(1+tblJobs[[#This Row],[Waste and refresh]])*tblJobs[[#This Row],[Cost per g]]))</calculatedColumnFormula>
    </tableColumn>
    <tableColumn id="19" name="Machine cost">
      <calculatedColumnFormula>IF(tblJobs[[#This Row],[Job]]="","",IF(OR(tblJobs[[#This Row],[Machine rate]]="",tblJobs[[#This Row],[Quantity]]=0),"",tblJobs[[#This Row],[Machine hours]]*tblJobs[[#This Row],[Machine rate]]/tblJobs[[#This Row],[Quantity]]))</calculatedColumnFormula>
    </tableColumn>
    <tableColumn id="20" name="Labour cost">
      <calculatedColumnFormula>IF(tblJobs[[#This Row],[Job]]="","",IF(tblJobs[[#This Row],[Quantity]]&gt;0,(tblJobs[[#This Row],[Builds]]*tblJobs[[#This Row],[Setup (min/build)]]+tblJobs[[#This Row],[Quantity]]*tblJobs[[#This Row],[Post-processing (min/part)]])/60*LabourRate/tblJobs[[#This Row],[Quantity]],""))</calculatedColumnFormula>
    </tableColumn>
    <tableColumn id="21" name="Failure allowance">
      <calculatedColumnFormula>IF(tblJobs[[#This Row],[Job]]="","",IFERROR((tblJobs[[#This Row],[Material cost]]+tblJobs[[#This Row],[Machine cost]]+tblJobs[[#This Row],[Labour cost]])*tblJobs[[#This Row],[Failure rate]]/(1-tblJobs[[#This Row],[Failure rate]]),""))</calculatedColumnFormula>
    </tableColumn>
    <tableColumn id="22" name="Cost per part">
      <calculatedColumnFormula>IF(tblJobs[[#This Row],[Job]]="","",IFERROR((tblJobs[[#This Row],[Material cost]]+tblJobs[[#This Row],[Machine cost]]+tblJobs[[#This Row],[Labour cost]])/(1-tblJobs[[#This Row],[Failure rate]]),""))</calculatedColumnFormula>
    </tableColumn>
    <tableColumn id="23" name="Margin">
      <calculatedColumnFormula>IF(tblJobs[[#This Row],[Job]]="","",IF(AND(tblJobs[[#This Row],[Price]]&gt;0,ISNUMBER(tblJobs[[#This Row],[Cost per part]])),(tblJobs[[#This Row],[Price]]-tblJobs[[#This Row],[Cost per part]])/tblJobs[[#This Row],[Price]],""))</calculatedColumnFormula>
    </tableColumn>
    <tableColumn id="24" name="Margin status">
      <calculatedColumnFormula>IF(NOT(ISNUMBER(tblJobs[[#This Row],[Margin]])),"",IF(tblJobs[[#This Row],[Margin]]&gt;=TargetMargin,"On target",IF(tblJobs[[#This Row],[Margin]]&gt;=TargetMargin*(1-0.05),"Near target","Below target")))</calculatedColumnFormula>
    </tableColumn>
    <tableColumn id="25" name="Job cost">
      <calculatedColumnFormula>IF(tblJobs[[#This Row],[Job]]="","",IFERROR(tblJobs[[#This Row],[Cost per part]]*tblJobs[[#This Row],[Quantity]],""))</calculatedColumnFormula>
    </tableColumn>
    <tableColumn id="26" name="Job value">
      <calculatedColumnFormula>IF(tblJobs[[#This Row],[Job]]="","",IF(tblJobs[[#This Row],[Price]]&gt;0,tblJobs[[#This Row],[Price]]*tblJobs[[#This Row],[Quantity]],""))</calculatedColumnFormula>
    </tableColumn>
    <tableColumn id="27" name="Job margin">
      <calculatedColumnFormula>IF(tblJobs[[#This Row],[Job]]="","",IF(AND(tblJobs[[#This Row],[Price]]&gt;0,ISNUMBER(tblJobs[[#This Row],[Job cost]])),tblJobs[[#This Row],[Job value]]-tblJobs[[#This Row],[Job cost]],""))</calculatedColumnFormula>
    </tableColumn>
    <tableColumn id="28" name="Check">
      <calculatedColumnFormula>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calculatedColumnFormula>
    </tableColumn>
    <tableColumn id="29" name="Notes"/>
  </tableColumns>
  <tableStyleInfo name="TableStyleLight1" showFirstColumn="0" showLastColumn="0" showRowStripes="0" showColumnStripes="0"/>
</table>
</file>

<file path=xl/tables/table4.xml><?xml version="1.0" encoding="utf-8"?>
<table xmlns="http://schemas.openxmlformats.org/spreadsheetml/2006/main" id="4" name="tblVerifyMaterials" displayName="tblVerifyMaterials" ref="B40:G44" totalsRowShown="0">
  <tableColumns count="6">
    <tableColumn id="1" name="Material"/>
    <tableColumn id="2" name="Price"/>
    <tableColumn id="3" name="Price unit"/>
    <tableColumn id="4" name="Density"/>
    <tableColumn id="5" name="Cost per g">
      <calculatedColumnFormula>IF(tblVerifyMaterials[[#This Row],[Price unit]]="kg",tblVerifyMaterials[[#This Row],[Price]]/1000,IF(tblVerifyMaterials[[#This Row],[Price unit]]="lb",tblVerifyMaterials[[#This Row],[Price]]/453.59237,IF(AND(tblVerifyMaterials[[#This Row],[Price unit]]="L",tblVerifyMaterials[[#This Row],[Density]]&gt;0),tblVerifyMaterials[[#This Row],[Price]]/(1000*tblVerifyMaterials[[#This Row],[Density]]),"")))</calculatedColumnFormula>
    </tableColumn>
    <tableColumn id="6" name="Check">
      <calculatedColumnFormula>IF(tblVerifyMaterials[[#This Row],[Price]]="","Missing price",IF(tblVerifyMaterials[[#This Row],[Price unit]]="","Missing price unit",IF(AND(tblVerifyMaterials[[#This Row],[Price unit]]="L",tblVerifyMaterials[[#This Row],[Density]]=""),"Density needed for a price per L","OK")))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VerifyJobs" displayName="tblVerifyJobs" ref="B48:AD51" totalsRowShown="0">
  <tableColumns count="29">
    <tableColumn id="1" name="Job"/>
    <tableColumn id="2" name="Part"/>
    <tableColumn id="3" name="Printer"/>
    <tableColumn id="4" name="Material"/>
    <tableColumn id="5" name="Quantity"/>
    <tableColumn id="6" name="Parts per build"/>
    <tableColumn id="7" name="Material used (g/part)"/>
    <tableColumn id="8" name="Waste and refresh"/>
    <tableColumn id="9" name="Build time (h/build)"/>
    <tableColumn id="10" name="Setup (min/build)"/>
    <tableColumn id="11" name="Post-processing (min/part)"/>
    <tableColumn id="12" name="Failure rate"/>
    <tableColumn id="13" name="Price"/>
    <tableColumn id="14" name="Builds">
      <calculatedColumnFormula>IF(tblVerifyJobs[[#This Row],[Job]]="","",IF(tblVerifyJobs[[#This Row],[Parts per build]]&gt;0,ROUNDUP(tblVerifyJobs[[#This Row],[Quantity]]/tblVerifyJobs[[#This Row],[Parts per build]],0),""))</calculatedColumnFormula>
    </tableColumn>
    <tableColumn id="15" name="Machine hours">
      <calculatedColumnFormula>IF(tblVerifyJobs[[#This Row],[Job]]="","",tblVerifyJobs[[#This Row],[Builds]]*tblVerifyJobs[[#This Row],[Build time (h/build)]])</calculatedColumnFormula>
    </tableColumn>
    <tableColumn id="16" name="Cost per g"/>
    <tableColumn id="17" name="Machine rate"/>
    <tableColumn id="18" name="Material cost">
      <calculatedColumnFormula>IF(tblVerifyJobs[[#This Row],[Job]]="","",IF(tblVerifyJobs[[#This Row],[Cost per g]]="","",tblVerifyJobs[[#This Row],[Material used (g/part)]]*(1+tblVerifyJobs[[#This Row],[Waste and refresh]])*tblVerifyJobs[[#This Row],[Cost per g]]))</calculatedColumnFormula>
    </tableColumn>
    <tableColumn id="19" name="Machine cost">
      <calculatedColumnFormula>IF(tblVerifyJobs[[#This Row],[Job]]="","",IF(OR(tblVerifyJobs[[#This Row],[Machine rate]]="",tblVerifyJobs[[#This Row],[Quantity]]=0),"",tblVerifyJobs[[#This Row],[Machine hours]]*tblVerifyJobs[[#This Row],[Machine rate]]/tblVerifyJobs[[#This Row],[Quantity]]))</calculatedColumnFormula>
    </tableColumn>
    <tableColumn id="20" name="Labour cost">
      <calculatedColumnFormula>IF(tblVerifyJobs[[#This Row],[Job]]="","",IF(tblVerifyJobs[[#This Row],[Quantity]]&gt;0,(tblVerifyJobs[[#This Row],[Builds]]*tblVerifyJobs[[#This Row],[Setup (min/build)]]+tblVerifyJobs[[#This Row],[Quantity]]*tblVerifyJobs[[#This Row],[Post-processing (min/part)]])/60*$E$35/tblVerifyJobs[[#This Row],[Quantity]],""))</calculatedColumnFormula>
    </tableColumn>
    <tableColumn id="21" name="Failure allowance">
      <calculatedColumnFormula>IF(tblVerifyJobs[[#This Row],[Job]]="","",IFERROR((tblVerifyJobs[[#This Row],[Material cost]]+tblVerifyJobs[[#This Row],[Machine cost]]+tblVerifyJobs[[#This Row],[Labour cost]])*tblVerifyJobs[[#This Row],[Failure rate]]/(1-tblVerifyJobs[[#This Row],[Failure rate]]),""))</calculatedColumnFormula>
    </tableColumn>
    <tableColumn id="22" name="Cost per part">
      <calculatedColumnFormula>IF(tblVerifyJobs[[#This Row],[Job]]="","",IFERROR((tblVerifyJobs[[#This Row],[Material cost]]+tblVerifyJobs[[#This Row],[Machine cost]]+tblVerifyJobs[[#This Row],[Labour cost]])/(1-tblVerifyJobs[[#This Row],[Failure rate]]),""))</calculatedColumnFormula>
    </tableColumn>
    <tableColumn id="23" name="Margin">
      <calculatedColumnFormula>IF(tblVerifyJobs[[#This Row],[Job]]="","",IF(AND(tblVerifyJobs[[#This Row],[Price]]&gt;0,ISNUMBER(tblVerifyJobs[[#This Row],[Cost per part]])),(tblVerifyJobs[[#This Row],[Price]]-tblVerifyJobs[[#This Row],[Cost per part]])/tblVerifyJobs[[#This Row],[Price]],""))</calculatedColumnFormula>
    </tableColumn>
    <tableColumn id="24" name="Margin status">
      <calculatedColumnFormula>IF(NOT(ISNUMBER(tblVerifyJobs[[#This Row],[Margin]])),"",IF(tblVerifyJobs[[#This Row],[Margin]]&gt;=$E$36,"On target",IF(tblVerifyJobs[[#This Row],[Margin]]&gt;=$E$36*(1-0.05),"Near target","Below target")))</calculatedColumnFormula>
    </tableColumn>
    <tableColumn id="25" name="Job cost">
      <calculatedColumnFormula>IF(tblVerifyJobs[[#This Row],[Job]]="","",IFERROR(tblVerifyJobs[[#This Row],[Cost per part]]*tblVerifyJobs[[#This Row],[Quantity]],""))</calculatedColumnFormula>
    </tableColumn>
    <tableColumn id="26" name="Job value">
      <calculatedColumnFormula>IF(tblVerifyJobs[[#This Row],[Job]]="","",IF(tblVerifyJobs[[#This Row],[Price]]&gt;0,tblVerifyJobs[[#This Row],[Price]]*tblVerifyJobs[[#This Row],[Quantity]],""))</calculatedColumnFormula>
    </tableColumn>
    <tableColumn id="27" name="Job margin">
      <calculatedColumnFormula>IF(tblVerifyJobs[[#This Row],[Job]]="","",IF(AND(tblVerifyJobs[[#This Row],[Price]]&gt;0,ISNUMBER(tblVerifyJobs[[#This Row],[Job cost]])),tblVerifyJobs[[#This Row],[Job value]]-tblVerifyJobs[[#This Row],[Job cost]],""))</calculatedColumnFormula>
    </tableColumn>
    <tableColumn id="28" name="Check">
      <calculatedColumnFormula>IF(tblVerifyJobs[[#This Row],[Job]]="","",IF(tblVerifyJobs[[#This Row],[Quantity]]="","Missing quantity",IF(tblVerifyJobs[[#This Row],[Parts per build]]="","Missing parts per build",IF(tblVerifyJobs[[#This Row],[Material used (g/part)]]="","Missing material used",IF(tblVerifyJobs[[#This Row],[Build time (h/build)]]="","Missing build time",IF(tblVerifyJobs[[#This Row],[Machine rate]]="","Printer not on Setup list",IF(tblVerifyJobs[[#This Row],[Cost per g]]="","Material not on Setup list or no price",IF(COUNTIF(tblVerifyJobs[Job],tblVerifyJobs[[#This Row],[Job]])&gt;1,"Duplicate job","OK"))))))))</calculatedColumnFormula>
    </tableColumn>
    <tableColumn id="2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3d-printing-cost" TargetMode="External"/><Relationship Id="rId2" Type="http://schemas.openxmlformats.org/officeDocument/2006/relationships/hyperlink" Target="https://www.mfgcalcs.com/calculators/additive-manufacturing-3d-printing/3d-printed-part-cost?utm_source=mfgcalcs-template&amp;utm_medium=xlsx&amp;utm_campaign=3d-printing-cost" TargetMode="External"/><Relationship Id="rId3" Type="http://schemas.openxmlformats.org/officeDocument/2006/relationships/hyperlink" Target="https://www.mfgcalcs.com/templates/3d-printing-cost?utm_source=mfgcalcs-template&amp;utm_medium=xlsx&amp;utm_campaign=3d-printing-cost" TargetMode="External"/><Relationship Id="rId4" Type="http://schemas.openxmlformats.org/officeDocument/2006/relationships/hyperlink" Target="https://www.mfgcalcs.com/templates?utm_source=mfgcalcs-template&amp;utm_medium=xlsx&amp;utm_campaign=3d-printing-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3d-printing-cos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3d-printing-cost"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3d-printing-co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3d-printing-cost" TargetMode="External"/><Relationship Id="rId2" Type="http://schemas.openxmlformats.org/officeDocument/2006/relationships/hyperlink" Target="https://www.mfgcalcs.com/calculators/additive-manufacturing-3d-printing/3d-printed-part-cost?utm_source=mfgcalcs-template&amp;utm_medium=xlsx&amp;utm_campaign=3d-printing-co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3d-printing-cost"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19 of 19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Print Jobs'!A1" tooltip="Go to Print Jobs" display="Print Job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- 3D Printing Cost Estimator&amp;R&amp;8&amp;A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37"/>
  <sheetViews>
    <sheetView showGridLines="0" workbookViewId="0"/>
  </sheetViews>
  <sheetFormatPr defaultRowHeight="15"/>
  <cols>
    <col min="1" max="1" width="2.7109375" customWidth="1"/>
    <col min="2" max="2" width="30.7109375" customWidth="1"/>
    <col min="3" max="3" width="20.7109375" customWidth="1"/>
    <col min="4" max="5" width="12.7109375" customWidth="1"/>
    <col min="6" max="6" width="14.7109375" customWidth="1"/>
    <col min="7" max="7" width="34.7109375" customWidth="1"/>
  </cols>
  <sheetData>
    <row r="1" spans="1:7" ht="30" customHeight="1">
      <c r="A1" s="1" t="s">
        <v>0</v>
      </c>
      <c r="B1" s="1"/>
      <c r="C1" s="1"/>
      <c r="D1" s="1"/>
      <c r="E1" s="1"/>
      <c r="F1" s="1"/>
      <c r="G1" s="1"/>
    </row>
    <row r="2" spans="1:7" ht="21" customHeight="1">
      <c r="B2" s="2" t="s">
        <v>20</v>
      </c>
      <c r="C2" s="2"/>
      <c r="D2" s="2"/>
      <c r="E2" s="2"/>
      <c r="F2" s="2"/>
      <c r="G2" s="3" t="s">
        <v>2</v>
      </c>
    </row>
    <row r="3" spans="1:7" ht="6" customHeight="1"/>
    <row r="4" spans="1:7" ht="21" customHeight="1">
      <c r="B4" s="8" t="s">
        <v>71</v>
      </c>
      <c r="C4" s="8"/>
      <c r="D4" s="8"/>
      <c r="E4" s="8"/>
      <c r="F4" s="8"/>
      <c r="G4" s="8"/>
    </row>
    <row r="5" spans="1:7" ht="5" customHeight="1"/>
    <row r="6" spans="1:7">
      <c r="B6" s="27" t="s">
        <v>72</v>
      </c>
      <c r="C6" s="28" t="s">
        <v>73</v>
      </c>
      <c r="D6" s="28"/>
    </row>
    <row r="7" spans="1:7">
      <c r="B7" s="27" t="s">
        <v>74</v>
      </c>
      <c r="C7" s="28" t="s">
        <v>75</v>
      </c>
      <c r="D7" s="28"/>
    </row>
    <row r="8" spans="1:7">
      <c r="B8" s="27" t="s">
        <v>76</v>
      </c>
      <c r="C8" s="29">
        <v>38</v>
      </c>
      <c r="D8" s="7" t="str">
        <f>Currency&amp;"/h"</f>
        <v>USD/h</v>
      </c>
    </row>
    <row r="9" spans="1:7">
      <c r="B9" s="27" t="s">
        <v>77</v>
      </c>
      <c r="C9" s="30">
        <v>0.35</v>
      </c>
      <c r="D9" s="7"/>
    </row>
    <row r="11" spans="1:7" ht="35.4" customHeight="1">
      <c r="B11" s="25" t="s">
        <v>78</v>
      </c>
      <c r="C11" s="25"/>
      <c r="D11" s="25"/>
      <c r="E11" s="25"/>
      <c r="F11" s="25"/>
      <c r="G11" s="25"/>
    </row>
    <row r="13" spans="1:7" ht="21" customHeight="1">
      <c r="B13" s="8" t="s">
        <v>79</v>
      </c>
      <c r="C13" s="8"/>
      <c r="D13" s="8"/>
      <c r="E13" s="8"/>
      <c r="F13" s="8"/>
      <c r="G13" s="8"/>
    </row>
    <row r="14" spans="1:7" ht="5" customHeight="1"/>
    <row r="15" spans="1:7" ht="26.76" customHeight="1">
      <c r="B15" s="21" t="s">
        <v>80</v>
      </c>
      <c r="C15" s="21"/>
      <c r="D15" s="21"/>
      <c r="E15" s="21"/>
      <c r="F15" s="21"/>
      <c r="G15" s="21"/>
    </row>
    <row r="16" spans="1:7">
      <c r="B16" s="31" t="s">
        <v>81</v>
      </c>
      <c r="C16" s="31"/>
      <c r="D16" s="31"/>
    </row>
    <row r="17" spans="2:7" ht="14" customHeight="1">
      <c r="B17" s="32"/>
      <c r="C17" s="32"/>
      <c r="D17" s="32" t="str">
        <f>Currency&amp;"/h"</f>
        <v>USD/h</v>
      </c>
    </row>
    <row r="18" spans="2:7" ht="20" customHeight="1">
      <c r="B18" s="33" t="s">
        <v>62</v>
      </c>
      <c r="C18" s="33" t="s">
        <v>63</v>
      </c>
      <c r="D18" s="33" t="s">
        <v>64</v>
      </c>
    </row>
    <row r="19" spans="2:7">
      <c r="B19" s="34" t="s">
        <v>82</v>
      </c>
      <c r="C19" s="28" t="s">
        <v>83</v>
      </c>
      <c r="D19" s="29">
        <v>1.8</v>
      </c>
    </row>
    <row r="20" spans="2:7">
      <c r="B20" s="34" t="s">
        <v>84</v>
      </c>
      <c r="C20" s="28" t="s">
        <v>85</v>
      </c>
      <c r="D20" s="29">
        <v>7.5</v>
      </c>
    </row>
    <row r="21" spans="2:7">
      <c r="B21" s="34" t="s">
        <v>86</v>
      </c>
      <c r="C21" s="28" t="s">
        <v>87</v>
      </c>
      <c r="D21" s="29">
        <v>4.5</v>
      </c>
    </row>
    <row r="22" spans="2:7">
      <c r="B22" s="34" t="s">
        <v>88</v>
      </c>
      <c r="C22" s="28" t="s">
        <v>89</v>
      </c>
      <c r="D22" s="29">
        <v>28</v>
      </c>
    </row>
    <row r="23" spans="2:7">
      <c r="B23" s="34" t="s">
        <v>90</v>
      </c>
      <c r="C23" s="28" t="s">
        <v>91</v>
      </c>
      <c r="D23" s="29">
        <v>95</v>
      </c>
    </row>
    <row r="25" spans="2:7" ht="21" customHeight="1">
      <c r="B25" s="8" t="s">
        <v>92</v>
      </c>
      <c r="C25" s="8"/>
      <c r="D25" s="8"/>
      <c r="E25" s="8"/>
      <c r="F25" s="8"/>
      <c r="G25" s="8"/>
    </row>
    <row r="26" spans="2:7" ht="5" customHeight="1"/>
    <row r="27" spans="2:7" ht="26.76" customHeight="1">
      <c r="B27" s="21" t="s">
        <v>93</v>
      </c>
      <c r="C27" s="21"/>
      <c r="D27" s="21"/>
      <c r="E27" s="21"/>
      <c r="F27" s="21"/>
      <c r="G27" s="21"/>
    </row>
    <row r="28" spans="2:7">
      <c r="B28" s="31" t="s">
        <v>94</v>
      </c>
      <c r="C28" s="31"/>
      <c r="D28" s="31"/>
      <c r="E28" s="31"/>
      <c r="F28" s="31"/>
      <c r="G28" s="31"/>
    </row>
    <row r="29" spans="2:7" ht="14" customHeight="1">
      <c r="B29" s="32"/>
      <c r="C29" s="32" t="str">
        <f>Currency&amp;"/unit"</f>
        <v>USD/unit</v>
      </c>
      <c r="D29" s="32"/>
      <c r="E29" s="32" t="s">
        <v>95</v>
      </c>
      <c r="F29" s="32" t="str">
        <f>Currency&amp;"/g"</f>
        <v>USD/g</v>
      </c>
      <c r="G29" s="32"/>
    </row>
    <row r="30" spans="2:7" ht="20" customHeight="1">
      <c r="B30" s="33" t="s">
        <v>65</v>
      </c>
      <c r="C30" s="33" t="s">
        <v>66</v>
      </c>
      <c r="D30" s="33" t="s">
        <v>67</v>
      </c>
      <c r="E30" s="33" t="s">
        <v>68</v>
      </c>
      <c r="F30" s="33" t="s">
        <v>69</v>
      </c>
      <c r="G30" s="33" t="s">
        <v>70</v>
      </c>
    </row>
    <row r="31" spans="2:7">
      <c r="B31" s="34" t="s">
        <v>96</v>
      </c>
      <c r="C31" s="29">
        <v>22</v>
      </c>
      <c r="D31" s="28" t="s">
        <v>97</v>
      </c>
      <c r="E31" s="29">
        <v>1.24</v>
      </c>
      <c r="F31" s="35">
        <f>IF(tblMaterials[[#This Row],[Price unit]]="kg",tblMaterials[[#This Row],[Price]]/1000,IF(tblMaterials[[#This Row],[Price unit]]="lb",tblMaterials[[#This Row],[Price]]/453.59237,IF(AND(tblMaterials[[#This Row],[Price unit]]="L",tblMaterials[[#This Row],[Density]]&gt;0),tblMaterials[[#This Row],[Price]]/(1000*tblMaterials[[#This Row],[Density]]),"")))</f>
        <v>0.022</v>
      </c>
      <c r="G31" s="36" t="str">
        <f>IF(tblMaterials[[#This Row],[Price]]="","Missing price",IF(tblMaterials[[#This Row],[Price unit]]="","Missing price unit",IF(AND(tblMaterials[[#This Row],[Price unit]]="L",tblMaterials[[#This Row],[Density]]=""),"Density needed for a price per L","OK")))</f>
        <v>OK</v>
      </c>
    </row>
    <row r="32" spans="2:7">
      <c r="B32" s="34" t="s">
        <v>98</v>
      </c>
      <c r="C32" s="29">
        <v>14</v>
      </c>
      <c r="D32" s="28" t="s">
        <v>99</v>
      </c>
      <c r="E32" s="29">
        <v>1.07</v>
      </c>
      <c r="F32" s="35">
        <f>IF(tblMaterials[[#This Row],[Price unit]]="kg",tblMaterials[[#This Row],[Price]]/1000,IF(tblMaterials[[#This Row],[Price unit]]="lb",tblMaterials[[#This Row],[Price]]/453.59237,IF(AND(tblMaterials[[#This Row],[Price unit]]="L",tblMaterials[[#This Row],[Density]]&gt;0),tblMaterials[[#This Row],[Price]]/(1000*tblMaterials[[#This Row],[Density]]),"")))</f>
        <v>0.0308647167058829</v>
      </c>
      <c r="G32" s="36" t="str">
        <f>IF(tblMaterials[[#This Row],[Price]]="","Missing price",IF(tblMaterials[[#This Row],[Price unit]]="","Missing price unit",IF(AND(tblMaterials[[#This Row],[Price unit]]="L",tblMaterials[[#This Row],[Density]]=""),"Density needed for a price per L","OK")))</f>
        <v>OK</v>
      </c>
    </row>
    <row r="33" spans="2:7">
      <c r="B33" s="34" t="s">
        <v>100</v>
      </c>
      <c r="C33" s="29">
        <v>90</v>
      </c>
      <c r="D33" s="28" t="s">
        <v>97</v>
      </c>
      <c r="E33" s="29">
        <v>1.2</v>
      </c>
      <c r="F33" s="35">
        <f>IF(tblMaterials[[#This Row],[Price unit]]="kg",tblMaterials[[#This Row],[Price]]/1000,IF(tblMaterials[[#This Row],[Price unit]]="lb",tblMaterials[[#This Row],[Price]]/453.59237,IF(AND(tblMaterials[[#This Row],[Price unit]]="L",tblMaterials[[#This Row],[Density]]&gt;0),tblMaterials[[#This Row],[Price]]/(1000*tblMaterials[[#This Row],[Density]]),"")))</f>
        <v>0.09</v>
      </c>
      <c r="G33" s="36" t="str">
        <f>IF(tblMaterials[[#This Row],[Price]]="","Missing price",IF(tblMaterials[[#This Row],[Price unit]]="","Missing price unit",IF(AND(tblMaterials[[#This Row],[Price unit]]="L",tblMaterials[[#This Row],[Density]]=""),"Density needed for a price per L","OK")))</f>
        <v>OK</v>
      </c>
    </row>
    <row r="34" spans="2:7">
      <c r="B34" s="34" t="s">
        <v>101</v>
      </c>
      <c r="C34" s="29">
        <v>140</v>
      </c>
      <c r="D34" s="28" t="s">
        <v>102</v>
      </c>
      <c r="E34" s="29">
        <v>1.15</v>
      </c>
      <c r="F34" s="35">
        <f>IF(tblMaterials[[#This Row],[Price unit]]="kg",tblMaterials[[#This Row],[Price]]/1000,IF(tblMaterials[[#This Row],[Price unit]]="lb",tblMaterials[[#This Row],[Price]]/453.59237,IF(AND(tblMaterials[[#This Row],[Price unit]]="L",tblMaterials[[#This Row],[Density]]&gt;0),tblMaterials[[#This Row],[Price]]/(1000*tblMaterials[[#This Row],[Density]]),"")))</f>
        <v>0.121739130434783</v>
      </c>
      <c r="G34" s="36" t="str">
        <f>IF(tblMaterials[[#This Row],[Price]]="","Missing price",IF(tblMaterials[[#This Row],[Price unit]]="","Missing price unit",IF(AND(tblMaterials[[#This Row],[Price unit]]="L",tblMaterials[[#This Row],[Density]]=""),"Density needed for a price per L","OK")))</f>
        <v>OK</v>
      </c>
    </row>
    <row r="35" spans="2:7">
      <c r="B35" s="34" t="s">
        <v>103</v>
      </c>
      <c r="C35" s="29">
        <v>210</v>
      </c>
      <c r="D35" s="28" t="s">
        <v>102</v>
      </c>
      <c r="E35" s="29">
        <v>1.15</v>
      </c>
      <c r="F35" s="35">
        <f>IF(tblMaterials[[#This Row],[Price unit]]="kg",tblMaterials[[#This Row],[Price]]/1000,IF(tblMaterials[[#This Row],[Price unit]]="lb",tblMaterials[[#This Row],[Price]]/453.59237,IF(AND(tblMaterials[[#This Row],[Price unit]]="L",tblMaterials[[#This Row],[Density]]&gt;0),tblMaterials[[#This Row],[Price]]/(1000*tblMaterials[[#This Row],[Density]]),"")))</f>
        <v>0.182608695652174</v>
      </c>
      <c r="G35" s="36" t="str">
        <f>IF(tblMaterials[[#This Row],[Price]]="","Missing price",IF(tblMaterials[[#This Row],[Price unit]]="","Missing price unit",IF(AND(tblMaterials[[#This Row],[Price unit]]="L",tblMaterials[[#This Row],[Density]]=""),"Density needed for a price per L","OK")))</f>
        <v>OK</v>
      </c>
    </row>
    <row r="36" spans="2:7">
      <c r="B36" s="34" t="s">
        <v>104</v>
      </c>
      <c r="C36" s="29">
        <v>75</v>
      </c>
      <c r="D36" s="28" t="s">
        <v>97</v>
      </c>
      <c r="E36" s="29">
        <v>1.01</v>
      </c>
      <c r="F36" s="35">
        <f>IF(tblMaterials[[#This Row],[Price unit]]="kg",tblMaterials[[#This Row],[Price]]/1000,IF(tblMaterials[[#This Row],[Price unit]]="lb",tblMaterials[[#This Row],[Price]]/453.59237,IF(AND(tblMaterials[[#This Row],[Price unit]]="L",tblMaterials[[#This Row],[Density]]&gt;0),tblMaterials[[#This Row],[Price]]/(1000*tblMaterials[[#This Row],[Density]]),"")))</f>
        <v>0.075</v>
      </c>
      <c r="G36" s="36" t="str">
        <f>IF(tblMaterials[[#This Row],[Price]]="","Missing price",IF(tblMaterials[[#This Row],[Price unit]]="","Missing price unit",IF(AND(tblMaterials[[#This Row],[Price unit]]="L",tblMaterials[[#This Row],[Density]]=""),"Density needed for a price per L","OK")))</f>
        <v>OK</v>
      </c>
    </row>
    <row r="37" spans="2:7">
      <c r="B37" s="34" t="s">
        <v>105</v>
      </c>
      <c r="C37" s="29">
        <v>25</v>
      </c>
      <c r="D37" s="28" t="s">
        <v>99</v>
      </c>
      <c r="E37" s="29">
        <v>7.99</v>
      </c>
      <c r="F37" s="35">
        <f>IF(tblMaterials[[#This Row],[Price unit]]="kg",tblMaterials[[#This Row],[Price]]/1000,IF(tblMaterials[[#This Row],[Price unit]]="lb",tblMaterials[[#This Row],[Price]]/453.59237,IF(AND(tblMaterials[[#This Row],[Price unit]]="L",tblMaterials[[#This Row],[Density]]&gt;0),tblMaterials[[#This Row],[Price]]/(1000*tblMaterials[[#This Row],[Density]]),"")))</f>
        <v>0.0551155655462194</v>
      </c>
      <c r="G37" s="36" t="str">
        <f>IF(tblMaterials[[#This Row],[Price]]="","Missing price",IF(tblMaterials[[#This Row],[Price unit]]="","Missing price unit",IF(AND(tblMaterials[[#This Row],[Price unit]]="L",tblMaterials[[#This Row],[Density]]=""),"Density needed for a price per L","OK")))</f>
        <v>OK</v>
      </c>
    </row>
  </sheetData>
  <mergeCells count="12">
    <mergeCell ref="A1:G1"/>
    <mergeCell ref="B2:F2"/>
    <mergeCell ref="B4:G4"/>
    <mergeCell ref="C6:D6"/>
    <mergeCell ref="C7:D7"/>
    <mergeCell ref="B11:G11"/>
    <mergeCell ref="B13:G13"/>
    <mergeCell ref="B15:G15"/>
    <mergeCell ref="B16:D16"/>
    <mergeCell ref="B25:G25"/>
    <mergeCell ref="B27:G27"/>
    <mergeCell ref="B28:G28"/>
  </mergeCells>
  <conditionalFormatting sqref="G31:G137">
    <cfRule type="expression" dxfId="3" priority="1">
      <formula>$G31="OK"</formula>
    </cfRule>
    <cfRule type="expression" dxfId="1" priority="2">
      <formula>AND($G31&lt;&gt;"",$G31&lt;&gt;"OK")</formula>
    </cfRule>
  </conditionalFormatting>
  <dataValidations count="11">
    <dataValidation type="textLength" allowBlank="1" showInputMessage="1" showErrorMessage="1" errorTitle="Check this entry" error="Text up to 80 characters." promptTitle="Company or lab"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EUR, GBP, INR, SGD. No exchange rate is applied. Text up to 12 characters." sqref="C7">
      <formula1>0</formula1>
      <formula2>12</formula2>
    </dataValidation>
    <dataValidation type="decimal" allowBlank="1" showInputMessage="1" showErrorMessage="1" errorTitle="Check this entry" error="Enter a number from 0 to 10,000." promptTitle="Technician labour rate, loaded" prompt="Wage plus payroll taxes and benefits per worked hour. Charged on setup and post-processing minutes. Enter a number from 0 to 10,000." sqref="C8">
      <formula1>0</formula1>
      <formula2>10000</formula2>
    </dataValidation>
    <dataValidation type="decimal" allowBlank="1" showInputMessage="1" showErrorMessage="1" errorTitle="Check this entry" error="Enter a percentage from 0% to 95% (type 85% or 0.85)." promptTitle="Target margin on price" prompt="Your own target: margin = (price - cost per part) / price. No industry benchmark is assumed. Enter a percentage from 0% to 95% (type 85% or 0.85)." sqref="C9">
      <formula1>0</formula1>
      <formula2>0.95</formula2>
    </dataValidation>
    <dataValidation type="textLength" allowBlank="1" showInputMessage="1" showErrorMessage="1" errorTitle="Check this entry" error="Text up to 40 characters." promptTitle="Printer" prompt="Text up to 40 characters." sqref="B19:B123">
      <formula1>0</formula1>
      <formula2>40</formula2>
    </dataValidation>
    <dataValidation type="textLength" allowBlank="1" showInputMessage="1" showErrorMessage="1" errorTitle="Check this entry" error="Text up to 40 characters." promptTitle="Technology" prompt="Text up to 40 characters." sqref="C19:C123">
      <formula1>0</formula1>
      <formula2>40</formula2>
    </dataValidation>
    <dataValidation type="decimal" allowBlank="1" showInputMessage="1" showErrorMessage="1" errorTitle="Check this entry" error="Enter a number from 0 to 100,000." promptTitle="Machine rate" prompt="Cost of one print hour without the technician. Enter a number from 0 to 100,000." sqref="D19:D123">
      <formula1>0</formula1>
      <formula2>100000</formula2>
    </dataValidation>
    <dataValidation type="textLength" allowBlank="1" showInputMessage="1" showErrorMessage="1" errorTitle="Check this entry" error="Text up to 40 characters." promptTitle="Material" prompt="Text up to 40 characters." sqref="B31:B137">
      <formula1>0</formula1>
      <formula2>40</formula2>
    </dataValidation>
    <dataValidation type="decimal" allowBlank="1" showInputMessage="1" showErrorMessage="1" errorTitle="Check this entry" error="Enter a number from 0 to 1,000,000." promptTitle="Price" prompt="Price per kg, per lb or per L, as chosen in Price unit. Enter a number from 0 to 1,000,000." sqref="C31:C137">
      <formula1>0</formula1>
      <formula2>1000000.0</formula2>
    </dataValidation>
    <dataValidation type="list" allowBlank="1" showInputMessage="1" showErrorMessage="1" errorTitle="Check this entry" error="Pick one of: kg, lb, L." promptTitle="Price unit" prompt="kg, lb or L (litre, for resins). Pick one of: kg, lb, L." sqref="D31:D137">
      <formula1>"kg,lb,L"</formula1>
    </dataValidation>
    <dataValidation type="decimal" allowBlank="1" showInputMessage="1" showErrorMessage="1" errorTitle="Check this entry" error="Enter a number from 0.1 to 25." promptTitle="Density" prompt="Needed only for a price per L: grams per cm3 (= g/mL) from the datasheet. Enter a number from 0.1 to 25." sqref="E31:E137">
      <formula1>0.1</formula1>
      <formula2>25</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- 3D Printing Cost Estimator&amp;R&amp;8&amp;A</oddHeader>
    <oddFooter>&amp;L&amp;8mfgcalcs.com - free manufacturing templates&amp;R&amp;8Page &amp;P of &amp;N</oddFooter>
  </headerFooter>
  <rowBreaks count="1" manualBreakCount="1">
    <brk id="27"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AD18"/>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8.7109375" customWidth="1"/>
    <col min="3" max="3" width="18.7109375" customWidth="1"/>
    <col min="4" max="5" width="15.7109375" customWidth="1"/>
    <col min="6" max="6" width="8.7109375" customWidth="1"/>
    <col min="7" max="7" width="8.28515625" customWidth="1"/>
    <col min="8" max="8" width="9.7109375" customWidth="1"/>
    <col min="9" max="11" width="8.7109375" customWidth="1"/>
    <col min="12" max="12" width="10.28515625" customWidth="1"/>
    <col min="13" max="13" width="8.28515625" customWidth="1"/>
    <col min="14" max="14" width="9.28515625" customWidth="1"/>
    <col min="15" max="15" width="7.7109375" customWidth="1"/>
    <col min="16" max="18" width="8.7109375" customWidth="1"/>
    <col min="19" max="22" width="9.28515625" customWidth="1"/>
    <col min="23" max="23" width="9.7109375" customWidth="1"/>
    <col min="24" max="24" width="8.7109375" customWidth="1"/>
    <col min="25" max="25" width="11.7109375" customWidth="1"/>
    <col min="26" max="28" width="9.7109375" customWidth="1"/>
    <col min="29" max="30" width="22.7109375" customWidth="1"/>
  </cols>
  <sheetData>
    <row r="1" spans="1:30"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c r="B2" s="2" t="s">
        <v>22</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row r="4" spans="1:30" ht="18" customHeight="1">
      <c r="B4" s="37" t="s">
        <v>129</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row>
    <row r="5" spans="1:30" ht="14" customHeight="1">
      <c r="B5" s="32"/>
      <c r="C5" s="32"/>
      <c r="D5" s="32"/>
      <c r="E5" s="32"/>
      <c r="F5" s="32" t="s">
        <v>130</v>
      </c>
      <c r="G5" s="32" t="s">
        <v>130</v>
      </c>
      <c r="H5" s="32" t="s">
        <v>131</v>
      </c>
      <c r="I5" s="32" t="s">
        <v>132</v>
      </c>
      <c r="J5" s="32" t="s">
        <v>133</v>
      </c>
      <c r="K5" s="32" t="s">
        <v>134</v>
      </c>
      <c r="L5" s="32" t="s">
        <v>134</v>
      </c>
      <c r="M5" s="32" t="s">
        <v>132</v>
      </c>
      <c r="N5" s="32" t="str">
        <f>Currency&amp;"/part"</f>
        <v>USD/part</v>
      </c>
      <c r="O5" s="32" t="s">
        <v>135</v>
      </c>
      <c r="P5" s="32" t="s">
        <v>133</v>
      </c>
      <c r="Q5" s="32" t="str">
        <f>Currency&amp;"/g"</f>
        <v>USD/g</v>
      </c>
      <c r="R5" s="32" t="str">
        <f>Currency&amp;"/h"</f>
        <v>USD/h</v>
      </c>
      <c r="S5" s="32" t="str">
        <f>Currency&amp;"/part"</f>
        <v>USD/part</v>
      </c>
      <c r="T5" s="32" t="str">
        <f>Currency&amp;"/part"</f>
        <v>USD/part</v>
      </c>
      <c r="U5" s="32" t="str">
        <f>Currency&amp;"/part"</f>
        <v>USD/part</v>
      </c>
      <c r="V5" s="32" t="str">
        <f>Currency&amp;"/part"</f>
        <v>USD/part</v>
      </c>
      <c r="W5" s="32" t="str">
        <f>Currency&amp;"/good part"</f>
        <v>USD/good part</v>
      </c>
      <c r="X5" s="32" t="s">
        <v>136</v>
      </c>
      <c r="Y5" s="32"/>
      <c r="Z5" s="32" t="str">
        <f>Currency&amp;"/job"</f>
        <v>USD/job</v>
      </c>
      <c r="AA5" s="32" t="str">
        <f>Currency&amp;"/job"</f>
        <v>USD/job</v>
      </c>
      <c r="AB5" s="32" t="str">
        <f>Currency&amp;"/job"</f>
        <v>USD/job</v>
      </c>
      <c r="AC5" s="32"/>
      <c r="AD5" s="32"/>
    </row>
    <row r="6" spans="1:30" ht="45.5" customHeight="1">
      <c r="B6" s="33" t="s">
        <v>106</v>
      </c>
      <c r="C6" s="33" t="s">
        <v>107</v>
      </c>
      <c r="D6" s="33" t="s">
        <v>62</v>
      </c>
      <c r="E6" s="33" t="s">
        <v>65</v>
      </c>
      <c r="F6" s="33" t="s">
        <v>108</v>
      </c>
      <c r="G6" s="33" t="s">
        <v>109</v>
      </c>
      <c r="H6" s="33" t="s">
        <v>110</v>
      </c>
      <c r="I6" s="33" t="s">
        <v>111</v>
      </c>
      <c r="J6" s="33" t="s">
        <v>112</v>
      </c>
      <c r="K6" s="33" t="s">
        <v>113</v>
      </c>
      <c r="L6" s="33" t="s">
        <v>114</v>
      </c>
      <c r="M6" s="33" t="s">
        <v>115</v>
      </c>
      <c r="N6" s="33" t="s">
        <v>66</v>
      </c>
      <c r="O6" s="33" t="s">
        <v>116</v>
      </c>
      <c r="P6" s="33" t="s">
        <v>117</v>
      </c>
      <c r="Q6" s="33" t="s">
        <v>69</v>
      </c>
      <c r="R6" s="33" t="s">
        <v>64</v>
      </c>
      <c r="S6" s="33" t="s">
        <v>118</v>
      </c>
      <c r="T6" s="33" t="s">
        <v>119</v>
      </c>
      <c r="U6" s="33" t="s">
        <v>120</v>
      </c>
      <c r="V6" s="33" t="s">
        <v>121</v>
      </c>
      <c r="W6" s="33" t="s">
        <v>122</v>
      </c>
      <c r="X6" s="33" t="s">
        <v>123</v>
      </c>
      <c r="Y6" s="33" t="s">
        <v>124</v>
      </c>
      <c r="Z6" s="33" t="s">
        <v>125</v>
      </c>
      <c r="AA6" s="33" t="s">
        <v>126</v>
      </c>
      <c r="AB6" s="33" t="s">
        <v>127</v>
      </c>
      <c r="AC6" s="33" t="s">
        <v>70</v>
      </c>
      <c r="AD6" s="33" t="s">
        <v>128</v>
      </c>
    </row>
    <row r="7" spans="1:30">
      <c r="B7" s="28" t="s">
        <v>137</v>
      </c>
      <c r="C7" s="28" t="s">
        <v>138</v>
      </c>
      <c r="D7" s="28" t="s">
        <v>84</v>
      </c>
      <c r="E7" s="28" t="s">
        <v>98</v>
      </c>
      <c r="F7" s="38">
        <v>40</v>
      </c>
      <c r="G7" s="38">
        <v>10</v>
      </c>
      <c r="H7" s="39">
        <v>38</v>
      </c>
      <c r="I7" s="30">
        <v>0.06</v>
      </c>
      <c r="J7" s="39">
        <v>9.5</v>
      </c>
      <c r="K7" s="38">
        <v>20</v>
      </c>
      <c r="L7" s="39">
        <v>6</v>
      </c>
      <c r="M7" s="30">
        <v>0.04</v>
      </c>
      <c r="N7" s="29">
        <v>22</v>
      </c>
      <c r="O7" s="40">
        <f>IF(tblJobs[[#This Row],[Job]]="","",IF(tblJobs[[#This Row],[Parts per build]]&gt;0,ROUNDUP(tblJobs[[#This Row],[Quantity]]/tblJobs[[#This Row],[Parts per build]],0),""))</f>
        <v>4</v>
      </c>
      <c r="P7" s="41">
        <f>IF(tblJobs[[#This Row],[Job]]="","",tblJobs[[#This Row],[Builds]]*tblJobs[[#This Row],[Build time (h/build)]])</f>
        <v>38</v>
      </c>
      <c r="Q7" s="35">
        <f>IF(tblJobs[[#This Row],[Job]]="","",IFERROR(INDEX(tblMaterials[Cost per g],MATCH(tblJobs[[#This Row],[Material]],tblMaterials[Material],0)),""))</f>
        <v>0.0308647167058829</v>
      </c>
      <c r="R7" s="42">
        <f>IF(tblJobs[[#This Row],[Job]]="","",IFERROR(INDEX(tblPrinters[Machine rate],MATCH(tblJobs[[#This Row],[Printer]],tblPrinters[Printer],0)),""))</f>
        <v>7.5</v>
      </c>
      <c r="S7" s="42">
        <f>IF(tblJobs[[#This Row],[Job]]="","",IF(tblJobs[[#This Row],[Cost per g]]="","",tblJobs[[#This Row],[Material used (g/part)]]*(1+tblJobs[[#This Row],[Waste and refresh]])*tblJobs[[#This Row],[Cost per g]]))</f>
        <v>1.24323078891296</v>
      </c>
      <c r="T7" s="42">
        <f>IF(tblJobs[[#This Row],[Job]]="","",IF(OR(tblJobs[[#This Row],[Machine rate]]="",tblJobs[[#This Row],[Quantity]]=0),"",tblJobs[[#This Row],[Machine hours]]*tblJobs[[#This Row],[Machine rate]]/tblJobs[[#This Row],[Quantity]]))</f>
        <v>7.125</v>
      </c>
      <c r="U7" s="42">
        <f>IF(tblJobs[[#This Row],[Job]]="","",IF(tblJobs[[#This Row],[Quantity]]&gt;0,(tblJobs[[#This Row],[Builds]]*tblJobs[[#This Row],[Setup (min/build)]]+tblJobs[[#This Row],[Quantity]]*tblJobs[[#This Row],[Post-processing (min/part)]])/60*LabourRate/tblJobs[[#This Row],[Quantity]],""))</f>
        <v>5.06666666666667</v>
      </c>
      <c r="V7" s="42">
        <f>IF(tblJobs[[#This Row],[Job]]="","",IFERROR((tblJobs[[#This Row],[Material cost]]+tblJobs[[#This Row],[Machine cost]]+tblJobs[[#This Row],[Labour cost]])*tblJobs[[#This Row],[Failure rate]]/(1-tblJobs[[#This Row],[Failure rate]]),""))</f>
        <v>0.559787393982485</v>
      </c>
      <c r="W7" s="43">
        <f>IF(tblJobs[[#This Row],[Job]]="","",IFERROR((tblJobs[[#This Row],[Material cost]]+tblJobs[[#This Row],[Machine cost]]+tblJobs[[#This Row],[Labour cost]])/(1-tblJobs[[#This Row],[Failure rate]]),""))</f>
        <v>13.9946848495621</v>
      </c>
      <c r="X7" s="44">
        <f>IF(tblJobs[[#This Row],[Job]]="","",IF(AND(tblJobs[[#This Row],[Price]]&gt;0,ISNUMBER(tblJobs[[#This Row],[Cost per part]])),(tblJobs[[#This Row],[Price]]-tblJobs[[#This Row],[Cost per part]])/tblJobs[[#This Row],[Price]],""))</f>
        <v>0.36387796138354</v>
      </c>
      <c r="Y7" s="45" t="str">
        <f>IF(NOT(ISNUMBER(tblJobs[[#This Row],[Margin]])),"",IF(tblJobs[[#This Row],[Margin]]&gt;=TargetMargin,"On target",IF(tblJobs[[#This Row],[Margin]]&gt;=TargetMargin*(1-0.05),"Near target","Below target")))</f>
        <v>On target</v>
      </c>
      <c r="Z7" s="42">
        <f>IF(tblJobs[[#This Row],[Job]]="","",IFERROR(tblJobs[[#This Row],[Cost per part]]*tblJobs[[#This Row],[Quantity]],""))</f>
        <v>559.787393982485</v>
      </c>
      <c r="AA7" s="42">
        <f>IF(tblJobs[[#This Row],[Job]]="","",IF(tblJobs[[#This Row],[Price]]&gt;0,tblJobs[[#This Row],[Price]]*tblJobs[[#This Row],[Quantity]],""))</f>
        <v>880</v>
      </c>
      <c r="AB7" s="42">
        <f>IF(tblJobs[[#This Row],[Job]]="","",IF(AND(tblJobs[[#This Row],[Price]]&gt;0,ISNUMBER(tblJobs[[#This Row],[Job cost]])),tblJobs[[#This Row],[Job value]]-tblJobs[[#This Row],[Job cost]],""))</f>
        <v>320.212606017515</v>
      </c>
      <c r="AC7"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7" s="28" t="s">
        <v>139</v>
      </c>
    </row>
    <row r="8" spans="1:30">
      <c r="B8" s="28" t="s">
        <v>140</v>
      </c>
      <c r="C8" s="28" t="s">
        <v>141</v>
      </c>
      <c r="D8" s="28" t="s">
        <v>84</v>
      </c>
      <c r="E8" s="28" t="s">
        <v>100</v>
      </c>
      <c r="F8" s="38">
        <v>6</v>
      </c>
      <c r="G8" s="38">
        <v>2</v>
      </c>
      <c r="H8" s="39">
        <v>145</v>
      </c>
      <c r="I8" s="30">
        <v>0.05</v>
      </c>
      <c r="J8" s="39">
        <v>14</v>
      </c>
      <c r="K8" s="38">
        <v>25</v>
      </c>
      <c r="L8" s="39">
        <v>10</v>
      </c>
      <c r="M8" s="30">
        <v>0.06</v>
      </c>
      <c r="N8" s="29">
        <v>135</v>
      </c>
      <c r="O8" s="40">
        <f>IF(tblJobs[[#This Row],[Job]]="","",IF(tblJobs[[#This Row],[Parts per build]]&gt;0,ROUNDUP(tblJobs[[#This Row],[Quantity]]/tblJobs[[#This Row],[Parts per build]],0),""))</f>
        <v>3</v>
      </c>
      <c r="P8" s="41">
        <f>IF(tblJobs[[#This Row],[Job]]="","",tblJobs[[#This Row],[Builds]]*tblJobs[[#This Row],[Build time (h/build)]])</f>
        <v>42</v>
      </c>
      <c r="Q8" s="35">
        <f>IF(tblJobs[[#This Row],[Job]]="","",IFERROR(INDEX(tblMaterials[Cost per g],MATCH(tblJobs[[#This Row],[Material]],tblMaterials[Material],0)),""))</f>
        <v>0.09</v>
      </c>
      <c r="R8" s="42">
        <f>IF(tblJobs[[#This Row],[Job]]="","",IFERROR(INDEX(tblPrinters[Machine rate],MATCH(tblJobs[[#This Row],[Printer]],tblPrinters[Printer],0)),""))</f>
        <v>7.5</v>
      </c>
      <c r="S8" s="42">
        <f>IF(tblJobs[[#This Row],[Job]]="","",IF(tblJobs[[#This Row],[Cost per g]]="","",tblJobs[[#This Row],[Material used (g/part)]]*(1+tblJobs[[#This Row],[Waste and refresh]])*tblJobs[[#This Row],[Cost per g]]))</f>
        <v>13.7025</v>
      </c>
      <c r="T8" s="42">
        <f>IF(tblJobs[[#This Row],[Job]]="","",IF(OR(tblJobs[[#This Row],[Machine rate]]="",tblJobs[[#This Row],[Quantity]]=0),"",tblJobs[[#This Row],[Machine hours]]*tblJobs[[#This Row],[Machine rate]]/tblJobs[[#This Row],[Quantity]]))</f>
        <v>52.5</v>
      </c>
      <c r="U8" s="42">
        <f>IF(tblJobs[[#This Row],[Job]]="","",IF(tblJobs[[#This Row],[Quantity]]&gt;0,(tblJobs[[#This Row],[Builds]]*tblJobs[[#This Row],[Setup (min/build)]]+tblJobs[[#This Row],[Quantity]]*tblJobs[[#This Row],[Post-processing (min/part)]])/60*LabourRate/tblJobs[[#This Row],[Quantity]],""))</f>
        <v>14.25</v>
      </c>
      <c r="V8" s="42">
        <f>IF(tblJobs[[#This Row],[Job]]="","",IFERROR((tblJobs[[#This Row],[Material cost]]+tblJobs[[#This Row],[Machine cost]]+tblJobs[[#This Row],[Labour cost]])*tblJobs[[#This Row],[Failure rate]]/(1-tblJobs[[#This Row],[Failure rate]]),""))</f>
        <v>5.13526595744681</v>
      </c>
      <c r="W8" s="43">
        <f>IF(tblJobs[[#This Row],[Job]]="","",IFERROR((tblJobs[[#This Row],[Material cost]]+tblJobs[[#This Row],[Machine cost]]+tblJobs[[#This Row],[Labour cost]])/(1-tblJobs[[#This Row],[Failure rate]]),""))</f>
        <v>85.5877659574468</v>
      </c>
      <c r="X8" s="44">
        <f>IF(tblJobs[[#This Row],[Job]]="","",IF(AND(tblJobs[[#This Row],[Price]]&gt;0,ISNUMBER(tblJobs[[#This Row],[Cost per part]])),(tblJobs[[#This Row],[Price]]-tblJobs[[#This Row],[Cost per part]])/tblJobs[[#This Row],[Price]],""))</f>
        <v>0.366016548463357</v>
      </c>
      <c r="Y8" s="45" t="str">
        <f>IF(NOT(ISNUMBER(tblJobs[[#This Row],[Margin]])),"",IF(tblJobs[[#This Row],[Margin]]&gt;=TargetMargin,"On target",IF(tblJobs[[#This Row],[Margin]]&gt;=TargetMargin*(1-0.05),"Near target","Below target")))</f>
        <v>On target</v>
      </c>
      <c r="Z8" s="42">
        <f>IF(tblJobs[[#This Row],[Job]]="","",IFERROR(tblJobs[[#This Row],[Cost per part]]*tblJobs[[#This Row],[Quantity]],""))</f>
        <v>513.526595744681</v>
      </c>
      <c r="AA8" s="42">
        <f>IF(tblJobs[[#This Row],[Job]]="","",IF(tblJobs[[#This Row],[Price]]&gt;0,tblJobs[[#This Row],[Price]]*tblJobs[[#This Row],[Quantity]],""))</f>
        <v>810</v>
      </c>
      <c r="AB8" s="42">
        <f>IF(tblJobs[[#This Row],[Job]]="","",IF(AND(tblJobs[[#This Row],[Price]]&gt;0,ISNUMBER(tblJobs[[#This Row],[Job cost]])),tblJobs[[#This Row],[Job value]]-tblJobs[[#This Row],[Job cost]],""))</f>
        <v>296.473404255319</v>
      </c>
      <c r="AC8"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8" s="28" t="s">
        <v>139</v>
      </c>
    </row>
    <row r="9" spans="1:30">
      <c r="B9" s="28" t="s">
        <v>142</v>
      </c>
      <c r="C9" s="28" t="s">
        <v>143</v>
      </c>
      <c r="D9" s="28" t="s">
        <v>82</v>
      </c>
      <c r="E9" s="28" t="s">
        <v>96</v>
      </c>
      <c r="F9" s="38">
        <v>500</v>
      </c>
      <c r="G9" s="38">
        <v>50</v>
      </c>
      <c r="H9" s="39">
        <v>4.2</v>
      </c>
      <c r="I9" s="30">
        <v>0.08</v>
      </c>
      <c r="J9" s="39">
        <v>6.5</v>
      </c>
      <c r="K9" s="38">
        <v>10</v>
      </c>
      <c r="L9" s="39">
        <v>0.5</v>
      </c>
      <c r="M9" s="30">
        <v>0.03</v>
      </c>
      <c r="N9" s="29">
        <v>1.25</v>
      </c>
      <c r="O9" s="40">
        <f>IF(tblJobs[[#This Row],[Job]]="","",IF(tblJobs[[#This Row],[Parts per build]]&gt;0,ROUNDUP(tblJobs[[#This Row],[Quantity]]/tblJobs[[#This Row],[Parts per build]],0),""))</f>
        <v>10</v>
      </c>
      <c r="P9" s="41">
        <f>IF(tblJobs[[#This Row],[Job]]="","",tblJobs[[#This Row],[Builds]]*tblJobs[[#This Row],[Build time (h/build)]])</f>
        <v>65</v>
      </c>
      <c r="Q9" s="35">
        <f>IF(tblJobs[[#This Row],[Job]]="","",IFERROR(INDEX(tblMaterials[Cost per g],MATCH(tblJobs[[#This Row],[Material]],tblMaterials[Material],0)),""))</f>
        <v>0.022</v>
      </c>
      <c r="R9" s="42">
        <f>IF(tblJobs[[#This Row],[Job]]="","",IFERROR(INDEX(tblPrinters[Machine rate],MATCH(tblJobs[[#This Row],[Printer]],tblPrinters[Printer],0)),""))</f>
        <v>1.8</v>
      </c>
      <c r="S9" s="42">
        <f>IF(tblJobs[[#This Row],[Job]]="","",IF(tblJobs[[#This Row],[Cost per g]]="","",tblJobs[[#This Row],[Material used (g/part)]]*(1+tblJobs[[#This Row],[Waste and refresh]])*tblJobs[[#This Row],[Cost per g]]))</f>
        <v>0.099792</v>
      </c>
      <c r="T9" s="42">
        <f>IF(tblJobs[[#This Row],[Job]]="","",IF(OR(tblJobs[[#This Row],[Machine rate]]="",tblJobs[[#This Row],[Quantity]]=0),"",tblJobs[[#This Row],[Machine hours]]*tblJobs[[#This Row],[Machine rate]]/tblJobs[[#This Row],[Quantity]]))</f>
        <v>0.234</v>
      </c>
      <c r="U9" s="42">
        <f>IF(tblJobs[[#This Row],[Job]]="","",IF(tblJobs[[#This Row],[Quantity]]&gt;0,(tblJobs[[#This Row],[Builds]]*tblJobs[[#This Row],[Setup (min/build)]]+tblJobs[[#This Row],[Quantity]]*tblJobs[[#This Row],[Post-processing (min/part)]])/60*LabourRate/tblJobs[[#This Row],[Quantity]],""))</f>
        <v>0.443333333333333</v>
      </c>
      <c r="V9" s="42">
        <f>IF(tblJobs[[#This Row],[Job]]="","",IFERROR((tblJobs[[#This Row],[Material cost]]+tblJobs[[#This Row],[Machine cost]]+tblJobs[[#This Row],[Labour cost]])*tblJobs[[#This Row],[Failure rate]]/(1-tblJobs[[#This Row],[Failure rate]]),""))</f>
        <v>0.0240348041237113</v>
      </c>
      <c r="W9" s="43">
        <f>IF(tblJobs[[#This Row],[Job]]="","",IFERROR((tblJobs[[#This Row],[Material cost]]+tblJobs[[#This Row],[Machine cost]]+tblJobs[[#This Row],[Labour cost]])/(1-tblJobs[[#This Row],[Failure rate]]),""))</f>
        <v>0.801160137457045</v>
      </c>
      <c r="X9" s="44">
        <f>IF(tblJobs[[#This Row],[Job]]="","",IF(AND(tblJobs[[#This Row],[Price]]&gt;0,ISNUMBER(tblJobs[[#This Row],[Cost per part]])),(tblJobs[[#This Row],[Price]]-tblJobs[[#This Row],[Cost per part]])/tblJobs[[#This Row],[Price]],""))</f>
        <v>0.359071890034364</v>
      </c>
      <c r="Y9" s="45" t="str">
        <f>IF(NOT(ISNUMBER(tblJobs[[#This Row],[Margin]])),"",IF(tblJobs[[#This Row],[Margin]]&gt;=TargetMargin,"On target",IF(tblJobs[[#This Row],[Margin]]&gt;=TargetMargin*(1-0.05),"Near target","Below target")))</f>
        <v>On target</v>
      </c>
      <c r="Z9" s="42">
        <f>IF(tblJobs[[#This Row],[Job]]="","",IFERROR(tblJobs[[#This Row],[Cost per part]]*tblJobs[[#This Row],[Quantity]],""))</f>
        <v>400.580068728522</v>
      </c>
      <c r="AA9" s="42">
        <f>IF(tblJobs[[#This Row],[Job]]="","",IF(tblJobs[[#This Row],[Price]]&gt;0,tblJobs[[#This Row],[Price]]*tblJobs[[#This Row],[Quantity]],""))</f>
        <v>625</v>
      </c>
      <c r="AB9" s="42">
        <f>IF(tblJobs[[#This Row],[Job]]="","",IF(AND(tblJobs[[#This Row],[Price]]&gt;0,ISNUMBER(tblJobs[[#This Row],[Job cost]])),tblJobs[[#This Row],[Job value]]-tblJobs[[#This Row],[Job cost]],""))</f>
        <v>224.419931271478</v>
      </c>
      <c r="AC9"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9" s="28" t="s">
        <v>139</v>
      </c>
    </row>
    <row r="10" spans="1:30">
      <c r="B10" s="28" t="s">
        <v>144</v>
      </c>
      <c r="C10" s="28" t="s">
        <v>145</v>
      </c>
      <c r="D10" s="28" t="s">
        <v>86</v>
      </c>
      <c r="E10" s="28" t="s">
        <v>101</v>
      </c>
      <c r="F10" s="38">
        <v>24</v>
      </c>
      <c r="G10" s="38">
        <v>8</v>
      </c>
      <c r="H10" s="39">
        <v>32</v>
      </c>
      <c r="I10" s="30">
        <v>0.1</v>
      </c>
      <c r="J10" s="39">
        <v>7</v>
      </c>
      <c r="K10" s="38">
        <v>15</v>
      </c>
      <c r="L10" s="39">
        <v>12</v>
      </c>
      <c r="M10" s="30">
        <v>0.05</v>
      </c>
      <c r="N10" s="29">
        <v>28</v>
      </c>
      <c r="O10" s="40">
        <f>IF(tblJobs[[#This Row],[Job]]="","",IF(tblJobs[[#This Row],[Parts per build]]&gt;0,ROUNDUP(tblJobs[[#This Row],[Quantity]]/tblJobs[[#This Row],[Parts per build]],0),""))</f>
        <v>3</v>
      </c>
      <c r="P10" s="41">
        <f>IF(tblJobs[[#This Row],[Job]]="","",tblJobs[[#This Row],[Builds]]*tblJobs[[#This Row],[Build time (h/build)]])</f>
        <v>21</v>
      </c>
      <c r="Q10" s="35">
        <f>IF(tblJobs[[#This Row],[Job]]="","",IFERROR(INDEX(tblMaterials[Cost per g],MATCH(tblJobs[[#This Row],[Material]],tblMaterials[Material],0)),""))</f>
        <v>0.121739130434783</v>
      </c>
      <c r="R10" s="42">
        <f>IF(tblJobs[[#This Row],[Job]]="","",IFERROR(INDEX(tblPrinters[Machine rate],MATCH(tblJobs[[#This Row],[Printer]],tblPrinters[Printer],0)),""))</f>
        <v>4.5</v>
      </c>
      <c r="S10" s="42">
        <f>IF(tblJobs[[#This Row],[Job]]="","",IF(tblJobs[[#This Row],[Cost per g]]="","",tblJobs[[#This Row],[Material used (g/part)]]*(1+tblJobs[[#This Row],[Waste and refresh]])*tblJobs[[#This Row],[Cost per g]]))</f>
        <v>4.28521739130435</v>
      </c>
      <c r="T10" s="42">
        <f>IF(tblJobs[[#This Row],[Job]]="","",IF(OR(tblJobs[[#This Row],[Machine rate]]="",tblJobs[[#This Row],[Quantity]]=0),"",tblJobs[[#This Row],[Machine hours]]*tblJobs[[#This Row],[Machine rate]]/tblJobs[[#This Row],[Quantity]]))</f>
        <v>3.9375</v>
      </c>
      <c r="U10" s="42">
        <f>IF(tblJobs[[#This Row],[Job]]="","",IF(tblJobs[[#This Row],[Quantity]]&gt;0,(tblJobs[[#This Row],[Builds]]*tblJobs[[#This Row],[Setup (min/build)]]+tblJobs[[#This Row],[Quantity]]*tblJobs[[#This Row],[Post-processing (min/part)]])/60*LabourRate/tblJobs[[#This Row],[Quantity]],""))</f>
        <v>8.7875</v>
      </c>
      <c r="V10" s="42">
        <f>IF(tblJobs[[#This Row],[Job]]="","",IFERROR((tblJobs[[#This Row],[Material cost]]+tblJobs[[#This Row],[Machine cost]]+tblJobs[[#This Row],[Labour cost]])*tblJobs[[#This Row],[Failure rate]]/(1-tblJobs[[#This Row],[Failure rate]]),""))</f>
        <v>0.895274599542334</v>
      </c>
      <c r="W10" s="43">
        <f>IF(tblJobs[[#This Row],[Job]]="","",IFERROR((tblJobs[[#This Row],[Material cost]]+tblJobs[[#This Row],[Machine cost]]+tblJobs[[#This Row],[Labour cost]])/(1-tblJobs[[#This Row],[Failure rate]]),""))</f>
        <v>17.9054919908467</v>
      </c>
      <c r="X10" s="44">
        <f>IF(tblJobs[[#This Row],[Job]]="","",IF(AND(tblJobs[[#This Row],[Price]]&gt;0,ISNUMBER(tblJobs[[#This Row],[Cost per part]])),(tblJobs[[#This Row],[Price]]-tblJobs[[#This Row],[Cost per part]])/tblJobs[[#This Row],[Price]],""))</f>
        <v>0.360518143184047</v>
      </c>
      <c r="Y10" s="45" t="str">
        <f>IF(NOT(ISNUMBER(tblJobs[[#This Row],[Margin]])),"",IF(tblJobs[[#This Row],[Margin]]&gt;=TargetMargin,"On target",IF(tblJobs[[#This Row],[Margin]]&gt;=TargetMargin*(1-0.05),"Near target","Below target")))</f>
        <v>On target</v>
      </c>
      <c r="Z10" s="42">
        <f>IF(tblJobs[[#This Row],[Job]]="","",IFERROR(tblJobs[[#This Row],[Cost per part]]*tblJobs[[#This Row],[Quantity]],""))</f>
        <v>429.73180778032</v>
      </c>
      <c r="AA10" s="42">
        <f>IF(tblJobs[[#This Row],[Job]]="","",IF(tblJobs[[#This Row],[Price]]&gt;0,tblJobs[[#This Row],[Price]]*tblJobs[[#This Row],[Quantity]],""))</f>
        <v>672</v>
      </c>
      <c r="AB10" s="42">
        <f>IF(tblJobs[[#This Row],[Job]]="","",IF(AND(tblJobs[[#This Row],[Price]]&gt;0,ISNUMBER(tblJobs[[#This Row],[Job cost]])),tblJobs[[#This Row],[Job value]]-tblJobs[[#This Row],[Job cost]],""))</f>
        <v>242.26819221968</v>
      </c>
      <c r="AC10"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0" s="28" t="s">
        <v>139</v>
      </c>
    </row>
    <row r="11" spans="1:30">
      <c r="B11" s="28" t="s">
        <v>146</v>
      </c>
      <c r="C11" s="28" t="s">
        <v>147</v>
      </c>
      <c r="D11" s="28" t="s">
        <v>86</v>
      </c>
      <c r="E11" s="28" t="s">
        <v>103</v>
      </c>
      <c r="F11" s="38">
        <v>4</v>
      </c>
      <c r="G11" s="38">
        <v>2</v>
      </c>
      <c r="H11" s="39">
        <v>110</v>
      </c>
      <c r="I11" s="30">
        <v>0.1</v>
      </c>
      <c r="J11" s="39">
        <v>11</v>
      </c>
      <c r="K11" s="38">
        <v>20</v>
      </c>
      <c r="L11" s="39">
        <v>25</v>
      </c>
      <c r="M11" s="30">
        <v>0.08</v>
      </c>
      <c r="N11" s="29">
        <v>114</v>
      </c>
      <c r="O11" s="40">
        <f>IF(tblJobs[[#This Row],[Job]]="","",IF(tblJobs[[#This Row],[Parts per build]]&gt;0,ROUNDUP(tblJobs[[#This Row],[Quantity]]/tblJobs[[#This Row],[Parts per build]],0),""))</f>
        <v>2</v>
      </c>
      <c r="P11" s="41">
        <f>IF(tblJobs[[#This Row],[Job]]="","",tblJobs[[#This Row],[Builds]]*tblJobs[[#This Row],[Build time (h/build)]])</f>
        <v>22</v>
      </c>
      <c r="Q11" s="35">
        <f>IF(tblJobs[[#This Row],[Job]]="","",IFERROR(INDEX(tblMaterials[Cost per g],MATCH(tblJobs[[#This Row],[Material]],tblMaterials[Material],0)),""))</f>
        <v>0.182608695652174</v>
      </c>
      <c r="R11" s="42">
        <f>IF(tblJobs[[#This Row],[Job]]="","",IFERROR(INDEX(tblPrinters[Machine rate],MATCH(tblJobs[[#This Row],[Printer]],tblPrinters[Printer],0)),""))</f>
        <v>4.5</v>
      </c>
      <c r="S11" s="42">
        <f>IF(tblJobs[[#This Row],[Job]]="","",IF(tblJobs[[#This Row],[Cost per g]]="","",tblJobs[[#This Row],[Material used (g/part)]]*(1+tblJobs[[#This Row],[Waste and refresh]])*tblJobs[[#This Row],[Cost per g]]))</f>
        <v>22.095652173913</v>
      </c>
      <c r="T11" s="42">
        <f>IF(tblJobs[[#This Row],[Job]]="","",IF(OR(tblJobs[[#This Row],[Machine rate]]="",tblJobs[[#This Row],[Quantity]]=0),"",tblJobs[[#This Row],[Machine hours]]*tblJobs[[#This Row],[Machine rate]]/tblJobs[[#This Row],[Quantity]]))</f>
        <v>24.75</v>
      </c>
      <c r="U11" s="42">
        <f>IF(tblJobs[[#This Row],[Job]]="","",IF(tblJobs[[#This Row],[Quantity]]&gt;0,(tblJobs[[#This Row],[Builds]]*tblJobs[[#This Row],[Setup (min/build)]]+tblJobs[[#This Row],[Quantity]]*tblJobs[[#This Row],[Post-processing (min/part)]])/60*LabourRate/tblJobs[[#This Row],[Quantity]],""))</f>
        <v>22.1666666666667</v>
      </c>
      <c r="V11" s="42">
        <f>IF(tblJobs[[#This Row],[Job]]="","",IFERROR((tblJobs[[#This Row],[Material cost]]+tblJobs[[#This Row],[Machine cost]]+tblJobs[[#This Row],[Labour cost]])*tblJobs[[#This Row],[Failure rate]]/(1-tblJobs[[#This Row],[Failure rate]]),""))</f>
        <v>6.00107120352867</v>
      </c>
      <c r="W11" s="43">
        <f>IF(tblJobs[[#This Row],[Job]]="","",IFERROR((tblJobs[[#This Row],[Material cost]]+tblJobs[[#This Row],[Machine cost]]+tblJobs[[#This Row],[Labour cost]])/(1-tblJobs[[#This Row],[Failure rate]]),""))</f>
        <v>75.0133900441084</v>
      </c>
      <c r="X11" s="44">
        <f>IF(tblJobs[[#This Row],[Job]]="","",IF(AND(tblJobs[[#This Row],[Price]]&gt;0,ISNUMBER(tblJobs[[#This Row],[Cost per part]])),(tblJobs[[#This Row],[Price]]-tblJobs[[#This Row],[Cost per part]])/tblJobs[[#This Row],[Price]],""))</f>
        <v>0.341987806630628</v>
      </c>
      <c r="Y11" s="45" t="str">
        <f>IF(NOT(ISNUMBER(tblJobs[[#This Row],[Margin]])),"",IF(tblJobs[[#This Row],[Margin]]&gt;=TargetMargin,"On target",IF(tblJobs[[#This Row],[Margin]]&gt;=TargetMargin*(1-0.05),"Near target","Below target")))</f>
        <v>Near target</v>
      </c>
      <c r="Z11" s="42">
        <f>IF(tblJobs[[#This Row],[Job]]="","",IFERROR(tblJobs[[#This Row],[Cost per part]]*tblJobs[[#This Row],[Quantity]],""))</f>
        <v>300.053560176434</v>
      </c>
      <c r="AA11" s="42">
        <f>IF(tblJobs[[#This Row],[Job]]="","",IF(tblJobs[[#This Row],[Price]]&gt;0,tblJobs[[#This Row],[Price]]*tblJobs[[#This Row],[Quantity]],""))</f>
        <v>456</v>
      </c>
      <c r="AB11" s="42">
        <f>IF(tblJobs[[#This Row],[Job]]="","",IF(AND(tblJobs[[#This Row],[Price]]&gt;0,ISNUMBER(tblJobs[[#This Row],[Job cost]])),tblJobs[[#This Row],[Job value]]-tblJobs[[#This Row],[Job cost]],""))</f>
        <v>155.946439823567</v>
      </c>
      <c r="AC11"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1" s="28" t="s">
        <v>139</v>
      </c>
    </row>
    <row r="12" spans="1:30">
      <c r="B12" s="28" t="s">
        <v>148</v>
      </c>
      <c r="C12" s="28" t="s">
        <v>149</v>
      </c>
      <c r="D12" s="28" t="s">
        <v>88</v>
      </c>
      <c r="E12" s="28" t="s">
        <v>104</v>
      </c>
      <c r="F12" s="38">
        <v>300</v>
      </c>
      <c r="G12" s="38">
        <v>150</v>
      </c>
      <c r="H12" s="39">
        <v>22</v>
      </c>
      <c r="I12" s="30">
        <v>0.3</v>
      </c>
      <c r="J12" s="39">
        <v>16</v>
      </c>
      <c r="K12" s="38">
        <v>60</v>
      </c>
      <c r="L12" s="39">
        <v>3</v>
      </c>
      <c r="M12" s="30">
        <v>0.02</v>
      </c>
      <c r="N12" s="29">
        <v>11.8</v>
      </c>
      <c r="O12" s="40">
        <f>IF(tblJobs[[#This Row],[Job]]="","",IF(tblJobs[[#This Row],[Parts per build]]&gt;0,ROUNDUP(tblJobs[[#This Row],[Quantity]]/tblJobs[[#This Row],[Parts per build]],0),""))</f>
        <v>2</v>
      </c>
      <c r="P12" s="41">
        <f>IF(tblJobs[[#This Row],[Job]]="","",tblJobs[[#This Row],[Builds]]*tblJobs[[#This Row],[Build time (h/build)]])</f>
        <v>32</v>
      </c>
      <c r="Q12" s="35">
        <f>IF(tblJobs[[#This Row],[Job]]="","",IFERROR(INDEX(tblMaterials[Cost per g],MATCH(tblJobs[[#This Row],[Material]],tblMaterials[Material],0)),""))</f>
        <v>0.075</v>
      </c>
      <c r="R12" s="42">
        <f>IF(tblJobs[[#This Row],[Job]]="","",IFERROR(INDEX(tblPrinters[Machine rate],MATCH(tblJobs[[#This Row],[Printer]],tblPrinters[Printer],0)),""))</f>
        <v>28</v>
      </c>
      <c r="S12" s="42">
        <f>IF(tblJobs[[#This Row],[Job]]="","",IF(tblJobs[[#This Row],[Cost per g]]="","",tblJobs[[#This Row],[Material used (g/part)]]*(1+tblJobs[[#This Row],[Waste and refresh]])*tblJobs[[#This Row],[Cost per g]]))</f>
        <v>2.145</v>
      </c>
      <c r="T12" s="42">
        <f>IF(tblJobs[[#This Row],[Job]]="","",IF(OR(tblJobs[[#This Row],[Machine rate]]="",tblJobs[[#This Row],[Quantity]]=0),"",tblJobs[[#This Row],[Machine hours]]*tblJobs[[#This Row],[Machine rate]]/tblJobs[[#This Row],[Quantity]]))</f>
        <v>2.98666666666667</v>
      </c>
      <c r="U12" s="42">
        <f>IF(tblJobs[[#This Row],[Job]]="","",IF(tblJobs[[#This Row],[Quantity]]&gt;0,(tblJobs[[#This Row],[Builds]]*tblJobs[[#This Row],[Setup (min/build)]]+tblJobs[[#This Row],[Quantity]]*tblJobs[[#This Row],[Post-processing (min/part)]])/60*LabourRate/tblJobs[[#This Row],[Quantity]],""))</f>
        <v>2.15333333333333</v>
      </c>
      <c r="V12" s="42">
        <f>IF(tblJobs[[#This Row],[Job]]="","",IFERROR((tblJobs[[#This Row],[Material cost]]+tblJobs[[#This Row],[Machine cost]]+tblJobs[[#This Row],[Labour cost]])*tblJobs[[#This Row],[Failure rate]]/(1-tblJobs[[#This Row],[Failure rate]]),""))</f>
        <v>0.148673469387755</v>
      </c>
      <c r="W12" s="43">
        <f>IF(tblJobs[[#This Row],[Job]]="","",IFERROR((tblJobs[[#This Row],[Material cost]]+tblJobs[[#This Row],[Machine cost]]+tblJobs[[#This Row],[Labour cost]])/(1-tblJobs[[#This Row],[Failure rate]]),""))</f>
        <v>7.43367346938776</v>
      </c>
      <c r="X12" s="44">
        <f>IF(tblJobs[[#This Row],[Job]]="","",IF(AND(tblJobs[[#This Row],[Price]]&gt;0,ISNUMBER(tblJobs[[#This Row],[Cost per part]])),(tblJobs[[#This Row],[Price]]-tblJobs[[#This Row],[Cost per part]])/tblJobs[[#This Row],[Price]],""))</f>
        <v>0.370027672085784</v>
      </c>
      <c r="Y12" s="45" t="str">
        <f>IF(NOT(ISNUMBER(tblJobs[[#This Row],[Margin]])),"",IF(tblJobs[[#This Row],[Margin]]&gt;=TargetMargin,"On target",IF(tblJobs[[#This Row],[Margin]]&gt;=TargetMargin*(1-0.05),"Near target","Below target")))</f>
        <v>On target</v>
      </c>
      <c r="Z12" s="42">
        <f>IF(tblJobs[[#This Row],[Job]]="","",IFERROR(tblJobs[[#This Row],[Cost per part]]*tblJobs[[#This Row],[Quantity]],""))</f>
        <v>2230.10204081633</v>
      </c>
      <c r="AA12" s="42">
        <f>IF(tblJobs[[#This Row],[Job]]="","",IF(tblJobs[[#This Row],[Price]]&gt;0,tblJobs[[#This Row],[Price]]*tblJobs[[#This Row],[Quantity]],""))</f>
        <v>3540</v>
      </c>
      <c r="AB12" s="42">
        <f>IF(tblJobs[[#This Row],[Job]]="","",IF(AND(tblJobs[[#This Row],[Price]]&gt;0,ISNUMBER(tblJobs[[#This Row],[Job cost]])),tblJobs[[#This Row],[Job value]]-tblJobs[[#This Row],[Job cost]],""))</f>
        <v>1309.89795918367</v>
      </c>
      <c r="AC12"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2" s="28" t="s">
        <v>139</v>
      </c>
    </row>
    <row r="13" spans="1:30">
      <c r="B13" s="28" t="s">
        <v>150</v>
      </c>
      <c r="C13" s="28" t="s">
        <v>151</v>
      </c>
      <c r="D13" s="28" t="s">
        <v>88</v>
      </c>
      <c r="E13" s="28" t="s">
        <v>104</v>
      </c>
      <c r="F13" s="38">
        <v>60</v>
      </c>
      <c r="G13" s="38">
        <v>30</v>
      </c>
      <c r="H13" s="39">
        <v>68</v>
      </c>
      <c r="I13" s="30">
        <v>0.3</v>
      </c>
      <c r="J13" s="39">
        <v>18</v>
      </c>
      <c r="K13" s="38">
        <v>60</v>
      </c>
      <c r="L13" s="39">
        <v>5</v>
      </c>
      <c r="M13" s="30">
        <v>0.03</v>
      </c>
      <c r="N13" s="29">
        <v>44</v>
      </c>
      <c r="O13" s="40">
        <f>IF(tblJobs[[#This Row],[Job]]="","",IF(tblJobs[[#This Row],[Parts per build]]&gt;0,ROUNDUP(tblJobs[[#This Row],[Quantity]]/tblJobs[[#This Row],[Parts per build]],0),""))</f>
        <v>2</v>
      </c>
      <c r="P13" s="41">
        <f>IF(tblJobs[[#This Row],[Job]]="","",tblJobs[[#This Row],[Builds]]*tblJobs[[#This Row],[Build time (h/build)]])</f>
        <v>36</v>
      </c>
      <c r="Q13" s="35">
        <f>IF(tblJobs[[#This Row],[Job]]="","",IFERROR(INDEX(tblMaterials[Cost per g],MATCH(tblJobs[[#This Row],[Material]],tblMaterials[Material],0)),""))</f>
        <v>0.075</v>
      </c>
      <c r="R13" s="42">
        <f>IF(tblJobs[[#This Row],[Job]]="","",IFERROR(INDEX(tblPrinters[Machine rate],MATCH(tblJobs[[#This Row],[Printer]],tblPrinters[Printer],0)),""))</f>
        <v>28</v>
      </c>
      <c r="S13" s="42">
        <f>IF(tblJobs[[#This Row],[Job]]="","",IF(tblJobs[[#This Row],[Cost per g]]="","",tblJobs[[#This Row],[Material used (g/part)]]*(1+tblJobs[[#This Row],[Waste and refresh]])*tblJobs[[#This Row],[Cost per g]]))</f>
        <v>6.63</v>
      </c>
      <c r="T13" s="42">
        <f>IF(tblJobs[[#This Row],[Job]]="","",IF(OR(tblJobs[[#This Row],[Machine rate]]="",tblJobs[[#This Row],[Quantity]]=0),"",tblJobs[[#This Row],[Machine hours]]*tblJobs[[#This Row],[Machine rate]]/tblJobs[[#This Row],[Quantity]]))</f>
        <v>16.8</v>
      </c>
      <c r="U13" s="42">
        <f>IF(tblJobs[[#This Row],[Job]]="","",IF(tblJobs[[#This Row],[Quantity]]&gt;0,(tblJobs[[#This Row],[Builds]]*tblJobs[[#This Row],[Setup (min/build)]]+tblJobs[[#This Row],[Quantity]]*tblJobs[[#This Row],[Post-processing (min/part)]])/60*LabourRate/tblJobs[[#This Row],[Quantity]],""))</f>
        <v>4.43333333333333</v>
      </c>
      <c r="V13" s="42">
        <f>IF(tblJobs[[#This Row],[Job]]="","",IFERROR((tblJobs[[#This Row],[Material cost]]+tblJobs[[#This Row],[Machine cost]]+tblJobs[[#This Row],[Labour cost]])*tblJobs[[#This Row],[Failure rate]]/(1-tblJobs[[#This Row],[Failure rate]]),""))</f>
        <v>0.861752577319588</v>
      </c>
      <c r="W13" s="43">
        <f>IF(tblJobs[[#This Row],[Job]]="","",IFERROR((tblJobs[[#This Row],[Material cost]]+tblJobs[[#This Row],[Machine cost]]+tblJobs[[#This Row],[Labour cost]])/(1-tblJobs[[#This Row],[Failure rate]]),""))</f>
        <v>28.7250859106529</v>
      </c>
      <c r="X13" s="44">
        <f>IF(tblJobs[[#This Row],[Job]]="","",IF(AND(tblJobs[[#This Row],[Price]]&gt;0,ISNUMBER(tblJobs[[#This Row],[Cost per part]])),(tblJobs[[#This Row],[Price]]-tblJobs[[#This Row],[Cost per part]])/tblJobs[[#This Row],[Price]],""))</f>
        <v>0.347157138394252</v>
      </c>
      <c r="Y13" s="45" t="str">
        <f>IF(NOT(ISNUMBER(tblJobs[[#This Row],[Margin]])),"",IF(tblJobs[[#This Row],[Margin]]&gt;=TargetMargin,"On target",IF(tblJobs[[#This Row],[Margin]]&gt;=TargetMargin*(1-0.05),"Near target","Below target")))</f>
        <v>Near target</v>
      </c>
      <c r="Z13" s="42">
        <f>IF(tblJobs[[#This Row],[Job]]="","",IFERROR(tblJobs[[#This Row],[Cost per part]]*tblJobs[[#This Row],[Quantity]],""))</f>
        <v>1723.50515463918</v>
      </c>
      <c r="AA13" s="42">
        <f>IF(tblJobs[[#This Row],[Job]]="","",IF(tblJobs[[#This Row],[Price]]&gt;0,tblJobs[[#This Row],[Price]]*tblJobs[[#This Row],[Quantity]],""))</f>
        <v>2640</v>
      </c>
      <c r="AB13" s="42">
        <f>IF(tblJobs[[#This Row],[Job]]="","",IF(AND(tblJobs[[#This Row],[Price]]&gt;0,ISNUMBER(tblJobs[[#This Row],[Job cost]])),tblJobs[[#This Row],[Job value]]-tblJobs[[#This Row],[Job cost]],""))</f>
        <v>916.494845360825</v>
      </c>
      <c r="AC13"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3" s="28" t="s">
        <v>139</v>
      </c>
    </row>
    <row r="14" spans="1:30">
      <c r="B14" s="28" t="s">
        <v>152</v>
      </c>
      <c r="C14" s="28" t="s">
        <v>153</v>
      </c>
      <c r="D14" s="28" t="s">
        <v>90</v>
      </c>
      <c r="E14" s="28" t="s">
        <v>105</v>
      </c>
      <c r="F14" s="38">
        <v>4</v>
      </c>
      <c r="G14" s="38">
        <v>4</v>
      </c>
      <c r="H14" s="39">
        <v>410</v>
      </c>
      <c r="I14" s="30">
        <v>0.12</v>
      </c>
      <c r="J14" s="39">
        <v>30</v>
      </c>
      <c r="K14" s="38">
        <v>120</v>
      </c>
      <c r="L14" s="39">
        <v>90</v>
      </c>
      <c r="M14" s="30">
        <v>0.1</v>
      </c>
      <c r="N14" s="29">
        <v>950</v>
      </c>
      <c r="O14" s="40">
        <f>IF(tblJobs[[#This Row],[Job]]="","",IF(tblJobs[[#This Row],[Parts per build]]&gt;0,ROUNDUP(tblJobs[[#This Row],[Quantity]]/tblJobs[[#This Row],[Parts per build]],0),""))</f>
        <v>1</v>
      </c>
      <c r="P14" s="41">
        <f>IF(tblJobs[[#This Row],[Job]]="","",tblJobs[[#This Row],[Builds]]*tblJobs[[#This Row],[Build time (h/build)]])</f>
        <v>30</v>
      </c>
      <c r="Q14" s="35">
        <f>IF(tblJobs[[#This Row],[Job]]="","",IFERROR(INDEX(tblMaterials[Cost per g],MATCH(tblJobs[[#This Row],[Material]],tblMaterials[Material],0)),""))</f>
        <v>0.0551155655462194</v>
      </c>
      <c r="R14" s="42">
        <f>IF(tblJobs[[#This Row],[Job]]="","",IFERROR(INDEX(tblPrinters[Machine rate],MATCH(tblJobs[[#This Row],[Printer]],tblPrinters[Printer],0)),""))</f>
        <v>95</v>
      </c>
      <c r="S14" s="42">
        <f>IF(tblJobs[[#This Row],[Job]]="","",IF(tblJobs[[#This Row],[Cost per g]]="","",tblJobs[[#This Row],[Material used (g/part)]]*(1+tblJobs[[#This Row],[Waste and refresh]])*tblJobs[[#This Row],[Cost per g]]))</f>
        <v>25.309067698824</v>
      </c>
      <c r="T14" s="42">
        <f>IF(tblJobs[[#This Row],[Job]]="","",IF(OR(tblJobs[[#This Row],[Machine rate]]="",tblJobs[[#This Row],[Quantity]]=0),"",tblJobs[[#This Row],[Machine hours]]*tblJobs[[#This Row],[Machine rate]]/tblJobs[[#This Row],[Quantity]]))</f>
        <v>712.5</v>
      </c>
      <c r="U14" s="42">
        <f>IF(tblJobs[[#This Row],[Job]]="","",IF(tblJobs[[#This Row],[Quantity]]&gt;0,(tblJobs[[#This Row],[Builds]]*tblJobs[[#This Row],[Setup (min/build)]]+tblJobs[[#This Row],[Quantity]]*tblJobs[[#This Row],[Post-processing (min/part)]])/60*LabourRate/tblJobs[[#This Row],[Quantity]],""))</f>
        <v>76</v>
      </c>
      <c r="V14" s="42">
        <f>IF(tblJobs[[#This Row],[Job]]="","",IFERROR((tblJobs[[#This Row],[Material cost]]+tblJobs[[#This Row],[Machine cost]]+tblJobs[[#This Row],[Labour cost]])*tblJobs[[#This Row],[Failure rate]]/(1-tblJobs[[#This Row],[Failure rate]]),""))</f>
        <v>90.4232297443138</v>
      </c>
      <c r="W14" s="43">
        <f>IF(tblJobs[[#This Row],[Job]]="","",IFERROR((tblJobs[[#This Row],[Material cost]]+tblJobs[[#This Row],[Machine cost]]+tblJobs[[#This Row],[Labour cost]])/(1-tblJobs[[#This Row],[Failure rate]]),""))</f>
        <v>904.232297443138</v>
      </c>
      <c r="X14" s="44">
        <f>IF(tblJobs[[#This Row],[Job]]="","",IF(AND(tblJobs[[#This Row],[Price]]&gt;0,ISNUMBER(tblJobs[[#This Row],[Cost per part]])),(tblJobs[[#This Row],[Price]]-tblJobs[[#This Row],[Cost per part]])/tblJobs[[#This Row],[Price]],""))</f>
        <v>0.0481765290072235</v>
      </c>
      <c r="Y14" s="45" t="str">
        <f>IF(NOT(ISNUMBER(tblJobs[[#This Row],[Margin]])),"",IF(tblJobs[[#This Row],[Margin]]&gt;=TargetMargin,"On target",IF(tblJobs[[#This Row],[Margin]]&gt;=TargetMargin*(1-0.05),"Near target","Below target")))</f>
        <v>Below target</v>
      </c>
      <c r="Z14" s="42">
        <f>IF(tblJobs[[#This Row],[Job]]="","",IFERROR(tblJobs[[#This Row],[Cost per part]]*tblJobs[[#This Row],[Quantity]],""))</f>
        <v>3616.92918977255</v>
      </c>
      <c r="AA14" s="42">
        <f>IF(tblJobs[[#This Row],[Job]]="","",IF(tblJobs[[#This Row],[Price]]&gt;0,tblJobs[[#This Row],[Price]]*tblJobs[[#This Row],[Quantity]],""))</f>
        <v>3800</v>
      </c>
      <c r="AB14" s="42">
        <f>IF(tblJobs[[#This Row],[Job]]="","",IF(AND(tblJobs[[#This Row],[Price]]&gt;0,ISNUMBER(tblJobs[[#This Row],[Job cost]])),tblJobs[[#This Row],[Job value]]-tblJobs[[#This Row],[Job cost]],""))</f>
        <v>183.070810227449</v>
      </c>
      <c r="AC14"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4" s="28" t="s">
        <v>154</v>
      </c>
    </row>
    <row r="15" spans="1:30">
      <c r="B15" s="28" t="s">
        <v>155</v>
      </c>
      <c r="C15" s="28" t="s">
        <v>156</v>
      </c>
      <c r="D15" s="28" t="s">
        <v>84</v>
      </c>
      <c r="E15" s="28" t="s">
        <v>100</v>
      </c>
      <c r="F15" s="38">
        <v>16</v>
      </c>
      <c r="G15" s="38">
        <v>8</v>
      </c>
      <c r="H15" s="39">
        <v>52</v>
      </c>
      <c r="I15" s="30">
        <v>0.05</v>
      </c>
      <c r="J15" s="39">
        <v>11</v>
      </c>
      <c r="K15" s="38">
        <v>20</v>
      </c>
      <c r="L15" s="39">
        <v>8</v>
      </c>
      <c r="M15" s="30">
        <v>0.05</v>
      </c>
      <c r="N15" s="29">
        <v>36</v>
      </c>
      <c r="O15" s="40">
        <f>IF(tblJobs[[#This Row],[Job]]="","",IF(tblJobs[[#This Row],[Parts per build]]&gt;0,ROUNDUP(tblJobs[[#This Row],[Quantity]]/tblJobs[[#This Row],[Parts per build]],0),""))</f>
        <v>2</v>
      </c>
      <c r="P15" s="41">
        <f>IF(tblJobs[[#This Row],[Job]]="","",tblJobs[[#This Row],[Builds]]*tblJobs[[#This Row],[Build time (h/build)]])</f>
        <v>22</v>
      </c>
      <c r="Q15" s="35">
        <f>IF(tblJobs[[#This Row],[Job]]="","",IFERROR(INDEX(tblMaterials[Cost per g],MATCH(tblJobs[[#This Row],[Material]],tblMaterials[Material],0)),""))</f>
        <v>0.09</v>
      </c>
      <c r="R15" s="42">
        <f>IF(tblJobs[[#This Row],[Job]]="","",IFERROR(INDEX(tblPrinters[Machine rate],MATCH(tblJobs[[#This Row],[Printer]],tblPrinters[Printer],0)),""))</f>
        <v>7.5</v>
      </c>
      <c r="S15" s="42">
        <f>IF(tblJobs[[#This Row],[Job]]="","",IF(tblJobs[[#This Row],[Cost per g]]="","",tblJobs[[#This Row],[Material used (g/part)]]*(1+tblJobs[[#This Row],[Waste and refresh]])*tblJobs[[#This Row],[Cost per g]]))</f>
        <v>4.914</v>
      </c>
      <c r="T15" s="42">
        <f>IF(tblJobs[[#This Row],[Job]]="","",IF(OR(tblJobs[[#This Row],[Machine rate]]="",tblJobs[[#This Row],[Quantity]]=0),"",tblJobs[[#This Row],[Machine hours]]*tblJobs[[#This Row],[Machine rate]]/tblJobs[[#This Row],[Quantity]]))</f>
        <v>10.3125</v>
      </c>
      <c r="U15" s="42">
        <f>IF(tblJobs[[#This Row],[Job]]="","",IF(tblJobs[[#This Row],[Quantity]]&gt;0,(tblJobs[[#This Row],[Builds]]*tblJobs[[#This Row],[Setup (min/build)]]+tblJobs[[#This Row],[Quantity]]*tblJobs[[#This Row],[Post-processing (min/part)]])/60*LabourRate/tblJobs[[#This Row],[Quantity]],""))</f>
        <v>6.65</v>
      </c>
      <c r="V15" s="42">
        <f>IF(tblJobs[[#This Row],[Job]]="","",IFERROR((tblJobs[[#This Row],[Material cost]]+tblJobs[[#This Row],[Machine cost]]+tblJobs[[#This Row],[Labour cost]])*tblJobs[[#This Row],[Failure rate]]/(1-tblJobs[[#This Row],[Failure rate]]),""))</f>
        <v>1.15139473684211</v>
      </c>
      <c r="W15" s="43">
        <f>IF(tblJobs[[#This Row],[Job]]="","",IFERROR((tblJobs[[#This Row],[Material cost]]+tblJobs[[#This Row],[Machine cost]]+tblJobs[[#This Row],[Labour cost]])/(1-tblJobs[[#This Row],[Failure rate]]),""))</f>
        <v>23.0278947368421</v>
      </c>
      <c r="X15" s="44">
        <f>IF(tblJobs[[#This Row],[Job]]="","",IF(AND(tblJobs[[#This Row],[Price]]&gt;0,ISNUMBER(tblJobs[[#This Row],[Cost per part]])),(tblJobs[[#This Row],[Price]]-tblJobs[[#This Row],[Cost per part]])/tblJobs[[#This Row],[Price]],""))</f>
        <v>0.360336257309941</v>
      </c>
      <c r="Y15" s="45" t="str">
        <f>IF(NOT(ISNUMBER(tblJobs[[#This Row],[Margin]])),"",IF(tblJobs[[#This Row],[Margin]]&gt;=TargetMargin,"On target",IF(tblJobs[[#This Row],[Margin]]&gt;=TargetMargin*(1-0.05),"Near target","Below target")))</f>
        <v>On target</v>
      </c>
      <c r="Z15" s="42">
        <f>IF(tblJobs[[#This Row],[Job]]="","",IFERROR(tblJobs[[#This Row],[Cost per part]]*tblJobs[[#This Row],[Quantity]],""))</f>
        <v>368.446315789474</v>
      </c>
      <c r="AA15" s="42">
        <f>IF(tblJobs[[#This Row],[Job]]="","",IF(tblJobs[[#This Row],[Price]]&gt;0,tblJobs[[#This Row],[Price]]*tblJobs[[#This Row],[Quantity]],""))</f>
        <v>576</v>
      </c>
      <c r="AB15" s="42">
        <f>IF(tblJobs[[#This Row],[Job]]="","",IF(AND(tblJobs[[#This Row],[Price]]&gt;0,ISNUMBER(tblJobs[[#This Row],[Job cost]])),tblJobs[[#This Row],[Job value]]-tblJobs[[#This Row],[Job cost]],""))</f>
        <v>207.553684210526</v>
      </c>
      <c r="AC15"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5" s="28" t="s">
        <v>139</v>
      </c>
    </row>
    <row r="16" spans="1:30">
      <c r="B16" s="28" t="s">
        <v>157</v>
      </c>
      <c r="C16" s="28" t="s">
        <v>158</v>
      </c>
      <c r="D16" s="28" t="s">
        <v>82</v>
      </c>
      <c r="E16" s="28" t="s">
        <v>96</v>
      </c>
      <c r="F16" s="38">
        <v>20</v>
      </c>
      <c r="G16" s="38">
        <v>2</v>
      </c>
      <c r="H16" s="39">
        <v>95</v>
      </c>
      <c r="I16" s="30">
        <v>0.08</v>
      </c>
      <c r="J16" s="39">
        <v>12</v>
      </c>
      <c r="K16" s="38">
        <v>10</v>
      </c>
      <c r="L16" s="39">
        <v>5</v>
      </c>
      <c r="M16" s="30">
        <v>0.06</v>
      </c>
      <c r="N16" s="29">
        <v>18</v>
      </c>
      <c r="O16" s="40">
        <f>IF(tblJobs[[#This Row],[Job]]="","",IF(tblJobs[[#This Row],[Parts per build]]&gt;0,ROUNDUP(tblJobs[[#This Row],[Quantity]]/tblJobs[[#This Row],[Parts per build]],0),""))</f>
        <v>10</v>
      </c>
      <c r="P16" s="41">
        <f>IF(tblJobs[[#This Row],[Job]]="","",tblJobs[[#This Row],[Builds]]*tblJobs[[#This Row],[Build time (h/build)]])</f>
        <v>120</v>
      </c>
      <c r="Q16" s="35">
        <f>IF(tblJobs[[#This Row],[Job]]="","",IFERROR(INDEX(tblMaterials[Cost per g],MATCH(tblJobs[[#This Row],[Material]],tblMaterials[Material],0)),""))</f>
        <v>0.022</v>
      </c>
      <c r="R16" s="42">
        <f>IF(tblJobs[[#This Row],[Job]]="","",IFERROR(INDEX(tblPrinters[Machine rate],MATCH(tblJobs[[#This Row],[Printer]],tblPrinters[Printer],0)),""))</f>
        <v>1.8</v>
      </c>
      <c r="S16" s="42">
        <f>IF(tblJobs[[#This Row],[Job]]="","",IF(tblJobs[[#This Row],[Cost per g]]="","",tblJobs[[#This Row],[Material used (g/part)]]*(1+tblJobs[[#This Row],[Waste and refresh]])*tblJobs[[#This Row],[Cost per g]]))</f>
        <v>2.2572</v>
      </c>
      <c r="T16" s="42">
        <f>IF(tblJobs[[#This Row],[Job]]="","",IF(OR(tblJobs[[#This Row],[Machine rate]]="",tblJobs[[#This Row],[Quantity]]=0),"",tblJobs[[#This Row],[Machine hours]]*tblJobs[[#This Row],[Machine rate]]/tblJobs[[#This Row],[Quantity]]))</f>
        <v>10.8</v>
      </c>
      <c r="U16" s="42">
        <f>IF(tblJobs[[#This Row],[Job]]="","",IF(tblJobs[[#This Row],[Quantity]]&gt;0,(tblJobs[[#This Row],[Builds]]*tblJobs[[#This Row],[Setup (min/build)]]+tblJobs[[#This Row],[Quantity]]*tblJobs[[#This Row],[Post-processing (min/part)]])/60*LabourRate/tblJobs[[#This Row],[Quantity]],""))</f>
        <v>6.33333333333333</v>
      </c>
      <c r="V16" s="42">
        <f>IF(tblJobs[[#This Row],[Job]]="","",IFERROR((tblJobs[[#This Row],[Material cost]]+tblJobs[[#This Row],[Machine cost]]+tblJobs[[#This Row],[Labour cost]])*tblJobs[[#This Row],[Failure rate]]/(1-tblJobs[[#This Row],[Failure rate]]),""))</f>
        <v>1.23769361702128</v>
      </c>
      <c r="W16" s="43">
        <f>IF(tblJobs[[#This Row],[Job]]="","",IFERROR((tblJobs[[#This Row],[Material cost]]+tblJobs[[#This Row],[Machine cost]]+tblJobs[[#This Row],[Labour cost]])/(1-tblJobs[[#This Row],[Failure rate]]),""))</f>
        <v>20.6282269503546</v>
      </c>
      <c r="X16" s="44">
        <f>IF(tblJobs[[#This Row],[Job]]="","",IF(AND(tblJobs[[#This Row],[Price]]&gt;0,ISNUMBER(tblJobs[[#This Row],[Cost per part]])),(tblJobs[[#This Row],[Price]]-tblJobs[[#This Row],[Cost per part]])/tblJobs[[#This Row],[Price]],""))</f>
        <v>-0.146012608353034</v>
      </c>
      <c r="Y16" s="45" t="str">
        <f>IF(NOT(ISNUMBER(tblJobs[[#This Row],[Margin]])),"",IF(tblJobs[[#This Row],[Margin]]&gt;=TargetMargin,"On target",IF(tblJobs[[#This Row],[Margin]]&gt;=TargetMargin*(1-0.05),"Near target","Below target")))</f>
        <v>Below target</v>
      </c>
      <c r="Z16" s="42">
        <f>IF(tblJobs[[#This Row],[Job]]="","",IFERROR(tblJobs[[#This Row],[Cost per part]]*tblJobs[[#This Row],[Quantity]],""))</f>
        <v>412.564539007092</v>
      </c>
      <c r="AA16" s="42">
        <f>IF(tblJobs[[#This Row],[Job]]="","",IF(tblJobs[[#This Row],[Price]]&gt;0,tblJobs[[#This Row],[Price]]*tblJobs[[#This Row],[Quantity]],""))</f>
        <v>360</v>
      </c>
      <c r="AB16" s="42">
        <f>IF(tblJobs[[#This Row],[Job]]="","",IF(AND(tblJobs[[#This Row],[Price]]&gt;0,ISNUMBER(tblJobs[[#This Row],[Job cost]])),tblJobs[[#This Row],[Job value]]-tblJobs[[#This Row],[Job cost]],""))</f>
        <v>-52.5645390070923</v>
      </c>
      <c r="AC16"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6" s="28" t="s">
        <v>139</v>
      </c>
    </row>
    <row r="17" spans="2:30">
      <c r="B17" s="28" t="s">
        <v>159</v>
      </c>
      <c r="C17" s="28" t="s">
        <v>160</v>
      </c>
      <c r="D17" s="28" t="s">
        <v>86</v>
      </c>
      <c r="E17" s="28" t="s">
        <v>101</v>
      </c>
      <c r="F17" s="38">
        <v>40</v>
      </c>
      <c r="G17" s="38">
        <v>20</v>
      </c>
      <c r="H17" s="39">
        <v>3</v>
      </c>
      <c r="I17" s="30">
        <v>0.15</v>
      </c>
      <c r="J17" s="39">
        <v>4</v>
      </c>
      <c r="K17" s="38">
        <v>15</v>
      </c>
      <c r="L17" s="39">
        <v>6</v>
      </c>
      <c r="M17" s="30">
        <v>0.04</v>
      </c>
      <c r="N17" s="29">
        <v>9.5</v>
      </c>
      <c r="O17" s="40">
        <f>IF(tblJobs[[#This Row],[Job]]="","",IF(tblJobs[[#This Row],[Parts per build]]&gt;0,ROUNDUP(tblJobs[[#This Row],[Quantity]]/tblJobs[[#This Row],[Parts per build]],0),""))</f>
        <v>2</v>
      </c>
      <c r="P17" s="41">
        <f>IF(tblJobs[[#This Row],[Job]]="","",tblJobs[[#This Row],[Builds]]*tblJobs[[#This Row],[Build time (h/build)]])</f>
        <v>8</v>
      </c>
      <c r="Q17" s="35">
        <f>IF(tblJobs[[#This Row],[Job]]="","",IFERROR(INDEX(tblMaterials[Cost per g],MATCH(tblJobs[[#This Row],[Material]],tblMaterials[Material],0)),""))</f>
        <v>0.121739130434783</v>
      </c>
      <c r="R17" s="42">
        <f>IF(tblJobs[[#This Row],[Job]]="","",IFERROR(INDEX(tblPrinters[Machine rate],MATCH(tblJobs[[#This Row],[Printer]],tblPrinters[Printer],0)),""))</f>
        <v>4.5</v>
      </c>
      <c r="S17" s="42">
        <f>IF(tblJobs[[#This Row],[Job]]="","",IF(tblJobs[[#This Row],[Cost per g]]="","",tblJobs[[#This Row],[Material used (g/part)]]*(1+tblJobs[[#This Row],[Waste and refresh]])*tblJobs[[#This Row],[Cost per g]]))</f>
        <v>0.42</v>
      </c>
      <c r="T17" s="42">
        <f>IF(tblJobs[[#This Row],[Job]]="","",IF(OR(tblJobs[[#This Row],[Machine rate]]="",tblJobs[[#This Row],[Quantity]]=0),"",tblJobs[[#This Row],[Machine hours]]*tblJobs[[#This Row],[Machine rate]]/tblJobs[[#This Row],[Quantity]]))</f>
        <v>0.9</v>
      </c>
      <c r="U17" s="42">
        <f>IF(tblJobs[[#This Row],[Job]]="","",IF(tblJobs[[#This Row],[Quantity]]&gt;0,(tblJobs[[#This Row],[Builds]]*tblJobs[[#This Row],[Setup (min/build)]]+tblJobs[[#This Row],[Quantity]]*tblJobs[[#This Row],[Post-processing (min/part)]])/60*LabourRate/tblJobs[[#This Row],[Quantity]],""))</f>
        <v>4.275</v>
      </c>
      <c r="V17" s="42">
        <f>IF(tblJobs[[#This Row],[Job]]="","",IFERROR((tblJobs[[#This Row],[Material cost]]+tblJobs[[#This Row],[Machine cost]]+tblJobs[[#This Row],[Labour cost]])*tblJobs[[#This Row],[Failure rate]]/(1-tblJobs[[#This Row],[Failure rate]]),""))</f>
        <v>0.233125</v>
      </c>
      <c r="W17" s="43">
        <f>IF(tblJobs[[#This Row],[Job]]="","",IFERROR((tblJobs[[#This Row],[Material cost]]+tblJobs[[#This Row],[Machine cost]]+tblJobs[[#This Row],[Labour cost]])/(1-tblJobs[[#This Row],[Failure rate]]),""))</f>
        <v>5.828125</v>
      </c>
      <c r="X17" s="44">
        <f>IF(tblJobs[[#This Row],[Job]]="","",IF(AND(tblJobs[[#This Row],[Price]]&gt;0,ISNUMBER(tblJobs[[#This Row],[Cost per part]])),(tblJobs[[#This Row],[Price]]-tblJobs[[#This Row],[Cost per part]])/tblJobs[[#This Row],[Price]],""))</f>
        <v>0.386513157894737</v>
      </c>
      <c r="Y17" s="45" t="str">
        <f>IF(NOT(ISNUMBER(tblJobs[[#This Row],[Margin]])),"",IF(tblJobs[[#This Row],[Margin]]&gt;=TargetMargin,"On target",IF(tblJobs[[#This Row],[Margin]]&gt;=TargetMargin*(1-0.05),"Near target","Below target")))</f>
        <v>On target</v>
      </c>
      <c r="Z17" s="42">
        <f>IF(tblJobs[[#This Row],[Job]]="","",IFERROR(tblJobs[[#This Row],[Cost per part]]*tblJobs[[#This Row],[Quantity]],""))</f>
        <v>233.125</v>
      </c>
      <c r="AA17" s="42">
        <f>IF(tblJobs[[#This Row],[Job]]="","",IF(tblJobs[[#This Row],[Price]]&gt;0,tblJobs[[#This Row],[Price]]*tblJobs[[#This Row],[Quantity]],""))</f>
        <v>380</v>
      </c>
      <c r="AB17" s="42">
        <f>IF(tblJobs[[#This Row],[Job]]="","",IF(AND(tblJobs[[#This Row],[Price]]&gt;0,ISNUMBER(tblJobs[[#This Row],[Job cost]])),tblJobs[[#This Row],[Job value]]-tblJobs[[#This Row],[Job cost]],""))</f>
        <v>146.875</v>
      </c>
      <c r="AC17"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7" s="28" t="s">
        <v>139</v>
      </c>
    </row>
    <row r="18" spans="2:30">
      <c r="B18" s="28" t="s">
        <v>161</v>
      </c>
      <c r="C18" s="28" t="s">
        <v>162</v>
      </c>
      <c r="D18" s="28" t="s">
        <v>90</v>
      </c>
      <c r="E18" s="28" t="s">
        <v>105</v>
      </c>
      <c r="F18" s="38">
        <v>24</v>
      </c>
      <c r="G18" s="38">
        <v>24</v>
      </c>
      <c r="H18" s="39">
        <v>85</v>
      </c>
      <c r="I18" s="30">
        <v>0.12</v>
      </c>
      <c r="J18" s="39">
        <v>26</v>
      </c>
      <c r="K18" s="38">
        <v>120</v>
      </c>
      <c r="L18" s="39">
        <v>25</v>
      </c>
      <c r="M18" s="30">
        <v>0.06</v>
      </c>
      <c r="N18" s="29">
        <v>215</v>
      </c>
      <c r="O18" s="40">
        <f>IF(tblJobs[[#This Row],[Job]]="","",IF(tblJobs[[#This Row],[Parts per build]]&gt;0,ROUNDUP(tblJobs[[#This Row],[Quantity]]/tblJobs[[#This Row],[Parts per build]],0),""))</f>
        <v>1</v>
      </c>
      <c r="P18" s="41">
        <f>IF(tblJobs[[#This Row],[Job]]="","",tblJobs[[#This Row],[Builds]]*tblJobs[[#This Row],[Build time (h/build)]])</f>
        <v>26</v>
      </c>
      <c r="Q18" s="35">
        <f>IF(tblJobs[[#This Row],[Job]]="","",IFERROR(INDEX(tblMaterials[Cost per g],MATCH(tblJobs[[#This Row],[Material]],tblMaterials[Material],0)),""))</f>
        <v>0.0551155655462194</v>
      </c>
      <c r="R18" s="42">
        <f>IF(tblJobs[[#This Row],[Job]]="","",IFERROR(INDEX(tblPrinters[Machine rate],MATCH(tblJobs[[#This Row],[Printer]],tblPrinters[Printer],0)),""))</f>
        <v>95</v>
      </c>
      <c r="S18" s="42">
        <f>IF(tblJobs[[#This Row],[Job]]="","",IF(tblJobs[[#This Row],[Cost per g]]="","",tblJobs[[#This Row],[Material used (g/part)]]*(1+tblJobs[[#This Row],[Waste and refresh]])*tblJobs[[#This Row],[Cost per g]]))</f>
        <v>5.24700184000009</v>
      </c>
      <c r="T18" s="42">
        <f>IF(tblJobs[[#This Row],[Job]]="","",IF(OR(tblJobs[[#This Row],[Machine rate]]="",tblJobs[[#This Row],[Quantity]]=0),"",tblJobs[[#This Row],[Machine hours]]*tblJobs[[#This Row],[Machine rate]]/tblJobs[[#This Row],[Quantity]]))</f>
        <v>102.916666666667</v>
      </c>
      <c r="U18" s="42">
        <f>IF(tblJobs[[#This Row],[Job]]="","",IF(tblJobs[[#This Row],[Quantity]]&gt;0,(tblJobs[[#This Row],[Builds]]*tblJobs[[#This Row],[Setup (min/build)]]+tblJobs[[#This Row],[Quantity]]*tblJobs[[#This Row],[Post-processing (min/part)]])/60*LabourRate/tblJobs[[#This Row],[Quantity]],""))</f>
        <v>19</v>
      </c>
      <c r="V18" s="42">
        <f>IF(tblJobs[[#This Row],[Job]]="","",IFERROR((tblJobs[[#This Row],[Material cost]]+tblJobs[[#This Row],[Machine cost]]+tblJobs[[#This Row],[Labour cost]])*tblJobs[[#This Row],[Failure rate]]/(1-tblJobs[[#This Row],[Failure rate]]),""))</f>
        <v>8.11682990468086</v>
      </c>
      <c r="W18" s="43">
        <f>IF(tblJobs[[#This Row],[Job]]="","",IFERROR((tblJobs[[#This Row],[Material cost]]+tblJobs[[#This Row],[Machine cost]]+tblJobs[[#This Row],[Labour cost]])/(1-tblJobs[[#This Row],[Failure rate]]),""))</f>
        <v>135.280498411348</v>
      </c>
      <c r="X18" s="44">
        <f>IF(tblJobs[[#This Row],[Job]]="","",IF(AND(tblJobs[[#This Row],[Price]]&gt;0,ISNUMBER(tblJobs[[#This Row],[Cost per part]])),(tblJobs[[#This Row],[Price]]-tblJobs[[#This Row],[Cost per part]])/tblJobs[[#This Row],[Price]],""))</f>
        <v>0.370788379482104</v>
      </c>
      <c r="Y18" s="45" t="str">
        <f>IF(NOT(ISNUMBER(tblJobs[[#This Row],[Margin]])),"",IF(tblJobs[[#This Row],[Margin]]&gt;=TargetMargin,"On target",IF(tblJobs[[#This Row],[Margin]]&gt;=TargetMargin*(1-0.05),"Near target","Below target")))</f>
        <v>On target</v>
      </c>
      <c r="Z18" s="42">
        <f>IF(tblJobs[[#This Row],[Job]]="","",IFERROR(tblJobs[[#This Row],[Cost per part]]*tblJobs[[#This Row],[Quantity]],""))</f>
        <v>3246.73196187234</v>
      </c>
      <c r="AA18" s="42">
        <f>IF(tblJobs[[#This Row],[Job]]="","",IF(tblJobs[[#This Row],[Price]]&gt;0,tblJobs[[#This Row],[Price]]*tblJobs[[#This Row],[Quantity]],""))</f>
        <v>5160</v>
      </c>
      <c r="AB18" s="42">
        <f>IF(tblJobs[[#This Row],[Job]]="","",IF(AND(tblJobs[[#This Row],[Price]]&gt;0,ISNUMBER(tblJobs[[#This Row],[Job cost]])),tblJobs[[#This Row],[Job value]]-tblJobs[[#This Row],[Job cost]],""))</f>
        <v>1913.26803812766</v>
      </c>
      <c r="AC18" s="36" t="str">
        <f>IF(tblJobs[[#This Row],[Job]]="","",IF(tblJobs[[#This Row],[Quantity]]="","Missing quantity",IF(tblJobs[[#This Row],[Parts per build]]="","Missing parts per build",IF(tblJobs[[#This Row],[Material used (g/part)]]="","Missing material used",IF(tblJobs[[#This Row],[Build time (h/build)]]="","Missing build time",IF(tblJobs[[#This Row],[Machine rate]]="","Printer not on Setup list",IF(tblJobs[[#This Row],[Cost per g]]="","Material not on Setup list or no price",IF(COUNTIF(tblJobs[Job],tblJobs[[#This Row],[Job]])&gt;1,"Duplicate job","OK"))))))))</f>
        <v>OK</v>
      </c>
      <c r="AD18" s="28" t="s">
        <v>154</v>
      </c>
    </row>
  </sheetData>
  <mergeCells count="3">
    <mergeCell ref="A1:AD1"/>
    <mergeCell ref="B2:AC2"/>
    <mergeCell ref="B4:AD4"/>
  </mergeCells>
  <conditionalFormatting sqref="AC7:AC518">
    <cfRule type="expression" dxfId="3" priority="24">
      <formula>$AC7="OK"</formula>
    </cfRule>
    <cfRule type="expression" dxfId="1" priority="25">
      <formula>AND($AC7&lt;&gt;"",$AC7&lt;&gt;"OK")</formula>
    </cfRule>
  </conditionalFormatting>
  <conditionalFormatting sqref="X7:X518">
    <cfRule type="expression" dxfId="3" priority="1" stopIfTrue="1">
      <formula>AND(ISNUMBER(X7),X7&gt;=(TargetMargin))</formula>
    </cfRule>
    <cfRule type="expression" dxfId="4" priority="2" stopIfTrue="1">
      <formula>AND(ISNUMBER(X7),X7&gt;=(TargetMargin)*(1-0.05))</formula>
    </cfRule>
    <cfRule type="expression" dxfId="5" priority="3">
      <formula>ISNUMBER(X7)</formula>
    </cfRule>
  </conditionalFormatting>
  <conditionalFormatting sqref="Y7:Y51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dataValidations count="14">
    <dataValidation type="textLength" allowBlank="1" showInputMessage="1" showErrorMessage="1" errorTitle="Check this entry" error="Text up to 30 characters." promptTitle="Job" prompt="Text up to 30 characters." sqref="B7:B518">
      <formula1>0</formula1>
      <formula2>30</formula2>
    </dataValidation>
    <dataValidation type="textLength" allowBlank="1" showInputMessage="1" showErrorMessage="1" errorTitle="Check this entry" error="Text up to 60 characters." promptTitle="Part" prompt="Text up to 60 characters." sqref="C7:C518">
      <formula1>0</formula1>
      <formula2>60</formula2>
    </dataValidation>
    <dataValidation type="list" allowBlank="1" showInputMessage="1" showErrorMessage="1" errorTitle="Check this entry" error="Pick from the list (edit the list on Setup: Printers)." promptTitle="Printer" prompt="Pick from the list (edit the list on Setup: Printers)." sqref="D7:D518">
      <formula1>Printers</formula1>
    </dataValidation>
    <dataValidation type="list" allowBlank="1" showInputMessage="1" showErrorMessage="1" errorTitle="Check this entry" error="Pick from the list (edit the list on Setup: Materials)." promptTitle="Material" prompt="Pick from the list (edit the list on Setup: Materials)." sqref="E7:E518">
      <formula1>Materials</formula1>
    </dataValidation>
    <dataValidation type="whole" allowBlank="1" showInputMessage="1" showErrorMessage="1" errorTitle="Check this entry" error="Enter a whole number from 1 to 1,000,000." promptTitle="Quantity" prompt="Good parts ordered. Enter a whole number from 1 to 1,000,000." sqref="F7:F518">
      <formula1>1</formula1>
      <formula2>1000000</formula2>
    </dataValidation>
    <dataValidation type="whole" allowBlank="1" showInputMessage="1" showErrorMessage="1" errorTitle="Check this entry" error="Enter a whole number from 1 to 100,000." promptTitle="Parts per build" prompt="Parts nested in one build (one plate, tank or powder bed). Enter a whole number from 1 to 100,000." sqref="G7:G518">
      <formula1>1</formula1>
      <formula2>100000</formula2>
    </dataValidation>
    <dataValidation type="decimal" allowBlank="1" showInputMessage="1" showErrorMessage="1" errorTitle="Check this entry" error="Enter a number from 0 to 1,000,000." promptTitle="Material used (g/part)" prompt="Slicer estimate per part, supports and raft included. Enter a number from 0 to 1,000,000." sqref="H7:H518">
      <formula1>0</formula1>
      <formula2>1000000.0</formula2>
    </dataValidation>
    <dataValidation type="decimal" allowBlank="1" showInputMessage="1" showErrorMessage="1" errorTitle="Check this entry" error="Enter a percentage from 0% to 300% (type 85% or 0.85)." promptTitle="Waste and refresh" prompt="Extra material on top of the slicer estimate: purge, resin left in the tank, SLS powder that cannot be refreshed. Enter a percentage from 0% to 300% (type 85% or 0.85)." sqref="I7:I518">
      <formula1>0</formula1>
      <formula2>3</formula2>
    </dataValidation>
    <dataValidation type="decimal" allowBlank="1" showInputMessage="1" showErrorMessage="1" errorTitle="Check this entry" error="Enter a number from 0 to 1,000." promptTitle="Build time (h/build)" prompt="Print time of one build from the slicer, cool-down included if the printer is held. Enter a number from 0 to 1,000." sqref="J7:J518">
      <formula1>0</formula1>
      <formula2>1000</formula2>
    </dataValidation>
    <dataValidation type="decimal" allowBlank="1" showInputMessage="1" showErrorMessage="1" errorTitle="Check this entry" error="Enter a number from 0 to 10,000." promptTitle="Setup (min/build)" prompt="Technician minutes per build: file prep, plate or powder loading, start and unload. Enter a number from 0 to 10,000." sqref="K7:K518">
      <formula1>0</formula1>
      <formula2>10000</formula2>
    </dataValidation>
    <dataValidation type="decimal" allowBlank="1" showInputMessage="1" showErrorMessage="1" errorTitle="Check this entry" error="Enter a number from 0 to 10,000." promptTitle="Post-processing (min/part)" prompt="Technician minutes per part: support removal, washing, curing, depowdering, sanding. Enter a number from 0 to 10,000." sqref="L7:L518">
      <formula1>0</formula1>
      <formula2>10000</formula2>
    </dataValidation>
    <dataValidation type="decimal" allowBlank="1" showInputMessage="1" showErrorMessage="1" errorTitle="Check this entry" error="Enter a percentage from 0% to 90% (type 85% or 0.85)." promptTitle="Failure rate" prompt="Share of parts printed that fail and are printed again (your own records). Enter a percentage from 0% to 90% (type 85% or 0.85)." sqref="M7:M518">
      <formula1>0</formula1>
      <formula2>0.9</formula2>
    </dataValidation>
    <dataValidation type="decimal" allowBlank="1" showInputMessage="1" showErrorMessage="1" errorTitle="Check this entry" error="Enter a number from 0 to 10,000,000." promptTitle="Price" prompt="Quoted price per good part. Leave blank if not priced yet. Enter a number from 0 to 10,000,000." sqref="N7:N518">
      <formula1>0</formula1>
      <formula2>10000000.0</formula2>
    </dataValidation>
    <dataValidation type="textLength" allowBlank="1" showInputMessage="1" showErrorMessage="1" errorTitle="Check this entry" error="Text up to 255 characters." promptTitle="Notes" prompt="Text up to 255 characters." sqref="AD7:AD518">
      <formula1>0</formula1>
      <formula2>255</formula2>
    </dataValidation>
  </dataValidations>
  <hyperlinks>
    <hyperlink ref="AD2" r:id="rId1" tooltip="Free manufacturing calculators and templates"/>
  </hyperlinks>
  <pageMargins left="0.4" right="0.4" top="0.7" bottom="0.65" header="0.3" footer="0.3"/>
  <pageSetup fitToHeight="0" orientation="landscape"/>
  <headerFooter>
    <oddHeader>&amp;L&amp;8MFG Calcs - 3D Printing Cost Estimator&amp;R&amp;8&amp;A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72"/>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ht="18" customHeight="1" x14ac:dyDescent="0.25">
      <c r="B4" s="46" t="s">
        <v>163</v>
      </c>
      <c r="C4" s="46"/>
      <c r="D4" s="46" t="s">
        <v>164</v>
      </c>
      <c r="E4" s="46"/>
      <c r="F4" s="46"/>
      <c r="G4" s="46" t="s">
        <v>165</v>
      </c>
      <c r="H4" s="46"/>
      <c r="I4" s="46"/>
      <c r="J4" s="46" t="str">
        <f>"FAILURE ALLOWANCE ("&amp;Currency&amp;", EST.)"</f>
        <v>FAILURE ALLOWANCE (USD, EST.)</v>
      </c>
      <c r="K4" s="46"/>
      <c r="L4" s="46"/>
    </row>
    <row r="5" spans="1:12" ht="21" customHeight="1" x14ac:dyDescent="0.25">
      <c r="B5" s="47">
        <f>IF((SUM(tblJobs[Job value]))=0,"",(SUM(tblJobs[Job margin]))/(SUM(tblJobs[Job value])))</f>
        <v>0.294683972646394</v>
      </c>
      <c r="C5" s="47"/>
      <c r="D5" s="48">
        <f>COUNTIF(tblJobs[Margin status],"Below target")</f>
        <v>2</v>
      </c>
      <c r="E5" s="48"/>
      <c r="F5" s="48"/>
      <c r="G5" s="49">
        <f>SUM(tblJobs[Machine hours])</f>
        <v>462</v>
      </c>
      <c r="H5" s="49"/>
      <c r="I5" s="49"/>
      <c r="J5" s="48">
        <f>SUMPRODUCT(tblJobs[Failure allowance],tblJobs[Quantity])</f>
        <v>816.016589043963</v>
      </c>
      <c r="K5" s="48"/>
      <c r="L5" s="48"/>
    </row>
    <row r="6" spans="1:12" ht="21" customHeight="1" x14ac:dyDescent="0.25">
      <c r="B6" s="47"/>
      <c r="C6" s="47"/>
      <c r="D6" s="48"/>
      <c r="E6" s="48"/>
      <c r="F6" s="48"/>
      <c r="G6" s="49"/>
      <c r="H6" s="49"/>
      <c r="I6" s="49"/>
      <c r="J6" s="48"/>
      <c r="K6" s="48"/>
      <c r="L6" s="48"/>
    </row>
    <row r="7" spans="1:12" x14ac:dyDescent="0.25">
      <c r="B7" s="50">
        <f>TargetMargin</f>
        <v>0.35</v>
      </c>
      <c r="C7" s="50"/>
      <c r="D7" s="51" t="s">
        <v>166</v>
      </c>
      <c r="E7" s="51"/>
      <c r="F7" s="51"/>
      <c r="G7" s="51" t="s">
        <v>167</v>
      </c>
      <c r="H7" s="51"/>
      <c r="I7" s="51"/>
      <c r="J7" s="51" t="s">
        <v>168</v>
      </c>
      <c r="K7" s="51"/>
      <c r="L7" s="51"/>
    </row>
    <row r="8" spans="1:12" ht="18" customHeight="1" x14ac:dyDescent="0.25">
      <c r="B8" s="52" t="str">
        <f>IF(NOT(ISNUMBER(KpiMargin)),"No data",IF(KpiMargin&gt;=(TargetMargin),"On target",IF(KpiMargin&gt;=(TargetMargin)*(1-0.05),"Near target","Below target")))</f>
        <v>Below target</v>
      </c>
      <c r="C8" s="52"/>
      <c r="D8" s="52"/>
      <c r="E8" s="52"/>
      <c r="F8" s="52"/>
      <c r="G8" s="52"/>
      <c r="H8" s="52"/>
      <c r="I8" s="52"/>
      <c r="J8" s="52"/>
      <c r="K8" s="52"/>
      <c r="L8" s="52"/>
    </row>
    <row r="28" spans="2:12" x14ac:dyDescent="0.25">
      <c r="B28" s="31" t="s">
        <v>169</v>
      </c>
      <c r="C28" s="31"/>
      <c r="D28" s="31"/>
      <c r="E28" s="31"/>
      <c r="F28" s="31"/>
      <c r="G28" s="31"/>
      <c r="H28" s="31"/>
      <c r="I28" s="31"/>
      <c r="J28" s="31"/>
      <c r="K28" s="31"/>
      <c r="L28" s="31"/>
    </row>
    <row r="29" spans="2:12" ht="32" customHeight="1" x14ac:dyDescent="0.25">
      <c r="B29" s="53" t="s">
        <v>106</v>
      </c>
      <c r="C29" s="33" t="s">
        <v>107</v>
      </c>
      <c r="D29" s="33"/>
      <c r="E29" s="33" t="s">
        <v>62</v>
      </c>
      <c r="F29" s="33"/>
      <c r="G29" s="33" t="s">
        <v>122</v>
      </c>
      <c r="H29" s="33" t="s">
        <v>66</v>
      </c>
      <c r="I29" s="33" t="s">
        <v>123</v>
      </c>
      <c r="J29" s="33" t="s">
        <v>170</v>
      </c>
      <c r="K29" s="33" t="s">
        <v>124</v>
      </c>
      <c r="L29" s="33" t="s">
        <v>127</v>
      </c>
    </row>
    <row r="30" spans="2:12" ht="14" customHeight="1" x14ac:dyDescent="0.25">
      <c r="B30" s="32"/>
      <c r="C30" s="32"/>
      <c r="D30" s="32"/>
      <c r="E30" s="32"/>
      <c r="F30" s="32"/>
      <c r="G30" s="32" t="str">
        <f>Currency&amp;"/part"</f>
        <v>USD/part</v>
      </c>
      <c r="H30" s="32" t="str">
        <f>Currency&amp;"/part"</f>
        <v>USD/part</v>
      </c>
      <c r="I30" s="32" t="s">
        <v>136</v>
      </c>
      <c r="J30" s="32" t="s">
        <v>132</v>
      </c>
      <c r="K30" s="32"/>
      <c r="L30" s="32" t="str">
        <f>Currency&amp;"/job"</f>
        <v>USD/job</v>
      </c>
    </row>
    <row r="31" spans="2:12" x14ac:dyDescent="0.25">
      <c r="B31" s="54" t="str">
        <f>IFERROR(INDEX(tblJobs[Job],1)&amp;"","")</f>
        <v>J-2401</v>
      </c>
      <c r="C31" s="55" t="str">
        <f>IF($B$31="","",IFERROR(INDEX(tblJobs[Part],MATCH($B$31,tblJobs[Job],0)),""))</f>
        <v>Drone arm brackets</v>
      </c>
      <c r="D31" s="55"/>
      <c r="E31" s="55" t="str">
        <f>IF($B$31="","",IFERROR(INDEX(tblJobs[Printer],MATCH($B$31,tblJobs[Job],0)),""))</f>
        <v>FDM-B industrial</v>
      </c>
      <c r="F31" s="55"/>
      <c r="G31" s="42">
        <f>IF($B$31="","",IFERROR(INDEX(tblJobs[Cost per part],MATCH($B$31,tblJobs[Job],0)),""))</f>
        <v>13.9946848495621</v>
      </c>
      <c r="H31" s="42">
        <f>IF($B$31="","",IFERROR(INDEX(tblJobs[Price],MATCH($B$31,tblJobs[Job],0)),""))</f>
        <v>22</v>
      </c>
      <c r="I31" s="44">
        <f>IF($B$31="","",IFERROR(INDEX(tblJobs[Margin],MATCH($B$31,tblJobs[Job],0)),""))</f>
        <v>0.36387796138354</v>
      </c>
      <c r="J31" s="56">
        <f>TargetMargin</f>
        <v>0.35</v>
      </c>
      <c r="K31" s="57" t="str">
        <f>IF($B$31="","",IFERROR(INDEX(tblJobs[Margin status],MATCH($B$31,tblJobs[Job],0)),""))</f>
        <v>On target</v>
      </c>
      <c r="L31" s="40">
        <f>IF($B$31="","",IFERROR(INDEX(tblJobs[Job margin],MATCH($B$31,tblJobs[Job],0)),""))</f>
        <v>320.212606017515</v>
      </c>
    </row>
    <row r="32" spans="2:12" x14ac:dyDescent="0.25">
      <c r="B32" s="54" t="str">
        <f>IFERROR(INDEX(tblJobs[Job],2)&amp;"","")</f>
        <v>J-2402</v>
      </c>
      <c r="C32" s="55" t="str">
        <f>IF($B$32="","",IFERROR(INDEX(tblJobs[Part],MATCH($B$32,tblJobs[Job],0)),""))</f>
        <v>Jig nest plates</v>
      </c>
      <c r="D32" s="55"/>
      <c r="E32" s="55" t="str">
        <f>IF($B$32="","",IFERROR(INDEX(tblJobs[Printer],MATCH($B$32,tblJobs[Job],0)),""))</f>
        <v>FDM-B industrial</v>
      </c>
      <c r="F32" s="55"/>
      <c r="G32" s="42">
        <f>IF($B$32="","",IFERROR(INDEX(tblJobs[Cost per part],MATCH($B$32,tblJobs[Job],0)),""))</f>
        <v>85.5877659574468</v>
      </c>
      <c r="H32" s="42">
        <f>IF($B$32="","",IFERROR(INDEX(tblJobs[Price],MATCH($B$32,tblJobs[Job],0)),""))</f>
        <v>135</v>
      </c>
      <c r="I32" s="44">
        <f>IF($B$32="","",IFERROR(INDEX(tblJobs[Margin],MATCH($B$32,tblJobs[Job],0)),""))</f>
        <v>0.366016548463357</v>
      </c>
      <c r="J32" s="56">
        <f>TargetMargin</f>
        <v>0.35</v>
      </c>
      <c r="K32" s="57" t="str">
        <f>IF($B$32="","",IFERROR(INDEX(tblJobs[Margin status],MATCH($B$32,tblJobs[Job],0)),""))</f>
        <v>On target</v>
      </c>
      <c r="L32" s="40">
        <f>IF($B$32="","",IFERROR(INDEX(tblJobs[Job margin],MATCH($B$32,tblJobs[Job],0)),""))</f>
        <v>296.473404255319</v>
      </c>
    </row>
    <row r="33" spans="2:12" x14ac:dyDescent="0.25">
      <c r="B33" s="54" t="str">
        <f>IFERROR(INDEX(tblJobs[Job],3)&amp;"","")</f>
        <v>J-2403</v>
      </c>
      <c r="C33" s="55" t="str">
        <f>IF($B$33="","",IFERROR(INDEX(tblJobs[Part],MATCH($B$33,tblJobs[Job],0)),""))</f>
        <v>Cable clips</v>
      </c>
      <c r="D33" s="55"/>
      <c r="E33" s="55" t="str">
        <f>IF($B$33="","",IFERROR(INDEX(tblJobs[Printer],MATCH($B$33,tblJobs[Job],0)),""))</f>
        <v>FDM-A desktop</v>
      </c>
      <c r="F33" s="55"/>
      <c r="G33" s="42">
        <f>IF($B$33="","",IFERROR(INDEX(tblJobs[Cost per part],MATCH($B$33,tblJobs[Job],0)),""))</f>
        <v>0.801160137457045</v>
      </c>
      <c r="H33" s="42">
        <f>IF($B$33="","",IFERROR(INDEX(tblJobs[Price],MATCH($B$33,tblJobs[Job],0)),""))</f>
        <v>1.25</v>
      </c>
      <c r="I33" s="44">
        <f>IF($B$33="","",IFERROR(INDEX(tblJobs[Margin],MATCH($B$33,tblJobs[Job],0)),""))</f>
        <v>0.359071890034364</v>
      </c>
      <c r="J33" s="56">
        <f>TargetMargin</f>
        <v>0.35</v>
      </c>
      <c r="K33" s="57" t="str">
        <f>IF($B$33="","",IFERROR(INDEX(tblJobs[Margin status],MATCH($B$33,tblJobs[Job],0)),""))</f>
        <v>On target</v>
      </c>
      <c r="L33" s="40">
        <f>IF($B$33="","",IFERROR(INDEX(tblJobs[Job margin],MATCH($B$33,tblJobs[Job],0)),""))</f>
        <v>224.419931271478</v>
      </c>
    </row>
    <row r="34" spans="2:12" x14ac:dyDescent="0.25">
      <c r="B34" s="54" t="str">
        <f>IFERROR(INDEX(tblJobs[Job],4)&amp;"","")</f>
        <v>J-2404</v>
      </c>
      <c r="C34" s="55" t="str">
        <f>IF($B$34="","",IFERROR(INDEX(tblJobs[Part],MATCH($B$34,tblJobs[Job],0)),""))</f>
        <v>Dental models</v>
      </c>
      <c r="D34" s="55"/>
      <c r="E34" s="55" t="str">
        <f>IF($B$34="","",IFERROR(INDEX(tblJobs[Printer],MATCH($B$34,tblJobs[Job],0)),""))</f>
        <v>SLA-1</v>
      </c>
      <c r="F34" s="55"/>
      <c r="G34" s="42">
        <f>IF($B$34="","",IFERROR(INDEX(tblJobs[Cost per part],MATCH($B$34,tblJobs[Job],0)),""))</f>
        <v>17.9054919908467</v>
      </c>
      <c r="H34" s="42">
        <f>IF($B$34="","",IFERROR(INDEX(tblJobs[Price],MATCH($B$34,tblJobs[Job],0)),""))</f>
        <v>28</v>
      </c>
      <c r="I34" s="44">
        <f>IF($B$34="","",IFERROR(INDEX(tblJobs[Margin],MATCH($B$34,tblJobs[Job],0)),""))</f>
        <v>0.360518143184047</v>
      </c>
      <c r="J34" s="56">
        <f>TargetMargin</f>
        <v>0.35</v>
      </c>
      <c r="K34" s="57" t="str">
        <f>IF($B$34="","",IFERROR(INDEX(tblJobs[Margin status],MATCH($B$34,tblJobs[Job],0)),""))</f>
        <v>On target</v>
      </c>
      <c r="L34" s="40">
        <f>IF($B$34="","",IFERROR(INDEX(tblJobs[Job margin],MATCH($B$34,tblJobs[Job],0)),""))</f>
        <v>242.26819221968</v>
      </c>
    </row>
    <row r="35" spans="2:12" x14ac:dyDescent="0.25">
      <c r="B35" s="54" t="str">
        <f>IFERROR(INDEX(tblJobs[Job],5)&amp;"","")</f>
        <v>J-2405</v>
      </c>
      <c r="C35" s="55" t="str">
        <f>IF($B$35="","",IFERROR(INDEX(tblJobs[Part],MATCH($B$35,tblJobs[Job],0)),""))</f>
        <v>Enclosure prototype</v>
      </c>
      <c r="D35" s="55"/>
      <c r="E35" s="55" t="str">
        <f>IF($B$35="","",IFERROR(INDEX(tblJobs[Printer],MATCH($B$35,tblJobs[Job],0)),""))</f>
        <v>SLA-1</v>
      </c>
      <c r="F35" s="55"/>
      <c r="G35" s="42">
        <f>IF($B$35="","",IFERROR(INDEX(tblJobs[Cost per part],MATCH($B$35,tblJobs[Job],0)),""))</f>
        <v>75.0133900441084</v>
      </c>
      <c r="H35" s="42">
        <f>IF($B$35="","",IFERROR(INDEX(tblJobs[Price],MATCH($B$35,tblJobs[Job],0)),""))</f>
        <v>114</v>
      </c>
      <c r="I35" s="44">
        <f>IF($B$35="","",IFERROR(INDEX(tblJobs[Margin],MATCH($B$35,tblJobs[Job],0)),""))</f>
        <v>0.341987806630628</v>
      </c>
      <c r="J35" s="56">
        <f>TargetMargin</f>
        <v>0.35</v>
      </c>
      <c r="K35" s="57" t="str">
        <f>IF($B$35="","",IFERROR(INDEX(tblJobs[Margin status],MATCH($B$35,tblJobs[Job],0)),""))</f>
        <v>Near target</v>
      </c>
      <c r="L35" s="40">
        <f>IF($B$35="","",IFERROR(INDEX(tblJobs[Job margin],MATCH($B$35,tblJobs[Job],0)),""))</f>
        <v>155.946439823567</v>
      </c>
    </row>
    <row r="36" spans="2:12" x14ac:dyDescent="0.25">
      <c r="B36" s="54" t="str">
        <f>IFERROR(INDEX(tblJobs[Job],6)&amp;"","")</f>
        <v>J-2406</v>
      </c>
      <c r="C36" s="55" t="str">
        <f>IF($B$36="","",IFERROR(INDEX(tblJobs[Part],MATCH($B$36,tblJobs[Job],0)),""))</f>
        <v>Snap-fit housings</v>
      </c>
      <c r="D36" s="55"/>
      <c r="E36" s="55" t="str">
        <f>IF($B$36="","",IFERROR(INDEX(tblJobs[Printer],MATCH($B$36,tblJobs[Job],0)),""))</f>
        <v>SLS-1</v>
      </c>
      <c r="F36" s="55"/>
      <c r="G36" s="42">
        <f>IF($B$36="","",IFERROR(INDEX(tblJobs[Cost per part],MATCH($B$36,tblJobs[Job],0)),""))</f>
        <v>7.43367346938776</v>
      </c>
      <c r="H36" s="42">
        <f>IF($B$36="","",IFERROR(INDEX(tblJobs[Price],MATCH($B$36,tblJobs[Job],0)),""))</f>
        <v>11.8</v>
      </c>
      <c r="I36" s="44">
        <f>IF($B$36="","",IFERROR(INDEX(tblJobs[Margin],MATCH($B$36,tblJobs[Job],0)),""))</f>
        <v>0.370027672085784</v>
      </c>
      <c r="J36" s="56">
        <f>TargetMargin</f>
        <v>0.35</v>
      </c>
      <c r="K36" s="57" t="str">
        <f>IF($B$36="","",IFERROR(INDEX(tblJobs[Margin status],MATCH($B$36,tblJobs[Job],0)),""))</f>
        <v>On target</v>
      </c>
      <c r="L36" s="40">
        <f>IF($B$36="","",IFERROR(INDEX(tblJobs[Job margin],MATCH($B$36,tblJobs[Job],0)),""))</f>
        <v>1309.89795918367</v>
      </c>
    </row>
    <row r="37" spans="2:12" x14ac:dyDescent="0.25">
      <c r="B37" s="54" t="str">
        <f>IFERROR(INDEX(tblJobs[Job],7)&amp;"","")</f>
        <v>J-2407</v>
      </c>
      <c r="C37" s="55" t="str">
        <f>IF($B$37="","",IFERROR(INDEX(tblJobs[Part],MATCH($B$37,tblJobs[Job],0)),""))</f>
        <v>Duct elbows</v>
      </c>
      <c r="D37" s="55"/>
      <c r="E37" s="55" t="str">
        <f>IF($B$37="","",IFERROR(INDEX(tblJobs[Printer],MATCH($B$37,tblJobs[Job],0)),""))</f>
        <v>SLS-1</v>
      </c>
      <c r="F37" s="55"/>
      <c r="G37" s="42">
        <f>IF($B$37="","",IFERROR(INDEX(tblJobs[Cost per part],MATCH($B$37,tblJobs[Job],0)),""))</f>
        <v>28.7250859106529</v>
      </c>
      <c r="H37" s="42">
        <f>IF($B$37="","",IFERROR(INDEX(tblJobs[Price],MATCH($B$37,tblJobs[Job],0)),""))</f>
        <v>44</v>
      </c>
      <c r="I37" s="44">
        <f>IF($B$37="","",IFERROR(INDEX(tblJobs[Margin],MATCH($B$37,tblJobs[Job],0)),""))</f>
        <v>0.347157138394252</v>
      </c>
      <c r="J37" s="56">
        <f>TargetMargin</f>
        <v>0.35</v>
      </c>
      <c r="K37" s="57" t="str">
        <f>IF($B$37="","",IFERROR(INDEX(tblJobs[Margin status],MATCH($B$37,tblJobs[Job],0)),""))</f>
        <v>Near target</v>
      </c>
      <c r="L37" s="40">
        <f>IF($B$37="","",IFERROR(INDEX(tblJobs[Job margin],MATCH($B$37,tblJobs[Job],0)),""))</f>
        <v>916.494845360825</v>
      </c>
    </row>
    <row r="38" spans="2:12" x14ac:dyDescent="0.25">
      <c r="B38" s="54" t="str">
        <f>IFERROR(INDEX(tblJobs[Job],8)&amp;"","")</f>
        <v>J-2408</v>
      </c>
      <c r="C38" s="55" t="str">
        <f>IF($B$38="","",IFERROR(INDEX(tblJobs[Part],MATCH($B$38,tblJobs[Job],0)),""))</f>
        <v>Manifold demonstrator</v>
      </c>
      <c r="D38" s="55"/>
      <c r="E38" s="55" t="str">
        <f>IF($B$38="","",IFERROR(INDEX(tblJobs[Printer],MATCH($B$38,tblJobs[Job],0)),""))</f>
        <v>PBF-M1</v>
      </c>
      <c r="F38" s="55"/>
      <c r="G38" s="42">
        <f>IF($B$38="","",IFERROR(INDEX(tblJobs[Cost per part],MATCH($B$38,tblJobs[Job],0)),""))</f>
        <v>904.232297443138</v>
      </c>
      <c r="H38" s="42">
        <f>IF($B$38="","",IFERROR(INDEX(tblJobs[Price],MATCH($B$38,tblJobs[Job],0)),""))</f>
        <v>950</v>
      </c>
      <c r="I38" s="44">
        <f>IF($B$38="","",IFERROR(INDEX(tblJobs[Margin],MATCH($B$38,tblJobs[Job],0)),""))</f>
        <v>0.0481765290072235</v>
      </c>
      <c r="J38" s="56">
        <f>TargetMargin</f>
        <v>0.35</v>
      </c>
      <c r="K38" s="57" t="str">
        <f>IF($B$38="","",IFERROR(INDEX(tblJobs[Margin status],MATCH($B$38,tblJobs[Job],0)),""))</f>
        <v>Below target</v>
      </c>
      <c r="L38" s="40">
        <f>IF($B$38="","",IFERROR(INDEX(tblJobs[Job margin],MATCH($B$38,tblJobs[Job],0)),""))</f>
        <v>183.070810227449</v>
      </c>
    </row>
    <row r="39" spans="2:12" x14ac:dyDescent="0.25">
      <c r="B39" s="54" t="str">
        <f>IFERROR(INDEX(tblJobs[Job],9)&amp;"","")</f>
        <v>J-2409</v>
      </c>
      <c r="C39" s="55" t="str">
        <f>IF($B$39="","",IFERROR(INDEX(tblJobs[Part],MATCH($B$39,tblJobs[Job],0)),""))</f>
        <v>Gripper fingers</v>
      </c>
      <c r="D39" s="55"/>
      <c r="E39" s="55" t="str">
        <f>IF($B$39="","",IFERROR(INDEX(tblJobs[Printer],MATCH($B$39,tblJobs[Job],0)),""))</f>
        <v>FDM-B industrial</v>
      </c>
      <c r="F39" s="55"/>
      <c r="G39" s="42">
        <f>IF($B$39="","",IFERROR(INDEX(tblJobs[Cost per part],MATCH($B$39,tblJobs[Job],0)),""))</f>
        <v>23.0278947368421</v>
      </c>
      <c r="H39" s="42">
        <f>IF($B$39="","",IFERROR(INDEX(tblJobs[Price],MATCH($B$39,tblJobs[Job],0)),""))</f>
        <v>36</v>
      </c>
      <c r="I39" s="44">
        <f>IF($B$39="","",IFERROR(INDEX(tblJobs[Margin],MATCH($B$39,tblJobs[Job],0)),""))</f>
        <v>0.360336257309941</v>
      </c>
      <c r="J39" s="56">
        <f>TargetMargin</f>
        <v>0.35</v>
      </c>
      <c r="K39" s="57" t="str">
        <f>IF($B$39="","",IFERROR(INDEX(tblJobs[Margin status],MATCH($B$39,tblJobs[Job],0)),""))</f>
        <v>On target</v>
      </c>
      <c r="L39" s="40">
        <f>IF($B$39="","",IFERROR(INDEX(tblJobs[Job margin],MATCH($B$39,tblJobs[Job],0)),""))</f>
        <v>207.553684210526</v>
      </c>
    </row>
    <row r="40" spans="2:12" x14ac:dyDescent="0.25">
      <c r="B40" s="54" t="str">
        <f>IFERROR(INDEX(tblJobs[Job],10)&amp;"","")</f>
        <v>J-2410</v>
      </c>
      <c r="C40" s="55" t="str">
        <f>IF($B$40="","",IFERROR(INDEX(tblJobs[Part],MATCH($B$40,tblJobs[Job],0)),""))</f>
        <v>Lamp shades</v>
      </c>
      <c r="D40" s="55"/>
      <c r="E40" s="55" t="str">
        <f>IF($B$40="","",IFERROR(INDEX(tblJobs[Printer],MATCH($B$40,tblJobs[Job],0)),""))</f>
        <v>FDM-A desktop</v>
      </c>
      <c r="F40" s="55"/>
      <c r="G40" s="42">
        <f>IF($B$40="","",IFERROR(INDEX(tblJobs[Cost per part],MATCH($B$40,tblJobs[Job],0)),""))</f>
        <v>20.6282269503546</v>
      </c>
      <c r="H40" s="42">
        <f>IF($B$40="","",IFERROR(INDEX(tblJobs[Price],MATCH($B$40,tblJobs[Job],0)),""))</f>
        <v>18</v>
      </c>
      <c r="I40" s="44">
        <f>IF($B$40="","",IFERROR(INDEX(tblJobs[Margin],MATCH($B$40,tblJobs[Job],0)),""))</f>
        <v>-0.146012608353034</v>
      </c>
      <c r="J40" s="56">
        <f>TargetMargin</f>
        <v>0.35</v>
      </c>
      <c r="K40" s="57" t="str">
        <f>IF($B$40="","",IFERROR(INDEX(tblJobs[Margin status],MATCH($B$40,tblJobs[Job],0)),""))</f>
        <v>Below target</v>
      </c>
      <c r="L40" s="40">
        <f>IF($B$40="","",IFERROR(INDEX(tblJobs[Job margin],MATCH($B$40,tblJobs[Job],0)),""))</f>
        <v>-52.5645390070923</v>
      </c>
    </row>
    <row r="41" spans="2:12" x14ac:dyDescent="0.25">
      <c r="B41" s="54" t="str">
        <f>IFERROR(INDEX(tblJobs[Job],11)&amp;"","")</f>
        <v>J-2411</v>
      </c>
      <c r="C41" s="55" t="str">
        <f>IF($B$41="","",IFERROR(INDEX(tblJobs[Part],MATCH($B$41,tblJobs[Job],0)),""))</f>
        <v>Ear mould shells</v>
      </c>
      <c r="D41" s="55"/>
      <c r="E41" s="55" t="str">
        <f>IF($B$41="","",IFERROR(INDEX(tblJobs[Printer],MATCH($B$41,tblJobs[Job],0)),""))</f>
        <v>SLA-1</v>
      </c>
      <c r="F41" s="55"/>
      <c r="G41" s="42">
        <f>IF($B$41="","",IFERROR(INDEX(tblJobs[Cost per part],MATCH($B$41,tblJobs[Job],0)),""))</f>
        <v>5.828125</v>
      </c>
      <c r="H41" s="42">
        <f>IF($B$41="","",IFERROR(INDEX(tblJobs[Price],MATCH($B$41,tblJobs[Job],0)),""))</f>
        <v>9.5</v>
      </c>
      <c r="I41" s="44">
        <f>IF($B$41="","",IFERROR(INDEX(tblJobs[Margin],MATCH($B$41,tblJobs[Job],0)),""))</f>
        <v>0.386513157894737</v>
      </c>
      <c r="J41" s="56">
        <f>TargetMargin</f>
        <v>0.35</v>
      </c>
      <c r="K41" s="57" t="str">
        <f>IF($B$41="","",IFERROR(INDEX(tblJobs[Margin status],MATCH($B$41,tblJobs[Job],0)),""))</f>
        <v>On target</v>
      </c>
      <c r="L41" s="40">
        <f>IF($B$41="","",IFERROR(INDEX(tblJobs[Job margin],MATCH($B$41,tblJobs[Job],0)),""))</f>
        <v>146.875</v>
      </c>
    </row>
    <row r="42" spans="2:12" x14ac:dyDescent="0.25">
      <c r="B42" s="54" t="str">
        <f>IFERROR(INDEX(tblJobs[Job],12)&amp;"","")</f>
        <v>J-2412</v>
      </c>
      <c r="C42" s="55" t="str">
        <f>IF($B$42="","",IFERROR(INDEX(tblJobs[Part],MATCH($B$42,tblJobs[Job],0)),""))</f>
        <v>Sensor brackets</v>
      </c>
      <c r="D42" s="55"/>
      <c r="E42" s="55" t="str">
        <f>IF($B$42="","",IFERROR(INDEX(tblJobs[Printer],MATCH($B$42,tblJobs[Job],0)),""))</f>
        <v>PBF-M1</v>
      </c>
      <c r="F42" s="55"/>
      <c r="G42" s="42">
        <f>IF($B$42="","",IFERROR(INDEX(tblJobs[Cost per part],MATCH($B$42,tblJobs[Job],0)),""))</f>
        <v>135.280498411348</v>
      </c>
      <c r="H42" s="42">
        <f>IF($B$42="","",IFERROR(INDEX(tblJobs[Price],MATCH($B$42,tblJobs[Job],0)),""))</f>
        <v>215</v>
      </c>
      <c r="I42" s="44">
        <f>IF($B$42="","",IFERROR(INDEX(tblJobs[Margin],MATCH($B$42,tblJobs[Job],0)),""))</f>
        <v>0.370788379482104</v>
      </c>
      <c r="J42" s="56">
        <f>TargetMargin</f>
        <v>0.35</v>
      </c>
      <c r="K42" s="57" t="str">
        <f>IF($B$42="","",IFERROR(INDEX(tblJobs[Margin status],MATCH($B$42,tblJobs[Job],0)),""))</f>
        <v>On target</v>
      </c>
      <c r="L42" s="40">
        <f>IF($B$42="","",IFERROR(INDEX(tblJobs[Job margin],MATCH($B$42,tblJobs[Job],0)),""))</f>
        <v>1913.26803812766</v>
      </c>
    </row>
    <row r="44" spans="2:12" x14ac:dyDescent="0.25">
      <c r="B44" s="31" t="s">
        <v>171</v>
      </c>
      <c r="C44" s="31"/>
      <c r="D44" s="31"/>
      <c r="E44" s="31"/>
      <c r="F44" s="31"/>
      <c r="G44" s="31"/>
      <c r="H44" s="31"/>
    </row>
    <row r="45" spans="2:12" ht="32" customHeight="1" x14ac:dyDescent="0.25">
      <c r="B45" s="53" t="s">
        <v>62</v>
      </c>
      <c r="C45" s="33" t="s">
        <v>172</v>
      </c>
      <c r="D45" s="33" t="s">
        <v>116</v>
      </c>
      <c r="E45" s="33" t="s">
        <v>117</v>
      </c>
      <c r="F45" s="33" t="s">
        <v>125</v>
      </c>
      <c r="G45" s="33" t="s">
        <v>126</v>
      </c>
      <c r="H45" s="33" t="s">
        <v>123</v>
      </c>
    </row>
    <row r="46" spans="2:12" ht="14" customHeight="1" x14ac:dyDescent="0.25">
      <c r="B46" s="32"/>
      <c r="C46" s="32" t="s">
        <v>173</v>
      </c>
      <c r="D46" s="32" t="s">
        <v>135</v>
      </c>
      <c r="E46" s="32" t="s">
        <v>133</v>
      </c>
      <c r="F46" s="32" t="str">
        <f>Currency</f>
        <v>USD</v>
      </c>
      <c r="G46" s="32" t="str">
        <f>Currency</f>
        <v>USD</v>
      </c>
      <c r="H46" s="32" t="s">
        <v>136</v>
      </c>
    </row>
    <row r="47" spans="2:12" x14ac:dyDescent="0.25">
      <c r="B47" s="54" t="str">
        <f>IFERROR(INDEX(tblPrinters[Printer],1)&amp;"","")</f>
        <v>FDM-A desktop</v>
      </c>
      <c r="C47" s="40">
        <f>IF($B$47="","",COUNTIF(tblJobs[Printer],$B$47))</f>
        <v>2</v>
      </c>
      <c r="D47" s="40">
        <f>IF($B$47="","",SUMIFS(tblJobs[Builds],tblJobs[Printer],$B$47))</f>
        <v>20</v>
      </c>
      <c r="E47" s="41">
        <f>IF($B$47="","",SUMIFS(tblJobs[Machine hours],tblJobs[Printer],$B$47))</f>
        <v>185</v>
      </c>
      <c r="F47" s="40">
        <f>IF($B$47="","",SUMIFS(tblJobs[Job cost],tblJobs[Printer],$B$47))</f>
        <v>813.144607735615</v>
      </c>
      <c r="G47" s="40">
        <f>IF($B$47="","",SUMIFS(tblJobs[Job value],tblJobs[Printer],$B$47))</f>
        <v>985</v>
      </c>
      <c r="H47" s="44">
        <f>IF($B$47="","",IF(($G$47)=0,"",(SUMIFS(tblJobs[Job margin],tblJobs[Printer],$B$47))/($G$47)))</f>
        <v>0.174472479456229</v>
      </c>
    </row>
    <row r="48" spans="2:12" x14ac:dyDescent="0.25">
      <c r="B48" s="54" t="str">
        <f>IFERROR(INDEX(tblPrinters[Printer],2)&amp;"","")</f>
        <v>FDM-B industrial</v>
      </c>
      <c r="C48" s="40">
        <f>IF($B$48="","",COUNTIF(tblJobs[Printer],$B$48))</f>
        <v>3</v>
      </c>
      <c r="D48" s="40">
        <f>IF($B$48="","",SUMIFS(tblJobs[Builds],tblJobs[Printer],$B$48))</f>
        <v>9</v>
      </c>
      <c r="E48" s="41">
        <f>IF($B$48="","",SUMIFS(tblJobs[Machine hours],tblJobs[Printer],$B$48))</f>
        <v>102</v>
      </c>
      <c r="F48" s="40">
        <f>IF($B$48="","",SUMIFS(tblJobs[Job cost],tblJobs[Printer],$B$48))</f>
        <v>1441.76030551664</v>
      </c>
      <c r="G48" s="40">
        <f>IF($B$48="","",SUMIFS(tblJobs[Job value],tblJobs[Printer],$B$48))</f>
        <v>2266</v>
      </c>
      <c r="H48" s="44">
        <f>IF($B$48="","",IF(($G$48)=0,"",(SUMIFS(tblJobs[Job margin],tblJobs[Printer],$B$48))/($G$48)))</f>
        <v>0.363742142313928</v>
      </c>
    </row>
    <row r="49" spans="2:8" x14ac:dyDescent="0.25">
      <c r="B49" s="54" t="str">
        <f>IFERROR(INDEX(tblPrinters[Printer],3)&amp;"","")</f>
        <v>SLA-1</v>
      </c>
      <c r="C49" s="40">
        <f>IF($B$49="","",COUNTIF(tblJobs[Printer],$B$49))</f>
        <v>3</v>
      </c>
      <c r="D49" s="40">
        <f>IF($B$49="","",SUMIFS(tblJobs[Builds],tblJobs[Printer],$B$49))</f>
        <v>7</v>
      </c>
      <c r="E49" s="41">
        <f>IF($B$49="","",SUMIFS(tblJobs[Machine hours],tblJobs[Printer],$B$49))</f>
        <v>51</v>
      </c>
      <c r="F49" s="40">
        <f>IF($B$49="","",SUMIFS(tblJobs[Job cost],tblJobs[Printer],$B$49))</f>
        <v>962.910367956754</v>
      </c>
      <c r="G49" s="40">
        <f>IF($B$49="","",SUMIFS(tblJobs[Job value],tblJobs[Printer],$B$49))</f>
        <v>1508</v>
      </c>
      <c r="H49" s="44">
        <f>IF($B$49="","",IF(($G$49)=0,"",(SUMIFS(tblJobs[Job margin],tblJobs[Printer],$B$49))/($G$49)))</f>
        <v>0.361465273238227</v>
      </c>
    </row>
    <row r="50" spans="2:8" x14ac:dyDescent="0.25">
      <c r="B50" s="54" t="str">
        <f>IFERROR(INDEX(tblPrinters[Printer],4)&amp;"","")</f>
        <v>SLS-1</v>
      </c>
      <c r="C50" s="40">
        <f>IF($B$50="","",COUNTIF(tblJobs[Printer],$B$50))</f>
        <v>2</v>
      </c>
      <c r="D50" s="40">
        <f>IF($B$50="","",SUMIFS(tblJobs[Builds],tblJobs[Printer],$B$50))</f>
        <v>4</v>
      </c>
      <c r="E50" s="41">
        <f>IF($B$50="","",SUMIFS(tblJobs[Machine hours],tblJobs[Printer],$B$50))</f>
        <v>68</v>
      </c>
      <c r="F50" s="40">
        <f>IF($B$50="","",SUMIFS(tblJobs[Job cost],tblJobs[Printer],$B$50))</f>
        <v>3953.6071954555</v>
      </c>
      <c r="G50" s="40">
        <f>IF($B$50="","",SUMIFS(tblJobs[Job value],tblJobs[Printer],$B$50))</f>
        <v>6180</v>
      </c>
      <c r="H50" s="44">
        <f>IF($B$50="","",IF(($G$50)=0,"",(SUMIFS(tblJobs[Job margin],tblJobs[Printer],$B$50))/($G$50)))</f>
        <v>0.360257735363187</v>
      </c>
    </row>
    <row r="51" spans="2:8" x14ac:dyDescent="0.25">
      <c r="B51" s="54" t="str">
        <f>IFERROR(INDEX(tblPrinters[Printer],5)&amp;"","")</f>
        <v>PBF-M1</v>
      </c>
      <c r="C51" s="40">
        <f>IF($B$51="","",COUNTIF(tblJobs[Printer],$B$51))</f>
        <v>2</v>
      </c>
      <c r="D51" s="40">
        <f>IF($B$51="","",SUMIFS(tblJobs[Builds],tblJobs[Printer],$B$51))</f>
        <v>2</v>
      </c>
      <c r="E51" s="41">
        <f>IF($B$51="","",SUMIFS(tblJobs[Machine hours],tblJobs[Printer],$B$51))</f>
        <v>56</v>
      </c>
      <c r="F51" s="40">
        <f>IF($B$51="","",SUMIFS(tblJobs[Job cost],tblJobs[Printer],$B$51))</f>
        <v>6863.66115164489</v>
      </c>
      <c r="G51" s="40">
        <f>IF($B$51="","",SUMIFS(tblJobs[Job value],tblJobs[Printer],$B$51))</f>
        <v>8960</v>
      </c>
      <c r="H51" s="44">
        <f>IF($B$51="","",IF(($G$51)=0,"",(SUMIFS(tblJobs[Job margin],tblJobs[Printer],$B$51))/($G$51)))</f>
        <v>0.233966389325347</v>
      </c>
    </row>
    <row r="55" spans="2:8" x14ac:dyDescent="0.25">
      <c r="B55" s="31" t="s">
        <v>174</v>
      </c>
      <c r="C55" s="31"/>
      <c r="D55" s="31"/>
      <c r="E55" s="31"/>
      <c r="F55" s="31"/>
    </row>
    <row r="56" spans="2:8" ht="32" customHeight="1" x14ac:dyDescent="0.25">
      <c r="B56" s="53" t="s">
        <v>106</v>
      </c>
      <c r="C56" s="33" t="s">
        <v>65</v>
      </c>
      <c r="D56" s="33" t="s">
        <v>175</v>
      </c>
      <c r="E56" s="33" t="s">
        <v>176</v>
      </c>
      <c r="F56" s="33" t="s">
        <v>121</v>
      </c>
    </row>
    <row r="57" spans="2:8" ht="14" customHeight="1" x14ac:dyDescent="0.25">
      <c r="B57" s="32"/>
      <c r="C57" s="32" t="s">
        <v>132</v>
      </c>
      <c r="D57" s="32" t="s">
        <v>132</v>
      </c>
      <c r="E57" s="32" t="s">
        <v>132</v>
      </c>
      <c r="F57" s="32" t="s">
        <v>132</v>
      </c>
    </row>
    <row r="58" spans="2:8" x14ac:dyDescent="0.25">
      <c r="B58" s="54" t="str">
        <f>IFERROR(INDEX(tblJobs[Job],1)&amp;"","")</f>
        <v>J-2401</v>
      </c>
      <c r="C58" s="44">
        <f>IF($B$58="","",IFERROR(INDEX(tblJobs[Material cost],MATCH($B$58,tblJobs[Job],0))/INDEX(tblJobs[Cost per part],MATCH($B$58,tblJobs[Job],0)),""))</f>
        <v>0.0888359260874575</v>
      </c>
      <c r="D58" s="44">
        <f>IF($B$58="","",IFERROR(INDEX(tblJobs[Machine cost],MATCH($B$58,tblJobs[Job],0))/INDEX(tblJobs[Cost per part],MATCH($B$58,tblJobs[Job],0)),""))</f>
        <v>0.50912186137746</v>
      </c>
      <c r="E58" s="44">
        <f>IF($B$58="","",IFERROR(INDEX(tblJobs[Labour cost],MATCH($B$58,tblJobs[Job],0))/INDEX(tblJobs[Cost per part],MATCH($B$58,tblJobs[Job],0)),""))</f>
        <v>0.362042212535083</v>
      </c>
      <c r="F58" s="44">
        <f>IF($B$58="","",IFERROR(INDEX(tblJobs[Failure allowance],MATCH($B$58,tblJobs[Job],0))/INDEX(tblJobs[Cost per part],MATCH($B$58,tblJobs[Job],0)),""))</f>
        <v>0.04</v>
      </c>
    </row>
    <row r="59" spans="2:8" x14ac:dyDescent="0.25">
      <c r="B59" s="54" t="str">
        <f>IFERROR(INDEX(tblJobs[Job],2)&amp;"","")</f>
        <v>J-2402</v>
      </c>
      <c r="C59" s="44">
        <f>IF($B$59="","",IFERROR(INDEX(tblJobs[Material cost],MATCH($B$59,tblJobs[Job],0))/INDEX(tblJobs[Cost per part],MATCH($B$59,tblJobs[Job],0)),""))</f>
        <v>0.160098816071595</v>
      </c>
      <c r="D59" s="44">
        <f>IF($B$59="","",IFERROR(INDEX(tblJobs[Machine cost],MATCH($B$59,tblJobs[Job],0))/INDEX(tblJobs[Cost per part],MATCH($B$59,tblJobs[Job],0)),""))</f>
        <v>0.613405425561667</v>
      </c>
      <c r="E59" s="44">
        <f>IF($B$59="","",IFERROR(INDEX(tblJobs[Labour cost],MATCH($B$59,tblJobs[Job],0))/INDEX(tblJobs[Cost per part],MATCH($B$59,tblJobs[Job],0)),""))</f>
        <v>0.166495758366738</v>
      </c>
      <c r="F59" s="44">
        <f>IF($B$59="","",IFERROR(INDEX(tblJobs[Failure allowance],MATCH($B$59,tblJobs[Job],0))/INDEX(tblJobs[Cost per part],MATCH($B$59,tblJobs[Job],0)),""))</f>
        <v>0.06</v>
      </c>
    </row>
    <row r="60" spans="2:8" x14ac:dyDescent="0.25">
      <c r="B60" s="54" t="str">
        <f>IFERROR(INDEX(tblJobs[Job],3)&amp;"","")</f>
        <v>J-2403</v>
      </c>
      <c r="C60" s="44">
        <f>IF($B$60="","",IFERROR(INDEX(tblJobs[Material cost],MATCH($B$60,tblJobs[Job],0))/INDEX(tblJobs[Cost per part],MATCH($B$60,tblJobs[Job],0)),""))</f>
        <v>0.12455936751515</v>
      </c>
      <c r="D60" s="44">
        <f>IF($B$60="","",IFERROR(INDEX(tblJobs[Machine cost],MATCH($B$60,tblJobs[Job],0))/INDEX(tblJobs[Cost per part],MATCH($B$60,tblJobs[Job],0)),""))</f>
        <v>0.292076438978526</v>
      </c>
      <c r="E60" s="44">
        <f>IF($B$60="","",IFERROR(INDEX(tblJobs[Labour cost],MATCH($B$60,tblJobs[Job],0))/INDEX(tblJobs[Cost per part],MATCH($B$60,tblJobs[Job],0)),""))</f>
        <v>0.553364193506324</v>
      </c>
      <c r="F60" s="44">
        <f>IF($B$60="","",IFERROR(INDEX(tblJobs[Failure allowance],MATCH($B$60,tblJobs[Job],0))/INDEX(tblJobs[Cost per part],MATCH($B$60,tblJobs[Job],0)),""))</f>
        <v>0.03</v>
      </c>
    </row>
    <row r="61" spans="2:8" x14ac:dyDescent="0.25">
      <c r="B61" s="54" t="str">
        <f>IFERROR(INDEX(tblJobs[Job],4)&amp;"","")</f>
        <v>J-2404</v>
      </c>
      <c r="C61" s="44">
        <f>IF($B$61="","",IFERROR(INDEX(tblJobs[Material cost],MATCH($B$61,tblJobs[Job],0))/INDEX(tblJobs[Cost per part],MATCH($B$61,tblJobs[Job],0)),""))</f>
        <v>0.239324191342799</v>
      </c>
      <c r="D61" s="44">
        <f>IF($B$61="","",IFERROR(INDEX(tblJobs[Machine cost],MATCH($B$61,tblJobs[Job],0))/INDEX(tblJobs[Cost per part],MATCH($B$61,tblJobs[Job],0)),""))</f>
        <v>0.219904596981354</v>
      </c>
      <c r="E61" s="44">
        <f>IF($B$61="","",IFERROR(INDEX(tblJobs[Labour cost],MATCH($B$61,tblJobs[Job],0))/INDEX(tblJobs[Cost per part],MATCH($B$61,tblJobs[Job],0)),""))</f>
        <v>0.490771211675847</v>
      </c>
      <c r="F61" s="44">
        <f>IF($B$61="","",IFERROR(INDEX(tblJobs[Failure allowance],MATCH($B$61,tblJobs[Job],0))/INDEX(tblJobs[Cost per part],MATCH($B$61,tblJobs[Job],0)),""))</f>
        <v>0.05</v>
      </c>
    </row>
    <row r="62" spans="2:8" x14ac:dyDescent="0.25">
      <c r="B62" s="54" t="str">
        <f>IFERROR(INDEX(tblJobs[Job],5)&amp;"","")</f>
        <v>J-2405</v>
      </c>
      <c r="C62" s="44">
        <f>IF($B$62="","",IFERROR(INDEX(tblJobs[Material cost],MATCH($B$62,tblJobs[Job],0))/INDEX(tblJobs[Cost per part],MATCH($B$62,tblJobs[Job],0)),""))</f>
        <v>0.294556107395235</v>
      </c>
      <c r="D62" s="44">
        <f>IF($B$62="","",IFERROR(INDEX(tblJobs[Machine cost],MATCH($B$62,tblJobs[Job],0))/INDEX(tblJobs[Cost per part],MATCH($B$62,tblJobs[Job],0)),""))</f>
        <v>0.329941094322585</v>
      </c>
      <c r="E62" s="44">
        <f>IF($B$62="","",IFERROR(INDEX(tblJobs[Labour cost],MATCH($B$62,tblJobs[Job],0))/INDEX(tblJobs[Cost per part],MATCH($B$62,tblJobs[Job],0)),""))</f>
        <v>0.29550279828218</v>
      </c>
      <c r="F62" s="44">
        <f>IF($B$62="","",IFERROR(INDEX(tblJobs[Failure allowance],MATCH($B$62,tblJobs[Job],0))/INDEX(tblJobs[Cost per part],MATCH($B$62,tblJobs[Job],0)),""))</f>
        <v>0.08</v>
      </c>
    </row>
    <row r="63" spans="2:8" x14ac:dyDescent="0.25">
      <c r="B63" s="54" t="str">
        <f>IFERROR(INDEX(tblJobs[Job],6)&amp;"","")</f>
        <v>J-2406</v>
      </c>
      <c r="C63" s="44">
        <f>IF($B$63="","",IFERROR(INDEX(tblJobs[Material cost],MATCH($B$63,tblJobs[Job],0))/INDEX(tblJobs[Cost per part],MATCH($B$63,tblJobs[Job],0)),""))</f>
        <v>0.288551818805765</v>
      </c>
      <c r="D63" s="44">
        <f>IF($B$63="","",IFERROR(INDEX(tblJobs[Machine cost],MATCH($B$63,tblJobs[Job],0))/INDEX(tblJobs[Cost per part],MATCH($B$63,tblJobs[Job],0)),""))</f>
        <v>0.401775337451384</v>
      </c>
      <c r="E63" s="44">
        <f>IF($B$63="","",IFERROR(INDEX(tblJobs[Labour cost],MATCH($B$63,tblJobs[Job],0))/INDEX(tblJobs[Cost per part],MATCH($B$63,tblJobs[Job],0)),""))</f>
        <v>0.289672843742851</v>
      </c>
      <c r="F63" s="44">
        <f>IF($B$63="","",IFERROR(INDEX(tblJobs[Failure allowance],MATCH($B$63,tblJobs[Job],0))/INDEX(tblJobs[Cost per part],MATCH($B$63,tblJobs[Job],0)),""))</f>
        <v>0.02</v>
      </c>
    </row>
    <row r="64" spans="2:8" x14ac:dyDescent="0.25">
      <c r="B64" s="54" t="str">
        <f>IFERROR(INDEX(tblJobs[Job],7)&amp;"","")</f>
        <v>J-2407</v>
      </c>
      <c r="C64" s="44">
        <f>IF($B$64="","",IFERROR(INDEX(tblJobs[Material cost],MATCH($B$64,tblJobs[Job],0))/INDEX(tblJobs[Cost per part],MATCH($B$64,tblJobs[Job],0)),""))</f>
        <v>0.230808709175739</v>
      </c>
      <c r="D64" s="44">
        <f>IF($B$64="","",IFERROR(INDEX(tblJobs[Machine cost],MATCH($B$64,tblJobs[Job],0))/INDEX(tblJobs[Cost per part],MATCH($B$64,tblJobs[Job],0)),""))</f>
        <v>0.58485464768513</v>
      </c>
      <c r="E64" s="44">
        <f>IF($B$64="","",IFERROR(INDEX(tblJobs[Labour cost],MATCH($B$64,tblJobs[Job],0))/INDEX(tblJobs[Cost per part],MATCH($B$64,tblJobs[Job],0)),""))</f>
        <v>0.154336643139131</v>
      </c>
      <c r="F64" s="44">
        <f>IF($B$64="","",IFERROR(INDEX(tblJobs[Failure allowance],MATCH($B$64,tblJobs[Job],0))/INDEX(tblJobs[Cost per part],MATCH($B$64,tblJobs[Job],0)),""))</f>
        <v>0.03</v>
      </c>
    </row>
    <row r="65" spans="2:12" x14ac:dyDescent="0.25">
      <c r="B65" s="54" t="str">
        <f>IFERROR(INDEX(tblJobs[Job],8)&amp;"","")</f>
        <v>J-2408</v>
      </c>
      <c r="C65" s="44">
        <f>IF($B$65="","",IFERROR(INDEX(tblJobs[Material cost],MATCH($B$65,tblJobs[Job],0))/INDEX(tblJobs[Cost per part],MATCH($B$65,tblJobs[Job],0)),""))</f>
        <v>0.027989563932177</v>
      </c>
      <c r="D65" s="44">
        <f>IF($B$65="","",IFERROR(INDEX(tblJobs[Machine cost],MATCH($B$65,tblJobs[Job],0))/INDEX(tblJobs[Cost per part],MATCH($B$65,tblJobs[Job],0)),""))</f>
        <v>0.787961237410684</v>
      </c>
      <c r="E65" s="44">
        <f>IF($B$65="","",IFERROR(INDEX(tblJobs[Labour cost],MATCH($B$65,tblJobs[Job],0))/INDEX(tblJobs[Cost per part],MATCH($B$65,tblJobs[Job],0)),""))</f>
        <v>0.0840491986571396</v>
      </c>
      <c r="F65" s="44">
        <f>IF($B$65="","",IFERROR(INDEX(tblJobs[Failure allowance],MATCH($B$65,tblJobs[Job],0))/INDEX(tblJobs[Cost per part],MATCH($B$65,tblJobs[Job],0)),""))</f>
        <v>0.1</v>
      </c>
    </row>
    <row r="66" spans="2:12" x14ac:dyDescent="0.25">
      <c r="B66" s="54" t="str">
        <f>IFERROR(INDEX(tblJobs[Job],9)&amp;"","")</f>
        <v>J-2409</v>
      </c>
      <c r="C66" s="44">
        <f>IF($B$66="","",IFERROR(INDEX(tblJobs[Material cost],MATCH($B$66,tblJobs[Job],0))/INDEX(tblJobs[Cost per part],MATCH($B$66,tblJobs[Job],0)),""))</f>
        <v>0.213393367311956</v>
      </c>
      <c r="D66" s="44">
        <f>IF($B$66="","",IFERROR(INDEX(tblJobs[Machine cost],MATCH($B$66,tblJobs[Job],0))/INDEX(tblJobs[Cost per part],MATCH($B$66,tblJobs[Job],0)),""))</f>
        <v>0.447826434758759</v>
      </c>
      <c r="E66" s="44">
        <f>IF($B$66="","",IFERROR(INDEX(tblJobs[Labour cost],MATCH($B$66,tblJobs[Job],0))/INDEX(tblJobs[Cost per part],MATCH($B$66,tblJobs[Job],0)),""))</f>
        <v>0.288780197929285</v>
      </c>
      <c r="F66" s="44">
        <f>IF($B$66="","",IFERROR(INDEX(tblJobs[Failure allowance],MATCH($B$66,tblJobs[Job],0))/INDEX(tblJobs[Cost per part],MATCH($B$66,tblJobs[Job],0)),""))</f>
        <v>0.05</v>
      </c>
    </row>
    <row r="67" spans="2:12" x14ac:dyDescent="0.25">
      <c r="B67" s="54" t="str">
        <f>IFERROR(INDEX(tblJobs[Job],10)&amp;"","")</f>
        <v>J-2410</v>
      </c>
      <c r="C67" s="44">
        <f>IF($B$67="","",IFERROR(INDEX(tblJobs[Material cost],MATCH($B$67,tblJobs[Job],0))/INDEX(tblJobs[Cost per part],MATCH($B$67,tblJobs[Job],0)),""))</f>
        <v>0.109422879893281</v>
      </c>
      <c r="D67" s="44">
        <f>IF($B$67="","",IFERROR(INDEX(tblJobs[Machine cost],MATCH($B$67,tblJobs[Job],0))/INDEX(tblJobs[Cost per part],MATCH($B$67,tblJobs[Job],0)),""))</f>
        <v>0.52355444925015</v>
      </c>
      <c r="E67" s="44">
        <f>IF($B$67="","",IFERROR(INDEX(tblJobs[Labour cost],MATCH($B$67,tblJobs[Job],0))/INDEX(tblJobs[Cost per part],MATCH($B$67,tblJobs[Job],0)),""))</f>
        <v>0.307022670856569</v>
      </c>
      <c r="F67" s="44">
        <f>IF($B$67="","",IFERROR(INDEX(tblJobs[Failure allowance],MATCH($B$67,tblJobs[Job],0))/INDEX(tblJobs[Cost per part],MATCH($B$67,tblJobs[Job],0)),""))</f>
        <v>0.06</v>
      </c>
    </row>
    <row r="68" spans="2:12" x14ac:dyDescent="0.25">
      <c r="B68" s="54" t="str">
        <f>IFERROR(INDEX(tblJobs[Job],11)&amp;"","")</f>
        <v>J-2411</v>
      </c>
      <c r="C68" s="44">
        <f>IF($B$68="","",IFERROR(INDEX(tblJobs[Material cost],MATCH($B$68,tblJobs[Job],0))/INDEX(tblJobs[Cost per part],MATCH($B$68,tblJobs[Job],0)),""))</f>
        <v>0.0720643431635389</v>
      </c>
      <c r="D68" s="44">
        <f>IF($B$68="","",IFERROR(INDEX(tblJobs[Machine cost],MATCH($B$68,tblJobs[Job],0))/INDEX(tblJobs[Cost per part],MATCH($B$68,tblJobs[Job],0)),""))</f>
        <v>0.154423592493298</v>
      </c>
      <c r="E68" s="44">
        <f>IF($B$68="","",IFERROR(INDEX(tblJobs[Labour cost],MATCH($B$68,tblJobs[Job],0))/INDEX(tblJobs[Cost per part],MATCH($B$68,tblJobs[Job],0)),""))</f>
        <v>0.733512064343164</v>
      </c>
      <c r="F68" s="44">
        <f>IF($B$68="","",IFERROR(INDEX(tblJobs[Failure allowance],MATCH($B$68,tblJobs[Job],0))/INDEX(tblJobs[Cost per part],MATCH($B$68,tblJobs[Job],0)),""))</f>
        <v>0.04</v>
      </c>
    </row>
    <row r="69" spans="2:12" x14ac:dyDescent="0.25">
      <c r="B69" s="54" t="str">
        <f>IFERROR(INDEX(tblJobs[Job],12)&amp;"","")</f>
        <v>J-2412</v>
      </c>
      <c r="C69" s="44">
        <f>IF($B$69="","",IFERROR(INDEX(tblJobs[Material cost],MATCH($B$69,tblJobs[Job],0))/INDEX(tblJobs[Cost per part],MATCH($B$69,tblJobs[Job],0)),""))</f>
        <v>0.0387860918729433</v>
      </c>
      <c r="D69" s="44">
        <f>IF($B$69="","",IFERROR(INDEX(tblJobs[Machine cost],MATCH($B$69,tblJobs[Job],0))/INDEX(tblJobs[Cost per part],MATCH($B$69,tblJobs[Job],0)),""))</f>
        <v>0.760764987379983</v>
      </c>
      <c r="E69" s="44">
        <f>IF($B$69="","",IFERROR(INDEX(tblJobs[Labour cost],MATCH($B$69,tblJobs[Job],0))/INDEX(tblJobs[Cost per part],MATCH($B$69,tblJobs[Job],0)),""))</f>
        <v>0.140448920747074</v>
      </c>
      <c r="F69" s="44">
        <f>IF($B$69="","",IFERROR(INDEX(tblJobs[Failure allowance],MATCH($B$69,tblJobs[Job],0))/INDEX(tblJobs[Cost per part],MATCH($B$69,tblJobs[Job],0)),""))</f>
        <v>0.06</v>
      </c>
    </row>
    <row r="70" spans="2:12" ht="8" customHeight="1" x14ac:dyDescent="0.25"/>
    <row r="71" spans="2:12" x14ac:dyDescent="0.25">
      <c r="B71" s="21" t="s">
        <v>177</v>
      </c>
      <c r="C71" s="21"/>
      <c r="D71" s="21"/>
      <c r="E71" s="21"/>
      <c r="F71" s="21"/>
      <c r="G71" s="21"/>
      <c r="H71" s="21"/>
      <c r="I71" s="21"/>
      <c r="J71" s="21"/>
      <c r="K71" s="21"/>
      <c r="L71" s="21"/>
    </row>
    <row r="72" spans="2:12" x14ac:dyDescent="0.25">
      <c r="B72" s="58">
        <f>IF(COUNTA(tblJobs[Job])&gt;12,"Print Jobs lists more than 12 jobs: the charts and the By job table show the first 12.",IF(COUNTA(tblPrinters[Printer])&gt;5,"Setup lists more than 5 printers: By printer shows the first 5.",""))</f>
        <v/>
      </c>
      <c r="C72" s="58"/>
      <c r="D72" s="58"/>
      <c r="E72" s="58"/>
      <c r="F72" s="58"/>
      <c r="G72" s="58"/>
      <c r="H72" s="58"/>
      <c r="I72" s="58"/>
      <c r="J72" s="58"/>
      <c r="K72" s="58"/>
      <c r="L72" s="58"/>
    </row>
  </sheetData>
  <sheetProtection sheet="1" formatColumns="0" formatRows="0"/>
  <mergeCells count="52">
    <mergeCell ref="A1:L1"/>
    <mergeCell ref="B2:J2"/>
    <mergeCell ref="K2:L2"/>
    <mergeCell ref="B4:C4"/>
    <mergeCell ref="B5:C6"/>
    <mergeCell ref="B7:C7"/>
    <mergeCell ref="B8:C8"/>
    <mergeCell ref="D4:F4"/>
    <mergeCell ref="D5:F6"/>
    <mergeCell ref="D7:F7"/>
    <mergeCell ref="D8:F8"/>
    <mergeCell ref="G4:I4"/>
    <mergeCell ref="G5:I6"/>
    <mergeCell ref="G7:I7"/>
    <mergeCell ref="G8:I8"/>
    <mergeCell ref="J4:L4"/>
    <mergeCell ref="J5:L6"/>
    <mergeCell ref="J7:L7"/>
    <mergeCell ref="J8:L8"/>
    <mergeCell ref="B28:L28"/>
    <mergeCell ref="C29:D29"/>
    <mergeCell ref="E29:F29"/>
    <mergeCell ref="C30:D30"/>
    <mergeCell ref="E30:F30"/>
    <mergeCell ref="C31:D31"/>
    <mergeCell ref="C32:D32"/>
    <mergeCell ref="C33:D33"/>
    <mergeCell ref="C34:D34"/>
    <mergeCell ref="C35:D35"/>
    <mergeCell ref="C36:D36"/>
    <mergeCell ref="C37:D37"/>
    <mergeCell ref="C38:D38"/>
    <mergeCell ref="C39:D39"/>
    <mergeCell ref="C40:D40"/>
    <mergeCell ref="C41:D41"/>
    <mergeCell ref="C42:D42"/>
    <mergeCell ref="E31:F31"/>
    <mergeCell ref="E32:F32"/>
    <mergeCell ref="E33:F33"/>
    <mergeCell ref="E34:F34"/>
    <mergeCell ref="E35:F35"/>
    <mergeCell ref="E36:F36"/>
    <mergeCell ref="E37:F37"/>
    <mergeCell ref="E38:F38"/>
    <mergeCell ref="E39:F39"/>
    <mergeCell ref="E40:F40"/>
    <mergeCell ref="E41:F41"/>
    <mergeCell ref="E42:F42"/>
    <mergeCell ref="B44:H44"/>
    <mergeCell ref="B55:F55"/>
    <mergeCell ref="B71:L71"/>
    <mergeCell ref="B72:L72"/>
  </mergeCells>
  <conditionalFormatting sqref="B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47:E51">
    <cfRule type="dataBar" priority="44">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H47:H51">
    <cfRule type="expression" dxfId="3" priority="45" stopIfTrue="1">
      <formula>AND(ISNUMBER(H47),H47&gt;=(TargetMargin))</formula>
    </cfRule>
    <cfRule type="expression" dxfId="4" priority="46" stopIfTrue="1">
      <formula>AND(ISNUMBER(H47),H47&gt;=(TargetMargin)*(1-0.05))</formula>
    </cfRule>
    <cfRule type="expression" dxfId="5" priority="47">
      <formula>ISNUMBER(H47)</formula>
    </cfRule>
  </conditionalFormatting>
  <conditionalFormatting sqref="I31:I42">
    <cfRule type="expression" dxfId="3" priority="21" stopIfTrue="1">
      <formula>AND(ISNUMBER(I31),I31&gt;=(TargetMargin))</formula>
    </cfRule>
    <cfRule type="expression" dxfId="4" priority="22" stopIfTrue="1">
      <formula>AND(ISNUMBER(I31),I31&gt;=(TargetMargin)*(1-0.05))</formula>
    </cfRule>
    <cfRule type="expression" dxfId="5" priority="23">
      <formula>ISNUMBER(I31)</formula>
    </cfRule>
  </conditionalFormatting>
  <conditionalFormatting sqref="K31:K42">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- 3D Printing Cost Estimator&amp;R&amp;8&amp;A</oddHeader>
    <oddFooter>&amp;L&amp;8mfgcalcs.com - free manufacturing templates&amp;R&amp;8Page &amp;P of &amp;N</oddFooter>
  </headerFooter>
  <rowBreaks count="2" manualBreakCount="2">
    <brk id="27"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E47:E51</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178</v>
      </c>
      <c r="C4" s="8"/>
      <c r="D4" s="8"/>
    </row>
    <row r="5" spans="1:4" ht="5" customHeight="1"/>
    <row r="6" spans="1:4" ht="55.8" customHeight="1">
      <c r="B6" s="10" t="s">
        <v>179</v>
      </c>
      <c r="C6" s="10"/>
      <c r="D6" s="10"/>
    </row>
    <row r="8" spans="1:4" ht="21" customHeight="1">
      <c r="B8" s="8" t="s">
        <v>180</v>
      </c>
      <c r="C8" s="8"/>
      <c r="D8" s="8"/>
    </row>
    <row r="9" spans="1:4" ht="5" customHeight="1"/>
    <row r="10" spans="1:4" ht="20" customHeight="1">
      <c r="B10" s="53" t="s">
        <v>108</v>
      </c>
      <c r="C10" s="53" t="s">
        <v>181</v>
      </c>
      <c r="D10" s="33" t="s">
        <v>182</v>
      </c>
    </row>
    <row r="11" spans="1:4" ht="30.4" customHeight="1">
      <c r="B11" s="59" t="s">
        <v>183</v>
      </c>
      <c r="C11" s="60" t="s">
        <v>184</v>
      </c>
      <c r="D11" s="61" t="s">
        <v>185</v>
      </c>
    </row>
    <row r="12" spans="1:4" ht="17.2" customHeight="1">
      <c r="B12" s="59" t="s">
        <v>116</v>
      </c>
      <c r="C12" s="60" t="s">
        <v>186</v>
      </c>
      <c r="D12" s="61" t="s">
        <v>135</v>
      </c>
    </row>
    <row r="13" spans="1:4" ht="17.2" customHeight="1">
      <c r="B13" s="59" t="s">
        <v>117</v>
      </c>
      <c r="C13" s="60" t="s">
        <v>187</v>
      </c>
      <c r="D13" s="61" t="s">
        <v>133</v>
      </c>
    </row>
    <row r="14" spans="1:4" ht="17.2" customHeight="1">
      <c r="B14" s="59" t="s">
        <v>118</v>
      </c>
      <c r="C14" s="60" t="s">
        <v>188</v>
      </c>
      <c r="D14" s="61" t="s">
        <v>189</v>
      </c>
    </row>
    <row r="15" spans="1:4" ht="17.2" customHeight="1">
      <c r="B15" s="59" t="s">
        <v>119</v>
      </c>
      <c r="C15" s="60" t="s">
        <v>190</v>
      </c>
      <c r="D15" s="61" t="s">
        <v>189</v>
      </c>
    </row>
    <row r="16" spans="1:4" ht="30.4" customHeight="1">
      <c r="B16" s="59" t="s">
        <v>120</v>
      </c>
      <c r="C16" s="60" t="s">
        <v>191</v>
      </c>
      <c r="D16" s="61" t="s">
        <v>189</v>
      </c>
    </row>
    <row r="17" spans="2:4" ht="30.4" customHeight="1">
      <c r="B17" s="59" t="s">
        <v>122</v>
      </c>
      <c r="C17" s="60" t="s">
        <v>192</v>
      </c>
      <c r="D17" s="61" t="s">
        <v>189</v>
      </c>
    </row>
    <row r="18" spans="2:4" ht="17.2" customHeight="1">
      <c r="B18" s="59" t="s">
        <v>121</v>
      </c>
      <c r="C18" s="60" t="s">
        <v>193</v>
      </c>
      <c r="D18" s="61" t="s">
        <v>189</v>
      </c>
    </row>
    <row r="19" spans="2:4" ht="30.4" customHeight="1">
      <c r="B19" s="59" t="s">
        <v>194</v>
      </c>
      <c r="C19" s="60" t="s">
        <v>195</v>
      </c>
      <c r="D19" s="61" t="s">
        <v>132</v>
      </c>
    </row>
    <row r="20" spans="2:4" ht="17.2" customHeight="1">
      <c r="B20" s="59" t="s">
        <v>196</v>
      </c>
      <c r="C20" s="60" t="s">
        <v>197</v>
      </c>
      <c r="D20" s="61" t="s">
        <v>198</v>
      </c>
    </row>
    <row r="21" spans="2:4" ht="30.4" customHeight="1">
      <c r="B21" s="59" t="s">
        <v>199</v>
      </c>
      <c r="C21" s="60" t="s">
        <v>200</v>
      </c>
      <c r="D21" s="61" t="s">
        <v>132</v>
      </c>
    </row>
    <row r="22" spans="2:4" ht="17.2" customHeight="1">
      <c r="B22" s="59" t="s">
        <v>201</v>
      </c>
      <c r="C22" s="60" t="s">
        <v>202</v>
      </c>
      <c r="D22" s="61" t="s">
        <v>203</v>
      </c>
    </row>
    <row r="23" spans="2:4" ht="30.4" customHeight="1">
      <c r="B23" s="59" t="s">
        <v>204</v>
      </c>
      <c r="C23" s="60" t="s">
        <v>205</v>
      </c>
      <c r="D23" s="61" t="s">
        <v>206</v>
      </c>
    </row>
    <row r="25" spans="2:4" ht="21" customHeight="1">
      <c r="B25" s="8" t="s">
        <v>207</v>
      </c>
      <c r="C25" s="8"/>
      <c r="D25" s="8"/>
    </row>
    <row r="26" spans="2:4" ht="5" customHeight="1"/>
    <row r="27" spans="2:4" ht="29.4" customHeight="1">
      <c r="B27" s="26" t="s">
        <v>55</v>
      </c>
      <c r="C27" s="10" t="s">
        <v>208</v>
      </c>
      <c r="D27" s="10"/>
    </row>
    <row r="28" spans="2:4" ht="29.4" customHeight="1">
      <c r="B28" s="26" t="s">
        <v>55</v>
      </c>
      <c r="C28" s="10" t="s">
        <v>209</v>
      </c>
      <c r="D28" s="10"/>
    </row>
    <row r="29" spans="2:4" ht="29.4" customHeight="1">
      <c r="B29" s="26" t="s">
        <v>55</v>
      </c>
      <c r="C29" s="10" t="s">
        <v>210</v>
      </c>
      <c r="D29" s="10"/>
    </row>
    <row r="30" spans="2:4" ht="29.4" customHeight="1">
      <c r="B30" s="26" t="s">
        <v>55</v>
      </c>
      <c r="C30" s="10" t="s">
        <v>211</v>
      </c>
      <c r="D30" s="10"/>
    </row>
    <row r="32" spans="2:4" ht="21" customHeight="1">
      <c r="B32" s="8" t="s">
        <v>212</v>
      </c>
      <c r="C32" s="8"/>
      <c r="D32" s="8"/>
    </row>
    <row r="33" spans="2:4" ht="5" customHeight="1"/>
    <row r="34" spans="2:4" ht="16.2" customHeight="1">
      <c r="B34" s="26" t="s">
        <v>55</v>
      </c>
      <c r="C34" s="10" t="s">
        <v>213</v>
      </c>
      <c r="D34" s="10"/>
    </row>
    <row r="35" spans="2:4" ht="29.4" customHeight="1">
      <c r="B35" s="26" t="s">
        <v>55</v>
      </c>
      <c r="C35" s="10" t="s">
        <v>214</v>
      </c>
      <c r="D35" s="10"/>
    </row>
    <row r="36" spans="2:4" ht="29.4" customHeight="1">
      <c r="B36" s="26" t="s">
        <v>55</v>
      </c>
      <c r="C36" s="10" t="s">
        <v>215</v>
      </c>
      <c r="D36" s="10"/>
    </row>
    <row r="37" spans="2:4" ht="16.2" customHeight="1">
      <c r="B37" s="26" t="s">
        <v>55</v>
      </c>
      <c r="C37" s="10" t="s">
        <v>216</v>
      </c>
      <c r="D37" s="10"/>
    </row>
    <row r="39" spans="2:4" ht="21" customHeight="1">
      <c r="B39" s="8" t="s">
        <v>217</v>
      </c>
      <c r="C39" s="8"/>
      <c r="D39" s="8"/>
    </row>
    <row r="40" spans="2:4" ht="5" customHeight="1"/>
    <row r="41" spans="2:4" ht="69" customHeight="1">
      <c r="B41" s="10" t="s">
        <v>218</v>
      </c>
      <c r="C41" s="10"/>
      <c r="D41" s="10"/>
    </row>
    <row r="42" spans="2:4">
      <c r="B42" s="24" t="s">
        <v>219</v>
      </c>
      <c r="C42" s="24"/>
      <c r="D42" s="24"/>
    </row>
    <row r="44" spans="2:4" ht="21" customHeight="1">
      <c r="B44" s="8" t="s">
        <v>42</v>
      </c>
      <c r="C44" s="8"/>
      <c r="D44" s="8"/>
    </row>
    <row r="45" spans="2:4" ht="5" customHeight="1"/>
    <row r="46" spans="2:4" ht="42.6" customHeight="1">
      <c r="B46" s="10" t="s">
        <v>220</v>
      </c>
      <c r="C46" s="10"/>
      <c r="D46" s="10"/>
    </row>
    <row r="48" spans="2:4" ht="21" customHeight="1">
      <c r="B48" s="8" t="s">
        <v>221</v>
      </c>
      <c r="C48" s="8"/>
      <c r="D48" s="8"/>
    </row>
    <row r="49" spans="2:4" ht="5" customHeight="1"/>
    <row r="50" spans="2:4" ht="29.4" customHeight="1">
      <c r="B50" s="26" t="s">
        <v>55</v>
      </c>
      <c r="C50" s="10" t="s">
        <v>222</v>
      </c>
      <c r="D50" s="10"/>
    </row>
    <row r="51" spans="2:4" ht="29.4" customHeight="1">
      <c r="B51" s="26" t="s">
        <v>55</v>
      </c>
      <c r="C51" s="10" t="s">
        <v>223</v>
      </c>
      <c r="D51" s="10"/>
    </row>
    <row r="52" spans="2:4" ht="29.4" customHeight="1">
      <c r="B52" s="26" t="s">
        <v>55</v>
      </c>
      <c r="C52" s="10" t="s">
        <v>224</v>
      </c>
      <c r="D52" s="10"/>
    </row>
    <row r="53" spans="2:4" ht="16.2" customHeight="1">
      <c r="B53" s="26" t="s">
        <v>55</v>
      </c>
      <c r="C53" s="10" t="s">
        <v>225</v>
      </c>
      <c r="D53" s="10"/>
    </row>
    <row r="54" spans="2:4">
      <c r="B54" s="21" t="s">
        <v>226</v>
      </c>
      <c r="C54" s="21"/>
      <c r="D54" s="21"/>
    </row>
    <row r="56" spans="2:4" ht="21" customHeight="1">
      <c r="B56" s="8" t="s">
        <v>227</v>
      </c>
      <c r="C56" s="8"/>
      <c r="D56" s="8"/>
    </row>
    <row r="57" spans="2:4" ht="5" customHeight="1"/>
    <row r="58" spans="2:4">
      <c r="B58" s="53" t="s">
        <v>50</v>
      </c>
      <c r="C58" s="53" t="s">
        <v>228</v>
      </c>
      <c r="D58" s="33" t="s">
        <v>229</v>
      </c>
    </row>
    <row r="59" spans="2:4" ht="16.2" customHeight="1">
      <c r="B59" s="55" t="s">
        <v>230</v>
      </c>
      <c r="C59" s="62" t="s">
        <v>231</v>
      </c>
      <c r="D59" s="63" t="s">
        <v>232</v>
      </c>
    </row>
    <row r="61" spans="2:4">
      <c r="B61" s="21" t="s">
        <v>61</v>
      </c>
      <c r="C61" s="21"/>
      <c r="D61" s="21"/>
    </row>
  </sheetData>
  <sheetProtection sheet="1" formatColumns="0" formatRows="0"/>
  <mergeCells count="28">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C53:D53"/>
    <mergeCell ref="B54:D54"/>
    <mergeCell ref="B56:D56"/>
    <mergeCell ref="B61:D61"/>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- 3D Printing Cost Estimator&amp;R&amp;8&amp;A</oddHeader>
    <oddFooter>&amp;L&amp;8mfgcalcs.com - free manufacturing templates&amp;R&amp;8Page &amp;P of &amp;N</oddFooter>
  </headerFooter>
  <rowBreaks count="2" manualBreakCount="2">
    <brk id="24" max="16383" man="1"/>
    <brk id="54"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D51"/>
  <sheetViews>
    <sheetView showGridLines="0" workbookViewId="0"/>
  </sheetViews>
  <sheetFormatPr defaultRowHeight="15"/>
  <cols>
    <col min="1" max="1" width="2.7109375" customWidth="1"/>
    <col min="2" max="19" width="12.7109375" customWidth="1"/>
    <col min="20" max="22" width="9.28515625" customWidth="1"/>
    <col min="23" max="23" width="9.7109375" customWidth="1"/>
    <col min="24" max="24" width="8.7109375" customWidth="1"/>
    <col min="25" max="25" width="11.7109375" customWidth="1"/>
    <col min="26" max="28" width="9.7109375" customWidth="1"/>
    <col min="29" max="30" width="22.7109375" customWidth="1"/>
  </cols>
  <sheetData>
    <row r="1" spans="1:30"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1" customHeight="1">
      <c r="B2" s="2" t="s">
        <v>28</v>
      </c>
      <c r="C2" s="2"/>
      <c r="D2" s="2"/>
      <c r="E2" s="2"/>
      <c r="F2" s="2"/>
      <c r="G2" s="2"/>
      <c r="H2" s="2"/>
      <c r="I2" s="2"/>
      <c r="J2" s="2"/>
      <c r="K2" s="2"/>
      <c r="L2" s="2"/>
      <c r="M2" s="2"/>
      <c r="N2" s="2"/>
      <c r="O2" s="2"/>
      <c r="P2" s="2"/>
      <c r="Q2" s="2"/>
      <c r="R2" s="2"/>
      <c r="S2" s="2"/>
      <c r="T2" s="2"/>
      <c r="U2" s="2"/>
      <c r="V2" s="2"/>
      <c r="W2" s="2"/>
      <c r="X2" s="2"/>
      <c r="Y2" s="2"/>
      <c r="Z2" s="2"/>
      <c r="AA2" s="2"/>
      <c r="AB2" s="2"/>
      <c r="AC2" s="2"/>
      <c r="AD2" s="3" t="s">
        <v>2</v>
      </c>
    </row>
    <row r="3" spans="1:30" ht="6" customHeight="1"/>
    <row r="4" spans="1:30" ht="30" customHeight="1">
      <c r="B4" s="64" t="s">
        <v>233</v>
      </c>
      <c r="C4" s="64"/>
      <c r="D4" s="22" t="str">
        <f>IF(COUNTIF($K$11:$K$29,"PASS")=19,"PASS","FAIL")</f>
        <v>PASS</v>
      </c>
      <c r="E4" s="22"/>
      <c r="F4" s="23" t="str">
        <f>COUNTIF($K$11:$K$29,"PASS")&amp;" of 19 checks pass"</f>
        <v>19 of 19 checks pass</v>
      </c>
      <c r="G4" s="23"/>
      <c r="H4" s="23"/>
      <c r="I4" s="23"/>
      <c r="J4" s="23"/>
    </row>
    <row r="6" spans="1:30" ht="29.4" customHeight="1">
      <c r="B6" s="10" t="s">
        <v>234</v>
      </c>
      <c r="C6" s="10"/>
      <c r="D6" s="10"/>
      <c r="E6" s="10"/>
      <c r="F6" s="10"/>
      <c r="G6" s="10"/>
      <c r="H6" s="10"/>
      <c r="I6" s="10"/>
      <c r="J6" s="10"/>
      <c r="K6" s="10"/>
      <c r="L6" s="10"/>
    </row>
    <row r="8" spans="1:30" ht="21" customHeight="1">
      <c r="B8" s="8" t="s">
        <v>235</v>
      </c>
      <c r="C8" s="8"/>
      <c r="D8" s="8"/>
      <c r="E8" s="8"/>
      <c r="F8" s="8"/>
      <c r="G8" s="8"/>
      <c r="H8" s="8"/>
      <c r="I8" s="8"/>
      <c r="J8" s="8"/>
      <c r="K8" s="8"/>
      <c r="L8" s="8"/>
    </row>
    <row r="9" spans="1:30" ht="5" customHeight="1"/>
    <row r="10" spans="1:30" ht="30" customHeight="1">
      <c r="B10" s="33" t="s">
        <v>236</v>
      </c>
      <c r="C10" s="53" t="s">
        <v>70</v>
      </c>
      <c r="D10" s="53"/>
      <c r="E10" s="53"/>
      <c r="F10" s="53"/>
      <c r="G10" s="33" t="s">
        <v>237</v>
      </c>
      <c r="H10" s="33" t="s">
        <v>238</v>
      </c>
      <c r="I10" s="33" t="s">
        <v>239</v>
      </c>
      <c r="J10" s="33" t="s">
        <v>240</v>
      </c>
      <c r="K10" s="33" t="s">
        <v>241</v>
      </c>
    </row>
    <row r="11" spans="1:30" ht="16.2" customHeight="1">
      <c r="B11" s="65">
        <v>1</v>
      </c>
      <c r="C11" s="62" t="s">
        <v>242</v>
      </c>
      <c r="D11" s="62"/>
      <c r="E11" s="62"/>
      <c r="F11" s="62"/>
      <c r="G11" s="66">
        <v>0.05</v>
      </c>
      <c r="H11" s="35">
        <f>$F$41</f>
        <v>0.05</v>
      </c>
      <c r="I11" s="67">
        <f>IF(AND(ISNUMBER($G$11),ISNUMBER($H$11)),ABS($H$11-$G$11),"")</f>
        <v>0</v>
      </c>
      <c r="J11" s="68">
        <v>1E-09</v>
      </c>
      <c r="K11" s="45" t="str">
        <f>IF(AND(ISNUMBER($G$11),ISNUMBER($H$11)),IF(ABS($H$11-$G$11)&lt;=$J$11,"PASS","FAIL"),"FAIL")</f>
        <v>PASS</v>
      </c>
    </row>
    <row r="12" spans="1:30" ht="16.2" customHeight="1">
      <c r="B12" s="65">
        <v>2</v>
      </c>
      <c r="C12" s="62" t="s">
        <v>243</v>
      </c>
      <c r="D12" s="62"/>
      <c r="E12" s="62"/>
      <c r="F12" s="62"/>
      <c r="G12" s="66">
        <v>0.04409245243697552</v>
      </c>
      <c r="H12" s="35">
        <f>$F$42</f>
        <v>0.0440924524369755</v>
      </c>
      <c r="I12" s="67">
        <f>IF(AND(ISNUMBER($G$12),ISNUMBER($H$12)),ABS($H$12-$G$12),"")</f>
        <v>0</v>
      </c>
      <c r="J12" s="68">
        <v>1E-09</v>
      </c>
      <c r="K12" s="45" t="str">
        <f>IF(AND(ISNUMBER($G$12),ISNUMBER($H$12)),IF(ABS($H$12-$G$12)&lt;=$J$12,"PASS","FAIL"),"FAIL")</f>
        <v>PASS</v>
      </c>
    </row>
    <row r="13" spans="1:30" ht="16.2" customHeight="1">
      <c r="B13" s="65">
        <v>3</v>
      </c>
      <c r="C13" s="62" t="s">
        <v>244</v>
      </c>
      <c r="D13" s="62"/>
      <c r="E13" s="62"/>
      <c r="F13" s="62"/>
      <c r="G13" s="66">
        <v>0.128</v>
      </c>
      <c r="H13" s="35">
        <f>$F$43</f>
        <v>0.128</v>
      </c>
      <c r="I13" s="67">
        <f>IF(AND(ISNUMBER($G$13),ISNUMBER($H$13)),ABS($H$13-$G$13),"")</f>
        <v>0</v>
      </c>
      <c r="J13" s="68">
        <v>1E-09</v>
      </c>
      <c r="K13" s="45" t="str">
        <f>IF(AND(ISNUMBER($G$13),ISNUMBER($H$13)),IF(ABS($H$13-$G$13)&lt;=$J$13,"PASS","FAIL"),"FAIL")</f>
        <v>PASS</v>
      </c>
    </row>
    <row r="14" spans="1:30" ht="16.2" customHeight="1">
      <c r="B14" s="65">
        <v>4</v>
      </c>
      <c r="C14" s="62" t="s">
        <v>245</v>
      </c>
      <c r="D14" s="62"/>
      <c r="E14" s="62"/>
      <c r="F14" s="62"/>
      <c r="G14" s="55" t="s">
        <v>246</v>
      </c>
      <c r="H14" s="57" t="str">
        <f>$G$44</f>
        <v>Density needed for a price per L</v>
      </c>
      <c r="I14" s="57"/>
      <c r="J14" s="63" t="s">
        <v>247</v>
      </c>
      <c r="K14" s="45" t="str">
        <f>IF($H$14&amp;""=$G$14&amp;"","PASS","FAIL")</f>
        <v>PASS</v>
      </c>
    </row>
    <row r="15" spans="1:30" ht="16.2" customHeight="1">
      <c r="B15" s="65">
        <v>5</v>
      </c>
      <c r="C15" s="62" t="s">
        <v>248</v>
      </c>
      <c r="D15" s="62"/>
      <c r="E15" s="62"/>
      <c r="F15" s="62"/>
      <c r="G15" s="66">
        <v>23.5</v>
      </c>
      <c r="H15" s="35">
        <f>$W$49</f>
        <v>23.5</v>
      </c>
      <c r="I15" s="67">
        <f>IF(AND(ISNUMBER($G$15),ISNUMBER($H$15)),ABS($H$15-$G$15),"")</f>
        <v>0</v>
      </c>
      <c r="J15" s="68">
        <v>1E-09</v>
      </c>
      <c r="K15" s="45" t="str">
        <f>IF(AND(ISNUMBER($G$15),ISNUMBER($H$15)),IF(ABS($H$15-$G$15)&lt;=$J$15,"PASS","FAIL"),"FAIL")</f>
        <v>PASS</v>
      </c>
    </row>
    <row r="16" spans="1:30" ht="16.2" customHeight="1">
      <c r="B16" s="65">
        <v>6</v>
      </c>
      <c r="C16" s="62" t="s">
        <v>249</v>
      </c>
      <c r="D16" s="62"/>
      <c r="E16" s="62"/>
      <c r="F16" s="62"/>
      <c r="G16" s="69">
        <v>1880</v>
      </c>
      <c r="H16" s="42">
        <f>$Z$49</f>
        <v>1880</v>
      </c>
      <c r="I16" s="67">
        <f>IF(AND(ISNUMBER($G$16),ISNUMBER($H$16)),ABS($H$16-$G$16),"")</f>
        <v>0</v>
      </c>
      <c r="J16" s="68">
        <v>1E-06</v>
      </c>
      <c r="K16" s="45" t="str">
        <f>IF(AND(ISNUMBER($G$16),ISNUMBER($H$16)),IF(ABS($H$16-$G$16)&lt;=$J$16,"PASS","FAIL"),"FAIL")</f>
        <v>PASS</v>
      </c>
    </row>
    <row r="17" spans="2:12" ht="16.2" customHeight="1">
      <c r="B17" s="65">
        <v>7</v>
      </c>
      <c r="C17" s="62" t="s">
        <v>250</v>
      </c>
      <c r="D17" s="62"/>
      <c r="E17" s="62"/>
      <c r="F17" s="62"/>
      <c r="G17" s="66">
        <v>2</v>
      </c>
      <c r="H17" s="35">
        <f>$T$49</f>
        <v>2</v>
      </c>
      <c r="I17" s="67">
        <f>IF(AND(ISNUMBER($G$17),ISNUMBER($H$17)),ABS($H$17-$G$17),"")</f>
        <v>0</v>
      </c>
      <c r="J17" s="68">
        <v>1E-09</v>
      </c>
      <c r="K17" s="45" t="str">
        <f>IF(AND(ISNUMBER($G$17),ISNUMBER($H$17)),IF(ABS($H$17-$G$17)&lt;=$J$17,"PASS","FAIL"),"FAIL")</f>
        <v>PASS</v>
      </c>
    </row>
    <row r="18" spans="2:12" ht="16.2" customHeight="1">
      <c r="B18" s="65">
        <v>8</v>
      </c>
      <c r="C18" s="62" t="s">
        <v>251</v>
      </c>
      <c r="D18" s="62"/>
      <c r="E18" s="62"/>
      <c r="F18" s="62"/>
      <c r="G18" s="56">
        <v>0.2166666666666667</v>
      </c>
      <c r="H18" s="44">
        <f>$X$49</f>
        <v>0.216666666666667</v>
      </c>
      <c r="I18" s="67">
        <f>IF(AND(ISNUMBER($G$18),ISNUMBER($H$18)),ABS($H$18-$G$18),"")</f>
        <v>0</v>
      </c>
      <c r="J18" s="68">
        <v>1E-09</v>
      </c>
      <c r="K18" s="45" t="str">
        <f>IF(AND(ISNUMBER($G$18),ISNUMBER($H$18)),IF(ABS($H$18-$G$18)&lt;=$J$18,"PASS","FAIL"),"FAIL")</f>
        <v>PASS</v>
      </c>
    </row>
    <row r="19" spans="2:12" ht="16.2" customHeight="1">
      <c r="B19" s="65">
        <v>9</v>
      </c>
      <c r="C19" s="62" t="s">
        <v>252</v>
      </c>
      <c r="D19" s="62"/>
      <c r="E19" s="62"/>
      <c r="F19" s="62"/>
      <c r="G19" s="70">
        <v>3</v>
      </c>
      <c r="H19" s="40">
        <f>$O$50</f>
        <v>3</v>
      </c>
      <c r="I19" s="67">
        <f>IF(AND(ISNUMBER($G$19),ISNUMBER($H$19)),ABS($H$19-$G$19),"")</f>
        <v>0</v>
      </c>
      <c r="J19" s="68">
        <v>1E-09</v>
      </c>
      <c r="K19" s="45" t="str">
        <f>IF(AND(ISNUMBER($G$19),ISNUMBER($H$19)),IF(ABS($H$19-$G$19)&lt;=$J$19,"PASS","FAIL"),"FAIL")</f>
        <v>PASS</v>
      </c>
    </row>
    <row r="20" spans="2:12" ht="16.2" customHeight="1">
      <c r="B20" s="65">
        <v>10</v>
      </c>
      <c r="C20" s="62" t="s">
        <v>253</v>
      </c>
      <c r="D20" s="62"/>
      <c r="E20" s="62"/>
      <c r="F20" s="62"/>
      <c r="G20" s="66">
        <v>5.76</v>
      </c>
      <c r="H20" s="35">
        <f>$S$50</f>
        <v>5.76</v>
      </c>
      <c r="I20" s="67">
        <f>IF(AND(ISNUMBER($G$20),ISNUMBER($H$20)),ABS($H$20-$G$20),"")</f>
        <v>0</v>
      </c>
      <c r="J20" s="68">
        <v>1E-09</v>
      </c>
      <c r="K20" s="45" t="str">
        <f>IF(AND(ISNUMBER($G$20),ISNUMBER($H$20)),IF(ABS($H$20-$G$20)&lt;=$J$20,"PASS","FAIL"),"FAIL")</f>
        <v>PASS</v>
      </c>
    </row>
    <row r="21" spans="2:12" ht="16.2" customHeight="1">
      <c r="B21" s="65">
        <v>11</v>
      </c>
      <c r="C21" s="62" t="s">
        <v>254</v>
      </c>
      <c r="D21" s="62"/>
      <c r="E21" s="62"/>
      <c r="F21" s="62"/>
      <c r="G21" s="66">
        <v>7.733333333333333</v>
      </c>
      <c r="H21" s="35">
        <f>$U$50</f>
        <v>7.73333333333333</v>
      </c>
      <c r="I21" s="67">
        <f>IF(AND(ISNUMBER($G$21),ISNUMBER($H$21)),ABS($H$21-$G$21),"")</f>
        <v>0</v>
      </c>
      <c r="J21" s="68">
        <v>1E-09</v>
      </c>
      <c r="K21" s="45" t="str">
        <f>IF(AND(ISNUMBER($G$21),ISNUMBER($H$21)),IF(ABS($H$21-$G$21)&lt;=$J$21,"PASS","FAIL"),"FAIL")</f>
        <v>PASS</v>
      </c>
    </row>
    <row r="22" spans="2:12" ht="16.2" customHeight="1">
      <c r="B22" s="65">
        <v>12</v>
      </c>
      <c r="C22" s="62" t="s">
        <v>255</v>
      </c>
      <c r="D22" s="62"/>
      <c r="E22" s="62"/>
      <c r="F22" s="62"/>
      <c r="G22" s="66">
        <v>4.699259259259257</v>
      </c>
      <c r="H22" s="35">
        <f>$V$50</f>
        <v>4.69925925925926</v>
      </c>
      <c r="I22" s="67">
        <f>IF(AND(ISNUMBER($G$22),ISNUMBER($H$22)),ABS($H$22-$G$22),"")</f>
        <v>0</v>
      </c>
      <c r="J22" s="68">
        <v>1E-09</v>
      </c>
      <c r="K22" s="45" t="str">
        <f>IF(AND(ISNUMBER($G$22),ISNUMBER($H$22)),IF(ABS($H$22-$G$22)&lt;=$J$22,"PASS","FAIL"),"FAIL")</f>
        <v>PASS</v>
      </c>
    </row>
    <row r="23" spans="2:12" ht="16.2" customHeight="1">
      <c r="B23" s="65">
        <v>13</v>
      </c>
      <c r="C23" s="62" t="s">
        <v>256</v>
      </c>
      <c r="D23" s="62"/>
      <c r="E23" s="62"/>
      <c r="F23" s="62"/>
      <c r="G23" s="66">
        <v>46.99259259259259</v>
      </c>
      <c r="H23" s="35">
        <f>$W$50</f>
        <v>46.9925925925926</v>
      </c>
      <c r="I23" s="67">
        <f>IF(AND(ISNUMBER($G$23),ISNUMBER($H$23)),ABS($H$23-$G$23),"")</f>
        <v>0</v>
      </c>
      <c r="J23" s="68">
        <v>1E-09</v>
      </c>
      <c r="K23" s="45" t="str">
        <f>IF(AND(ISNUMBER($G$23),ISNUMBER($H$23)),IF(ABS($H$23-$G$23)&lt;=$J$23,"PASS","FAIL"),"FAIL")</f>
        <v>PASS</v>
      </c>
    </row>
    <row r="24" spans="2:12" ht="16.2" customHeight="1">
      <c r="B24" s="65">
        <v>14</v>
      </c>
      <c r="C24" s="62" t="s">
        <v>257</v>
      </c>
      <c r="D24" s="62"/>
      <c r="E24" s="62"/>
      <c r="F24" s="62"/>
      <c r="G24" s="55" t="s">
        <v>258</v>
      </c>
      <c r="H24" s="57" t="str">
        <f>$Y$50</f>
        <v>Below target</v>
      </c>
      <c r="I24" s="57"/>
      <c r="J24" s="63" t="s">
        <v>247</v>
      </c>
      <c r="K24" s="45" t="str">
        <f>IF($H$24&amp;""=$G$24&amp;"","PASS","FAIL")</f>
        <v>PASS</v>
      </c>
    </row>
    <row r="25" spans="2:12" ht="16.2" customHeight="1">
      <c r="B25" s="65">
        <v>15</v>
      </c>
      <c r="C25" s="62" t="s">
        <v>259</v>
      </c>
      <c r="D25" s="62"/>
      <c r="E25" s="62"/>
      <c r="F25" s="62"/>
      <c r="G25" s="69">
        <v>-174.8148148148148</v>
      </c>
      <c r="H25" s="42">
        <f>$AB$50</f>
        <v>-174.814814814815</v>
      </c>
      <c r="I25" s="67">
        <f>IF(AND(ISNUMBER($G$25),ISNUMBER($H$25)),ABS($H$25-$G$25),"")</f>
        <v>0</v>
      </c>
      <c r="J25" s="68">
        <v>1E-06</v>
      </c>
      <c r="K25" s="45" t="str">
        <f>IF(AND(ISNUMBER($G$25),ISNUMBER($H$25)),IF(ABS($H$25-$G$25)&lt;=$J$25,"PASS","FAIL"),"FAIL")</f>
        <v>PASS</v>
      </c>
    </row>
    <row r="26" spans="2:12" ht="16.2" customHeight="1">
      <c r="B26" s="65">
        <v>16</v>
      </c>
      <c r="C26" s="62" t="s">
        <v>260</v>
      </c>
      <c r="D26" s="62"/>
      <c r="E26" s="62"/>
      <c r="F26" s="62"/>
      <c r="G26" s="55" t="s">
        <v>261</v>
      </c>
      <c r="H26" s="57" t="str">
        <f>$AC$51</f>
        <v>Printer not on Setup list</v>
      </c>
      <c r="I26" s="57"/>
      <c r="J26" s="63" t="s">
        <v>247</v>
      </c>
      <c r="K26" s="45" t="str">
        <f>IF($H$26&amp;""=$G$26&amp;"","PASS","FAIL")</f>
        <v>PASS</v>
      </c>
    </row>
    <row r="27" spans="2:12" ht="16.2" customHeight="1">
      <c r="B27" s="65">
        <v>17</v>
      </c>
      <c r="C27" s="62" t="s">
        <v>262</v>
      </c>
      <c r="D27" s="62"/>
      <c r="E27" s="62"/>
      <c r="F27" s="62"/>
      <c r="G27" s="56">
        <v>0.1015250544662309</v>
      </c>
      <c r="H27" s="44">
        <f>IF((SUM(tblVerifyJobs[Job value]))=0,"",(SUM(tblVerifyJobs[Job margin]))/(SUM(tblVerifyJobs[Job value])))</f>
        <v>0.101525054466231</v>
      </c>
      <c r="I27" s="67">
        <f>IF(AND(ISNUMBER($G$27),ISNUMBER($H$27)),ABS($H$27-$G$27),"")</f>
        <v>0</v>
      </c>
      <c r="J27" s="68">
        <v>1E-09</v>
      </c>
      <c r="K27" s="45" t="str">
        <f>IF(AND(ISNUMBER($G$27),ISNUMBER($H$27)),IF(ABS($H$27-$G$27)&lt;=$J$27,"PASS","FAIL"),"FAIL")</f>
        <v>PASS</v>
      </c>
    </row>
    <row r="28" spans="2:12" ht="16.2" customHeight="1">
      <c r="B28" s="65">
        <v>18</v>
      </c>
      <c r="C28" s="62" t="s">
        <v>263</v>
      </c>
      <c r="D28" s="62"/>
      <c r="E28" s="62"/>
      <c r="F28" s="62"/>
      <c r="G28" s="70">
        <v>2</v>
      </c>
      <c r="H28" s="40">
        <f>COUNTIF(tblVerifyJobs[Margin status],"Below target")</f>
        <v>2</v>
      </c>
      <c r="I28" s="67">
        <f>IF(AND(ISNUMBER($G$28),ISNUMBER($H$28)),ABS($H$28-$G$28),"")</f>
        <v>0</v>
      </c>
      <c r="J28" s="68">
        <v>1E-09</v>
      </c>
      <c r="K28" s="45" t="str">
        <f>IF(AND(ISNUMBER($G$28),ISNUMBER($H$28)),IF(ABS($H$28-$G$28)&lt;=$J$28,"PASS","FAIL"),"FAIL")</f>
        <v>PASS</v>
      </c>
    </row>
    <row r="29" spans="2:12" ht="16.2" customHeight="1">
      <c r="B29" s="65">
        <v>19</v>
      </c>
      <c r="C29" s="62" t="s">
        <v>264</v>
      </c>
      <c r="D29" s="62"/>
      <c r="E29" s="62"/>
      <c r="F29" s="62"/>
      <c r="G29" s="69">
        <v>117.4814814814814</v>
      </c>
      <c r="H29" s="42">
        <f>SUMPRODUCT(tblVerifyJobs[Failure allowance],tblVerifyJobs[Quantity])</f>
        <v>117.481481481482</v>
      </c>
      <c r="I29" s="67">
        <f>IF(AND(ISNUMBER($G$29),ISNUMBER($H$29)),ABS($H$29-$G$29),"")</f>
        <v>0</v>
      </c>
      <c r="J29" s="68">
        <v>1E-06</v>
      </c>
      <c r="K29" s="45" t="str">
        <f>IF(AND(ISNUMBER($G$29),ISNUMBER($H$29)),IF(ABS($H$29-$G$29)&lt;=$J$29,"PASS","FAIL"),"FAIL")</f>
        <v>PASS</v>
      </c>
    </row>
    <row r="31" spans="2:12" ht="21" customHeight="1">
      <c r="B31" s="8" t="s">
        <v>265</v>
      </c>
      <c r="C31" s="8"/>
      <c r="D31" s="8"/>
      <c r="E31" s="8"/>
      <c r="F31" s="8"/>
      <c r="G31" s="8"/>
      <c r="H31" s="8"/>
      <c r="I31" s="8"/>
      <c r="J31" s="8"/>
      <c r="K31" s="8"/>
      <c r="L31" s="8"/>
    </row>
    <row r="32" spans="2:12" ht="5" customHeight="1"/>
    <row r="33" spans="2:30">
      <c r="B33" s="21" t="s">
        <v>266</v>
      </c>
      <c r="C33" s="21"/>
      <c r="D33" s="21"/>
      <c r="E33" s="21"/>
      <c r="F33" s="21"/>
      <c r="G33" s="21"/>
      <c r="H33" s="21"/>
      <c r="I33" s="21"/>
      <c r="J33" s="21"/>
      <c r="K33" s="21"/>
      <c r="L33" s="21"/>
    </row>
    <row r="34" spans="2:30">
      <c r="B34" s="31" t="s">
        <v>267</v>
      </c>
      <c r="C34" s="31"/>
      <c r="D34" s="31"/>
      <c r="E34" s="31"/>
      <c r="F34" s="31"/>
    </row>
    <row r="35" spans="2:30">
      <c r="B35" s="27" t="s">
        <v>268</v>
      </c>
      <c r="C35" s="27"/>
      <c r="D35" s="27"/>
      <c r="E35" s="69">
        <v>40</v>
      </c>
      <c r="F35" s="7"/>
    </row>
    <row r="36" spans="2:30">
      <c r="B36" s="27" t="s">
        <v>170</v>
      </c>
      <c r="C36" s="27"/>
      <c r="D36" s="27"/>
      <c r="E36" s="56">
        <v>0.35</v>
      </c>
      <c r="F36" s="7"/>
    </row>
    <row r="38" spans="2:30">
      <c r="B38" s="31" t="s">
        <v>269</v>
      </c>
      <c r="C38" s="31"/>
      <c r="D38" s="31"/>
      <c r="E38" s="31"/>
      <c r="F38" s="31"/>
      <c r="G38" s="31"/>
      <c r="H38" s="31"/>
      <c r="I38" s="31"/>
      <c r="J38" s="31"/>
      <c r="K38" s="31"/>
      <c r="L38" s="31"/>
    </row>
    <row r="39" spans="2:30" ht="14" customHeight="1">
      <c r="B39" s="32"/>
      <c r="C39" s="32" t="str">
        <f>Currency&amp;"/unit"</f>
        <v>USD/unit</v>
      </c>
      <c r="D39" s="32"/>
      <c r="E39" s="32" t="s">
        <v>95</v>
      </c>
      <c r="F39" s="32" t="str">
        <f>Currency&amp;"/g"</f>
        <v>USD/g</v>
      </c>
      <c r="G39" s="32"/>
    </row>
    <row r="40" spans="2:30" ht="20" customHeight="1">
      <c r="B40" s="33" t="s">
        <v>65</v>
      </c>
      <c r="C40" s="33" t="s">
        <v>66</v>
      </c>
      <c r="D40" s="33" t="s">
        <v>67</v>
      </c>
      <c r="E40" s="33" t="s">
        <v>68</v>
      </c>
      <c r="F40" s="33" t="s">
        <v>69</v>
      </c>
      <c r="G40" s="33" t="s">
        <v>70</v>
      </c>
    </row>
    <row r="41" spans="2:30">
      <c r="B41" s="55" t="s">
        <v>270</v>
      </c>
      <c r="C41" s="69">
        <v>50</v>
      </c>
      <c r="D41" s="55" t="s">
        <v>97</v>
      </c>
      <c r="E41" s="69" t="s">
        <v>139</v>
      </c>
      <c r="F41" s="35">
        <f>IF(tblVerifyMaterials[[#This Row],[Price unit]]="kg",tblVerifyMaterials[[#This Row],[Price]]/1000,IF(tblVerifyMaterials[[#This Row],[Price unit]]="lb",tblVerifyMaterials[[#This Row],[Price]]/453.59237,IF(AND(tblVerifyMaterials[[#This Row],[Price unit]]="L",tblVerifyMaterials[[#This Row],[Density]]&gt;0),tblVerifyMaterials[[#This Row],[Price]]/(1000*tblVerifyMaterials[[#This Row],[Density]]),"")))</f>
        <v>0.05</v>
      </c>
      <c r="G41" s="36" t="str">
        <f>IF(tblVerifyMaterials[[#This Row],[Price]]="","Missing price",IF(tblVerifyMaterials[[#This Row],[Price unit]]="","Missing price unit",IF(AND(tblVerifyMaterials[[#This Row],[Price unit]]="L",tblVerifyMaterials[[#This Row],[Density]]=""),"Density needed for a price per L","OK")))</f>
        <v>OK</v>
      </c>
    </row>
    <row r="42" spans="2:30">
      <c r="B42" s="55" t="s">
        <v>271</v>
      </c>
      <c r="C42" s="69">
        <v>20</v>
      </c>
      <c r="D42" s="55" t="s">
        <v>99</v>
      </c>
      <c r="E42" s="69" t="s">
        <v>139</v>
      </c>
      <c r="F42" s="35">
        <f>IF(tblVerifyMaterials[[#This Row],[Price unit]]="kg",tblVerifyMaterials[[#This Row],[Price]]/1000,IF(tblVerifyMaterials[[#This Row],[Price unit]]="lb",tblVerifyMaterials[[#This Row],[Price]]/453.59237,IF(AND(tblVerifyMaterials[[#This Row],[Price unit]]="L",tblVerifyMaterials[[#This Row],[Density]]&gt;0),tblVerifyMaterials[[#This Row],[Price]]/(1000*tblVerifyMaterials[[#This Row],[Density]]),"")))</f>
        <v>0.0440924524369755</v>
      </c>
      <c r="G42" s="36" t="str">
        <f>IF(tblVerifyMaterials[[#This Row],[Price]]="","Missing price",IF(tblVerifyMaterials[[#This Row],[Price unit]]="","Missing price unit",IF(AND(tblVerifyMaterials[[#This Row],[Price unit]]="L",tblVerifyMaterials[[#This Row],[Density]]=""),"Density needed for a price per L","OK")))</f>
        <v>OK</v>
      </c>
    </row>
    <row r="43" spans="2:30">
      <c r="B43" s="55" t="s">
        <v>272</v>
      </c>
      <c r="C43" s="69">
        <v>160</v>
      </c>
      <c r="D43" s="55" t="s">
        <v>102</v>
      </c>
      <c r="E43" s="69">
        <v>1.25</v>
      </c>
      <c r="F43" s="35">
        <f>IF(tblVerifyMaterials[[#This Row],[Price unit]]="kg",tblVerifyMaterials[[#This Row],[Price]]/1000,IF(tblVerifyMaterials[[#This Row],[Price unit]]="lb",tblVerifyMaterials[[#This Row],[Price]]/453.59237,IF(AND(tblVerifyMaterials[[#This Row],[Price unit]]="L",tblVerifyMaterials[[#This Row],[Density]]&gt;0),tblVerifyMaterials[[#This Row],[Price]]/(1000*tblVerifyMaterials[[#This Row],[Density]]),"")))</f>
        <v>0.128</v>
      </c>
      <c r="G43" s="36" t="str">
        <f>IF(tblVerifyMaterials[[#This Row],[Price]]="","Missing price",IF(tblVerifyMaterials[[#This Row],[Price unit]]="","Missing price unit",IF(AND(tblVerifyMaterials[[#This Row],[Price unit]]="L",tblVerifyMaterials[[#This Row],[Density]]=""),"Density needed for a price per L","OK")))</f>
        <v>OK</v>
      </c>
    </row>
    <row r="44" spans="2:30">
      <c r="B44" s="55" t="s">
        <v>273</v>
      </c>
      <c r="C44" s="69">
        <v>160</v>
      </c>
      <c r="D44" s="55" t="s">
        <v>102</v>
      </c>
      <c r="E44" s="69" t="s">
        <v>139</v>
      </c>
      <c r="F44" s="35">
        <f>IF(tblVerifyMaterials[[#This Row],[Price unit]]="kg",tblVerifyMaterials[[#This Row],[Price]]/1000,IF(tblVerifyMaterials[[#This Row],[Price unit]]="lb",tblVerifyMaterials[[#This Row],[Price]]/453.59237,IF(AND(tblVerifyMaterials[[#This Row],[Price unit]]="L",tblVerifyMaterials[[#This Row],[Density]]&gt;0),tblVerifyMaterials[[#This Row],[Price]]/(1000*tblVerifyMaterials[[#This Row],[Density]]),"")))</f>
        <v/>
      </c>
      <c r="G44" s="36" t="str">
        <f>IF(tblVerifyMaterials[[#This Row],[Price]]="","Missing price",IF(tblVerifyMaterials[[#This Row],[Price unit]]="","Missing price unit",IF(AND(tblVerifyMaterials[[#This Row],[Price unit]]="L",tblVerifyMaterials[[#This Row],[Density]]=""),"Density needed for a price per L","OK")))</f>
        <v>Density needed for a price per L</v>
      </c>
    </row>
    <row r="46" spans="2:30">
      <c r="B46" s="31" t="s">
        <v>274</v>
      </c>
      <c r="C46" s="31"/>
      <c r="D46" s="31"/>
      <c r="E46" s="31"/>
      <c r="F46" s="31"/>
      <c r="G46" s="31"/>
      <c r="H46" s="31"/>
      <c r="I46" s="31"/>
      <c r="J46" s="31"/>
      <c r="K46" s="31"/>
      <c r="L46" s="31"/>
    </row>
    <row r="47" spans="2:30" ht="14" customHeight="1">
      <c r="B47" s="32"/>
      <c r="C47" s="32"/>
      <c r="D47" s="32"/>
      <c r="E47" s="32"/>
      <c r="F47" s="32" t="s">
        <v>130</v>
      </c>
      <c r="G47" s="32" t="s">
        <v>130</v>
      </c>
      <c r="H47" s="32" t="s">
        <v>131</v>
      </c>
      <c r="I47" s="32" t="s">
        <v>132</v>
      </c>
      <c r="J47" s="32" t="s">
        <v>133</v>
      </c>
      <c r="K47" s="32" t="s">
        <v>134</v>
      </c>
      <c r="L47" s="32" t="s">
        <v>134</v>
      </c>
      <c r="M47" s="32" t="s">
        <v>132</v>
      </c>
      <c r="N47" s="32" t="str">
        <f>Currency&amp;"/part"</f>
        <v>USD/part</v>
      </c>
      <c r="O47" s="32" t="s">
        <v>135</v>
      </c>
      <c r="P47" s="32" t="s">
        <v>133</v>
      </c>
      <c r="Q47" s="32" t="str">
        <f>Currency&amp;"/g"</f>
        <v>USD/g</v>
      </c>
      <c r="R47" s="32" t="str">
        <f>Currency&amp;"/h"</f>
        <v>USD/h</v>
      </c>
      <c r="S47" s="32" t="str">
        <f>Currency&amp;"/part"</f>
        <v>USD/part</v>
      </c>
      <c r="T47" s="32" t="str">
        <f>Currency&amp;"/part"</f>
        <v>USD/part</v>
      </c>
      <c r="U47" s="32" t="str">
        <f>Currency&amp;"/part"</f>
        <v>USD/part</v>
      </c>
      <c r="V47" s="32" t="str">
        <f>Currency&amp;"/part"</f>
        <v>USD/part</v>
      </c>
      <c r="W47" s="32" t="str">
        <f>Currency&amp;"/good part"</f>
        <v>USD/good part</v>
      </c>
      <c r="X47" s="32" t="s">
        <v>136</v>
      </c>
      <c r="Y47" s="32"/>
      <c r="Z47" s="32" t="str">
        <f>Currency&amp;"/job"</f>
        <v>USD/job</v>
      </c>
      <c r="AA47" s="32" t="str">
        <f>Currency&amp;"/job"</f>
        <v>USD/job</v>
      </c>
      <c r="AB47" s="32" t="str">
        <f>Currency&amp;"/job"</f>
        <v>USD/job</v>
      </c>
      <c r="AC47" s="32"/>
      <c r="AD47" s="32"/>
    </row>
    <row r="48" spans="2:30" ht="45.5" customHeight="1">
      <c r="B48" s="33" t="s">
        <v>106</v>
      </c>
      <c r="C48" s="33" t="s">
        <v>107</v>
      </c>
      <c r="D48" s="33" t="s">
        <v>62</v>
      </c>
      <c r="E48" s="33" t="s">
        <v>65</v>
      </c>
      <c r="F48" s="33" t="s">
        <v>108</v>
      </c>
      <c r="G48" s="33" t="s">
        <v>109</v>
      </c>
      <c r="H48" s="33" t="s">
        <v>110</v>
      </c>
      <c r="I48" s="33" t="s">
        <v>111</v>
      </c>
      <c r="J48" s="33" t="s">
        <v>112</v>
      </c>
      <c r="K48" s="33" t="s">
        <v>113</v>
      </c>
      <c r="L48" s="33" t="s">
        <v>114</v>
      </c>
      <c r="M48" s="33" t="s">
        <v>115</v>
      </c>
      <c r="N48" s="33" t="s">
        <v>66</v>
      </c>
      <c r="O48" s="33" t="s">
        <v>116</v>
      </c>
      <c r="P48" s="33" t="s">
        <v>117</v>
      </c>
      <c r="Q48" s="33" t="s">
        <v>69</v>
      </c>
      <c r="R48" s="33" t="s">
        <v>64</v>
      </c>
      <c r="S48" s="33" t="s">
        <v>118</v>
      </c>
      <c r="T48" s="33" t="s">
        <v>119</v>
      </c>
      <c r="U48" s="33" t="s">
        <v>120</v>
      </c>
      <c r="V48" s="33" t="s">
        <v>121</v>
      </c>
      <c r="W48" s="33" t="s">
        <v>122</v>
      </c>
      <c r="X48" s="33" t="s">
        <v>123</v>
      </c>
      <c r="Y48" s="33" t="s">
        <v>124</v>
      </c>
      <c r="Z48" s="33" t="s">
        <v>125</v>
      </c>
      <c r="AA48" s="33" t="s">
        <v>126</v>
      </c>
      <c r="AB48" s="33" t="s">
        <v>127</v>
      </c>
      <c r="AC48" s="33" t="s">
        <v>70</v>
      </c>
      <c r="AD48" s="33" t="s">
        <v>128</v>
      </c>
    </row>
    <row r="49" spans="2:30">
      <c r="B49" s="55" t="s">
        <v>275</v>
      </c>
      <c r="C49" s="55" t="s">
        <v>276</v>
      </c>
      <c r="D49" s="55" t="s">
        <v>277</v>
      </c>
      <c r="E49" s="55" t="s">
        <v>278</v>
      </c>
      <c r="F49" s="70">
        <v>80</v>
      </c>
      <c r="G49" s="70">
        <v>20</v>
      </c>
      <c r="H49" s="71">
        <v>100</v>
      </c>
      <c r="I49" s="56">
        <v>0</v>
      </c>
      <c r="J49" s="71">
        <v>10</v>
      </c>
      <c r="K49" s="70">
        <v>90</v>
      </c>
      <c r="L49" s="71">
        <v>4.5</v>
      </c>
      <c r="M49" s="56">
        <v>0</v>
      </c>
      <c r="N49" s="69">
        <v>30</v>
      </c>
      <c r="O49" s="40">
        <f>IF(tblVerifyJobs[[#This Row],[Job]]="","",IF(tblVerifyJobs[[#This Row],[Parts per build]]&gt;0,ROUNDUP(tblVerifyJobs[[#This Row],[Quantity]]/tblVerifyJobs[[#This Row],[Parts per build]],0),""))</f>
        <v>4</v>
      </c>
      <c r="P49" s="41">
        <f>IF(tblVerifyJobs[[#This Row],[Job]]="","",tblVerifyJobs[[#This Row],[Builds]]*tblVerifyJobs[[#This Row],[Build time (h/build)]])</f>
        <v>40</v>
      </c>
      <c r="Q49" s="66">
        <v>0.155</v>
      </c>
      <c r="R49" s="69">
        <v>4</v>
      </c>
      <c r="S49" s="42">
        <f>IF(tblVerifyJobs[[#This Row],[Job]]="","",IF(tblVerifyJobs[[#This Row],[Cost per g]]="","",tblVerifyJobs[[#This Row],[Material used (g/part)]]*(1+tblVerifyJobs[[#This Row],[Waste and refresh]])*tblVerifyJobs[[#This Row],[Cost per g]]))</f>
        <v>15.5</v>
      </c>
      <c r="T49" s="42">
        <f>IF(tblVerifyJobs[[#This Row],[Job]]="","",IF(OR(tblVerifyJobs[[#This Row],[Machine rate]]="",tblVerifyJobs[[#This Row],[Quantity]]=0),"",tblVerifyJobs[[#This Row],[Machine hours]]*tblVerifyJobs[[#This Row],[Machine rate]]/tblVerifyJobs[[#This Row],[Quantity]]))</f>
        <v>2</v>
      </c>
      <c r="U49" s="42">
        <f>IF(tblVerifyJobs[[#This Row],[Job]]="","",IF(tblVerifyJobs[[#This Row],[Quantity]]&gt;0,(tblVerifyJobs[[#This Row],[Builds]]*tblVerifyJobs[[#This Row],[Setup (min/build)]]+tblVerifyJobs[[#This Row],[Quantity]]*tblVerifyJobs[[#This Row],[Post-processing (min/part)]])/60*$E$35/tblVerifyJobs[[#This Row],[Quantity]],""))</f>
        <v>6</v>
      </c>
      <c r="V49" s="42">
        <f>IF(tblVerifyJobs[[#This Row],[Job]]="","",IFERROR((tblVerifyJobs[[#This Row],[Material cost]]+tblVerifyJobs[[#This Row],[Machine cost]]+tblVerifyJobs[[#This Row],[Labour cost]])*tblVerifyJobs[[#This Row],[Failure rate]]/(1-tblVerifyJobs[[#This Row],[Failure rate]]),""))</f>
        <v>0</v>
      </c>
      <c r="W49" s="43">
        <f>IF(tblVerifyJobs[[#This Row],[Job]]="","",IFERROR((tblVerifyJobs[[#This Row],[Material cost]]+tblVerifyJobs[[#This Row],[Machine cost]]+tblVerifyJobs[[#This Row],[Labour cost]])/(1-tblVerifyJobs[[#This Row],[Failure rate]]),""))</f>
        <v>23.5</v>
      </c>
      <c r="X49" s="44">
        <f>IF(tblVerifyJobs[[#This Row],[Job]]="","",IF(AND(tblVerifyJobs[[#This Row],[Price]]&gt;0,ISNUMBER(tblVerifyJobs[[#This Row],[Cost per part]])),(tblVerifyJobs[[#This Row],[Price]]-tblVerifyJobs[[#This Row],[Cost per part]])/tblVerifyJobs[[#This Row],[Price]],""))</f>
        <v>0.216666666666667</v>
      </c>
      <c r="Y49" s="45" t="str">
        <f>IF(NOT(ISNUMBER(tblVerifyJobs[[#This Row],[Margin]])),"",IF(tblVerifyJobs[[#This Row],[Margin]]&gt;=$E$36,"On target",IF(tblVerifyJobs[[#This Row],[Margin]]&gt;=$E$36*(1-0.05),"Near target","Below target")))</f>
        <v>Below target</v>
      </c>
      <c r="Z49" s="42">
        <f>IF(tblVerifyJobs[[#This Row],[Job]]="","",IFERROR(tblVerifyJobs[[#This Row],[Cost per part]]*tblVerifyJobs[[#This Row],[Quantity]],""))</f>
        <v>1880</v>
      </c>
      <c r="AA49" s="42">
        <f>IF(tblVerifyJobs[[#This Row],[Job]]="","",IF(tblVerifyJobs[[#This Row],[Price]]&gt;0,tblVerifyJobs[[#This Row],[Price]]*tblVerifyJobs[[#This Row],[Quantity]],""))</f>
        <v>2400</v>
      </c>
      <c r="AB49" s="42">
        <f>IF(tblVerifyJobs[[#This Row],[Job]]="","",IF(AND(tblVerifyJobs[[#This Row],[Price]]&gt;0,ISNUMBER(tblVerifyJobs[[#This Row],[Job cost]])),tblVerifyJobs[[#This Row],[Job value]]-tblVerifyJobs[[#This Row],[Job cost]],""))</f>
        <v>520</v>
      </c>
      <c r="AC49" s="36" t="str">
        <f>IF(tblVerifyJobs[[#This Row],[Job]]="","",IF(tblVerifyJobs[[#This Row],[Quantity]]="","Missing quantity",IF(tblVerifyJobs[[#This Row],[Parts per build]]="","Missing parts per build",IF(tblVerifyJobs[[#This Row],[Material used (g/part)]]="","Missing material used",IF(tblVerifyJobs[[#This Row],[Build time (h/build)]]="","Missing build time",IF(tblVerifyJobs[[#This Row],[Machine rate]]="","Printer not on Setup list",IF(tblVerifyJobs[[#This Row],[Cost per g]]="","Material not on Setup list or no price",IF(COUNTIF(tblVerifyJobs[Job],tblVerifyJobs[[#This Row],[Job]])&gt;1,"Duplicate job","OK"))))))))</f>
        <v>OK</v>
      </c>
      <c r="AD49" s="55" t="s">
        <v>139</v>
      </c>
    </row>
    <row r="50" spans="2:30">
      <c r="B50" s="55" t="s">
        <v>279</v>
      </c>
      <c r="C50" s="55" t="s">
        <v>280</v>
      </c>
      <c r="D50" s="55" t="s">
        <v>281</v>
      </c>
      <c r="E50" s="55" t="s">
        <v>282</v>
      </c>
      <c r="F50" s="70">
        <v>25</v>
      </c>
      <c r="G50" s="70">
        <v>10</v>
      </c>
      <c r="H50" s="71">
        <v>60</v>
      </c>
      <c r="I50" s="56">
        <v>0.2</v>
      </c>
      <c r="J50" s="71">
        <v>12</v>
      </c>
      <c r="K50" s="70">
        <v>30</v>
      </c>
      <c r="L50" s="71">
        <v>8</v>
      </c>
      <c r="M50" s="56">
        <v>0.1</v>
      </c>
      <c r="N50" s="69">
        <v>40</v>
      </c>
      <c r="O50" s="40">
        <f>IF(tblVerifyJobs[[#This Row],[Job]]="","",IF(tblVerifyJobs[[#This Row],[Parts per build]]&gt;0,ROUNDUP(tblVerifyJobs[[#This Row],[Quantity]]/tblVerifyJobs[[#This Row],[Parts per build]],0),""))</f>
        <v>3</v>
      </c>
      <c r="P50" s="41">
        <f>IF(tblVerifyJobs[[#This Row],[Job]]="","",tblVerifyJobs[[#This Row],[Builds]]*tblVerifyJobs[[#This Row],[Build time (h/build)]])</f>
        <v>36</v>
      </c>
      <c r="Q50" s="66">
        <v>0.08</v>
      </c>
      <c r="R50" s="69">
        <v>20</v>
      </c>
      <c r="S50" s="42">
        <f>IF(tblVerifyJobs[[#This Row],[Job]]="","",IF(tblVerifyJobs[[#This Row],[Cost per g]]="","",tblVerifyJobs[[#This Row],[Material used (g/part)]]*(1+tblVerifyJobs[[#This Row],[Waste and refresh]])*tblVerifyJobs[[#This Row],[Cost per g]]))</f>
        <v>5.76</v>
      </c>
      <c r="T50" s="42">
        <f>IF(tblVerifyJobs[[#This Row],[Job]]="","",IF(OR(tblVerifyJobs[[#This Row],[Machine rate]]="",tblVerifyJobs[[#This Row],[Quantity]]=0),"",tblVerifyJobs[[#This Row],[Machine hours]]*tblVerifyJobs[[#This Row],[Machine rate]]/tblVerifyJobs[[#This Row],[Quantity]]))</f>
        <v>28.8</v>
      </c>
      <c r="U50" s="42">
        <f>IF(tblVerifyJobs[[#This Row],[Job]]="","",IF(tblVerifyJobs[[#This Row],[Quantity]]&gt;0,(tblVerifyJobs[[#This Row],[Builds]]*tblVerifyJobs[[#This Row],[Setup (min/build)]]+tblVerifyJobs[[#This Row],[Quantity]]*tblVerifyJobs[[#This Row],[Post-processing (min/part)]])/60*$E$35/tblVerifyJobs[[#This Row],[Quantity]],""))</f>
        <v>7.73333333333333</v>
      </c>
      <c r="V50" s="42">
        <f>IF(tblVerifyJobs[[#This Row],[Job]]="","",IFERROR((tblVerifyJobs[[#This Row],[Material cost]]+tblVerifyJobs[[#This Row],[Machine cost]]+tblVerifyJobs[[#This Row],[Labour cost]])*tblVerifyJobs[[#This Row],[Failure rate]]/(1-tblVerifyJobs[[#This Row],[Failure rate]]),""))</f>
        <v>4.69925925925926</v>
      </c>
      <c r="W50" s="43">
        <f>IF(tblVerifyJobs[[#This Row],[Job]]="","",IFERROR((tblVerifyJobs[[#This Row],[Material cost]]+tblVerifyJobs[[#This Row],[Machine cost]]+tblVerifyJobs[[#This Row],[Labour cost]])/(1-tblVerifyJobs[[#This Row],[Failure rate]]),""))</f>
        <v>46.9925925925926</v>
      </c>
      <c r="X50" s="44">
        <f>IF(tblVerifyJobs[[#This Row],[Job]]="","",IF(AND(tblVerifyJobs[[#This Row],[Price]]&gt;0,ISNUMBER(tblVerifyJobs[[#This Row],[Cost per part]])),(tblVerifyJobs[[#This Row],[Price]]-tblVerifyJobs[[#This Row],[Cost per part]])/tblVerifyJobs[[#This Row],[Price]],""))</f>
        <v>-0.174814814814815</v>
      </c>
      <c r="Y50" s="45" t="str">
        <f>IF(NOT(ISNUMBER(tblVerifyJobs[[#This Row],[Margin]])),"",IF(tblVerifyJobs[[#This Row],[Margin]]&gt;=$E$36,"On target",IF(tblVerifyJobs[[#This Row],[Margin]]&gt;=$E$36*(1-0.05),"Near target","Below target")))</f>
        <v>Below target</v>
      </c>
      <c r="Z50" s="42">
        <f>IF(tblVerifyJobs[[#This Row],[Job]]="","",IFERROR(tblVerifyJobs[[#This Row],[Cost per part]]*tblVerifyJobs[[#This Row],[Quantity]],""))</f>
        <v>1174.81481481481</v>
      </c>
      <c r="AA50" s="42">
        <f>IF(tblVerifyJobs[[#This Row],[Job]]="","",IF(tblVerifyJobs[[#This Row],[Price]]&gt;0,tblVerifyJobs[[#This Row],[Price]]*tblVerifyJobs[[#This Row],[Quantity]],""))</f>
        <v>1000</v>
      </c>
      <c r="AB50" s="42">
        <f>IF(tblVerifyJobs[[#This Row],[Job]]="","",IF(AND(tblVerifyJobs[[#This Row],[Price]]&gt;0,ISNUMBER(tblVerifyJobs[[#This Row],[Job cost]])),tblVerifyJobs[[#This Row],[Job value]]-tblVerifyJobs[[#This Row],[Job cost]],""))</f>
        <v>-174.814814814815</v>
      </c>
      <c r="AC50" s="36" t="str">
        <f>IF(tblVerifyJobs[[#This Row],[Job]]="","",IF(tblVerifyJobs[[#This Row],[Quantity]]="","Missing quantity",IF(tblVerifyJobs[[#This Row],[Parts per build]]="","Missing parts per build",IF(tblVerifyJobs[[#This Row],[Material used (g/part)]]="","Missing material used",IF(tblVerifyJobs[[#This Row],[Build time (h/build)]]="","Missing build time",IF(tblVerifyJobs[[#This Row],[Machine rate]]="","Printer not on Setup list",IF(tblVerifyJobs[[#This Row],[Cost per g]]="","Material not on Setup list or no price",IF(COUNTIF(tblVerifyJobs[Job],tblVerifyJobs[[#This Row],[Job]])&gt;1,"Duplicate job","OK"))))))))</f>
        <v>OK</v>
      </c>
      <c r="AD50" s="55" t="s">
        <v>139</v>
      </c>
    </row>
    <row r="51" spans="2:30">
      <c r="B51" s="55" t="s">
        <v>283</v>
      </c>
      <c r="C51" s="55" t="s">
        <v>284</v>
      </c>
      <c r="D51" s="55" t="s">
        <v>285</v>
      </c>
      <c r="E51" s="55" t="s">
        <v>278</v>
      </c>
      <c r="F51" s="70">
        <v>5</v>
      </c>
      <c r="G51" s="70">
        <v>5</v>
      </c>
      <c r="H51" s="71">
        <v>10</v>
      </c>
      <c r="I51" s="56">
        <v>0</v>
      </c>
      <c r="J51" s="71">
        <v>2</v>
      </c>
      <c r="K51" s="70">
        <v>10</v>
      </c>
      <c r="L51" s="71">
        <v>1</v>
      </c>
      <c r="M51" s="56">
        <v>0</v>
      </c>
      <c r="N51" s="69" t="s">
        <v>139</v>
      </c>
      <c r="O51" s="40">
        <f>IF(tblVerifyJobs[[#This Row],[Job]]="","",IF(tblVerifyJobs[[#This Row],[Parts per build]]&gt;0,ROUNDUP(tblVerifyJobs[[#This Row],[Quantity]]/tblVerifyJobs[[#This Row],[Parts per build]],0),""))</f>
        <v>1</v>
      </c>
      <c r="P51" s="41">
        <f>IF(tblVerifyJobs[[#This Row],[Job]]="","",tblVerifyJobs[[#This Row],[Builds]]*tblVerifyJobs[[#This Row],[Build time (h/build)]])</f>
        <v>2</v>
      </c>
      <c r="Q51" s="66">
        <v>0.155</v>
      </c>
      <c r="R51" s="69" t="s">
        <v>139</v>
      </c>
      <c r="S51" s="42">
        <f>IF(tblVerifyJobs[[#This Row],[Job]]="","",IF(tblVerifyJobs[[#This Row],[Cost per g]]="","",tblVerifyJobs[[#This Row],[Material used (g/part)]]*(1+tblVerifyJobs[[#This Row],[Waste and refresh]])*tblVerifyJobs[[#This Row],[Cost per g]]))</f>
        <v>1.55</v>
      </c>
      <c r="T51" s="42">
        <f>IF(tblVerifyJobs[[#This Row],[Job]]="","",IF(OR(tblVerifyJobs[[#This Row],[Machine rate]]="",tblVerifyJobs[[#This Row],[Quantity]]=0),"",tblVerifyJobs[[#This Row],[Machine hours]]*tblVerifyJobs[[#This Row],[Machine rate]]/tblVerifyJobs[[#This Row],[Quantity]]))</f>
        <v/>
      </c>
      <c r="U51" s="42">
        <f>IF(tblVerifyJobs[[#This Row],[Job]]="","",IF(tblVerifyJobs[[#This Row],[Quantity]]&gt;0,(tblVerifyJobs[[#This Row],[Builds]]*tblVerifyJobs[[#This Row],[Setup (min/build)]]+tblVerifyJobs[[#This Row],[Quantity]]*tblVerifyJobs[[#This Row],[Post-processing (min/part)]])/60*$E$35/tblVerifyJobs[[#This Row],[Quantity]],""))</f>
        <v>2</v>
      </c>
      <c r="V51" s="42">
        <f>IF(tblVerifyJobs[[#This Row],[Job]]="","",IFERROR((tblVerifyJobs[[#This Row],[Material cost]]+tblVerifyJobs[[#This Row],[Machine cost]]+tblVerifyJobs[[#This Row],[Labour cost]])*tblVerifyJobs[[#This Row],[Failure rate]]/(1-tblVerifyJobs[[#This Row],[Failure rate]]),""))</f>
        <v/>
      </c>
      <c r="W51" s="43">
        <f>IF(tblVerifyJobs[[#This Row],[Job]]="","",IFERROR((tblVerifyJobs[[#This Row],[Material cost]]+tblVerifyJobs[[#This Row],[Machine cost]]+tblVerifyJobs[[#This Row],[Labour cost]])/(1-tblVerifyJobs[[#This Row],[Failure rate]]),""))</f>
        <v/>
      </c>
      <c r="X51" s="44">
        <f>IF(tblVerifyJobs[[#This Row],[Job]]="","",IF(AND(tblVerifyJobs[[#This Row],[Price]]&gt;0,ISNUMBER(tblVerifyJobs[[#This Row],[Cost per part]])),(tblVerifyJobs[[#This Row],[Price]]-tblVerifyJobs[[#This Row],[Cost per part]])/tblVerifyJobs[[#This Row],[Price]],""))</f>
        <v/>
      </c>
      <c r="Y51" s="45">
        <f>IF(NOT(ISNUMBER(tblVerifyJobs[[#This Row],[Margin]])),"",IF(tblVerifyJobs[[#This Row],[Margin]]&gt;=$E$36,"On target",IF(tblVerifyJobs[[#This Row],[Margin]]&gt;=$E$36*(1-0.05),"Near target","Below target")))</f>
        <v/>
      </c>
      <c r="Z51" s="42">
        <f>IF(tblVerifyJobs[[#This Row],[Job]]="","",IFERROR(tblVerifyJobs[[#This Row],[Cost per part]]*tblVerifyJobs[[#This Row],[Quantity]],""))</f>
        <v/>
      </c>
      <c r="AA51" s="42">
        <f>IF(tblVerifyJobs[[#This Row],[Job]]="","",IF(tblVerifyJobs[[#This Row],[Price]]&gt;0,tblVerifyJobs[[#This Row],[Price]]*tblVerifyJobs[[#This Row],[Quantity]],""))</f>
        <v/>
      </c>
      <c r="AB51" s="42">
        <f>IF(tblVerifyJobs[[#This Row],[Job]]="","",IF(AND(tblVerifyJobs[[#This Row],[Price]]&gt;0,ISNUMBER(tblVerifyJobs[[#This Row],[Job cost]])),tblVerifyJobs[[#This Row],[Job value]]-tblVerifyJobs[[#This Row],[Job cost]],""))</f>
        <v/>
      </c>
      <c r="AC51" s="36" t="str">
        <f>IF(tblVerifyJobs[[#This Row],[Job]]="","",IF(tblVerifyJobs[[#This Row],[Quantity]]="","Missing quantity",IF(tblVerifyJobs[[#This Row],[Parts per build]]="","Missing parts per build",IF(tblVerifyJobs[[#This Row],[Material used (g/part)]]="","Missing material used",IF(tblVerifyJobs[[#This Row],[Build time (h/build)]]="","Missing build time",IF(tblVerifyJobs[[#This Row],[Machine rate]]="","Printer not on Setup list",IF(tblVerifyJobs[[#This Row],[Cost per g]]="","Material not on Setup list or no price",IF(COUNTIF(tblVerifyJobs[Job],tblVerifyJobs[[#This Row],[Job]])&gt;1,"Duplicate job","OK"))))))))</f>
        <v>Printer not on Setup list</v>
      </c>
      <c r="AD51" s="55" t="s">
        <v>286</v>
      </c>
    </row>
  </sheetData>
  <sheetProtection sheet="1" formatColumns="0" formatRows="0"/>
  <mergeCells count="34">
    <mergeCell ref="A1:AD1"/>
    <mergeCell ref="B2:AC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8:L38"/>
    <mergeCell ref="B46:L46"/>
  </mergeCells>
  <conditionalFormatting sqref="AC49:AC51">
    <cfRule type="expression" dxfId="3" priority="43">
      <formula>$AC49="OK"</formula>
    </cfRule>
    <cfRule type="expression" dxfId="1" priority="44">
      <formula>AND($AC49&lt;&gt;"",$AC49&lt;&gt;"OK")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41:G44">
    <cfRule type="expression" dxfId="3" priority="41">
      <formula>$G41="OK"</formula>
    </cfRule>
    <cfRule type="expression" dxfId="1" priority="42">
      <formula>AND($G41&lt;&gt;"",$G41&lt;&gt;"OK")</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D2" r:id="rId1" tooltip="Free manufacturing calculators and templates"/>
  </hyperlinks>
  <printOptions horizontalCentered="1"/>
  <pageMargins left="0.4" right="0.4" top="0.7" bottom="0.65" header="0.3" footer="0.3"/>
  <pageSetup fitToHeight="0" orientation="landscape"/>
  <headerFooter>
    <oddHeader>&amp;L&amp;8MFG Calcs - 3D Printing Cost Estimator&amp;R&amp;8&amp;A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18</vt:i4>
      </vt:variant>
    </vt:vector>
  </HeadingPairs>
  <TitlesOfParts>
    <vt:vector size="24" baseType="lpstr">
      <vt:lpstr>Start Here</vt:lpstr>
      <vt:lpstr>Setup</vt:lpstr>
      <vt:lpstr>Print Jobs</vt:lpstr>
      <vt:lpstr>Dashboard</vt:lpstr>
      <vt:lpstr>Method</vt:lpstr>
      <vt:lpstr>Verify</vt:lpstr>
      <vt:lpstr>Currency</vt:lpstr>
      <vt:lpstr>KpiBelow</vt:lpstr>
      <vt:lpstr>KpiFail</vt:lpstr>
      <vt:lpstr>KpiHours</vt:lpstr>
      <vt:lpstr>KpiMargin</vt:lpstr>
      <vt:lpstr>LabourRate</vt:lpstr>
      <vt:lpstr>PlantName</vt:lpstr>
      <vt:lpstr>Dashboard!Print_Area</vt:lpstr>
      <vt:lpstr>Method!Print_Area</vt:lpstr>
      <vt:lpstr>'Print Jobs'!Print_Area</vt:lpstr>
      <vt:lpstr>Setup!Print_Area</vt:lpstr>
      <vt:lpstr>'Start Here'!Print_Area</vt:lpstr>
      <vt:lpstr>Verify!Print_Area</vt:lpstr>
      <vt:lpstr>Method!Print_Titles</vt:lpstr>
      <vt:lpstr>'Print Jobs'!Print_Titles</vt:lpstr>
      <vt:lpstr>SelfCheck</vt:lpstr>
      <vt:lpstr>SelfCheckSummary</vt:lpstr>
      <vt:lpstr>TargetMargin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3D Printing Cost Estimator - free Excel template from MFG Calcs</dc:title>
  <dc:subject>Cost every 3D print job from slicer estimates: material, machine time, labour and failed builds, then check each quoted price against your target margin.</dc:subject>
  <dc:creator>MFG Calcs</dc:creator>
  <cp:keywords>3D printing cost, additive manufacturing, print job quote, FDM, SLA, SLS, metal AM, cost per part, machine rate</cp:keywords>
  <dc:description>https://www.mfgcalcs.com/templates/3d-printing-cost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3d-printing-cost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https://www.mfgcalcs.com/templates/3d-printing-cost</vt:lpwstr>
  </property>
  <property fmtid="{D5CDD505-2E9C-101B-9397-08002B2CF9AE}" pid="7" name="Template sheet roles">
    <vt:lpwstr>Start Here=start;Setup=setup;Print Jobs=work;Dashboard=dashboard;Method=method;Verify=verify</vt:lpwstr>
  </property>
</Properties>
</file>