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Item List" sheetId="3" r:id="rId3"/>
    <sheet name="Dashboard" sheetId="4" r:id="rId4"/>
    <sheet name="Method" sheetId="5" r:id="rId5"/>
    <sheet name="Verify" sheetId="6" r:id="rId6"/>
  </sheets>
  <definedNames>
    <definedName name="Categories">tblCategories[Category]</definedName>
    <definedName name="CompanyName">Setup!$C$6</definedName>
    <definedName name="CountsA">Setup!$C$10</definedName>
    <definedName name="CountsB">Setup!$C$11</definedName>
    <definedName name="CountsC">Setup!$C$12</definedName>
    <definedName name="Currency">Setup!$C$7</definedName>
    <definedName name="CutA">Setup!$C$8</definedName>
    <definedName name="CutB">Setup!$C$9</definedName>
    <definedName name="CutCheck">Setup!$C$13</definedName>
    <definedName name="KpiAItems">Dashboard!$G$7</definedName>
    <definedName name="KpiAValue">Dashboard!$D$7</definedName>
    <definedName name="KpiCStock">Dashboard!$J$7</definedName>
    <definedName name="KpiValue">Dashboard!$B$7</definedName>
    <definedName name="_xlnm.Print_Area" localSheetId="3">Dashboard!$A$1:$L$63</definedName>
    <definedName name="_xlnm.Print_Area" localSheetId="2">'Item List'!$A$1:$P$46</definedName>
    <definedName name="_xlnm.Print_Area" localSheetId="4">Method!$A$1:$D$57</definedName>
    <definedName name="_xlnm.Print_Area" localSheetId="1">Setup!$A$1:$E$27</definedName>
    <definedName name="_xlnm.Print_Area" localSheetId="0">'Start Here'!$A$1:$F$55</definedName>
    <definedName name="_xlnm.Print_Area" localSheetId="5">Verify!$A$1:$P$81</definedName>
    <definedName name="_xlnm.Print_Titles" localSheetId="2">'Item List'!$1:$6</definedName>
    <definedName name="_xlnm.Print_Titles" localSheetId="4">Method!$1:$2</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<sst xmlns="http://schemas.openxmlformats.org/spreadsheetml/2006/main" count="560" uniqueCount="329">
  <si>
    <t>ABC Inventory Analysis</t>
  </si>
  <si>
    <t>Read this first: what the workbook does and how to use it.</t>
  </si>
  <si>
    <t>mfgcalcs.com</t>
  </si>
  <si>
    <t>Rank every item by annual usage value, split the list into A, B and C classes at your own cut-offs, and see where usage value and stock sit.</t>
  </si>
  <si>
    <t>For: Inventory planners, materials and supply-chain managers, buyers and warehouse leads setting count, review and stocking policies.</t>
  </si>
  <si>
    <t>Version 1.0.0  ·  updated 15 October 2026</t>
  </si>
  <si>
    <t>Quick start</t>
  </si>
  <si>
    <t>1.</t>
  </si>
  <si>
    <t>On Setup, type your company name and currency, check the A and B cut-offs and set how often each class is cycle counted.</t>
  </si>
  <si>
    <t>2.</t>
  </si>
  <si>
    <t>On Item List, paste your items with annual usage, unit cost and units on hand (an ERP usage and stock export). Rank and class update at once.</t>
  </si>
  <si>
    <t>3.</t>
  </si>
  <si>
    <t>Fix anything the Check column flags: a category not on the list, an item listed twice, a unit cost of 0.</t>
  </si>
  <si>
    <t>4.</t>
  </si>
  <si>
    <t>Open the Dashboard: the ABC curve, what each class holds, and the ten items that carry the most usage value.</t>
  </si>
  <si>
    <t>What is in this workbook</t>
  </si>
  <si>
    <t>Start Here</t>
  </si>
  <si>
    <t>Setup</t>
  </si>
  <si>
    <t>Company, currency, your class cut-offs and cycle-count policy, and the item categories.</t>
  </si>
  <si>
    <t>Item List</t>
  </si>
  <si>
    <t>One row per item: annual usage, unit cost and stock on hand, ranked into A, B and C classes.</t>
  </si>
  <si>
    <t>Dashboard</t>
  </si>
  <si>
    <t>Where annual usage value and stock sit by ABC class, the ABC curve, and the items that carry the most value.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</si>
  <si>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</si>
  <si>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</si>
  <si>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</si>
  <si>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</si>
  <si>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</si>
  <si>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</si>
  <si>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</si>
  <si>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</si>
  <si>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</si>
  <si>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</si>
  <si>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</si>
  <si>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</si>
  <si>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</si>
  <si>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</si>
  <si>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</si>
  <si>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</si>
  <si>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</si>
  <si>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</si>
  <si>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</si>
  <si>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</si>
  <si>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ABC Inventory Value Calculator on mfgcalcs.com</t>
  </si>
  <si>
    <t>Latest version</t>
  </si>
  <si>
    <t>mfgcalcs.com/templates/abc-inventory-analysis</t>
  </si>
  <si>
    <t>More free templates</t>
  </si>
  <si>
    <t>mfgcalcs.com/templates</t>
  </si>
  <si>
    <t>Version</t>
  </si>
  <si>
    <t>1.0.0 (updated 15 October 2026)</t>
  </si>
  <si>
    <t>About the example data</t>
  </si>
  <si>
    <t>Every number already in this workbook is example data for Kestrel Valve Works, a fictional business invented for this template, so the dashboard and charts show something meaningful on day one. It ranks 40 items of a valve maker (castings, bar stock, purchased parts, seals, fasteners, packaging and consumables), with usage, prices and stock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</si>
  <si>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</si>
  <si>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</si>
  <si>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</si>
  <si>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</si>
  <si>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</si>
  <si>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</si>
  <si>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</si>
  <si>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</si>
  <si>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Category</t>
  </si>
  <si>
    <t>Company and class policy</t>
  </si>
  <si>
    <t>Company or site</t>
  </si>
  <si>
    <t>Kestrel Valve Works (example)</t>
  </si>
  <si>
    <t>Currency label</t>
  </si>
  <si>
    <t>USD</t>
  </si>
  <si>
    <t>A class cut-off (cumulative usage value)</t>
  </si>
  <si>
    <t>B class cut-off (cumulative usage value)</t>
  </si>
  <si>
    <t>Cycle counts per year, A items</t>
  </si>
  <si>
    <t>counts/item/year</t>
  </si>
  <si>
    <t>Cycle counts per year, B items</t>
  </si>
  <si>
    <t>Cycle counts per year, C items</t>
  </si>
  <si>
    <t>Cut-off check</t>
  </si>
  <si>
    <t>Cut-offs and count frequencies are your policy; nothing here is an industry benchmark. A class is decided by where an item's value starts on the cumulative curve, so the top item is always A and the item that crosses a cut-off belongs to the class it starts in (see Method).</t>
  </si>
  <si>
    <t>Categories</t>
  </si>
  <si>
    <t>Item categories (feed the Item List dropdown)</t>
  </si>
  <si>
    <t>Castings</t>
  </si>
  <si>
    <t>Bar stock</t>
  </si>
  <si>
    <t>Purchased parts</t>
  </si>
  <si>
    <t>Seals and gaskets</t>
  </si>
  <si>
    <t>Fasteners</t>
  </si>
  <si>
    <t>Packaging</t>
  </si>
  <si>
    <t>Consumables</t>
  </si>
  <si>
    <t>Item</t>
  </si>
  <si>
    <t>Description</t>
  </si>
  <si>
    <t>Annual usage (units)</t>
  </si>
  <si>
    <t>Unit cost</t>
  </si>
  <si>
    <t>On hand (units)</t>
  </si>
  <si>
    <t>Annual usage value</t>
  </si>
  <si>
    <t>Share of usage value</t>
  </si>
  <si>
    <t>Rank</t>
  </si>
  <si>
    <t>Cumulative share</t>
  </si>
  <si>
    <t>Class</t>
  </si>
  <si>
    <t>Stock value</t>
  </si>
  <si>
    <t>Counts per year</t>
  </si>
  <si>
    <t>Check</t>
  </si>
  <si>
    <t>Notes</t>
  </si>
  <si>
    <t>Example data for Kestrel Valve Works (fictional). Replace it with your own: select the example rows, right-click, Delete &gt; Table Rows, then paste your item list. Rank, cumulative share and class recalculate for any number of items.</t>
  </si>
  <si>
    <t>CB-200</t>
  </si>
  <si>
    <t>Ball valve body casting, 2 in</t>
  </si>
  <si>
    <t/>
  </si>
  <si>
    <t>CB-300</t>
  </si>
  <si>
    <t>Ball valve body casting, 3 in</t>
  </si>
  <si>
    <t>CG-400</t>
  </si>
  <si>
    <t>Gate valve body casting, 4 in</t>
  </si>
  <si>
    <t>CG-600</t>
  </si>
  <si>
    <t>Gate valve body casting, 6 in</t>
  </si>
  <si>
    <t>Two-week casting lead time</t>
  </si>
  <si>
    <t>CB-150</t>
  </si>
  <si>
    <t>Ball valve body casting, 1.5 in</t>
  </si>
  <si>
    <t>CB-080</t>
  </si>
  <si>
    <t>Ball valve body casting, 3/4 in</t>
  </si>
  <si>
    <t>BS-316-50</t>
  </si>
  <si>
    <t>Stainless bar 316, 50 mm (per m)</t>
  </si>
  <si>
    <t>BS-316-30</t>
  </si>
  <si>
    <t>Stainless bar 316, 30 mm (per m)</t>
  </si>
  <si>
    <t>BS-410-25</t>
  </si>
  <si>
    <t>Stainless bar 410, 25 mm (per m)</t>
  </si>
  <si>
    <t>BS-BR-20</t>
  </si>
  <si>
    <t>Brass bar, 20 mm (per m)</t>
  </si>
  <si>
    <t>PB-200</t>
  </si>
  <si>
    <t>Ball, 316 stainless, 2 in</t>
  </si>
  <si>
    <t>PB-300</t>
  </si>
  <si>
    <t>Ball, 316 stainless, 3 in</t>
  </si>
  <si>
    <t>PA-ACT-S</t>
  </si>
  <si>
    <t>Pneumatic actuator, small</t>
  </si>
  <si>
    <t>PA-ACT-M</t>
  </si>
  <si>
    <t>Pneumatic actuator, medium</t>
  </si>
  <si>
    <t>PH-LEV-2</t>
  </si>
  <si>
    <t>Lever handle, 2 in</t>
  </si>
  <si>
    <t>PH-GW-4</t>
  </si>
  <si>
    <t>Gearbox handwheel, 4 in</t>
  </si>
  <si>
    <t>PS-STEM-2</t>
  </si>
  <si>
    <t>Stem, machined, 2 in</t>
  </si>
  <si>
    <t>PS-STEM-4</t>
  </si>
  <si>
    <t>Stem, machined, 4 in</t>
  </si>
  <si>
    <t>PL-LOCK</t>
  </si>
  <si>
    <t>Locking device kit</t>
  </si>
  <si>
    <t>PM-POS</t>
  </si>
  <si>
    <t>Position indicator</t>
  </si>
  <si>
    <t>Minimum order 100</t>
  </si>
  <si>
    <t>SG-PTFE-2</t>
  </si>
  <si>
    <t>PTFE seat set, 2 in</t>
  </si>
  <si>
    <t>SG-PTFE-3</t>
  </si>
  <si>
    <t>PTFE seat set, 3 in</t>
  </si>
  <si>
    <t>SG-GRA-4</t>
  </si>
  <si>
    <t>Graphite gasket, 4 in</t>
  </si>
  <si>
    <t>SG-OR-KIT</t>
  </si>
  <si>
    <t>O-ring kit, FKM</t>
  </si>
  <si>
    <t>SG-PACK</t>
  </si>
  <si>
    <t>Stem packing set</t>
  </si>
  <si>
    <t>SG-GRA-6</t>
  </si>
  <si>
    <t>Graphite gasket, 6 in</t>
  </si>
  <si>
    <t>FS-M12</t>
  </si>
  <si>
    <t>Stud and nut set, M12</t>
  </si>
  <si>
    <t>FS-M16</t>
  </si>
  <si>
    <t>Stud and nut set, M16</t>
  </si>
  <si>
    <t>FS-M8</t>
  </si>
  <si>
    <t>Cap screw, M8</t>
  </si>
  <si>
    <t>FS-WASH</t>
  </si>
  <si>
    <t>Spring washer, M12</t>
  </si>
  <si>
    <t>Bought by the box of 5,000</t>
  </si>
  <si>
    <t>FS-PIN</t>
  </si>
  <si>
    <t>Anti-static pin set</t>
  </si>
  <si>
    <t>PK-BOX-S</t>
  </si>
  <si>
    <t>Carton, small valve</t>
  </si>
  <si>
    <t>PK-BOX-L</t>
  </si>
  <si>
    <t>Carton, large valve</t>
  </si>
  <si>
    <t>PK-CAP</t>
  </si>
  <si>
    <t>Flange protection cap</t>
  </si>
  <si>
    <t>PK-PAL</t>
  </si>
  <si>
    <t>Export pallet, heat treated</t>
  </si>
  <si>
    <t>Export orders only</t>
  </si>
  <si>
    <t>PK-VCI</t>
  </si>
  <si>
    <t>VCI bag</t>
  </si>
  <si>
    <t>CN-PAINT</t>
  </si>
  <si>
    <t>Epoxy paint, blue (per l)</t>
  </si>
  <si>
    <t>CN-GLOVE</t>
  </si>
  <si>
    <t>Assembly gloves (pair)</t>
  </si>
  <si>
    <t>CN-LUBE</t>
  </si>
  <si>
    <t>Valve assembly grease (per kg)</t>
  </si>
  <si>
    <t>CN-TAG</t>
  </si>
  <si>
    <t>Stainless ID tag</t>
  </si>
  <si>
    <t>A CLASS: SHARE OF USAGE VALUE</t>
  </si>
  <si>
    <t>A CLASS: SHARE OF ITEMS</t>
  </si>
  <si>
    <t>C CLASS: SHARE OF STOCK VALUE</t>
  </si>
  <si>
    <t>Annual usage x unit cost, all items</t>
  </si>
  <si>
    <t>Set by the A cut-off on Setup</t>
  </si>
  <si>
    <t>The few items that need tight control</t>
  </si>
  <si>
    <t>Stock held in low-usage items</t>
  </si>
  <si>
    <t>By class</t>
  </si>
  <si>
    <t>Items</t>
  </si>
  <si>
    <t>Share of items</t>
  </si>
  <si>
    <t>Usage value</t>
  </si>
  <si>
    <t>Share of stock value</t>
  </si>
  <si>
    <t>Turns (value)</t>
  </si>
  <si>
    <t>per year</t>
  </si>
  <si>
    <t>counts/year</t>
  </si>
  <si>
    <t>A</t>
  </si>
  <si>
    <t>B</t>
  </si>
  <si>
    <t>C</t>
  </si>
  <si>
    <t>Total</t>
  </si>
  <si>
    <t>The ten items with the highest annual usage value</t>
  </si>
  <si>
    <t>1</t>
  </si>
  <si>
    <t>2</t>
  </si>
  <si>
    <t>3</t>
  </si>
  <si>
    <t>4</t>
  </si>
  <si>
    <t>5</t>
  </si>
  <si>
    <t>6</t>
  </si>
  <si>
    <t>7</t>
  </si>
  <si>
    <t>8</t>
  </si>
  <si>
    <t>9</t>
  </si>
  <si>
    <t>10</t>
  </si>
  <si>
    <t>ABC curve data: usage value held by the top share of items</t>
  </si>
  <si>
    <t>Top items (count)</t>
  </si>
  <si>
    <t>Cumulative usage value</t>
  </si>
  <si>
    <t>A cut-off</t>
  </si>
  <si>
    <t>B cut-off</t>
  </si>
  <si>
    <t>What this workbook calculates</t>
  </si>
  <si>
    <t>ABC analysis ranks items by annual usage value (annual units x unit cost) and splits the ranked list into three classes: A, the few items that carry most of the value and deserve the tightest control; B, the middle; and C, the many items that carry little. The cut-offs are cumulative shares of usage value that you set on Setup. The workbook then shows how stock on hand is spread across the classes, and turns the classes into a cycle-count workload with your count policy.</t>
  </si>
  <si>
    <t>Calculations</t>
  </si>
  <si>
    <t>Quantity</t>
  </si>
  <si>
    <t>How it is calculated</t>
  </si>
  <si>
    <t>Units</t>
  </si>
  <si>
    <t>Annual usage x unit cost, per item.</t>
  </si>
  <si>
    <t>currency/year</t>
  </si>
  <si>
    <t>Item usage value / the total over all items.</t>
  </si>
  <si>
    <t>%</t>
  </si>
  <si>
    <t>1 = highest usage value; equal values are ordered by item code.
Excel: =RANK(value, all values, 0) + COUNTIFS(values, value, items, "&lt;"&amp;item)</t>
  </si>
  <si>
    <t>-</t>
  </si>
  <si>
    <t>Usage value of this item and every item ranked above it / the total (SUMIFS over Rank &lt;= this rank).</t>
  </si>
  <si>
    <t>Share held by the items ranked above = cumulative share - own share. A if that is below the A cut-off, B if below the B cut-off, otherwise C.</t>
  </si>
  <si>
    <t>A, B, C</t>
  </si>
  <si>
    <t>Units on hand x unit cost.</t>
  </si>
  <si>
    <t>currency</t>
  </si>
  <si>
    <t>The Setup count frequency for the item's class.</t>
  </si>
  <si>
    <t>Class roll-ups</t>
  </si>
  <si>
    <t>COUNTIFS and SUMIFS by class; shares are class totals / all-item totals; turns = class usage value / class stock value.</t>
  </si>
  <si>
    <t>ABC curve</t>
  </si>
  <si>
    <t>For each share of items p (0% to 100% in 10% steps): the usage value of the top ROUNDUP(p x items) items / the total.</t>
  </si>
  <si>
    <t>Top ten</t>
  </si>
  <si>
    <t>Items looked up by Rank 1 to 10 with INDEX/MATCH.</t>
  </si>
  <si>
    <t>Assumptions</t>
  </si>
  <si>
    <t>Classes rank by annual usage value only. Criticality, lead time or shelf life can justify moving an item up a class; note it in the Notes column and set its count frequency by hand if needed.</t>
  </si>
  <si>
    <t>Annual usage and unit cost describe the same 12 months (or the same forecast year).</t>
  </si>
  <si>
    <t>Stock on hand does not affect the class; it shows where stock sits relative to usage.</t>
  </si>
  <si>
    <t>An item with no usage still gets a rank (at the bottom) and class C.</t>
  </si>
  <si>
    <t>Limitations</t>
  </si>
  <si>
    <t>One currency and one unit cost per item; items bought in several currencies need converting before they are pasted.</t>
  </si>
  <si>
    <t>Rank, cumulative share and class depend on the whole list: deleting or adding items changes other items' classes.</t>
  </si>
  <si>
    <t>The ABC curve uses 10% steps of items; a list of under 10 items repeats points.</t>
  </si>
  <si>
    <t>Classes are a starting point for policy, not a measure of how well an item is managed.</t>
  </si>
  <si>
    <t>Agreement with the live calculator</t>
  </si>
  <si>
    <t>The live ABC Inventory Value calculator computes one item's annual usage value (annual units x unit cost) and its share of a portfolio total you type. This workbook computes the same two numbers for every item, with the portfolio total summed from the list, and adds the ranking, cumulative share and class. The build checks the template's reference against the calculator's engine for its own example (100 units at 45 in a 100,000 portfolio: 4,500 and 4.5%) and for the top example item against the example total.</t>
  </si>
  <si>
    <t>Open the ABC Inventory Value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</si>
  <si>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</si>
  <si>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</si>
  <si>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Pareto principle applied to inventory: Dickie, H. F., 'ABC Inventory Analysis Shoots for Dollars, not Pennies', Factory Management and Maintenance, 1951.</t>
  </si>
  <si>
    <t>APICS/ASCM Dictionary, 'ABC classification' (classification of items in decreasing order of annual dollar volume).</t>
  </si>
  <si>
    <t>MFG Calcs ABC Inventory Value calculator (abc-inventory-value): annual usage value and share of portfolio for one item.</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</si>
  <si>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</si>
  <si>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</si>
  <si>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</si>
  <si>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</si>
  <si>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</si>
  <si>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</si>
  <si>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</si>
  <si>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</si>
  <si>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</si>
  <si>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</si>
  <si>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</si>
  <si>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</si>
  <si>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</si>
  <si>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</si>
  <si>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</si>
  <si>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</si>
  <si>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Item 4 (calculator example): annual usage value</t>
  </si>
  <si>
    <t>Item 4: share of usage value (4.5% of 100,000)</t>
  </si>
  <si>
    <t>Item 1: class A (top item)</t>
  </si>
  <si>
    <t>exact</t>
  </si>
  <si>
    <t>Item 2: cumulative share</t>
  </si>
  <si>
    <t>Item 2: class A (starts at 61%)</t>
  </si>
  <si>
    <t>Item 3: class B (starts at 81%)</t>
  </si>
  <si>
    <t>Item 5 (tie, code T-06): rank</t>
  </si>
  <si>
    <t>Item 6 (tie, code T-05): rank</t>
  </si>
  <si>
    <t>Item 6: class C (starts at 96%)</t>
  </si>
  <si>
    <t>Item 7 (no usage): rank</t>
  </si>
  <si>
    <t>Item 7: counts per year (class C)</t>
  </si>
  <si>
    <t>Item 3: stock value</t>
  </si>
  <si>
    <t>Item 8: Check reports the unknown category</t>
  </si>
  <si>
    <t>Category not on Setup list</t>
  </si>
  <si>
    <t>All items: A share of usage value (Dashboard formula)</t>
  </si>
  <si>
    <t>All items: A share of items (Dashboard formula)</t>
  </si>
  <si>
    <t>All items: C share of stock value (Dashboard formula)</t>
  </si>
  <si>
    <t>By class: B usage value</t>
  </si>
  <si>
    <t>By class: C turns</t>
  </si>
  <si>
    <t>By class: A counts per year</t>
  </si>
  <si>
    <t>Curve: top 30% of items (3 of 8, rounded up)</t>
  </si>
  <si>
    <t>Curve: top 50% of items (4 of 8)</t>
  </si>
  <si>
    <t>Curve: 0% of items holds 0%</t>
  </si>
  <si>
    <t>Fixed test inputs</t>
  </si>
  <si>
    <t>White cells are fixed test inputs; blue cells are the workbook's formulas evaluated on them.</t>
  </si>
  <si>
    <t>Parameters</t>
  </si>
  <si>
    <t>A class cut-off</t>
  </si>
  <si>
    <t>B class cut-off</t>
  </si>
  <si>
    <t>Counts per year, A</t>
  </si>
  <si>
    <t>Counts per year, B</t>
  </si>
  <si>
    <t>Counts per year, C</t>
  </si>
  <si>
    <t>Test table: Categories</t>
  </si>
  <si>
    <t>Test table: Items</t>
  </si>
  <si>
    <t>T-01</t>
  </si>
  <si>
    <t>Largest item</t>
  </si>
  <si>
    <t>T-02</t>
  </si>
  <si>
    <t>Second item</t>
  </si>
  <si>
    <t>T-03</t>
  </si>
  <si>
    <t>Crosses into B</t>
  </si>
  <si>
    <t>T-04</t>
  </si>
  <si>
    <t>Calculator example</t>
  </si>
  <si>
    <t>T-06</t>
  </si>
  <si>
    <t>Tie, listed first</t>
  </si>
  <si>
    <t>T-05</t>
  </si>
  <si>
    <t>Tie, listed second</t>
  </si>
  <si>
    <t>T-07</t>
  </si>
  <si>
    <t>No usage</t>
  </si>
  <si>
    <t>T-08</t>
  </si>
  <si>
    <t>Category typo</t>
  </si>
  <si>
    <t>Casting</t>
  </si>
  <si>
    <t>Test by-class table (same formulas as the Dashboard)</t>
  </si>
  <si>
    <t>Test ABC curve (same formulas as the Dashboard)</t>
  </si>
</sst>
</file>

<file path=xl/styles.xml><?xml version="1.0" encoding="utf-8"?>
<styleSheet xmlns="http://schemas.openxmlformats.org/spreadsheetml/2006/main">
  <numFmts count="7">
    <numFmt numFmtId="164" formatCode="0%"/>
    <numFmt numFmtId="165" formatCode="#,##0"/>
    <numFmt numFmtId="166" formatCode="#,##0.00"/>
    <numFmt numFmtId="167" formatCode="0.00%"/>
    <numFmt numFmtId="168" formatCode="0.0%"/>
    <numFmt numFmtId="169" formatCode="#,##0.0"/>
    <numFmt numFmtId="170"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6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9" fontId="10" fillId="4" borderId="3" xfId="0" applyNumberFormat="1" applyFont="1" applyFill="1" applyBorder="1" applyAlignment="1">
      <alignment vertical="center"/>
    </xf>
    <xf numFmtId="0" fontId="9" fillId="4" borderId="10" xfId="0" applyFont="1" applyFill="1" applyBorder="1" applyAlignment="1">
      <alignment vertical="center"/>
    </xf>
    <xf numFmtId="165" fontId="9" fillId="4" borderId="10" xfId="0" applyNumberFormat="1" applyFont="1" applyFill="1" applyBorder="1" applyAlignment="1">
      <alignment vertical="center"/>
    </xf>
    <xf numFmtId="164" fontId="9" fillId="0" borderId="9" xfId="0" applyNumberFormat="1" applyFont="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66"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7"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ABC curve: cumulative share of usage value</a:t>
            </a:r>
          </a:p>
        </c:rich>
      </c:tx>
      <c:layout/>
    </c:title>
    <c:plotArea>
      <c:layout/>
      <c:lineChart>
        <c:grouping val="standard"/>
        <c:ser>
          <c:idx val="0"/>
          <c:order val="0"/>
          <c:tx>
            <c:v>Usage value held</c:v>
          </c:tx>
          <c:spPr>
            <a:ln w="28575">
              <a:solidFill>
                <a:srgbClr val="3B64D8"/>
              </a:solidFill>
            </a:ln>
          </c:spPr>
          <c:marker>
            <c:symbol val="circle"/>
            <c:size val="5"/>
            <c:spPr>
              <a:solidFill>
                <a:srgbClr val="3B64D8"/>
              </a:solidFill>
              <a:ln>
                <a:solidFill>
                  <a:srgbClr val="3B64D8"/>
                </a:solidFill>
              </a:ln>
            </c:spPr>
          </c:marker>
          <c:cat>
            <c:numRef>
              <c:f>Dashboard!$B$53:$B$63</c:f>
              <c:numCache>
                <c:formatCode>General</c:formatCode>
                <c:ptCount val="11"/>
                <c:pt idx="0">
                  <c:v>0</c:v>
                </c:pt>
                <c:pt idx="1">
                  <c:v>0.1</c:v>
                </c:pt>
                <c:pt idx="2">
                  <c:v>0.2</c:v>
                </c:pt>
                <c:pt idx="3">
                  <c:v>0.3</c:v>
                </c:pt>
                <c:pt idx="4">
                  <c:v>0.4</c:v>
                </c:pt>
                <c:pt idx="5">
                  <c:v>0.5</c:v>
                </c:pt>
                <c:pt idx="6">
                  <c:v>0.6</c:v>
                </c:pt>
                <c:pt idx="7">
                  <c:v>0.7</c:v>
                </c:pt>
                <c:pt idx="8">
                  <c:v>0.8</c:v>
                </c:pt>
                <c:pt idx="9">
                  <c:v>0.9</c:v>
                </c:pt>
                <c:pt idx="10">
                  <c:v>1</c:v>
                </c:pt>
              </c:numCache>
            </c:numRef>
          </c:cat>
          <c:val>
            <c:numRef>
              <c:f>Dashboard!$D$53:$D$63</c:f>
              <c:numCache>
                <c:formatCode>General</c:formatCode>
                <c:ptCount val="11"/>
                <c:pt idx="0">
                  <c:v>0</c:v>
                </c:pt>
                <c:pt idx="1">
                  <c:v>0.636430783645053</c:v>
                </c:pt>
                <c:pt idx="2">
                  <c:v>0.838233467065724</c:v>
                </c:pt>
                <c:pt idx="3">
                  <c:v>0.919971512227943</c:v>
                </c:pt>
                <c:pt idx="4">
                  <c:v>0.964565997310237</c:v>
                </c:pt>
                <c:pt idx="5">
                  <c:v>0.980576620019906</c:v>
                </c:pt>
                <c:pt idx="6">
                  <c:v>0.990702677951681</c:v>
                </c:pt>
                <c:pt idx="7">
                  <c:v>0.996389891835012</c:v>
                </c:pt>
                <c:pt idx="8">
                  <c:v>0.998803179612829</c:v>
                </c:pt>
                <c:pt idx="9">
                  <c:v>0.999723180231729</c:v>
                </c:pt>
                <c:pt idx="10">
                  <c:v>1</c:v>
                </c:pt>
              </c:numCache>
            </c:numRef>
          </c:val>
        </c:ser>
        <c:ser>
          <c:idx val="1"/>
          <c:order val="1"/>
          <c:tx>
            <c:v>A cut-off</c:v>
          </c:tx>
          <c:spPr>
            <a:ln w="19050">
              <a:solidFill>
                <a:srgbClr val="4A5361"/>
              </a:solidFill>
              <a:prstDash val="dash"/>
            </a:ln>
          </c:spPr>
          <c:marker>
            <c:symbol val="none"/>
          </c:marker>
          <c:cat>
            <c:numRef>
              <c:f>Dashboard!$B$53:$B$63</c:f>
              <c:numCache>
                <c:formatCode>General</c:formatCode>
                <c:ptCount val="11"/>
                <c:pt idx="0">
                  <c:v>0</c:v>
                </c:pt>
                <c:pt idx="1">
                  <c:v>0.1</c:v>
                </c:pt>
                <c:pt idx="2">
                  <c:v>0.2</c:v>
                </c:pt>
                <c:pt idx="3">
                  <c:v>0.3</c:v>
                </c:pt>
                <c:pt idx="4">
                  <c:v>0.4</c:v>
                </c:pt>
                <c:pt idx="5">
                  <c:v>0.5</c:v>
                </c:pt>
                <c:pt idx="6">
                  <c:v>0.6</c:v>
                </c:pt>
                <c:pt idx="7">
                  <c:v>0.7</c:v>
                </c:pt>
                <c:pt idx="8">
                  <c:v>0.8</c:v>
                </c:pt>
                <c:pt idx="9">
                  <c:v>0.9</c:v>
                </c:pt>
                <c:pt idx="10">
                  <c:v>1</c:v>
                </c:pt>
              </c:numCache>
            </c:numRef>
          </c:cat>
          <c:val>
            <c:numRef>
              <c:f>Dashboard!$E$53:$E$63</c:f>
              <c:numCache>
                <c:formatCode>General</c:formatCode>
                <c:ptCount val="11"/>
                <c:pt idx="0">
                  <c:v>0.8</c:v>
                </c:pt>
                <c:pt idx="1">
                  <c:v>0.8</c:v>
                </c:pt>
                <c:pt idx="2">
                  <c:v>0.8</c:v>
                </c:pt>
                <c:pt idx="3">
                  <c:v>0.8</c:v>
                </c:pt>
                <c:pt idx="4">
                  <c:v>0.8</c:v>
                </c:pt>
                <c:pt idx="5">
                  <c:v>0.8</c:v>
                </c:pt>
                <c:pt idx="6">
                  <c:v>0.8</c:v>
                </c:pt>
                <c:pt idx="7">
                  <c:v>0.8</c:v>
                </c:pt>
                <c:pt idx="8">
                  <c:v>0.8</c:v>
                </c:pt>
                <c:pt idx="9">
                  <c:v>0.8</c:v>
                </c:pt>
                <c:pt idx="10">
                  <c:v>0.8</c:v>
                </c:pt>
              </c:numCache>
            </c:numRef>
          </c:val>
        </c:ser>
        <c:ser>
          <c:idx val="2"/>
          <c:order val="2"/>
          <c:tx>
            <c:v>B cut-off</c:v>
          </c:tx>
          <c:spPr>
            <a:ln w="19050">
              <a:solidFill>
                <a:srgbClr val="B3000C"/>
              </a:solidFill>
              <a:prstDash val="dash"/>
            </a:ln>
          </c:spPr>
          <c:marker>
            <c:symbol val="none"/>
          </c:marker>
          <c:cat>
            <c:numRef>
              <c:f>Dashboard!$B$53:$B$63</c:f>
              <c:numCache>
                <c:formatCode>General</c:formatCode>
                <c:ptCount val="11"/>
                <c:pt idx="0">
                  <c:v>0</c:v>
                </c:pt>
                <c:pt idx="1">
                  <c:v>0.1</c:v>
                </c:pt>
                <c:pt idx="2">
                  <c:v>0.2</c:v>
                </c:pt>
                <c:pt idx="3">
                  <c:v>0.3</c:v>
                </c:pt>
                <c:pt idx="4">
                  <c:v>0.4</c:v>
                </c:pt>
                <c:pt idx="5">
                  <c:v>0.5</c:v>
                </c:pt>
                <c:pt idx="6">
                  <c:v>0.6</c:v>
                </c:pt>
                <c:pt idx="7">
                  <c:v>0.7</c:v>
                </c:pt>
                <c:pt idx="8">
                  <c:v>0.8</c:v>
                </c:pt>
                <c:pt idx="9">
                  <c:v>0.9</c:v>
                </c:pt>
                <c:pt idx="10">
                  <c:v>1</c:v>
                </c:pt>
              </c:numCache>
            </c:numRef>
          </c:cat>
          <c:val>
            <c:numRef>
              <c:f>Dashboard!$F$53:$F$63</c:f>
              <c:numCache>
                <c:formatCode>General</c:formatCode>
                <c:ptCount val="11"/>
                <c:pt idx="0">
                  <c:v>0.95</c:v>
                </c:pt>
                <c:pt idx="1">
                  <c:v>0.95</c:v>
                </c:pt>
                <c:pt idx="2">
                  <c:v>0.95</c:v>
                </c:pt>
                <c:pt idx="3">
                  <c:v>0.95</c:v>
                </c:pt>
                <c:pt idx="4">
                  <c:v>0.95</c:v>
                </c:pt>
                <c:pt idx="5">
                  <c:v>0.95</c:v>
                </c:pt>
                <c:pt idx="6">
                  <c:v>0.95</c:v>
                </c:pt>
                <c:pt idx="7">
                  <c:v>0.95</c:v>
                </c:pt>
                <c:pt idx="8">
                  <c:v>0.95</c:v>
                </c:pt>
                <c:pt idx="9">
                  <c:v>0.95</c:v>
                </c:pt>
                <c:pt idx="10">
                  <c:v>0.95</c:v>
                </c:pt>
              </c:numCache>
            </c:numRef>
          </c:val>
        </c:ser>
        <c:marker val="1"/>
        <c:axId val="50010001"/>
        <c:axId val="50010002"/>
      </c:lineChart>
      <c:catAx>
        <c:axId val="5001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Share of items, highest usage value first</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What each class holds</a:t>
            </a:r>
          </a:p>
        </c:rich>
      </c:tx>
      <c:layout/>
    </c:title>
    <c:plotArea>
      <c:layout/>
      <c:barChart>
        <c:barDir val="col"/>
        <c:grouping val="clustered"/>
        <c:ser>
          <c:idx val="0"/>
          <c:order val="0"/>
          <c:tx>
            <c:v>Share of items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Dashboard!$B$32:$B$34</c:f>
              <c:strCache>
                <c:ptCount val="3"/>
                <c:pt idx="0">
                  <c:v>A</c:v>
                </c:pt>
                <c:pt idx="1">
                  <c:v>B</c:v>
                </c:pt>
                <c:pt idx="2">
                  <c:v>C</c:v>
                </c:pt>
              </c:strCache>
            </c:strRef>
          </c:cat>
          <c:val>
            <c:numRef>
              <c:f>Dashboard!$D$32:$D$34</c:f>
              <c:numCache>
                <c:formatCode>General</c:formatCode>
                <c:ptCount val="3"/>
                <c:pt idx="0">
                  <c:v>0.175</c:v>
                </c:pt>
                <c:pt idx="1">
                  <c:v>0.2</c:v>
                </c:pt>
                <c:pt idx="2">
                  <c:v>0.625</c:v>
                </c:pt>
              </c:numCache>
            </c:numRef>
          </c:val>
        </c:ser>
        <c:ser>
          <c:idx val="1"/>
          <c:order val="1"/>
          <c:tx>
            <c:v>Share of usage value</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Dashboard!$B$32:$B$34</c:f>
              <c:strCache>
                <c:ptCount val="3"/>
                <c:pt idx="0">
                  <c:v>A</c:v>
                </c:pt>
                <c:pt idx="1">
                  <c:v>B</c:v>
                </c:pt>
                <c:pt idx="2">
                  <c:v>C</c:v>
                </c:pt>
              </c:strCache>
            </c:strRef>
          </c:cat>
          <c:val>
            <c:numRef>
              <c:f>Dashboard!$F$32:$F$34</c:f>
              <c:numCache>
                <c:formatCode>General</c:formatCode>
                <c:ptCount val="3"/>
                <c:pt idx="0">
                  <c:v>0.800088407685816</c:v>
                </c:pt>
                <c:pt idx="1">
                  <c:v>0.154916813897915</c:v>
                </c:pt>
                <c:pt idx="2">
                  <c:v>0.0449947784162692</c:v>
                </c:pt>
              </c:numCache>
            </c:numRef>
          </c:val>
        </c:ser>
        <c:ser>
          <c:idx val="2"/>
          <c:order val="2"/>
          <c:tx>
            <c:v>Share of stock value</c:v>
          </c:tx>
          <c:spPr>
            <a:solidFill>
              <a:srgbClr val="1BA37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Dashboard!$B$32:$B$34</c:f>
              <c:strCache>
                <c:ptCount val="3"/>
                <c:pt idx="0">
                  <c:v>A</c:v>
                </c:pt>
                <c:pt idx="1">
                  <c:v>B</c:v>
                </c:pt>
                <c:pt idx="2">
                  <c:v>C</c:v>
                </c:pt>
              </c:strCache>
            </c:strRef>
          </c:cat>
          <c:val>
            <c:numRef>
              <c:f>Dashboard!$H$32:$H$34</c:f>
              <c:numCache>
                <c:formatCode>General</c:formatCode>
                <c:ptCount val="3"/>
                <c:pt idx="0">
                  <c:v>0.573152371664986</c:v>
                </c:pt>
                <c:pt idx="1">
                  <c:v>0.209119830840679</c:v>
                </c:pt>
                <c:pt idx="2">
                  <c:v>0.217727797494334</c:v>
                </c:pt>
              </c:numCache>
            </c:numRef>
          </c:val>
        </c:ser>
        <c:gapWidth val="60"/>
        <c:overlap val="-10"/>
        <c:axId val="50020001"/>
        <c:axId val="50020002"/>
      </c:bar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Class</a:t>
                </a:r>
              </a:p>
            </c:rich>
          </c:tx>
          <c:layout/>
        </c:title>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Line chart of the cumulative share of annual usage value held by the top 0%, 10% and so on up to 100% of items, with the A and B class cut-offs as dashed lin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Clustered column chart comparing, for classes A, B and C, their share of items, share of annual usage value and share of stock valu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ategories" displayName="tblCategories" ref="B20:B27" totalsRowShown="0">
  <autoFilter ref="B20:B27"/>
  <tableColumns count="1">
    <tableColumn id="1" name="Category"/>
  </tableColumns>
  <tableStyleInfo name="TableStyleLight1" showFirstColumn="0" showLastColumn="0" showRowStripes="0" showColumnStripes="0"/>
</table>
</file>

<file path=xl/tables/table2.xml><?xml version="1.0" encoding="utf-8"?>
<table xmlns="http://schemas.openxmlformats.org/spreadsheetml/2006/main" id="2" name="tblItems" displayName="tblItems" ref="B6:P46" totalsRowShown="0">
  <autoFilter ref="B6:P46"/>
  <tableColumns count="15">
    <tableColumn id="1" name="Item"/>
    <tableColumn id="2" name="Description"/>
    <tableColumn id="3" name="Category"/>
    <tableColumn id="4" name="Annual usage (units)"/>
    <tableColumn id="5" name="Unit cost"/>
    <tableColumn id="6" name="On hand (units)"/>
    <tableColumn id="7" name="Annual usage value">
      <calculatedColumnFormula>IF(tblItems[[#This Row],[Item]]="","",tblItems[[#This Row],[Annual usage (units)]]*tblItems[[#This Row],[Unit cost]])</calculatedColumnFormula>
    </tableColumn>
    <tableColumn id="8" name="Share of usage value">
      <calculatedColumnFormula>IF(tblItems[[#This Row],[Item]]="","",IF((SUM(tblItems[Annual usage value]))=0,"",(tblItems[[#This Row],[Annual usage value]])/(SUM(tblItems[Annual usage value]))))</calculatedColumnFormula>
    </tableColumn>
    <tableColumn id="9" name="Rank">
      <calculatedColumnFormula>IF(tblItems[[#This Row],[Item]]="","",RANK(tblItems[[#This Row],[Annual usage value]],tblItems[Annual usage value],0)+COUNTIFS(tblItems[Annual usage value],tblItems[[#This Row],[Annual usage value]],tblItems[Item],"&lt;"&amp;tblItems[[#This Row],[Item]]))</calculatedColumnFormula>
    </tableColumn>
    <tableColumn id="10" name="Cumulative share">
      <calculatedColumnFormula>IF(tblItems[[#This Row],[Item]]="","",IF((SUM(tblItems[Annual usage value]))=0,"",(SUMIFS(tblItems[Annual usage value],tblItems[Rank],"&lt;="&amp;tblItems[[#This Row],[Rank]]))/(SUM(tblItems[Annual usage value]))))</calculatedColumnFormula>
    </tableColumn>
    <tableColumn id="11" name="Class">
      <calculatedColumnFormula>IF(tblItems[[#This Row],[Item]]="","",IF(tblItems[[#This Row],[Cumulative share]]="","",IF(tblItems[[#This Row],[Cumulative share]]-tblItems[[#This Row],[Share of usage value]]&lt;CutA,"A",IF(tblItems[[#This Row],[Cumulative share]]-tblItems[[#This Row],[Share of usage value]]&lt;CutB,"B","C"))))</calculatedColumnFormula>
    </tableColumn>
    <tableColumn id="12" name="Stock value">
      <calculatedColumnFormula>IF(tblItems[[#This Row],[Item]]="","",tblItems[[#This Row],[On hand (units)]]*tblItems[[#This Row],[Unit cost]])</calculatedColumnFormula>
    </tableColumn>
    <tableColumn id="13" name="Counts per year">
      <calculatedColumnFormula>IF(tblItems[[#This Row],[Item]]="","",IF(tblItems[[#This Row],[Class]]="A",CountsA,IF(tblItems[[#This Row],[Class]]="B",CountsB,IF(tblItems[[#This Row],[Class]]="C",CountsC,""))))</calculatedColumnFormula>
    </tableColumn>
    <tableColumn id="14" name="Check">
      <calculatedColumnFormula>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calculatedColumnFormula>
    </tableColumn>
    <tableColumn id="15" name="Notes"/>
  </tableColumns>
  <tableStyleInfo name="TableStyleLight1" showFirstColumn="0" showLastColumn="0" showRowStripes="0" showColumnStripes="0"/>
</table>
</file>

<file path=xl/tables/table3.xml><?xml version="1.0" encoding="utf-8"?>
<table xmlns="http://schemas.openxmlformats.org/spreadsheetml/2006/main" id="3" name="tblVerifyCategories" displayName="tblVerifyCategories" ref="B45:B47" totalsRowShown="0">
  <tableColumns count="1">
    <tableColumn id="1" name="Category"/>
  </tableColumns>
  <tableStyleInfo name="TableStyleLight1" showFirstColumn="0" showLastColumn="0" showRowStripes="0" showColumnStripes="0"/>
</table>
</file>

<file path=xl/tables/table4.xml><?xml version="1.0" encoding="utf-8"?>
<table xmlns="http://schemas.openxmlformats.org/spreadsheetml/2006/main" id="4" name="tblVerifyItems" displayName="tblVerifyItems" ref="B51:P59" totalsRowShown="0">
  <tableColumns count="15">
    <tableColumn id="1" name="Item"/>
    <tableColumn id="2" name="Description"/>
    <tableColumn id="3" name="Category"/>
    <tableColumn id="4" name="Annual usage (units)"/>
    <tableColumn id="5" name="Unit cost"/>
    <tableColumn id="6" name="On hand (units)"/>
    <tableColumn id="7" name="Annual usage value">
      <calculatedColumnFormula>IF(tblVerifyItems[[#This Row],[Item]]="","",tblVerifyItems[[#This Row],[Annual usage (units)]]*tblVerifyItems[[#This Row],[Unit cost]])</calculatedColumnFormula>
    </tableColumn>
    <tableColumn id="8" name="Share of usage value">
      <calculatedColumnFormula>IF(tblVerifyItems[[#This Row],[Item]]="","",IF((SUM(tblVerifyItems[Annual usage value]))=0,"",(tblVerifyItems[[#This Row],[Annual usage value]])/(SUM(tblVerifyItems[Annual usage value]))))</calculatedColumnFormula>
    </tableColumn>
    <tableColumn id="9" name="Rank">
      <calculatedColumnFormula>IF(tblVerifyItems[[#This Row],[Item]]="","",RANK(tblVerifyItems[[#This Row],[Annual usage value]],tblVerifyItems[Annual usage value],0)+COUNTIFS(tblVerifyItems[Annual usage value],tblVerifyItems[[#This Row],[Annual usage value]],tblVerifyItems[Item],"&lt;"&amp;tblVerifyItems[[#This Row],[Item]]))</calculatedColumnFormula>
    </tableColumn>
    <tableColumn id="10" name="Cumulative share">
      <calculatedColumnFormula>IF(tblVerifyItems[[#This Row],[Item]]="","",IF((SUM(tblVerifyItems[Annual usage value]))=0,"",(SUMIFS(tblVerifyItems[Annual usage value],tblVerifyItems[Rank],"&lt;="&amp;tblVerifyItems[[#This Row],[Rank]]))/(SUM(tblVerifyItems[Annual usage value]))))</calculatedColumnFormula>
    </tableColumn>
    <tableColumn id="11" name="Class">
      <calculatedColumnFormula>IF(tblVerifyItems[[#This Row],[Item]]="","",IF(tblVerifyItems[[#This Row],[Cumulative share]]="","",IF(tblVerifyItems[[#This Row],[Cumulative share]]-tblVerifyItems[[#This Row],[Share of usage value]]&lt;$E$38,"A",IF(tblVerifyItems[[#This Row],[Cumulative share]]-tblVerifyItems[[#This Row],[Share of usage value]]&lt;$E$39,"B","C"))))</calculatedColumnFormula>
    </tableColumn>
    <tableColumn id="12" name="Stock value">
      <calculatedColumnFormula>IF(tblVerifyItems[[#This Row],[Item]]="","",tblVerifyItems[[#This Row],[On hand (units)]]*tblVerifyItems[[#This Row],[Unit cost]])</calculatedColumnFormula>
    </tableColumn>
    <tableColumn id="13" name="Counts per year">
      <calculatedColumnFormula>IF(tblVerifyItems[[#This Row],[Item]]="","",IF(tblVerifyItems[[#This Row],[Class]]="A",$E$40,IF(tblVerifyItems[[#This Row],[Class]]="B",$E$41,IF(tblVerifyItems[[#This Row],[Class]]="C",$E$42,""))))</calculatedColumnFormula>
    </tableColumn>
    <tableColumn id="14" name="Check">
      <calculatedColumnFormula>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calculatedColumnFormula>
    </tableColumn>
    <tableColumn id="1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bc-inventory-analysis" TargetMode="External"/><Relationship Id="rId2" Type="http://schemas.openxmlformats.org/officeDocument/2006/relationships/hyperlink" Target="https://www.mfgcalcs.com/calculators/supply-chain-procurement-inventory/abc-inventory-value?utm_source=mfgcalcs-template&amp;utm_medium=xlsx&amp;utm_campaign=abc-inventory-analysis" TargetMode="External"/><Relationship Id="rId3" Type="http://schemas.openxmlformats.org/officeDocument/2006/relationships/hyperlink" Target="https://www.mfgcalcs.com/templates/abc-inventory-analysis?utm_source=mfgcalcs-template&amp;utm_medium=xlsx&amp;utm_campaign=abc-inventory-analysis" TargetMode="External"/><Relationship Id="rId4" Type="http://schemas.openxmlformats.org/officeDocument/2006/relationships/hyperlink" Target="https://www.mfgcalcs.com/templates?utm_source=mfgcalcs-template&amp;utm_medium=xlsx&amp;utm_campaign=abc-inventory-analysi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bc-inventory-analysis"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bc-inventory-analysis"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bc-inventory-analysis"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bc-inventory-analysis" TargetMode="External"/><Relationship Id="rId2" Type="http://schemas.openxmlformats.org/officeDocument/2006/relationships/hyperlink" Target="https://www.mfgcalcs.com/calculators/supply-chain-procurement-inventory/abc-inventory-value?utm_source=mfgcalcs-template&amp;utm_medium=xlsx&amp;utm_campaign=abc-inventory-analysi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bc-inventory-analysis"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22 of 22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Item List'!A1" tooltip="Go to Item List" display="Item List"/>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ABC Inventory Analysis&amp;R&amp;8&amp;A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7"/>
  <sheetViews>
    <sheetView showGridLines="0" workbookViewId="0"/>
  </sheetViews>
  <sheetFormatPr defaultRowHeight="15"/>
  <cols>
    <col min="1" max="1" width="2.7109375" customWidth="1"/>
    <col min="2" max="2" width="34.7109375" customWidth="1"/>
    <col min="3" max="3" width="14.7109375" customWidth="1"/>
    <col min="4" max="4" width="30.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61</v>
      </c>
      <c r="C4" s="8"/>
      <c r="D4" s="8"/>
    </row>
    <row r="5" spans="1:5" ht="5" customHeight="1"/>
    <row r="6" spans="1:5">
      <c r="B6" s="27" t="s">
        <v>62</v>
      </c>
      <c r="C6" s="28" t="s">
        <v>63</v>
      </c>
      <c r="D6" s="28"/>
    </row>
    <row r="7" spans="1:5">
      <c r="B7" s="27" t="s">
        <v>64</v>
      </c>
      <c r="C7" s="28" t="s">
        <v>65</v>
      </c>
      <c r="D7" s="28"/>
    </row>
    <row r="8" spans="1:5">
      <c r="B8" s="27" t="s">
        <v>66</v>
      </c>
      <c r="C8" s="29">
        <v>0.8</v>
      </c>
      <c r="D8" s="7"/>
    </row>
    <row r="9" spans="1:5">
      <c r="B9" s="27" t="s">
        <v>67</v>
      </c>
      <c r="C9" s="29">
        <v>0.95</v>
      </c>
      <c r="D9" s="7"/>
    </row>
    <row r="10" spans="1:5">
      <c r="B10" s="27" t="s">
        <v>68</v>
      </c>
      <c r="C10" s="30">
        <v>12</v>
      </c>
      <c r="D10" s="7" t="s">
        <v>69</v>
      </c>
    </row>
    <row r="11" spans="1:5">
      <c r="B11" s="27" t="s">
        <v>70</v>
      </c>
      <c r="C11" s="30">
        <v>4</v>
      </c>
      <c r="D11" s="7" t="s">
        <v>69</v>
      </c>
    </row>
    <row r="12" spans="1:5">
      <c r="B12" s="27" t="s">
        <v>71</v>
      </c>
      <c r="C12" s="30">
        <v>1</v>
      </c>
      <c r="D12" s="7" t="s">
        <v>69</v>
      </c>
    </row>
    <row r="13" spans="1:5">
      <c r="B13" s="27" t="s">
        <v>72</v>
      </c>
      <c r="C13" s="31" t="str">
        <f>IF(CutB&lt;=CutA,"B cut-off must be above A","OK")</f>
        <v>OK</v>
      </c>
      <c r="D13" s="7"/>
    </row>
    <row r="15" spans="1:5" ht="48.6" customHeight="1">
      <c r="B15" s="25" t="s">
        <v>73</v>
      </c>
      <c r="C15" s="25"/>
      <c r="D15" s="25"/>
    </row>
    <row r="17" spans="2:4" ht="21" customHeight="1">
      <c r="B17" s="8" t="s">
        <v>74</v>
      </c>
      <c r="C17" s="8"/>
      <c r="D17" s="8"/>
    </row>
    <row r="18" spans="2:4" ht="5" customHeight="1"/>
    <row r="19" spans="2:4">
      <c r="B19" s="32" t="s">
        <v>75</v>
      </c>
    </row>
    <row r="20" spans="2:4" ht="20" customHeight="1">
      <c r="B20" s="33" t="s">
        <v>60</v>
      </c>
    </row>
    <row r="21" spans="2:4">
      <c r="B21" s="28" t="s">
        <v>76</v>
      </c>
    </row>
    <row r="22" spans="2:4">
      <c r="B22" s="28" t="s">
        <v>77</v>
      </c>
    </row>
    <row r="23" spans="2:4">
      <c r="B23" s="28" t="s">
        <v>78</v>
      </c>
    </row>
    <row r="24" spans="2:4">
      <c r="B24" s="28" t="s">
        <v>79</v>
      </c>
    </row>
    <row r="25" spans="2:4">
      <c r="B25" s="28" t="s">
        <v>80</v>
      </c>
    </row>
    <row r="26" spans="2:4">
      <c r="B26" s="28" t="s">
        <v>81</v>
      </c>
    </row>
    <row r="27" spans="2:4">
      <c r="B27" s="28" t="s">
        <v>82</v>
      </c>
    </row>
  </sheetData>
  <mergeCells count="8">
    <mergeCell ref="A1:E1"/>
    <mergeCell ref="B2:C2"/>
    <mergeCell ref="D2:E2"/>
    <mergeCell ref="B4:D4"/>
    <mergeCell ref="C6:D6"/>
    <mergeCell ref="C7:D7"/>
    <mergeCell ref="B15:D15"/>
    <mergeCell ref="B17:D17"/>
  </mergeCells>
  <dataValidations count="8">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decimal" allowBlank="1" showInputMessage="1" showErrorMessage="1" errorTitle="Check this entry" error="Enter a percentage from 1% to 99% (type 85% or 0.85)." promptTitle="A class cut-off (cumulative u..." prompt="An item is A while the items ranked above it hold less than this share of annual usage value. Your choice; 70% to 80% is common practice, not a standard. Enter a percentage from 1% to 99% (type 85% or 0.85)." sqref="C8">
      <formula1>0.01</formula1>
      <formula2>0.99</formula2>
    </dataValidation>
    <dataValidation type="decimal" allowBlank="1" showInputMessage="1" showErrorMessage="1" errorTitle="Check this entry" error="Enter a percentage from 2% to 100% (type 85% or 0.85)." promptTitle="B class cut-off (cumulative u..." prompt="An item is B while the items ranked above it hold less than this share (and it is not A). Must be above the A cut-off. Enter a percentage from 2% to 100% (type 85% or 0.85)." sqref="C9">
      <formula1>0.02</formula1>
      <formula2>1</formula2>
    </dataValidation>
    <dataValidation type="whole" allowBlank="1" showInputMessage="1" showErrorMessage="1" errorTitle="Check this entry" error="Enter a whole number from 0 to 365." promptTitle="Cycle counts per year, A items" prompt="Your count policy for A items, e.g. 12 = monthly. Enter a whole number from 0 to 365." sqref="C10">
      <formula1>0</formula1>
      <formula2>365</formula2>
    </dataValidation>
    <dataValidation type="whole" allowBlank="1" showInputMessage="1" showErrorMessage="1" errorTitle="Check this entry" error="Enter a whole number from 0 to 365." promptTitle="Cycle counts per year, B items" prompt="Your count policy for B items, e.g. 4 = quarterly. Enter a whole number from 0 to 365." sqref="C11">
      <formula1>0</formula1>
      <formula2>365</formula2>
    </dataValidation>
    <dataValidation type="whole" allowBlank="1" showInputMessage="1" showErrorMessage="1" errorTitle="Check this entry" error="Enter a whole number from 0 to 365." promptTitle="Cycle counts per year, C items" prompt="Your count policy for C items, e.g. 1 = once a year. Enter a whole number from 0 to 365." sqref="C12">
      <formula1>0</formula1>
      <formula2>365</formula2>
    </dataValidation>
    <dataValidation type="textLength" allowBlank="1" showInputMessage="1" showErrorMessage="1" errorTitle="Check this entry" error="Text up to 40 characters." promptTitle="Category" prompt="Text up to 40 characters." sqref="B21:B127">
      <formula1>0</formula1>
      <formula2>40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ABC Inventory Analysis&amp;R&amp;8&amp;A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P46"/>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11.7109375" customWidth="1"/>
    <col min="3" max="3" width="28.7109375" customWidth="1"/>
    <col min="4" max="4" width="15.7109375" customWidth="1"/>
    <col min="5" max="5" width="10.7109375" customWidth="1"/>
    <col min="6" max="7" width="9.7109375" customWidth="1"/>
    <col min="8" max="8" width="11.7109375" customWidth="1"/>
    <col min="9" max="9" width="10.28515625" customWidth="1"/>
    <col min="10" max="10" width="7.28515625" customWidth="1"/>
    <col min="11" max="11" width="10.7109375" customWidth="1"/>
    <col min="12" max="12" width="7.28515625" customWidth="1"/>
    <col min="13" max="13" width="10.7109375" customWidth="1"/>
    <col min="14" max="14" width="8.7109375" customWidth="1"/>
    <col min="15" max="15" width="20.7109375" customWidth="1"/>
    <col min="16" max="16" width="26.7109375" customWidth="1"/>
  </cols>
  <sheetData>
    <row r="1" spans="1:16" ht="30" customHeight="1" x14ac:dyDescent="0.25">
      <c r="A1" s="1" t="s">
        <v>0</v>
      </c>
      <c r="B1" s="1"/>
      <c r="C1" s="1"/>
      <c r="D1" s="1"/>
      <c r="E1" s="1"/>
      <c r="F1" s="1"/>
      <c r="G1" s="1"/>
      <c r="H1" s="1"/>
      <c r="I1" s="1"/>
      <c r="J1" s="1"/>
      <c r="K1" s="1"/>
      <c r="L1" s="1"/>
      <c r="M1" s="1"/>
      <c r="N1" s="1"/>
      <c r="O1" s="1"/>
      <c r="P1" s="1"/>
    </row>
    <row r="2" spans="1:16" ht="21" customHeight="1" x14ac:dyDescent="0.25">
      <c r="B2" s="2" t="s">
        <v>20</v>
      </c>
      <c r="C2" s="2"/>
      <c r="D2" s="2"/>
      <c r="E2" s="2"/>
      <c r="F2" s="2"/>
      <c r="G2" s="2"/>
      <c r="H2" s="2"/>
      <c r="I2" s="2"/>
      <c r="J2" s="2"/>
      <c r="K2" s="2"/>
      <c r="L2" s="2"/>
      <c r="M2" s="2"/>
      <c r="N2" s="2"/>
      <c r="O2" s="2"/>
      <c r="P2" s="3" t="s">
        <v>2</v>
      </c>
    </row>
    <row r="3" spans="1:16" ht="6" customHeight="1" x14ac:dyDescent="0.25"/>
    <row r="4" spans="1:16" ht="29.76" customHeight="1" x14ac:dyDescent="0.25">
      <c r="B4" s="34" t="s">
        <v>97</v>
      </c>
      <c r="C4" s="34"/>
      <c r="D4" s="34"/>
      <c r="E4" s="34"/>
      <c r="F4" s="34"/>
      <c r="G4" s="34"/>
      <c r="H4" s="34"/>
      <c r="I4" s="34"/>
      <c r="J4" s="34"/>
      <c r="K4" s="34"/>
      <c r="L4" s="34"/>
      <c r="M4" s="34"/>
      <c r="N4" s="34"/>
      <c r="O4" s="34"/>
      <c r="P4" s="34"/>
    </row>
    <row r="5" spans="1:16" ht="14" customHeight="1" x14ac:dyDescent="0.25">
      <c r="B5" s="35"/>
      <c r="C5" s="35"/>
      <c r="D5" s="35"/>
      <c r="E5" s="35"/>
      <c r="F5" s="35" t="str">
        <f>Currency&amp;"/unit"</f>
        <v>USD/unit</v>
      </c>
      <c r="G5" s="35"/>
      <c r="H5" s="35" t="str">
        <f>Currency&amp;"/year"</f>
        <v>USD/year</v>
      </c>
      <c r="I5" s="35"/>
      <c r="J5" s="35"/>
      <c r="K5" s="35"/>
      <c r="L5" s="35"/>
      <c r="M5" s="35" t="str">
        <f>Currency</f>
        <v>USD</v>
      </c>
      <c r="N5" s="35"/>
      <c r="O5" s="35"/>
      <c r="P5" s="35"/>
    </row>
    <row r="6" spans="1:16" ht="32" customHeight="1" x14ac:dyDescent="0.25">
      <c r="B6" s="33" t="s">
        <v>83</v>
      </c>
      <c r="C6" s="33" t="s">
        <v>84</v>
      </c>
      <c r="D6" s="33" t="s">
        <v>60</v>
      </c>
      <c r="E6" s="33" t="s">
        <v>85</v>
      </c>
      <c r="F6" s="33" t="s">
        <v>86</v>
      </c>
      <c r="G6" s="33" t="s">
        <v>87</v>
      </c>
      <c r="H6" s="33" t="s">
        <v>88</v>
      </c>
      <c r="I6" s="33" t="s">
        <v>89</v>
      </c>
      <c r="J6" s="33" t="s">
        <v>90</v>
      </c>
      <c r="K6" s="33" t="s">
        <v>91</v>
      </c>
      <c r="L6" s="33" t="s">
        <v>92</v>
      </c>
      <c r="M6" s="33" t="s">
        <v>93</v>
      </c>
      <c r="N6" s="33" t="s">
        <v>94</v>
      </c>
      <c r="O6" s="33" t="s">
        <v>95</v>
      </c>
      <c r="P6" s="33" t="s">
        <v>96</v>
      </c>
    </row>
    <row r="7" spans="1:16" x14ac:dyDescent="0.25">
      <c r="B7" s="28" t="s">
        <v>98</v>
      </c>
      <c r="C7" s="28" t="s">
        <v>99</v>
      </c>
      <c r="D7" s="28" t="s">
        <v>76</v>
      </c>
      <c r="E7" s="30">
        <v>16200</v>
      </c>
      <c r="F7" s="36">
        <v>48.6</v>
      </c>
      <c r="G7" s="30">
        <v>970</v>
      </c>
      <c r="H7" s="37">
        <f>IF(tblItems[[#This Row],[Item]]="","",tblItems[[#This Row],[Annual usage (units)]]*tblItems[[#This Row],[Unit cost]])</f>
        <v>787320</v>
      </c>
      <c r="I7" s="38">
        <f>IF(tblItems[[#This Row],[Item]]="","",IF((SUM(tblItems[Annual usage value]))=0,"",(tblItems[[#This Row],[Annual usage value]])/(SUM(tblItems[Annual usage value]))))</f>
        <v>0.301529800712746</v>
      </c>
      <c r="J7" s="37">
        <f>IF(tblItems[[#This Row],[Item]]="","",RANK(tblItems[[#This Row],[Annual usage value]],tblItems[Annual usage value],0)+COUNTIFS(tblItems[Annual usage value],tblItems[[#This Row],[Annual usage value]],tblItems[Item],"&lt;"&amp;tblItems[[#This Row],[Item]]))</f>
        <v>1</v>
      </c>
      <c r="K7" s="39">
        <f>IF(tblItems[[#This Row],[Item]]="","",IF((SUM(tblItems[Annual usage value]))=0,"",(SUMIFS(tblItems[Annual usage value],tblItems[Rank],"&lt;="&amp;tblItems[[#This Row],[Rank]]))/(SUM(tblItems[Annual usage value]))))</f>
        <v>0.301529800712746</v>
      </c>
      <c r="L7" s="40" t="str">
        <f>IF(tblItems[[#This Row],[Item]]="","",IF(tblItems[[#This Row],[Cumulative share]]="","",IF(tblItems[[#This Row],[Cumulative share]]-tblItems[[#This Row],[Share of usage value]]&lt;CutA,"A",IF(tblItems[[#This Row],[Cumulative share]]-tblItems[[#This Row],[Share of usage value]]&lt;CutB,"B","C"))))</f>
        <v>A</v>
      </c>
      <c r="M7" s="37">
        <f>IF(tblItems[[#This Row],[Item]]="","",tblItems[[#This Row],[On hand (units)]]*tblItems[[#This Row],[Unit cost]])</f>
        <v>47142</v>
      </c>
      <c r="N7" s="37">
        <f>IF(tblItems[[#This Row],[Item]]="","",IF(tblItems[[#This Row],[Class]]="A",CountsA,IF(tblItems[[#This Row],[Class]]="B",CountsB,IF(tblItems[[#This Row],[Class]]="C",CountsC,""))))</f>
        <v>12</v>
      </c>
      <c r="O7"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7" s="28" t="s">
        <v>100</v>
      </c>
    </row>
    <row r="8" spans="1:16" x14ac:dyDescent="0.25">
      <c r="B8" s="28" t="s">
        <v>101</v>
      </c>
      <c r="C8" s="28" t="s">
        <v>102</v>
      </c>
      <c r="D8" s="28" t="s">
        <v>76</v>
      </c>
      <c r="E8" s="30">
        <v>4870</v>
      </c>
      <c r="F8" s="36">
        <v>86.40000000000001</v>
      </c>
      <c r="G8" s="30">
        <v>395</v>
      </c>
      <c r="H8" s="37">
        <f>IF(tblItems[[#This Row],[Item]]="","",tblItems[[#This Row],[Annual usage (units)]]*tblItems[[#This Row],[Unit cost]])</f>
        <v>420768</v>
      </c>
      <c r="I8" s="38">
        <f>IF(tblItems[[#This Row],[Item]]="","",IF((SUM(tblItems[Annual usage value]))=0,"",(tblItems[[#This Row],[Annual usage value]])/(SUM(tblItems[Annual usage value]))))</f>
        <v>0.161146790614109</v>
      </c>
      <c r="J8" s="37">
        <f>IF(tblItems[[#This Row],[Item]]="","",RANK(tblItems[[#This Row],[Annual usage value]],tblItems[Annual usage value],0)+COUNTIFS(tblItems[Annual usage value],tblItems[[#This Row],[Annual usage value]],tblItems[Item],"&lt;"&amp;tblItems[[#This Row],[Item]]))</f>
        <v>2</v>
      </c>
      <c r="K8" s="39">
        <f>IF(tblItems[[#This Row],[Item]]="","",IF((SUM(tblItems[Annual usage value]))=0,"",(SUMIFS(tblItems[Annual usage value],tblItems[Rank],"&lt;="&amp;tblItems[[#This Row],[Rank]]))/(SUM(tblItems[Annual usage value]))))</f>
        <v>0.462676591326855</v>
      </c>
      <c r="L8" s="40" t="str">
        <f>IF(tblItems[[#This Row],[Item]]="","",IF(tblItems[[#This Row],[Cumulative share]]="","",IF(tblItems[[#This Row],[Cumulative share]]-tblItems[[#This Row],[Share of usage value]]&lt;CutA,"A",IF(tblItems[[#This Row],[Cumulative share]]-tblItems[[#This Row],[Share of usage value]]&lt;CutB,"B","C"))))</f>
        <v>A</v>
      </c>
      <c r="M8" s="37">
        <f>IF(tblItems[[#This Row],[Item]]="","",tblItems[[#This Row],[On hand (units)]]*tblItems[[#This Row],[Unit cost]])</f>
        <v>34128</v>
      </c>
      <c r="N8" s="37">
        <f>IF(tblItems[[#This Row],[Item]]="","",IF(tblItems[[#This Row],[Class]]="A",CountsA,IF(tblItems[[#This Row],[Class]]="B",CountsB,IF(tblItems[[#This Row],[Class]]="C",CountsC,""))))</f>
        <v>12</v>
      </c>
      <c r="O8"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8" s="28" t="s">
        <v>100</v>
      </c>
    </row>
    <row r="9" spans="1:16" x14ac:dyDescent="0.25">
      <c r="B9" s="28" t="s">
        <v>103</v>
      </c>
      <c r="C9" s="28" t="s">
        <v>104</v>
      </c>
      <c r="D9" s="28" t="s">
        <v>76</v>
      </c>
      <c r="E9" s="30">
        <v>1030</v>
      </c>
      <c r="F9" s="36">
        <v>142</v>
      </c>
      <c r="G9" s="30">
        <v>115</v>
      </c>
      <c r="H9" s="37">
        <f>IF(tblItems[[#This Row],[Item]]="","",tblItems[[#This Row],[Annual usage (units)]]*tblItems[[#This Row],[Unit cost]])</f>
        <v>146260</v>
      </c>
      <c r="I9" s="38">
        <f>IF(tblItems[[#This Row],[Item]]="","",IF((SUM(tblItems[Annual usage value]))=0,"",(tblItems[[#This Row],[Annual usage value]])/(SUM(tblItems[Annual usage value]))))</f>
        <v>0.0560150239448334</v>
      </c>
      <c r="J9" s="37">
        <f>IF(tblItems[[#This Row],[Item]]="","",RANK(tblItems[[#This Row],[Annual usage value]],tblItems[Annual usage value],0)+COUNTIFS(tblItems[Annual usage value],tblItems[[#This Row],[Annual usage value]],tblItems[Item],"&lt;"&amp;tblItems[[#This Row],[Item]]))</f>
        <v>6</v>
      </c>
      <c r="K9" s="39">
        <f>IF(tblItems[[#This Row],[Item]]="","",IF((SUM(tblItems[Annual usage value]))=0,"",(SUMIFS(tblItems[Annual usage value],tblItems[Rank],"&lt;="&amp;tblItems[[#This Row],[Rank]]))/(SUM(tblItems[Annual usage value]))))</f>
        <v>0.757807137047845</v>
      </c>
      <c r="L9" s="40" t="str">
        <f>IF(tblItems[[#This Row],[Item]]="","",IF(tblItems[[#This Row],[Cumulative share]]="","",IF(tblItems[[#This Row],[Cumulative share]]-tblItems[[#This Row],[Share of usage value]]&lt;CutA,"A",IF(tblItems[[#This Row],[Cumulative share]]-tblItems[[#This Row],[Share of usage value]]&lt;CutB,"B","C"))))</f>
        <v>A</v>
      </c>
      <c r="M9" s="37">
        <f>IF(tblItems[[#This Row],[Item]]="","",tblItems[[#This Row],[On hand (units)]]*tblItems[[#This Row],[Unit cost]])</f>
        <v>16330</v>
      </c>
      <c r="N9" s="37">
        <f>IF(tblItems[[#This Row],[Item]]="","",IF(tblItems[[#This Row],[Class]]="A",CountsA,IF(tblItems[[#This Row],[Class]]="B",CountsB,IF(tblItems[[#This Row],[Class]]="C",CountsC,""))))</f>
        <v>12</v>
      </c>
      <c r="O9"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9" s="28" t="s">
        <v>100</v>
      </c>
    </row>
    <row r="10" spans="1:16" x14ac:dyDescent="0.25">
      <c r="B10" s="28" t="s">
        <v>105</v>
      </c>
      <c r="C10" s="28" t="s">
        <v>106</v>
      </c>
      <c r="D10" s="28" t="s">
        <v>76</v>
      </c>
      <c r="E10" s="30">
        <v>200</v>
      </c>
      <c r="F10" s="36">
        <v>268</v>
      </c>
      <c r="G10" s="30">
        <v>40</v>
      </c>
      <c r="H10" s="37">
        <f>IF(tblItems[[#This Row],[Item]]="","",tblItems[[#This Row],[Annual usage (units)]]*tblItems[[#This Row],[Unit cost]])</f>
        <v>53600</v>
      </c>
      <c r="I10" s="38">
        <f>IF(tblItems[[#This Row],[Item]]="","",IF((SUM(tblItems[Annual usage value]))=0,"",(tblItems[[#This Row],[Annual usage value]])/(SUM(tblItems[Annual usage value]))))</f>
        <v>0.0205278632807539</v>
      </c>
      <c r="J10" s="37">
        <f>IF(tblItems[[#This Row],[Item]]="","",RANK(tblItems[[#This Row],[Annual usage value]],tblItems[Annual usage value],0)+COUNTIFS(tblItems[Annual usage value],tblItems[[#This Row],[Annual usage value]],tblItems[Item],"&lt;"&amp;tblItems[[#This Row],[Item]]))</f>
        <v>10</v>
      </c>
      <c r="K10" s="39">
        <f>IF(tblItems[[#This Row],[Item]]="","",IF((SUM(tblItems[Annual usage value]))=0,"",(SUMIFS(tblItems[Annual usage value],tblItems[Rank],"&lt;="&amp;tblItems[[#This Row],[Rank]]))/(SUM(tblItems[Annual usage value]))))</f>
        <v>0.884217412744709</v>
      </c>
      <c r="L10" s="40" t="str">
        <f>IF(tblItems[[#This Row],[Item]]="","",IF(tblItems[[#This Row],[Cumulative share]]="","",IF(tblItems[[#This Row],[Cumulative share]]-tblItems[[#This Row],[Share of usage value]]&lt;CutA,"A",IF(tblItems[[#This Row],[Cumulative share]]-tblItems[[#This Row],[Share of usage value]]&lt;CutB,"B","C"))))</f>
        <v>B</v>
      </c>
      <c r="M10" s="37">
        <f>IF(tblItems[[#This Row],[Item]]="","",tblItems[[#This Row],[On hand (units)]]*tblItems[[#This Row],[Unit cost]])</f>
        <v>10720</v>
      </c>
      <c r="N10" s="37">
        <f>IF(tblItems[[#This Row],[Item]]="","",IF(tblItems[[#This Row],[Class]]="A",CountsA,IF(tblItems[[#This Row],[Class]]="B",CountsB,IF(tblItems[[#This Row],[Class]]="C",CountsC,""))))</f>
        <v>4</v>
      </c>
      <c r="O10"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0" s="28" t="s">
        <v>107</v>
      </c>
    </row>
    <row r="11" spans="1:16" x14ac:dyDescent="0.25">
      <c r="B11" s="28" t="s">
        <v>108</v>
      </c>
      <c r="C11" s="28" t="s">
        <v>109</v>
      </c>
      <c r="D11" s="28" t="s">
        <v>76</v>
      </c>
      <c r="E11" s="30">
        <v>5470</v>
      </c>
      <c r="F11" s="36">
        <v>31.2</v>
      </c>
      <c r="G11" s="30">
        <v>340</v>
      </c>
      <c r="H11" s="37">
        <f>IF(tblItems[[#This Row],[Item]]="","",tblItems[[#This Row],[Annual usage (units)]]*tblItems[[#This Row],[Unit cost]])</f>
        <v>170664</v>
      </c>
      <c r="I11" s="38">
        <f>IF(tblItems[[#This Row],[Item]]="","",IF((SUM(tblItems[Annual usage value]))=0,"",(tblItems[[#This Row],[Annual usage value]])/(SUM(tblItems[Annual usage value]))))</f>
        <v>0.0653613294579587</v>
      </c>
      <c r="J11" s="37">
        <f>IF(tblItems[[#This Row],[Item]]="","",RANK(tblItems[[#This Row],[Annual usage value]],tblItems[Annual usage value],0)+COUNTIFS(tblItems[Annual usage value],tblItems[[#This Row],[Annual usage value]],tblItems[Item],"&lt;"&amp;tblItems[[#This Row],[Item]]))</f>
        <v>5</v>
      </c>
      <c r="K11" s="39">
        <f>IF(tblItems[[#This Row],[Item]]="","",IF((SUM(tblItems[Annual usage value]))=0,"",(SUMIFS(tblItems[Annual usage value],tblItems[Rank],"&lt;="&amp;tblItems[[#This Row],[Rank]]))/(SUM(tblItems[Annual usage value]))))</f>
        <v>0.701792113103012</v>
      </c>
      <c r="L11" s="40" t="str">
        <f>IF(tblItems[[#This Row],[Item]]="","",IF(tblItems[[#This Row],[Cumulative share]]="","",IF(tblItems[[#This Row],[Cumulative share]]-tblItems[[#This Row],[Share of usage value]]&lt;CutA,"A",IF(tblItems[[#This Row],[Cumulative share]]-tblItems[[#This Row],[Share of usage value]]&lt;CutB,"B","C"))))</f>
        <v>A</v>
      </c>
      <c r="M11" s="37">
        <f>IF(tblItems[[#This Row],[Item]]="","",tblItems[[#This Row],[On hand (units)]]*tblItems[[#This Row],[Unit cost]])</f>
        <v>10608</v>
      </c>
      <c r="N11" s="37">
        <f>IF(tblItems[[#This Row],[Item]]="","",IF(tblItems[[#This Row],[Class]]="A",CountsA,IF(tblItems[[#This Row],[Class]]="B",CountsB,IF(tblItems[[#This Row],[Class]]="C",CountsC,""))))</f>
        <v>12</v>
      </c>
      <c r="O11"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1" s="28" t="s">
        <v>100</v>
      </c>
    </row>
    <row r="12" spans="1:16" x14ac:dyDescent="0.25">
      <c r="B12" s="28" t="s">
        <v>110</v>
      </c>
      <c r="C12" s="28" t="s">
        <v>111</v>
      </c>
      <c r="D12" s="28" t="s">
        <v>76</v>
      </c>
      <c r="E12" s="30">
        <v>2050</v>
      </c>
      <c r="F12" s="36">
        <v>14.8</v>
      </c>
      <c r="G12" s="30">
        <v>310</v>
      </c>
      <c r="H12" s="37">
        <f>IF(tblItems[[#This Row],[Item]]="","",tblItems[[#This Row],[Annual usage (units)]]*tblItems[[#This Row],[Unit cost]])</f>
        <v>30340</v>
      </c>
      <c r="I12" s="38">
        <f>IF(tblItems[[#This Row],[Item]]="","",IF((SUM(tblItems[Annual usage value]))=0,"",(tblItems[[#This Row],[Annual usage value]])/(SUM(tblItems[Annual usage value]))))</f>
        <v>0.0116196897749641</v>
      </c>
      <c r="J12" s="37">
        <f>IF(tblItems[[#This Row],[Item]]="","",RANK(tblItems[[#This Row],[Annual usage value]],tblItems[Annual usage value],0)+COUNTIFS(tblItems[Annual usage value],tblItems[[#This Row],[Annual usage value]],tblItems[Item],"&lt;"&amp;tblItems[[#This Row],[Item]]))</f>
        <v>14</v>
      </c>
      <c r="K12" s="39">
        <f>IF(tblItems[[#This Row],[Item]]="","",IF((SUM(tblItems[Annual usage value]))=0,"",(SUMIFS(tblItems[Annual usage value],tblItems[Rank],"&lt;="&amp;tblItems[[#This Row],[Rank]]))/(SUM(tblItems[Annual usage value]))))</f>
        <v>0.944735162222972</v>
      </c>
      <c r="L12" s="40" t="str">
        <f>IF(tblItems[[#This Row],[Item]]="","",IF(tblItems[[#This Row],[Cumulative share]]="","",IF(tblItems[[#This Row],[Cumulative share]]-tblItems[[#This Row],[Share of usage value]]&lt;CutA,"A",IF(tblItems[[#This Row],[Cumulative share]]-tblItems[[#This Row],[Share of usage value]]&lt;CutB,"B","C"))))</f>
        <v>B</v>
      </c>
      <c r="M12" s="37">
        <f>IF(tblItems[[#This Row],[Item]]="","",tblItems[[#This Row],[On hand (units)]]*tblItems[[#This Row],[Unit cost]])</f>
        <v>4588</v>
      </c>
      <c r="N12" s="37">
        <f>IF(tblItems[[#This Row],[Item]]="","",IF(tblItems[[#This Row],[Class]]="A",CountsA,IF(tblItems[[#This Row],[Class]]="B",CountsB,IF(tblItems[[#This Row],[Class]]="C",CountsC,""))))</f>
        <v>4</v>
      </c>
      <c r="O12"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2" s="28" t="s">
        <v>100</v>
      </c>
    </row>
    <row r="13" spans="1:16" x14ac:dyDescent="0.25">
      <c r="B13" s="28" t="s">
        <v>112</v>
      </c>
      <c r="C13" s="28" t="s">
        <v>113</v>
      </c>
      <c r="D13" s="28" t="s">
        <v>77</v>
      </c>
      <c r="E13" s="30">
        <v>2430</v>
      </c>
      <c r="F13" s="36">
        <v>92.5</v>
      </c>
      <c r="G13" s="30">
        <v>255</v>
      </c>
      <c r="H13" s="37">
        <f>IF(tblItems[[#This Row],[Item]]="","",tblItems[[#This Row],[Annual usage (units)]]*tblItems[[#This Row],[Unit cost]])</f>
        <v>224775</v>
      </c>
      <c r="I13" s="38">
        <f>IF(tblItems[[#This Row],[Item]]="","",IF((SUM(tblItems[Annual usage value]))=0,"",(tblItems[[#This Row],[Annual usage value]])/(SUM(tblItems[Annual usage value]))))</f>
        <v>0.0860848968084228</v>
      </c>
      <c r="J13" s="37">
        <f>IF(tblItems[[#This Row],[Item]]="","",RANK(tblItems[[#This Row],[Annual usage value]],tblItems[Annual usage value],0)+COUNTIFS(tblItems[Annual usage value],tblItems[[#This Row],[Annual usage value]],tblItems[Item],"&lt;"&amp;tblItems[[#This Row],[Item]]))</f>
        <v>4</v>
      </c>
      <c r="K13" s="39">
        <f>IF(tblItems[[#This Row],[Item]]="","",IF((SUM(tblItems[Annual usage value]))=0,"",(SUMIFS(tblItems[Annual usage value],tblItems[Rank],"&lt;="&amp;tblItems[[#This Row],[Rank]]))/(SUM(tblItems[Annual usage value]))))</f>
        <v>0.636430783645053</v>
      </c>
      <c r="L13" s="40" t="str">
        <f>IF(tblItems[[#This Row],[Item]]="","",IF(tblItems[[#This Row],[Cumulative share]]="","",IF(tblItems[[#This Row],[Cumulative share]]-tblItems[[#This Row],[Share of usage value]]&lt;CutA,"A",IF(tblItems[[#This Row],[Cumulative share]]-tblItems[[#This Row],[Share of usage value]]&lt;CutB,"B","C"))))</f>
        <v>A</v>
      </c>
      <c r="M13" s="37">
        <f>IF(tblItems[[#This Row],[Item]]="","",tblItems[[#This Row],[On hand (units)]]*tblItems[[#This Row],[Unit cost]])</f>
        <v>23587.5</v>
      </c>
      <c r="N13" s="37">
        <f>IF(tblItems[[#This Row],[Item]]="","",IF(tblItems[[#This Row],[Class]]="A",CountsA,IF(tblItems[[#This Row],[Class]]="B",CountsB,IF(tblItems[[#This Row],[Class]]="C",CountsC,""))))</f>
        <v>12</v>
      </c>
      <c r="O13"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3" s="28" t="s">
        <v>100</v>
      </c>
    </row>
    <row r="14" spans="1:16" x14ac:dyDescent="0.25">
      <c r="B14" s="28" t="s">
        <v>114</v>
      </c>
      <c r="C14" s="28" t="s">
        <v>115</v>
      </c>
      <c r="D14" s="28" t="s">
        <v>77</v>
      </c>
      <c r="E14" s="30">
        <v>1740</v>
      </c>
      <c r="F14" s="36">
        <v>38.2</v>
      </c>
      <c r="G14" s="30">
        <v>215</v>
      </c>
      <c r="H14" s="37">
        <f>IF(tblItems[[#This Row],[Item]]="","",tblItems[[#This Row],[Annual usage (units)]]*tblItems[[#This Row],[Unit cost]])</f>
        <v>66468</v>
      </c>
      <c r="I14" s="38">
        <f>IF(tblItems[[#This Row],[Item]]="","",IF((SUM(tblItems[Annual usage value]))=0,"",(tblItems[[#This Row],[Annual usage value]])/(SUM(tblItems[Annual usage value]))))</f>
        <v>0.0254560823982304</v>
      </c>
      <c r="J14" s="37">
        <f>IF(tblItems[[#This Row],[Item]]="","",RANK(tblItems[[#This Row],[Annual usage value]],tblItems[Annual usage value],0)+COUNTIFS(tblItems[Annual usage value],tblItems[[#This Row],[Annual usage value]],tblItems[Item],"&lt;"&amp;tblItems[[#This Row],[Item]]))</f>
        <v>9</v>
      </c>
      <c r="K14" s="39">
        <f>IF(tblItems[[#This Row],[Item]]="","",IF((SUM(tblItems[Annual usage value]))=0,"",(SUMIFS(tblItems[Annual usage value],tblItems[Rank],"&lt;="&amp;tblItems[[#This Row],[Rank]]))/(SUM(tblItems[Annual usage value]))))</f>
        <v>0.863689549463955</v>
      </c>
      <c r="L14" s="40" t="str">
        <f>IF(tblItems[[#This Row],[Item]]="","",IF(tblItems[[#This Row],[Cumulative share]]="","",IF(tblItems[[#This Row],[Cumulative share]]-tblItems[[#This Row],[Share of usage value]]&lt;CutA,"A",IF(tblItems[[#This Row],[Cumulative share]]-tblItems[[#This Row],[Share of usage value]]&lt;CutB,"B","C"))))</f>
        <v>B</v>
      </c>
      <c r="M14" s="37">
        <f>IF(tblItems[[#This Row],[Item]]="","",tblItems[[#This Row],[On hand (units)]]*tblItems[[#This Row],[Unit cost]])</f>
        <v>8213</v>
      </c>
      <c r="N14" s="37">
        <f>IF(tblItems[[#This Row],[Item]]="","",IF(tblItems[[#This Row],[Class]]="A",CountsA,IF(tblItems[[#This Row],[Class]]="B",CountsB,IF(tblItems[[#This Row],[Class]]="C",CountsC,""))))</f>
        <v>4</v>
      </c>
      <c r="O14"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4" s="28" t="s">
        <v>100</v>
      </c>
    </row>
    <row r="15" spans="1:16" x14ac:dyDescent="0.25">
      <c r="B15" s="28" t="s">
        <v>116</v>
      </c>
      <c r="C15" s="28" t="s">
        <v>117</v>
      </c>
      <c r="D15" s="28" t="s">
        <v>77</v>
      </c>
      <c r="E15" s="30">
        <v>560</v>
      </c>
      <c r="F15" s="36">
        <v>21.4</v>
      </c>
      <c r="G15" s="30">
        <v>250</v>
      </c>
      <c r="H15" s="37">
        <f>IF(tblItems[[#This Row],[Item]]="","",tblItems[[#This Row],[Annual usage (units)]]*tblItems[[#This Row],[Unit cost]])</f>
        <v>11984</v>
      </c>
      <c r="I15" s="38">
        <f>IF(tblItems[[#This Row],[Item]]="","",IF((SUM(tblItems[Annual usage value]))=0,"",(tblItems[[#This Row],[Annual usage value]])/(SUM(tblItems[Annual usage value]))))</f>
        <v>0.00458966256635364</v>
      </c>
      <c r="J15" s="37">
        <f>IF(tblItems[[#This Row],[Item]]="","",RANK(tblItems[[#This Row],[Annual usage value]],tblItems[Annual usage value],0)+COUNTIFS(tblItems[Annual usage value],tblItems[[#This Row],[Annual usage value]],tblItems[Item],"&lt;"&amp;tblItems[[#This Row],[Item]]))</f>
        <v>17</v>
      </c>
      <c r="K15" s="39">
        <f>IF(tblItems[[#This Row],[Item]]="","",IF((SUM(tblItems[Annual usage value]))=0,"",(SUMIFS(tblItems[Annual usage value],tblItems[Rank],"&lt;="&amp;tblItems[[#This Row],[Rank]]))/(SUM(tblItems[Annual usage value]))))</f>
        <v>0.969155659876591</v>
      </c>
      <c r="L15" s="40" t="str">
        <f>IF(tblItems[[#This Row],[Item]]="","",IF(tblItems[[#This Row],[Cumulative share]]="","",IF(tblItems[[#This Row],[Cumulative share]]-tblItems[[#This Row],[Share of usage value]]&lt;CutA,"A",IF(tblItems[[#This Row],[Cumulative share]]-tblItems[[#This Row],[Share of usage value]]&lt;CutB,"B","C"))))</f>
        <v>C</v>
      </c>
      <c r="M15" s="37">
        <f>IF(tblItems[[#This Row],[Item]]="","",tblItems[[#This Row],[On hand (units)]]*tblItems[[#This Row],[Unit cost]])</f>
        <v>5350</v>
      </c>
      <c r="N15" s="37">
        <f>IF(tblItems[[#This Row],[Item]]="","",IF(tblItems[[#This Row],[Class]]="A",CountsA,IF(tblItems[[#This Row],[Class]]="B",CountsB,IF(tblItems[[#This Row],[Class]]="C",CountsC,""))))</f>
        <v>1</v>
      </c>
      <c r="O15"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5" s="28" t="s">
        <v>100</v>
      </c>
    </row>
    <row r="16" spans="1:16" x14ac:dyDescent="0.25">
      <c r="B16" s="28" t="s">
        <v>118</v>
      </c>
      <c r="C16" s="28" t="s">
        <v>119</v>
      </c>
      <c r="D16" s="28" t="s">
        <v>77</v>
      </c>
      <c r="E16" s="30">
        <v>320</v>
      </c>
      <c r="F16" s="36">
        <v>17.9</v>
      </c>
      <c r="G16" s="30">
        <v>170</v>
      </c>
      <c r="H16" s="37">
        <f>IF(tblItems[[#This Row],[Item]]="","",tblItems[[#This Row],[Annual usage (units)]]*tblItems[[#This Row],[Unit cost]])</f>
        <v>5728</v>
      </c>
      <c r="I16" s="38">
        <f>IF(tblItems[[#This Row],[Item]]="","",IF((SUM(tblItems[Annual usage value]))=0,"",(tblItems[[#This Row],[Annual usage value]])/(SUM(tblItems[Annual usage value]))))</f>
        <v>0.00219372389686863</v>
      </c>
      <c r="J16" s="37">
        <f>IF(tblItems[[#This Row],[Item]]="","",RANK(tblItems[[#This Row],[Annual usage value]],tblItems[Annual usage value],0)+COUNTIFS(tblItems[Annual usage value],tblItems[[#This Row],[Annual usage value]],tblItems[Item],"&lt;"&amp;tblItems[[#This Row],[Item]]))</f>
        <v>23</v>
      </c>
      <c r="K16" s="39">
        <f>IF(tblItems[[#This Row],[Item]]="","",IF((SUM(tblItems[Annual usage value]))=0,"",(SUMIFS(tblItems[Annual usage value],tblItems[Rank],"&lt;="&amp;tblItems[[#This Row],[Rank]]))/(SUM(tblItems[Annual usage value]))))</f>
        <v>0.988701211281807</v>
      </c>
      <c r="L16" s="40" t="str">
        <f>IF(tblItems[[#This Row],[Item]]="","",IF(tblItems[[#This Row],[Cumulative share]]="","",IF(tblItems[[#This Row],[Cumulative share]]-tblItems[[#This Row],[Share of usage value]]&lt;CutA,"A",IF(tblItems[[#This Row],[Cumulative share]]-tblItems[[#This Row],[Share of usage value]]&lt;CutB,"B","C"))))</f>
        <v>C</v>
      </c>
      <c r="M16" s="37">
        <f>IF(tblItems[[#This Row],[Item]]="","",tblItems[[#This Row],[On hand (units)]]*tblItems[[#This Row],[Unit cost]])</f>
        <v>3043</v>
      </c>
      <c r="N16" s="37">
        <f>IF(tblItems[[#This Row],[Item]]="","",IF(tblItems[[#This Row],[Class]]="A",CountsA,IF(tblItems[[#This Row],[Class]]="B",CountsB,IF(tblItems[[#This Row],[Class]]="C",CountsC,""))))</f>
        <v>1</v>
      </c>
      <c r="O16"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6" s="28" t="s">
        <v>100</v>
      </c>
    </row>
    <row r="17" spans="2:16" x14ac:dyDescent="0.25">
      <c r="B17" s="28" t="s">
        <v>120</v>
      </c>
      <c r="C17" s="28" t="s">
        <v>121</v>
      </c>
      <c r="D17" s="28" t="s">
        <v>78</v>
      </c>
      <c r="E17" s="30">
        <v>10040</v>
      </c>
      <c r="F17" s="36">
        <v>22.8</v>
      </c>
      <c r="G17" s="30">
        <v>985</v>
      </c>
      <c r="H17" s="37">
        <f>IF(tblItems[[#This Row],[Item]]="","",tblItems[[#This Row],[Annual usage (units)]]*tblItems[[#This Row],[Unit cost]])</f>
        <v>228912</v>
      </c>
      <c r="I17" s="38">
        <f>IF(tblItems[[#This Row],[Item]]="","",IF((SUM(tblItems[Annual usage value]))=0,"",(tblItems[[#This Row],[Annual usage value]])/(SUM(tblItems[Annual usage value]))))</f>
        <v>0.087669295509775</v>
      </c>
      <c r="J17" s="37">
        <f>IF(tblItems[[#This Row],[Item]]="","",RANK(tblItems[[#This Row],[Annual usage value]],tblItems[Annual usage value],0)+COUNTIFS(tblItems[Annual usage value],tblItems[[#This Row],[Annual usage value]],tblItems[Item],"&lt;"&amp;tblItems[[#This Row],[Item]]))</f>
        <v>3</v>
      </c>
      <c r="K17" s="39">
        <f>IF(tblItems[[#This Row],[Item]]="","",IF((SUM(tblItems[Annual usage value]))=0,"",(SUMIFS(tblItems[Annual usage value],tblItems[Rank],"&lt;="&amp;tblItems[[#This Row],[Rank]]))/(SUM(tblItems[Annual usage value]))))</f>
        <v>0.55034588683663</v>
      </c>
      <c r="L17" s="40" t="str">
        <f>IF(tblItems[[#This Row],[Item]]="","",IF(tblItems[[#This Row],[Cumulative share]]="","",IF(tblItems[[#This Row],[Cumulative share]]-tblItems[[#This Row],[Share of usage value]]&lt;CutA,"A",IF(tblItems[[#This Row],[Cumulative share]]-tblItems[[#This Row],[Share of usage value]]&lt;CutB,"B","C"))))</f>
        <v>A</v>
      </c>
      <c r="M17" s="37">
        <f>IF(tblItems[[#This Row],[Item]]="","",tblItems[[#This Row],[On hand (units)]]*tblItems[[#This Row],[Unit cost]])</f>
        <v>22458</v>
      </c>
      <c r="N17" s="37">
        <f>IF(tblItems[[#This Row],[Item]]="","",IF(tblItems[[#This Row],[Class]]="A",CountsA,IF(tblItems[[#This Row],[Class]]="B",CountsB,IF(tblItems[[#This Row],[Class]]="C",CountsC,""))))</f>
        <v>12</v>
      </c>
      <c r="O17"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7" s="28" t="s">
        <v>100</v>
      </c>
    </row>
    <row r="18" spans="2:16" x14ac:dyDescent="0.25">
      <c r="B18" s="28" t="s">
        <v>122</v>
      </c>
      <c r="C18" s="28" t="s">
        <v>123</v>
      </c>
      <c r="D18" s="28" t="s">
        <v>78</v>
      </c>
      <c r="E18" s="30">
        <v>2400</v>
      </c>
      <c r="F18" s="36">
        <v>41.5</v>
      </c>
      <c r="G18" s="30">
        <v>330</v>
      </c>
      <c r="H18" s="37">
        <f>IF(tblItems[[#This Row],[Item]]="","",tblItems[[#This Row],[Annual usage (units)]]*tblItems[[#This Row],[Unit cost]])</f>
        <v>99600</v>
      </c>
      <c r="I18" s="38">
        <f>IF(tblItems[[#This Row],[Item]]="","",IF((SUM(tblItems[Annual usage value]))=0,"",(tblItems[[#This Row],[Annual usage value]])/(SUM(tblItems[Annual usage value]))))</f>
        <v>0.0381450593799084</v>
      </c>
      <c r="J18" s="37">
        <f>IF(tblItems[[#This Row],[Item]]="","",RANK(tblItems[[#This Row],[Annual usage value]],tblItems[Annual usage value],0)+COUNTIFS(tblItems[Annual usage value],tblItems[[#This Row],[Annual usage value]],tblItems[Item],"&lt;"&amp;tblItems[[#This Row],[Item]]))</f>
        <v>8</v>
      </c>
      <c r="K18" s="39">
        <f>IF(tblItems[[#This Row],[Item]]="","",IF((SUM(tblItems[Annual usage value]))=0,"",(SUMIFS(tblItems[Annual usage value],tblItems[Rank],"&lt;="&amp;tblItems[[#This Row],[Rank]]))/(SUM(tblItems[Annual usage value]))))</f>
        <v>0.838233467065724</v>
      </c>
      <c r="L18" s="40" t="str">
        <f>IF(tblItems[[#This Row],[Item]]="","",IF(tblItems[[#This Row],[Cumulative share]]="","",IF(tblItems[[#This Row],[Cumulative share]]-tblItems[[#This Row],[Share of usage value]]&lt;CutA,"A",IF(tblItems[[#This Row],[Cumulative share]]-tblItems[[#This Row],[Share of usage value]]&lt;CutB,"B","C"))))</f>
        <v>B</v>
      </c>
      <c r="M18" s="37">
        <f>IF(tblItems[[#This Row],[Item]]="","",tblItems[[#This Row],[On hand (units)]]*tblItems[[#This Row],[Unit cost]])</f>
        <v>13695</v>
      </c>
      <c r="N18" s="37">
        <f>IF(tblItems[[#This Row],[Item]]="","",IF(tblItems[[#This Row],[Class]]="A",CountsA,IF(tblItems[[#This Row],[Class]]="B",CountsB,IF(tblItems[[#This Row],[Class]]="C",CountsC,""))))</f>
        <v>4</v>
      </c>
      <c r="O18"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8" s="28" t="s">
        <v>100</v>
      </c>
    </row>
    <row r="19" spans="2:16" x14ac:dyDescent="0.25">
      <c r="B19" s="28" t="s">
        <v>124</v>
      </c>
      <c r="C19" s="28" t="s">
        <v>125</v>
      </c>
      <c r="D19" s="28" t="s">
        <v>78</v>
      </c>
      <c r="E19" s="30">
        <v>600</v>
      </c>
      <c r="F19" s="36">
        <v>184</v>
      </c>
      <c r="G19" s="30">
        <v>65</v>
      </c>
      <c r="H19" s="37">
        <f>IF(tblItems[[#This Row],[Item]]="","",tblItems[[#This Row],[Annual usage (units)]]*tblItems[[#This Row],[Unit cost]])</f>
        <v>110400</v>
      </c>
      <c r="I19" s="38">
        <f>IF(tblItems[[#This Row],[Item]]="","",IF((SUM(tblItems[Annual usage value]))=0,"",(tblItems[[#This Row],[Annual usage value]])/(SUM(tblItems[Annual usage value]))))</f>
        <v>0.0422812706379708</v>
      </c>
      <c r="J19" s="37">
        <f>IF(tblItems[[#This Row],[Item]]="","",RANK(tblItems[[#This Row],[Annual usage value]],tblItems[Annual usage value],0)+COUNTIFS(tblItems[Annual usage value],tblItems[[#This Row],[Annual usage value]],tblItems[Item],"&lt;"&amp;tblItems[[#This Row],[Item]]))</f>
        <v>7</v>
      </c>
      <c r="K19" s="39">
        <f>IF(tblItems[[#This Row],[Item]]="","",IF((SUM(tblItems[Annual usage value]))=0,"",(SUMIFS(tblItems[Annual usage value],tblItems[Rank],"&lt;="&amp;tblItems[[#This Row],[Rank]]))/(SUM(tblItems[Annual usage value]))))</f>
        <v>0.800088407685816</v>
      </c>
      <c r="L19" s="40" t="str">
        <f>IF(tblItems[[#This Row],[Item]]="","",IF(tblItems[[#This Row],[Cumulative share]]="","",IF(tblItems[[#This Row],[Cumulative share]]-tblItems[[#This Row],[Share of usage value]]&lt;CutA,"A",IF(tblItems[[#This Row],[Cumulative share]]-tblItems[[#This Row],[Share of usage value]]&lt;CutB,"B","C"))))</f>
        <v>A</v>
      </c>
      <c r="M19" s="37">
        <f>IF(tblItems[[#This Row],[Item]]="","",tblItems[[#This Row],[On hand (units)]]*tblItems[[#This Row],[Unit cost]])</f>
        <v>11960</v>
      </c>
      <c r="N19" s="37">
        <f>IF(tblItems[[#This Row],[Item]]="","",IF(tblItems[[#This Row],[Class]]="A",CountsA,IF(tblItems[[#This Row],[Class]]="B",CountsB,IF(tblItems[[#This Row],[Class]]="C",CountsC,""))))</f>
        <v>12</v>
      </c>
      <c r="O19"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19" s="28" t="s">
        <v>100</v>
      </c>
    </row>
    <row r="20" spans="2:16" x14ac:dyDescent="0.25">
      <c r="B20" s="28" t="s">
        <v>126</v>
      </c>
      <c r="C20" s="28" t="s">
        <v>127</v>
      </c>
      <c r="D20" s="28" t="s">
        <v>78</v>
      </c>
      <c r="E20" s="30">
        <v>110</v>
      </c>
      <c r="F20" s="36">
        <v>312</v>
      </c>
      <c r="G20" s="30">
        <v>20</v>
      </c>
      <c r="H20" s="37">
        <f>IF(tblItems[[#This Row],[Item]]="","",tblItems[[#This Row],[Annual usage (units)]]*tblItems[[#This Row],[Unit cost]])</f>
        <v>34320</v>
      </c>
      <c r="I20" s="38">
        <f>IF(tblItems[[#This Row],[Item]]="","",IF((SUM(tblItems[Annual usage value]))=0,"",(tblItems[[#This Row],[Annual usage value]])/(SUM(tblItems[Annual usage value]))))</f>
        <v>0.0131439602200648</v>
      </c>
      <c r="J20" s="37">
        <f>IF(tblItems[[#This Row],[Item]]="","",RANK(tblItems[[#This Row],[Annual usage value]],tblItems[Annual usage value],0)+COUNTIFS(tblItems[Annual usage value],tblItems[[#This Row],[Annual usage value]],tblItems[Item],"&lt;"&amp;tblItems[[#This Row],[Item]]))</f>
        <v>13</v>
      </c>
      <c r="K20" s="39">
        <f>IF(tblItems[[#This Row],[Item]]="","",IF((SUM(tblItems[Annual usage value]))=0,"",(SUMIFS(tblItems[Annual usage value],tblItems[Rank],"&lt;="&amp;tblItems[[#This Row],[Rank]]))/(SUM(tblItems[Annual usage value]))))</f>
        <v>0.933115472448008</v>
      </c>
      <c r="L20" s="40" t="str">
        <f>IF(tblItems[[#This Row],[Item]]="","",IF(tblItems[[#This Row],[Cumulative share]]="","",IF(tblItems[[#This Row],[Cumulative share]]-tblItems[[#This Row],[Share of usage value]]&lt;CutA,"A",IF(tblItems[[#This Row],[Cumulative share]]-tblItems[[#This Row],[Share of usage value]]&lt;CutB,"B","C"))))</f>
        <v>B</v>
      </c>
      <c r="M20" s="37">
        <f>IF(tblItems[[#This Row],[Item]]="","",tblItems[[#This Row],[On hand (units)]]*tblItems[[#This Row],[Unit cost]])</f>
        <v>6240</v>
      </c>
      <c r="N20" s="37">
        <f>IF(tblItems[[#This Row],[Item]]="","",IF(tblItems[[#This Row],[Class]]="A",CountsA,IF(tblItems[[#This Row],[Class]]="B",CountsB,IF(tblItems[[#This Row],[Class]]="C",CountsC,""))))</f>
        <v>4</v>
      </c>
      <c r="O20"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0" s="28" t="s">
        <v>100</v>
      </c>
    </row>
    <row r="21" spans="2:16" x14ac:dyDescent="0.25">
      <c r="B21" s="28" t="s">
        <v>128</v>
      </c>
      <c r="C21" s="28" t="s">
        <v>129</v>
      </c>
      <c r="D21" s="28" t="s">
        <v>78</v>
      </c>
      <c r="E21" s="30">
        <v>4190</v>
      </c>
      <c r="F21" s="36">
        <v>6.4</v>
      </c>
      <c r="G21" s="30">
        <v>835</v>
      </c>
      <c r="H21" s="37">
        <f>IF(tblItems[[#This Row],[Item]]="","",tblItems[[#This Row],[Annual usage (units)]]*tblItems[[#This Row],[Unit cost]])</f>
        <v>26816</v>
      </c>
      <c r="I21" s="38">
        <f>IF(tblItems[[#This Row],[Item]]="","",IF((SUM(tblItems[Annual usage value]))=0,"",(tblItems[[#This Row],[Annual usage value]])/(SUM(tblItems[Annual usage value]))))</f>
        <v>0.0102700593607593</v>
      </c>
      <c r="J21" s="37">
        <f>IF(tblItems[[#This Row],[Item]]="","",RANK(tblItems[[#This Row],[Annual usage value]],tblItems[Annual usage value],0)+COUNTIFS(tblItems[Annual usage value],tblItems[[#This Row],[Annual usage value]],tblItems[Item],"&lt;"&amp;tblItems[[#This Row],[Item]]))</f>
        <v>15</v>
      </c>
      <c r="K21" s="39">
        <f>IF(tblItems[[#This Row],[Item]]="","",IF((SUM(tblItems[Annual usage value]))=0,"",(SUMIFS(tblItems[Annual usage value],tblItems[Rank],"&lt;="&amp;tblItems[[#This Row],[Rank]]))/(SUM(tblItems[Annual usage value]))))</f>
        <v>0.955005221583731</v>
      </c>
      <c r="L21" s="40" t="str">
        <f>IF(tblItems[[#This Row],[Item]]="","",IF(tblItems[[#This Row],[Cumulative share]]="","",IF(tblItems[[#This Row],[Cumulative share]]-tblItems[[#This Row],[Share of usage value]]&lt;CutA,"A",IF(tblItems[[#This Row],[Cumulative share]]-tblItems[[#This Row],[Share of usage value]]&lt;CutB,"B","C"))))</f>
        <v>B</v>
      </c>
      <c r="M21" s="37">
        <f>IF(tblItems[[#This Row],[Item]]="","",tblItems[[#This Row],[On hand (units)]]*tblItems[[#This Row],[Unit cost]])</f>
        <v>5344</v>
      </c>
      <c r="N21" s="37">
        <f>IF(tblItems[[#This Row],[Item]]="","",IF(tblItems[[#This Row],[Class]]="A",CountsA,IF(tblItems[[#This Row],[Class]]="B",CountsB,IF(tblItems[[#This Row],[Class]]="C",CountsC,""))))</f>
        <v>4</v>
      </c>
      <c r="O21"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1" s="28" t="s">
        <v>100</v>
      </c>
    </row>
    <row r="22" spans="2:16" x14ac:dyDescent="0.25">
      <c r="B22" s="28" t="s">
        <v>130</v>
      </c>
      <c r="C22" s="28" t="s">
        <v>131</v>
      </c>
      <c r="D22" s="28" t="s">
        <v>78</v>
      </c>
      <c r="E22" s="30">
        <v>160</v>
      </c>
      <c r="F22" s="36">
        <v>74</v>
      </c>
      <c r="G22" s="30">
        <v>80</v>
      </c>
      <c r="H22" s="37">
        <f>IF(tblItems[[#This Row],[Item]]="","",tblItems[[#This Row],[Annual usage (units)]]*tblItems[[#This Row],[Unit cost]])</f>
        <v>11840</v>
      </c>
      <c r="I22" s="38">
        <f>IF(tblItems[[#This Row],[Item]]="","",IF((SUM(tblItems[Annual usage value]))=0,"",(tblItems[[#This Row],[Annual usage value]])/(SUM(tblItems[Annual usage value]))))</f>
        <v>0.00453451308291281</v>
      </c>
      <c r="J22" s="37">
        <f>IF(tblItems[[#This Row],[Item]]="","",RANK(tblItems[[#This Row],[Annual usage value]],tblItems[Annual usage value],0)+COUNTIFS(tblItems[Annual usage value],tblItems[[#This Row],[Annual usage value]],tblItems[Item],"&lt;"&amp;tblItems[[#This Row],[Item]]))</f>
        <v>18</v>
      </c>
      <c r="K22" s="39">
        <f>IF(tblItems[[#This Row],[Item]]="","",IF((SUM(tblItems[Annual usage value]))=0,"",(SUMIFS(tblItems[Annual usage value],tblItems[Rank],"&lt;="&amp;tblItems[[#This Row],[Rank]]))/(SUM(tblItems[Annual usage value]))))</f>
        <v>0.973690172959504</v>
      </c>
      <c r="L22" s="40" t="str">
        <f>IF(tblItems[[#This Row],[Item]]="","",IF(tblItems[[#This Row],[Cumulative share]]="","",IF(tblItems[[#This Row],[Cumulative share]]-tblItems[[#This Row],[Share of usage value]]&lt;CutA,"A",IF(tblItems[[#This Row],[Cumulative share]]-tblItems[[#This Row],[Share of usage value]]&lt;CutB,"B","C"))))</f>
        <v>C</v>
      </c>
      <c r="M22" s="37">
        <f>IF(tblItems[[#This Row],[Item]]="","",tblItems[[#This Row],[On hand (units)]]*tblItems[[#This Row],[Unit cost]])</f>
        <v>5920</v>
      </c>
      <c r="N22" s="37">
        <f>IF(tblItems[[#This Row],[Item]]="","",IF(tblItems[[#This Row],[Class]]="A",CountsA,IF(tblItems[[#This Row],[Class]]="B",CountsB,IF(tblItems[[#This Row],[Class]]="C",CountsC,""))))</f>
        <v>1</v>
      </c>
      <c r="O22"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2" s="28" t="s">
        <v>100</v>
      </c>
    </row>
    <row r="23" spans="2:16" x14ac:dyDescent="0.25">
      <c r="B23" s="28" t="s">
        <v>132</v>
      </c>
      <c r="C23" s="28" t="s">
        <v>133</v>
      </c>
      <c r="D23" s="28" t="s">
        <v>78</v>
      </c>
      <c r="E23" s="30">
        <v>4310</v>
      </c>
      <c r="F23" s="36">
        <v>9.800000000000001</v>
      </c>
      <c r="G23" s="30">
        <v>590</v>
      </c>
      <c r="H23" s="37">
        <f>IF(tblItems[[#This Row],[Item]]="","",tblItems[[#This Row],[Annual usage (units)]]*tblItems[[#This Row],[Unit cost]])</f>
        <v>42238</v>
      </c>
      <c r="I23" s="38">
        <f>IF(tblItems[[#This Row],[Item]]="","",IF((SUM(tblItems[Annual usage value]))=0,"",(tblItems[[#This Row],[Annual usage value]])/(SUM(tblItems[Annual usage value]))))</f>
        <v>0.0161764158442628</v>
      </c>
      <c r="J23" s="37">
        <f>IF(tblItems[[#This Row],[Item]]="","",RANK(tblItems[[#This Row],[Annual usage value]],tblItems[Annual usage value],0)+COUNTIFS(tblItems[Annual usage value],tblItems[[#This Row],[Annual usage value]],tblItems[Item],"&lt;"&amp;tblItems[[#This Row],[Item]]))</f>
        <v>12</v>
      </c>
      <c r="K23" s="39">
        <f>IF(tblItems[[#This Row],[Item]]="","",IF((SUM(tblItems[Annual usage value]))=0,"",(SUMIFS(tblItems[Annual usage value],tblItems[Rank],"&lt;="&amp;tblItems[[#This Row],[Rank]]))/(SUM(tblItems[Annual usage value]))))</f>
        <v>0.919971512227943</v>
      </c>
      <c r="L23" s="40" t="str">
        <f>IF(tblItems[[#This Row],[Item]]="","",IF(tblItems[[#This Row],[Cumulative share]]="","",IF(tblItems[[#This Row],[Cumulative share]]-tblItems[[#This Row],[Share of usage value]]&lt;CutA,"A",IF(tblItems[[#This Row],[Cumulative share]]-tblItems[[#This Row],[Share of usage value]]&lt;CutB,"B","C"))))</f>
        <v>B</v>
      </c>
      <c r="M23" s="37">
        <f>IF(tblItems[[#This Row],[Item]]="","",tblItems[[#This Row],[On hand (units)]]*tblItems[[#This Row],[Unit cost]])</f>
        <v>5782</v>
      </c>
      <c r="N23" s="37">
        <f>IF(tblItems[[#This Row],[Item]]="","",IF(tblItems[[#This Row],[Class]]="A",CountsA,IF(tblItems[[#This Row],[Class]]="B",CountsB,IF(tblItems[[#This Row],[Class]]="C",CountsC,""))))</f>
        <v>4</v>
      </c>
      <c r="O23"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3" s="28" t="s">
        <v>100</v>
      </c>
    </row>
    <row r="24" spans="2:16" x14ac:dyDescent="0.25">
      <c r="B24" s="28" t="s">
        <v>134</v>
      </c>
      <c r="C24" s="28" t="s">
        <v>135</v>
      </c>
      <c r="D24" s="28" t="s">
        <v>78</v>
      </c>
      <c r="E24" s="30">
        <v>430</v>
      </c>
      <c r="F24" s="36">
        <v>18.6</v>
      </c>
      <c r="G24" s="30">
        <v>135</v>
      </c>
      <c r="H24" s="37">
        <f>IF(tblItems[[#This Row],[Item]]="","",tblItems[[#This Row],[Annual usage (units)]]*tblItems[[#This Row],[Unit cost]])</f>
        <v>7998</v>
      </c>
      <c r="I24" s="38">
        <f>IF(tblItems[[#This Row],[Item]]="","",IF((SUM(tblItems[Annual usage value]))=0,"",(tblItems[[#This Row],[Annual usage value]])/(SUM(tblItems[Annual usage value]))))</f>
        <v>0.00306309422610951</v>
      </c>
      <c r="J24" s="37">
        <f>IF(tblItems[[#This Row],[Item]]="","",RANK(tblItems[[#This Row],[Annual usage value]],tblItems[Annual usage value],0)+COUNTIFS(tblItems[Annual usage value],tblItems[[#This Row],[Annual usage value]],tblItems[Item],"&lt;"&amp;tblItems[[#This Row],[Item]]))</f>
        <v>21</v>
      </c>
      <c r="K24" s="39">
        <f>IF(tblItems[[#This Row],[Item]]="","",IF((SUM(tblItems[Annual usage value]))=0,"",(SUMIFS(tblItems[Annual usage value],tblItems[Rank],"&lt;="&amp;tblItems[[#This Row],[Rank]]))/(SUM(tblItems[Annual usage value]))))</f>
        <v>0.983639714246016</v>
      </c>
      <c r="L24" s="40" t="str">
        <f>IF(tblItems[[#This Row],[Item]]="","",IF(tblItems[[#This Row],[Cumulative share]]="","",IF(tblItems[[#This Row],[Cumulative share]]-tblItems[[#This Row],[Share of usage value]]&lt;CutA,"A",IF(tblItems[[#This Row],[Cumulative share]]-tblItems[[#This Row],[Share of usage value]]&lt;CutB,"B","C"))))</f>
        <v>C</v>
      </c>
      <c r="M24" s="37">
        <f>IF(tblItems[[#This Row],[Item]]="","",tblItems[[#This Row],[On hand (units)]]*tblItems[[#This Row],[Unit cost]])</f>
        <v>2511</v>
      </c>
      <c r="N24" s="37">
        <f>IF(tblItems[[#This Row],[Item]]="","",IF(tblItems[[#This Row],[Class]]="A",CountsA,IF(tblItems[[#This Row],[Class]]="B",CountsB,IF(tblItems[[#This Row],[Class]]="C",CountsC,""))))</f>
        <v>1</v>
      </c>
      <c r="O24"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4" s="28" t="s">
        <v>100</v>
      </c>
    </row>
    <row r="25" spans="2:16" x14ac:dyDescent="0.25">
      <c r="B25" s="28" t="s">
        <v>136</v>
      </c>
      <c r="C25" s="28" t="s">
        <v>137</v>
      </c>
      <c r="D25" s="28" t="s">
        <v>78</v>
      </c>
      <c r="E25" s="30">
        <v>310</v>
      </c>
      <c r="F25" s="36">
        <v>11.2</v>
      </c>
      <c r="G25" s="30">
        <v>95</v>
      </c>
      <c r="H25" s="37">
        <f>IF(tblItems[[#This Row],[Item]]="","",tblItems[[#This Row],[Annual usage (units)]]*tblItems[[#This Row],[Unit cost]])</f>
        <v>3472</v>
      </c>
      <c r="I25" s="38">
        <f>IF(tblItems[[#This Row],[Item]]="","",IF((SUM(tblItems[Annual usage value]))=0,"",(tblItems[[#This Row],[Annual usage value]])/(SUM(tblItems[Annual usage value]))))</f>
        <v>0.00132971532296227</v>
      </c>
      <c r="J25" s="37">
        <f>IF(tblItems[[#This Row],[Item]]="","",RANK(tblItems[[#This Row],[Annual usage value]],tblItems[Annual usage value],0)+COUNTIFS(tblItems[Annual usage value],tblItems[[#This Row],[Annual usage value]],tblItems[Item],"&lt;"&amp;tblItems[[#This Row],[Item]]))</f>
        <v>27</v>
      </c>
      <c r="K25" s="39">
        <f>IF(tblItems[[#This Row],[Item]]="","",IF((SUM(tblItems[Annual usage value]))=0,"",(SUMIFS(tblItems[Annual usage value],tblItems[Rank],"&lt;="&amp;tblItems[[#This Row],[Rank]]))/(SUM(tblItems[Annual usage value]))))</f>
        <v>0.995360434810783</v>
      </c>
      <c r="L25" s="40" t="str">
        <f>IF(tblItems[[#This Row],[Item]]="","",IF(tblItems[[#This Row],[Cumulative share]]="","",IF(tblItems[[#This Row],[Cumulative share]]-tblItems[[#This Row],[Share of usage value]]&lt;CutA,"A",IF(tblItems[[#This Row],[Cumulative share]]-tblItems[[#This Row],[Share of usage value]]&lt;CutB,"B","C"))))</f>
        <v>C</v>
      </c>
      <c r="M25" s="37">
        <f>IF(tblItems[[#This Row],[Item]]="","",tblItems[[#This Row],[On hand (units)]]*tblItems[[#This Row],[Unit cost]])</f>
        <v>1064</v>
      </c>
      <c r="N25" s="37">
        <f>IF(tblItems[[#This Row],[Item]]="","",IF(tblItems[[#This Row],[Class]]="A",CountsA,IF(tblItems[[#This Row],[Class]]="B",CountsB,IF(tblItems[[#This Row],[Class]]="C",CountsC,""))))</f>
        <v>1</v>
      </c>
      <c r="O25"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5" s="28" t="s">
        <v>100</v>
      </c>
    </row>
    <row r="26" spans="2:16" x14ac:dyDescent="0.25">
      <c r="B26" s="28" t="s">
        <v>138</v>
      </c>
      <c r="C26" s="28" t="s">
        <v>139</v>
      </c>
      <c r="D26" s="28" t="s">
        <v>78</v>
      </c>
      <c r="E26" s="30">
        <v>40</v>
      </c>
      <c r="F26" s="36">
        <v>58</v>
      </c>
      <c r="G26" s="30">
        <v>20</v>
      </c>
      <c r="H26" s="37">
        <f>IF(tblItems[[#This Row],[Item]]="","",tblItems[[#This Row],[Annual usage (units)]]*tblItems[[#This Row],[Unit cost]])</f>
        <v>2320</v>
      </c>
      <c r="I26" s="38">
        <f>IF(tblItems[[#This Row],[Item]]="","",IF((SUM(tblItems[Annual usage value]))=0,"",(tblItems[[#This Row],[Annual usage value]])/(SUM(tblItems[Annual usage value]))))</f>
        <v>0.000888519455435617</v>
      </c>
      <c r="J26" s="37">
        <f>IF(tblItems[[#This Row],[Item]]="","",RANK(tblItems[[#This Row],[Annual usage value]],tblItems[Annual usage value],0)+COUNTIFS(tblItems[Annual usage value],tblItems[[#This Row],[Annual usage value]],tblItems[Item],"&lt;"&amp;tblItems[[#This Row],[Item]]))</f>
        <v>29</v>
      </c>
      <c r="K26" s="39">
        <f>IF(tblItems[[#This Row],[Item]]="","",IF((SUM(tblItems[Annual usage value]))=0,"",(SUMIFS(tblItems[Annual usage value],tblItems[Rank],"&lt;="&amp;tblItems[[#This Row],[Rank]]))/(SUM(tblItems[Annual usage value]))))</f>
        <v>0.997278411290448</v>
      </c>
      <c r="L26" s="40" t="str">
        <f>IF(tblItems[[#This Row],[Item]]="","",IF(tblItems[[#This Row],[Cumulative share]]="","",IF(tblItems[[#This Row],[Cumulative share]]-tblItems[[#This Row],[Share of usage value]]&lt;CutA,"A",IF(tblItems[[#This Row],[Cumulative share]]-tblItems[[#This Row],[Share of usage value]]&lt;CutB,"B","C"))))</f>
        <v>C</v>
      </c>
      <c r="M26" s="37">
        <f>IF(tblItems[[#This Row],[Item]]="","",tblItems[[#This Row],[On hand (units)]]*tblItems[[#This Row],[Unit cost]])</f>
        <v>1160</v>
      </c>
      <c r="N26" s="37">
        <f>IF(tblItems[[#This Row],[Item]]="","",IF(tblItems[[#This Row],[Class]]="A",CountsA,IF(tblItems[[#This Row],[Class]]="B",CountsB,IF(tblItems[[#This Row],[Class]]="C",CountsC,""))))</f>
        <v>1</v>
      </c>
      <c r="O26"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6" s="28" t="s">
        <v>140</v>
      </c>
    </row>
    <row r="27" spans="2:16" x14ac:dyDescent="0.25">
      <c r="B27" s="28" t="s">
        <v>141</v>
      </c>
      <c r="C27" s="28" t="s">
        <v>142</v>
      </c>
      <c r="D27" s="28" t="s">
        <v>79</v>
      </c>
      <c r="E27" s="30">
        <v>10540</v>
      </c>
      <c r="F27" s="36">
        <v>4.85</v>
      </c>
      <c r="G27" s="30">
        <v>1250</v>
      </c>
      <c r="H27" s="37">
        <f>IF(tblItems[[#This Row],[Item]]="","",tblItems[[#This Row],[Annual usage (units)]]*tblItems[[#This Row],[Unit cost]])</f>
        <v>51119</v>
      </c>
      <c r="I27" s="38">
        <f>IF(tblItems[[#This Row],[Item]]="","",IF((SUM(tblItems[Annual usage value]))=0,"",(tblItems[[#This Row],[Annual usage value]])/(SUM(tblItems[Annual usage value]))))</f>
        <v>0.0195776836389713</v>
      </c>
      <c r="J27" s="37">
        <f>IF(tblItems[[#This Row],[Item]]="","",RANK(tblItems[[#This Row],[Annual usage value]],tblItems[Annual usage value],0)+COUNTIFS(tblItems[Annual usage value],tblItems[[#This Row],[Annual usage value]],tblItems[Item],"&lt;"&amp;tblItems[[#This Row],[Item]]))</f>
        <v>11</v>
      </c>
      <c r="K27" s="39">
        <f>IF(tblItems[[#This Row],[Item]]="","",IF((SUM(tblItems[Annual usage value]))=0,"",(SUMIFS(tblItems[Annual usage value],tblItems[Rank],"&lt;="&amp;tblItems[[#This Row],[Rank]]))/(SUM(tblItems[Annual usage value]))))</f>
        <v>0.90379509638368</v>
      </c>
      <c r="L27" s="40" t="str">
        <f>IF(tblItems[[#This Row],[Item]]="","",IF(tblItems[[#This Row],[Cumulative share]]="","",IF(tblItems[[#This Row],[Cumulative share]]-tblItems[[#This Row],[Share of usage value]]&lt;CutA,"A",IF(tblItems[[#This Row],[Cumulative share]]-tblItems[[#This Row],[Share of usage value]]&lt;CutB,"B","C"))))</f>
        <v>B</v>
      </c>
      <c r="M27" s="37">
        <f>IF(tblItems[[#This Row],[Item]]="","",tblItems[[#This Row],[On hand (units)]]*tblItems[[#This Row],[Unit cost]])</f>
        <v>6062.5</v>
      </c>
      <c r="N27" s="37">
        <f>IF(tblItems[[#This Row],[Item]]="","",IF(tblItems[[#This Row],[Class]]="A",CountsA,IF(tblItems[[#This Row],[Class]]="B",CountsB,IF(tblItems[[#This Row],[Class]]="C",CountsC,""))))</f>
        <v>4</v>
      </c>
      <c r="O27"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7" s="28" t="s">
        <v>100</v>
      </c>
    </row>
    <row r="28" spans="2:16" x14ac:dyDescent="0.25">
      <c r="B28" s="28" t="s">
        <v>143</v>
      </c>
      <c r="C28" s="28" t="s">
        <v>144</v>
      </c>
      <c r="D28" s="28" t="s">
        <v>79</v>
      </c>
      <c r="E28" s="30">
        <v>3160</v>
      </c>
      <c r="F28" s="36">
        <v>7.9</v>
      </c>
      <c r="G28" s="30">
        <v>2205</v>
      </c>
      <c r="H28" s="37">
        <f>IF(tblItems[[#This Row],[Item]]="","",tblItems[[#This Row],[Annual usage (units)]]*tblItems[[#This Row],[Unit cost]])</f>
        <v>24964</v>
      </c>
      <c r="I28" s="38">
        <f>IF(tblItems[[#This Row],[Item]]="","",IF((SUM(tblItems[Annual usage value]))=0,"",(tblItems[[#This Row],[Annual usage value]])/(SUM(tblItems[Annual usage value]))))</f>
        <v>0.00956077572650636</v>
      </c>
      <c r="J28" s="37">
        <f>IF(tblItems[[#This Row],[Item]]="","",RANK(tblItems[[#This Row],[Annual usage value]],tblItems[Annual usage value],0)+COUNTIFS(tblItems[Annual usage value],tblItems[[#This Row],[Annual usage value]],tblItems[Item],"&lt;"&amp;tblItems[[#This Row],[Item]]))</f>
        <v>16</v>
      </c>
      <c r="K28" s="39">
        <f>IF(tblItems[[#This Row],[Item]]="","",IF((SUM(tblItems[Annual usage value]))=0,"",(SUMIFS(tblItems[Annual usage value],tblItems[Rank],"&lt;="&amp;tblItems[[#This Row],[Rank]]))/(SUM(tblItems[Annual usage value]))))</f>
        <v>0.964565997310237</v>
      </c>
      <c r="L28" s="40" t="str">
        <f>IF(tblItems[[#This Row],[Item]]="","",IF(tblItems[[#This Row],[Cumulative share]]="","",IF(tblItems[[#This Row],[Cumulative share]]-tblItems[[#This Row],[Share of usage value]]&lt;CutA,"A",IF(tblItems[[#This Row],[Cumulative share]]-tblItems[[#This Row],[Share of usage value]]&lt;CutB,"B","C"))))</f>
        <v>C</v>
      </c>
      <c r="M28" s="37">
        <f>IF(tblItems[[#This Row],[Item]]="","",tblItems[[#This Row],[On hand (units)]]*tblItems[[#This Row],[Unit cost]])</f>
        <v>17419.5</v>
      </c>
      <c r="N28" s="37">
        <f>IF(tblItems[[#This Row],[Item]]="","",IF(tblItems[[#This Row],[Class]]="A",CountsA,IF(tblItems[[#This Row],[Class]]="B",CountsB,IF(tblItems[[#This Row],[Class]]="C",CountsC,""))))</f>
        <v>1</v>
      </c>
      <c r="O28"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8" s="28" t="s">
        <v>100</v>
      </c>
    </row>
    <row r="29" spans="2:16" x14ac:dyDescent="0.25">
      <c r="B29" s="28" t="s">
        <v>145</v>
      </c>
      <c r="C29" s="28" t="s">
        <v>146</v>
      </c>
      <c r="D29" s="28" t="s">
        <v>79</v>
      </c>
      <c r="E29" s="30">
        <v>2080</v>
      </c>
      <c r="F29" s="36">
        <v>3.6</v>
      </c>
      <c r="G29" s="30">
        <v>1580</v>
      </c>
      <c r="H29" s="37">
        <f>IF(tblItems[[#This Row],[Item]]="","",tblItems[[#This Row],[Annual usage (units)]]*tblItems[[#This Row],[Unit cost]])</f>
        <v>7488</v>
      </c>
      <c r="I29" s="38">
        <f>IF(tblItems[[#This Row],[Item]]="","",IF((SUM(tblItems[Annual usage value]))=0,"",(tblItems[[#This Row],[Annual usage value]])/(SUM(tblItems[Annual usage value]))))</f>
        <v>0.00286777313892323</v>
      </c>
      <c r="J29" s="37">
        <f>IF(tblItems[[#This Row],[Item]]="","",RANK(tblItems[[#This Row],[Annual usage value]],tblItems[Annual usage value],0)+COUNTIFS(tblItems[Annual usage value],tblItems[[#This Row],[Annual usage value]],tblItems[Item],"&lt;"&amp;tblItems[[#This Row],[Item]]))</f>
        <v>22</v>
      </c>
      <c r="K29" s="39">
        <f>IF(tblItems[[#This Row],[Item]]="","",IF((SUM(tblItems[Annual usage value]))=0,"",(SUMIFS(tblItems[Annual usage value],tblItems[Rank],"&lt;="&amp;tblItems[[#This Row],[Rank]]))/(SUM(tblItems[Annual usage value]))))</f>
        <v>0.986507487384939</v>
      </c>
      <c r="L29" s="40" t="str">
        <f>IF(tblItems[[#This Row],[Item]]="","",IF(tblItems[[#This Row],[Cumulative share]]="","",IF(tblItems[[#This Row],[Cumulative share]]-tblItems[[#This Row],[Share of usage value]]&lt;CutA,"A",IF(tblItems[[#This Row],[Cumulative share]]-tblItems[[#This Row],[Share of usage value]]&lt;CutB,"B","C"))))</f>
        <v>C</v>
      </c>
      <c r="M29" s="37">
        <f>IF(tblItems[[#This Row],[Item]]="","",tblItems[[#This Row],[On hand (units)]]*tblItems[[#This Row],[Unit cost]])</f>
        <v>5688</v>
      </c>
      <c r="N29" s="37">
        <f>IF(tblItems[[#This Row],[Item]]="","",IF(tblItems[[#This Row],[Class]]="A",CountsA,IF(tblItems[[#This Row],[Class]]="B",CountsB,IF(tblItems[[#This Row],[Class]]="C",CountsC,""))))</f>
        <v>1</v>
      </c>
      <c r="O29"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29" s="28" t="s">
        <v>100</v>
      </c>
    </row>
    <row r="30" spans="2:16" x14ac:dyDescent="0.25">
      <c r="B30" s="28" t="s">
        <v>147</v>
      </c>
      <c r="C30" s="28" t="s">
        <v>148</v>
      </c>
      <c r="D30" s="28" t="s">
        <v>79</v>
      </c>
      <c r="E30" s="30">
        <v>4290</v>
      </c>
      <c r="F30" s="36">
        <v>2.15</v>
      </c>
      <c r="G30" s="30">
        <v>1460</v>
      </c>
      <c r="H30" s="37">
        <f>IF(tblItems[[#This Row],[Item]]="","",tblItems[[#This Row],[Annual usage (units)]]*tblItems[[#This Row],[Unit cost]])</f>
        <v>9223.5</v>
      </c>
      <c r="I30" s="38">
        <f>IF(tblItems[[#This Row],[Item]]="","",IF((SUM(tblItems[Annual usage value]))=0,"",(tblItems[[#This Row],[Annual usage value]])/(SUM(tblItems[Annual usage value]))))</f>
        <v>0.00353243930914242</v>
      </c>
      <c r="J30" s="37">
        <f>IF(tblItems[[#This Row],[Item]]="","",RANK(tblItems[[#This Row],[Annual usage value]],tblItems[Annual usage value],0)+COUNTIFS(tblItems[Annual usage value],tblItems[[#This Row],[Annual usage value]],tblItems[Item],"&lt;"&amp;tblItems[[#This Row],[Item]]))</f>
        <v>19</v>
      </c>
      <c r="K30" s="39">
        <f>IF(tblItems[[#This Row],[Item]]="","",IF((SUM(tblItems[Annual usage value]))=0,"",(SUMIFS(tblItems[Annual usage value],tblItems[Rank],"&lt;="&amp;tblItems[[#This Row],[Rank]]))/(SUM(tblItems[Annual usage value]))))</f>
        <v>0.977222612268646</v>
      </c>
      <c r="L30" s="40" t="str">
        <f>IF(tblItems[[#This Row],[Item]]="","",IF(tblItems[[#This Row],[Cumulative share]]="","",IF(tblItems[[#This Row],[Cumulative share]]-tblItems[[#This Row],[Share of usage value]]&lt;CutA,"A",IF(tblItems[[#This Row],[Cumulative share]]-tblItems[[#This Row],[Share of usage value]]&lt;CutB,"B","C"))))</f>
        <v>C</v>
      </c>
      <c r="M30" s="37">
        <f>IF(tblItems[[#This Row],[Item]]="","",tblItems[[#This Row],[On hand (units)]]*tblItems[[#This Row],[Unit cost]])</f>
        <v>3139</v>
      </c>
      <c r="N30" s="37">
        <f>IF(tblItems[[#This Row],[Item]]="","",IF(tblItems[[#This Row],[Class]]="A",CountsA,IF(tblItems[[#This Row],[Class]]="B",CountsB,IF(tblItems[[#This Row],[Class]]="C",CountsC,""))))</f>
        <v>1</v>
      </c>
      <c r="O30"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0" s="28" t="s">
        <v>100</v>
      </c>
    </row>
    <row r="31" spans="2:16" x14ac:dyDescent="0.25">
      <c r="B31" s="28" t="s">
        <v>149</v>
      </c>
      <c r="C31" s="28" t="s">
        <v>150</v>
      </c>
      <c r="D31" s="28" t="s">
        <v>79</v>
      </c>
      <c r="E31" s="30">
        <v>2680</v>
      </c>
      <c r="F31" s="36">
        <v>1.95</v>
      </c>
      <c r="G31" s="30">
        <v>1355</v>
      </c>
      <c r="H31" s="37">
        <f>IF(tblItems[[#This Row],[Item]]="","",tblItems[[#This Row],[Annual usage (units)]]*tblItems[[#This Row],[Unit cost]])</f>
        <v>5226</v>
      </c>
      <c r="I31" s="38">
        <f>IF(tblItems[[#This Row],[Item]]="","",IF((SUM(tblItems[Annual usage value]))=0,"",(tblItems[[#This Row],[Annual usage value]])/(SUM(tblItems[Annual usage value]))))</f>
        <v>0.00200146666987351</v>
      </c>
      <c r="J31" s="37">
        <f>IF(tblItems[[#This Row],[Item]]="","",RANK(tblItems[[#This Row],[Annual usage value]],tblItems[Annual usage value],0)+COUNTIFS(tblItems[Annual usage value],tblItems[[#This Row],[Annual usage value]],tblItems[Item],"&lt;"&amp;tblItems[[#This Row],[Item]]))</f>
        <v>24</v>
      </c>
      <c r="K31" s="39">
        <f>IF(tblItems[[#This Row],[Item]]="","",IF((SUM(tblItems[Annual usage value]))=0,"",(SUMIFS(tblItems[Annual usage value],tblItems[Rank],"&lt;="&amp;tblItems[[#This Row],[Rank]]))/(SUM(tblItems[Annual usage value]))))</f>
        <v>0.990702677951681</v>
      </c>
      <c r="L31" s="40" t="str">
        <f>IF(tblItems[[#This Row],[Item]]="","",IF(tblItems[[#This Row],[Cumulative share]]="","",IF(tblItems[[#This Row],[Cumulative share]]-tblItems[[#This Row],[Share of usage value]]&lt;CutA,"A",IF(tblItems[[#This Row],[Cumulative share]]-tblItems[[#This Row],[Share of usage value]]&lt;CutB,"B","C"))))</f>
        <v>C</v>
      </c>
      <c r="M31" s="37">
        <f>IF(tblItems[[#This Row],[Item]]="","",tblItems[[#This Row],[On hand (units)]]*tblItems[[#This Row],[Unit cost]])</f>
        <v>2642.25</v>
      </c>
      <c r="N31" s="37">
        <f>IF(tblItems[[#This Row],[Item]]="","",IF(tblItems[[#This Row],[Class]]="A",CountsA,IF(tblItems[[#This Row],[Class]]="B",CountsB,IF(tblItems[[#This Row],[Class]]="C",CountsC,""))))</f>
        <v>1</v>
      </c>
      <c r="O31"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1" s="28" t="s">
        <v>100</v>
      </c>
    </row>
    <row r="32" spans="2:16" x14ac:dyDescent="0.25">
      <c r="B32" s="28" t="s">
        <v>151</v>
      </c>
      <c r="C32" s="28" t="s">
        <v>152</v>
      </c>
      <c r="D32" s="28" t="s">
        <v>79</v>
      </c>
      <c r="E32" s="30">
        <v>200</v>
      </c>
      <c r="F32" s="36">
        <v>5.4</v>
      </c>
      <c r="G32" s="30">
        <v>80</v>
      </c>
      <c r="H32" s="37">
        <f>IF(tblItems[[#This Row],[Item]]="","",tblItems[[#This Row],[Annual usage (units)]]*tblItems[[#This Row],[Unit cost]])</f>
        <v>1080</v>
      </c>
      <c r="I32" s="38">
        <f>IF(tblItems[[#This Row],[Item]]="","",IF((SUM(tblItems[Annual usage value]))=0,"",(tblItems[[#This Row],[Annual usage value]])/(SUM(tblItems[Annual usage value]))))</f>
        <v>0.000413621125806236</v>
      </c>
      <c r="J32" s="37">
        <f>IF(tblItems[[#This Row],[Item]]="","",RANK(tblItems[[#This Row],[Annual usage value]],tblItems[Annual usage value],0)+COUNTIFS(tblItems[Annual usage value],tblItems[[#This Row],[Annual usage value]],tblItems[Item],"&lt;"&amp;tblItems[[#This Row],[Item]]))</f>
        <v>32</v>
      </c>
      <c r="K32" s="39">
        <f>IF(tblItems[[#This Row],[Item]]="","",IF((SUM(tblItems[Annual usage value]))=0,"",(SUMIFS(tblItems[Annual usage value],tblItems[Rank],"&lt;="&amp;tblItems[[#This Row],[Rank]]))/(SUM(tblItems[Annual usage value]))))</f>
        <v>0.998803179612829</v>
      </c>
      <c r="L32" s="40" t="str">
        <f>IF(tblItems[[#This Row],[Item]]="","",IF(tblItems[[#This Row],[Cumulative share]]="","",IF(tblItems[[#This Row],[Cumulative share]]-tblItems[[#This Row],[Share of usage value]]&lt;CutA,"A",IF(tblItems[[#This Row],[Cumulative share]]-tblItems[[#This Row],[Share of usage value]]&lt;CutB,"B","C"))))</f>
        <v>C</v>
      </c>
      <c r="M32" s="37">
        <f>IF(tblItems[[#This Row],[Item]]="","",tblItems[[#This Row],[On hand (units)]]*tblItems[[#This Row],[Unit cost]])</f>
        <v>432</v>
      </c>
      <c r="N32" s="37">
        <f>IF(tblItems[[#This Row],[Item]]="","",IF(tblItems[[#This Row],[Class]]="A",CountsA,IF(tblItems[[#This Row],[Class]]="B",CountsB,IF(tblItems[[#This Row],[Class]]="C",CountsC,""))))</f>
        <v>1</v>
      </c>
      <c r="O32"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2" s="28" t="s">
        <v>100</v>
      </c>
    </row>
    <row r="33" spans="2:16" x14ac:dyDescent="0.25">
      <c r="B33" s="28" t="s">
        <v>153</v>
      </c>
      <c r="C33" s="28" t="s">
        <v>154</v>
      </c>
      <c r="D33" s="28" t="s">
        <v>80</v>
      </c>
      <c r="E33" s="30">
        <v>10680</v>
      </c>
      <c r="F33" s="36">
        <v>0.82</v>
      </c>
      <c r="G33" s="30">
        <v>7965</v>
      </c>
      <c r="H33" s="37">
        <f>IF(tblItems[[#This Row],[Item]]="","",tblItems[[#This Row],[Annual usage (units)]]*tblItems[[#This Row],[Unit cost]])</f>
        <v>8757.6</v>
      </c>
      <c r="I33" s="38">
        <f>IF(tblItems[[#This Row],[Item]]="","",IF((SUM(tblItems[Annual usage value]))=0,"",(tblItems[[#This Row],[Annual usage value]])/(SUM(tblItems[Annual usage value]))))</f>
        <v>0.0033540077512599</v>
      </c>
      <c r="J33" s="37">
        <f>IF(tblItems[[#This Row],[Item]]="","",RANK(tblItems[[#This Row],[Annual usage value]],tblItems[Annual usage value],0)+COUNTIFS(tblItems[Annual usage value],tblItems[[#This Row],[Annual usage value]],tblItems[Item],"&lt;"&amp;tblItems[[#This Row],[Item]]))</f>
        <v>20</v>
      </c>
      <c r="K33" s="39">
        <f>IF(tblItems[[#This Row],[Item]]="","",IF((SUM(tblItems[Annual usage value]))=0,"",(SUMIFS(tblItems[Annual usage value],tblItems[Rank],"&lt;="&amp;tblItems[[#This Row],[Rank]]))/(SUM(tblItems[Annual usage value]))))</f>
        <v>0.980576620019906</v>
      </c>
      <c r="L33" s="40" t="str">
        <f>IF(tblItems[[#This Row],[Item]]="","",IF(tblItems[[#This Row],[Cumulative share]]="","",IF(tblItems[[#This Row],[Cumulative share]]-tblItems[[#This Row],[Share of usage value]]&lt;CutA,"A",IF(tblItems[[#This Row],[Cumulative share]]-tblItems[[#This Row],[Share of usage value]]&lt;CutB,"B","C"))))</f>
        <v>C</v>
      </c>
      <c r="M33" s="37">
        <f>IF(tblItems[[#This Row],[Item]]="","",tblItems[[#This Row],[On hand (units)]]*tblItems[[#This Row],[Unit cost]])</f>
        <v>6531.3</v>
      </c>
      <c r="N33" s="37">
        <f>IF(tblItems[[#This Row],[Item]]="","",IF(tblItems[[#This Row],[Class]]="A",CountsA,IF(tblItems[[#This Row],[Class]]="B",CountsB,IF(tblItems[[#This Row],[Class]]="C",CountsC,""))))</f>
        <v>1</v>
      </c>
      <c r="O33"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3" s="28" t="s">
        <v>100</v>
      </c>
    </row>
    <row r="34" spans="2:16" x14ac:dyDescent="0.25">
      <c r="B34" s="28" t="s">
        <v>155</v>
      </c>
      <c r="C34" s="28" t="s">
        <v>156</v>
      </c>
      <c r="D34" s="28" t="s">
        <v>80</v>
      </c>
      <c r="E34" s="30">
        <v>3330</v>
      </c>
      <c r="F34" s="36">
        <v>1.46</v>
      </c>
      <c r="G34" s="30">
        <v>1150</v>
      </c>
      <c r="H34" s="37">
        <f>IF(tblItems[[#This Row],[Item]]="","",tblItems[[#This Row],[Annual usage (units)]]*tblItems[[#This Row],[Unit cost]])</f>
        <v>4861.8</v>
      </c>
      <c r="I34" s="38">
        <f>IF(tblItems[[#This Row],[Item]]="","",IF((SUM(tblItems[Annual usage value]))=0,"",(tblItems[[#This Row],[Annual usage value]])/(SUM(tblItems[Annual usage value]))))</f>
        <v>0.00186198443467107</v>
      </c>
      <c r="J34" s="37">
        <f>IF(tblItems[[#This Row],[Item]]="","",RANK(tblItems[[#This Row],[Annual usage value]],tblItems[Annual usage value],0)+COUNTIFS(tblItems[Annual usage value],tblItems[[#This Row],[Annual usage value]],tblItems[Item],"&lt;"&amp;tblItems[[#This Row],[Item]]))</f>
        <v>25</v>
      </c>
      <c r="K34" s="39">
        <f>IF(tblItems[[#This Row],[Item]]="","",IF((SUM(tblItems[Annual usage value]))=0,"",(SUMIFS(tblItems[Annual usage value],tblItems[Rank],"&lt;="&amp;tblItems[[#This Row],[Rank]]))/(SUM(tblItems[Annual usage value]))))</f>
        <v>0.992564662386352</v>
      </c>
      <c r="L34" s="40" t="str">
        <f>IF(tblItems[[#This Row],[Item]]="","",IF(tblItems[[#This Row],[Cumulative share]]="","",IF(tblItems[[#This Row],[Cumulative share]]-tblItems[[#This Row],[Share of usage value]]&lt;CutA,"A",IF(tblItems[[#This Row],[Cumulative share]]-tblItems[[#This Row],[Share of usage value]]&lt;CutB,"B","C"))))</f>
        <v>C</v>
      </c>
      <c r="M34" s="37">
        <f>IF(tblItems[[#This Row],[Item]]="","",tblItems[[#This Row],[On hand (units)]]*tblItems[[#This Row],[Unit cost]])</f>
        <v>1679</v>
      </c>
      <c r="N34" s="37">
        <f>IF(tblItems[[#This Row],[Item]]="","",IF(tblItems[[#This Row],[Class]]="A",CountsA,IF(tblItems[[#This Row],[Class]]="B",CountsB,IF(tblItems[[#This Row],[Class]]="C",CountsC,""))))</f>
        <v>1</v>
      </c>
      <c r="O34"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4" s="28" t="s">
        <v>100</v>
      </c>
    </row>
    <row r="35" spans="2:16" x14ac:dyDescent="0.25">
      <c r="B35" s="28" t="s">
        <v>157</v>
      </c>
      <c r="C35" s="28" t="s">
        <v>158</v>
      </c>
      <c r="D35" s="28" t="s">
        <v>80</v>
      </c>
      <c r="E35" s="30">
        <v>6850</v>
      </c>
      <c r="F35" s="36">
        <v>0.11</v>
      </c>
      <c r="G35" s="30">
        <v>4640</v>
      </c>
      <c r="H35" s="37">
        <f>IF(tblItems[[#This Row],[Item]]="","",tblItems[[#This Row],[Annual usage (units)]]*tblItems[[#This Row],[Unit cost]])</f>
        <v>753.5</v>
      </c>
      <c r="I35" s="38">
        <f>IF(tblItems[[#This Row],[Item]]="","",IF((SUM(tblItems[Annual usage value]))=0,"",(tblItems[[#This Row],[Annual usage value]])/(SUM(tblItems[Annual usage value]))))</f>
        <v>0.000288577331754628</v>
      </c>
      <c r="J35" s="37">
        <f>IF(tblItems[[#This Row],[Item]]="","",RANK(tblItems[[#This Row],[Annual usage value]],tblItems[Annual usage value],0)+COUNTIFS(tblItems[Annual usage value],tblItems[[#This Row],[Annual usage value]],tblItems[Item],"&lt;"&amp;tblItems[[#This Row],[Item]]))</f>
        <v>34</v>
      </c>
      <c r="K35" s="39">
        <f>IF(tblItems[[#This Row],[Item]]="","",IF((SUM(tblItems[Annual usage value]))=0,"",(SUMIFS(tblItems[Annual usage value],tblItems[Rank],"&lt;="&amp;tblItems[[#This Row],[Rank]]))/(SUM(tblItems[Annual usage value]))))</f>
        <v>0.999424951740372</v>
      </c>
      <c r="L35" s="40" t="str">
        <f>IF(tblItems[[#This Row],[Item]]="","",IF(tblItems[[#This Row],[Cumulative share]]="","",IF(tblItems[[#This Row],[Cumulative share]]-tblItems[[#This Row],[Share of usage value]]&lt;CutA,"A",IF(tblItems[[#This Row],[Cumulative share]]-tblItems[[#This Row],[Share of usage value]]&lt;CutB,"B","C"))))</f>
        <v>C</v>
      </c>
      <c r="M35" s="37">
        <f>IF(tblItems[[#This Row],[Item]]="","",tblItems[[#This Row],[On hand (units)]]*tblItems[[#This Row],[Unit cost]])</f>
        <v>510.4</v>
      </c>
      <c r="N35" s="37">
        <f>IF(tblItems[[#This Row],[Item]]="","",IF(tblItems[[#This Row],[Class]]="A",CountsA,IF(tblItems[[#This Row],[Class]]="B",CountsB,IF(tblItems[[#This Row],[Class]]="C",CountsC,""))))</f>
        <v>1</v>
      </c>
      <c r="O35"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5" s="28" t="s">
        <v>100</v>
      </c>
    </row>
    <row r="36" spans="2:16" x14ac:dyDescent="0.25">
      <c r="B36" s="28" t="s">
        <v>159</v>
      </c>
      <c r="C36" s="28" t="s">
        <v>160</v>
      </c>
      <c r="D36" s="28" t="s">
        <v>80</v>
      </c>
      <c r="E36" s="30">
        <v>3710</v>
      </c>
      <c r="F36" s="36">
        <v>0.04</v>
      </c>
      <c r="G36" s="30">
        <v>1055</v>
      </c>
      <c r="H36" s="37">
        <f>IF(tblItems[[#This Row],[Item]]="","",tblItems[[#This Row],[Annual usage (units)]]*tblItems[[#This Row],[Unit cost]])</f>
        <v>148.4</v>
      </c>
      <c r="I36" s="38">
        <f>IF(tblItems[[#This Row],[Item]]="","",IF((SUM(tblItems[Annual usage value]))=0,"",(tblItems[[#This Row],[Annual usage value]])/(SUM(tblItems[Annual usage value]))))</f>
        <v>5.68346065459679e-05</v>
      </c>
      <c r="J36" s="37">
        <f>IF(tblItems[[#This Row],[Item]]="","",RANK(tblItems[[#This Row],[Annual usage value]],tblItems[Annual usage value],0)+COUNTIFS(tblItems[Annual usage value],tblItems[[#This Row],[Annual usage value]],tblItems[Item],"&lt;"&amp;tblItems[[#This Row],[Item]]))</f>
        <v>39</v>
      </c>
      <c r="K36" s="39">
        <f>IF(tblItems[[#This Row],[Item]]="","",IF((SUM(tblItems[Annual usage value]))=0,"",(SUMIFS(tblItems[Annual usage value],tblItems[Rank],"&lt;="&amp;tblItems[[#This Row],[Rank]]))/(SUM(tblItems[Annual usage value]))))</f>
        <v>0.999964612414792</v>
      </c>
      <c r="L36" s="40" t="str">
        <f>IF(tblItems[[#This Row],[Item]]="","",IF(tblItems[[#This Row],[Cumulative share]]="","",IF(tblItems[[#This Row],[Cumulative share]]-tblItems[[#This Row],[Share of usage value]]&lt;CutA,"A",IF(tblItems[[#This Row],[Cumulative share]]-tblItems[[#This Row],[Share of usage value]]&lt;CutB,"B","C"))))</f>
        <v>C</v>
      </c>
      <c r="M36" s="37">
        <f>IF(tblItems[[#This Row],[Item]]="","",tblItems[[#This Row],[On hand (units)]]*tblItems[[#This Row],[Unit cost]])</f>
        <v>42.2</v>
      </c>
      <c r="N36" s="37">
        <f>IF(tblItems[[#This Row],[Item]]="","",IF(tblItems[[#This Row],[Class]]="A",CountsA,IF(tblItems[[#This Row],[Class]]="B",CountsB,IF(tblItems[[#This Row],[Class]]="C",CountsC,""))))</f>
        <v>1</v>
      </c>
      <c r="O36"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6" s="28" t="s">
        <v>161</v>
      </c>
    </row>
    <row r="37" spans="2:16" x14ac:dyDescent="0.25">
      <c r="B37" s="28" t="s">
        <v>162</v>
      </c>
      <c r="C37" s="28" t="s">
        <v>163</v>
      </c>
      <c r="D37" s="28" t="s">
        <v>80</v>
      </c>
      <c r="E37" s="30">
        <v>870</v>
      </c>
      <c r="F37" s="36">
        <v>0.36</v>
      </c>
      <c r="G37" s="30">
        <v>485</v>
      </c>
      <c r="H37" s="37">
        <f>IF(tblItems[[#This Row],[Item]]="","",tblItems[[#This Row],[Annual usage (units)]]*tblItems[[#This Row],[Unit cost]])</f>
        <v>313.2</v>
      </c>
      <c r="I37" s="38">
        <f>IF(tblItems[[#This Row],[Item]]="","",IF((SUM(tblItems[Annual usage value]))=0,"",(tblItems[[#This Row],[Annual usage value]])/(SUM(tblItems[Annual usage value]))))</f>
        <v>0.000119950126483808</v>
      </c>
      <c r="J37" s="37">
        <f>IF(tblItems[[#This Row],[Item]]="","",RANK(tblItems[[#This Row],[Annual usage value]],tblItems[Annual usage value],0)+COUNTIFS(tblItems[Annual usage value],tblItems[[#This Row],[Annual usage value]],tblItems[Item],"&lt;"&amp;tblItems[[#This Row],[Item]]))</f>
        <v>36</v>
      </c>
      <c r="K37" s="39">
        <f>IF(tblItems[[#This Row],[Item]]="","",IF((SUM(tblItems[Annual usage value]))=0,"",(SUMIFS(tblItems[Annual usage value],tblItems[Rank],"&lt;="&amp;tblItems[[#This Row],[Rank]]))/(SUM(tblItems[Annual usage value]))))</f>
        <v>0.999723180231729</v>
      </c>
      <c r="L37" s="40" t="str">
        <f>IF(tblItems[[#This Row],[Item]]="","",IF(tblItems[[#This Row],[Cumulative share]]="","",IF(tblItems[[#This Row],[Cumulative share]]-tblItems[[#This Row],[Share of usage value]]&lt;CutA,"A",IF(tblItems[[#This Row],[Cumulative share]]-tblItems[[#This Row],[Share of usage value]]&lt;CutB,"B","C"))))</f>
        <v>C</v>
      </c>
      <c r="M37" s="37">
        <f>IF(tblItems[[#This Row],[Item]]="","",tblItems[[#This Row],[On hand (units)]]*tblItems[[#This Row],[Unit cost]])</f>
        <v>174.6</v>
      </c>
      <c r="N37" s="37">
        <f>IF(tblItems[[#This Row],[Item]]="","",IF(tblItems[[#This Row],[Class]]="A",CountsA,IF(tblItems[[#This Row],[Class]]="B",CountsB,IF(tblItems[[#This Row],[Class]]="C",CountsC,""))))</f>
        <v>1</v>
      </c>
      <c r="O37"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7" s="28" t="s">
        <v>100</v>
      </c>
    </row>
    <row r="38" spans="2:16" x14ac:dyDescent="0.25">
      <c r="B38" s="28" t="s">
        <v>164</v>
      </c>
      <c r="C38" s="28" t="s">
        <v>165</v>
      </c>
      <c r="D38" s="28" t="s">
        <v>81</v>
      </c>
      <c r="E38" s="30">
        <v>3480</v>
      </c>
      <c r="F38" s="36">
        <v>1.1</v>
      </c>
      <c r="G38" s="30">
        <v>1340</v>
      </c>
      <c r="H38" s="37">
        <f>IF(tblItems[[#This Row],[Item]]="","",tblItems[[#This Row],[Annual usage (units)]]*tblItems[[#This Row],[Unit cost]])</f>
        <v>3828</v>
      </c>
      <c r="I38" s="38">
        <f>IF(tblItems[[#This Row],[Item]]="","",IF((SUM(tblItems[Annual usage value]))=0,"",(tblItems[[#This Row],[Annual usage value]])/(SUM(tblItems[Annual usage value]))))</f>
        <v>0.00146605710146877</v>
      </c>
      <c r="J38" s="37">
        <f>IF(tblItems[[#This Row],[Item]]="","",RANK(tblItems[[#This Row],[Annual usage value]],tblItems[Annual usage value],0)+COUNTIFS(tblItems[Annual usage value],tblItems[[#This Row],[Annual usage value]],tblItems[Item],"&lt;"&amp;tblItems[[#This Row],[Item]]))</f>
        <v>26</v>
      </c>
      <c r="K38" s="39">
        <f>IF(tblItems[[#This Row],[Item]]="","",IF((SUM(tblItems[Annual usage value]))=0,"",(SUMIFS(tblItems[Annual usage value],tblItems[Rank],"&lt;="&amp;tblItems[[#This Row],[Rank]]))/(SUM(tblItems[Annual usage value]))))</f>
        <v>0.994030719487821</v>
      </c>
      <c r="L38" s="40" t="str">
        <f>IF(tblItems[[#This Row],[Item]]="","",IF(tblItems[[#This Row],[Cumulative share]]="","",IF(tblItems[[#This Row],[Cumulative share]]-tblItems[[#This Row],[Share of usage value]]&lt;CutA,"A",IF(tblItems[[#This Row],[Cumulative share]]-tblItems[[#This Row],[Share of usage value]]&lt;CutB,"B","C"))))</f>
        <v>C</v>
      </c>
      <c r="M38" s="37">
        <f>IF(tblItems[[#This Row],[Item]]="","",tblItems[[#This Row],[On hand (units)]]*tblItems[[#This Row],[Unit cost]])</f>
        <v>1474</v>
      </c>
      <c r="N38" s="37">
        <f>IF(tblItems[[#This Row],[Item]]="","",IF(tblItems[[#This Row],[Class]]="A",CountsA,IF(tblItems[[#This Row],[Class]]="B",CountsB,IF(tblItems[[#This Row],[Class]]="C",CountsC,""))))</f>
        <v>1</v>
      </c>
      <c r="O38"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8" s="28" t="s">
        <v>100</v>
      </c>
    </row>
    <row r="39" spans="2:16" x14ac:dyDescent="0.25">
      <c r="B39" s="28" t="s">
        <v>166</v>
      </c>
      <c r="C39" s="28" t="s">
        <v>167</v>
      </c>
      <c r="D39" s="28" t="s">
        <v>81</v>
      </c>
      <c r="E39" s="30">
        <v>630</v>
      </c>
      <c r="F39" s="36">
        <v>2.85</v>
      </c>
      <c r="G39" s="30">
        <v>400</v>
      </c>
      <c r="H39" s="37">
        <f>IF(tblItems[[#This Row],[Item]]="","",tblItems[[#This Row],[Annual usage (units)]]*tblItems[[#This Row],[Unit cost]])</f>
        <v>1795.5</v>
      </c>
      <c r="I39" s="38">
        <f>IF(tblItems[[#This Row],[Item]]="","",IF((SUM(tblItems[Annual usage value]))=0,"",(tblItems[[#This Row],[Annual usage value]])/(SUM(tblItems[Annual usage value]))))</f>
        <v>0.000687645121652867</v>
      </c>
      <c r="J39" s="37">
        <f>IF(tblItems[[#This Row],[Item]]="","",RANK(tblItems[[#This Row],[Annual usage value]],tblItems[Annual usage value],0)+COUNTIFS(tblItems[Annual usage value],tblItems[[#This Row],[Annual usage value]],tblItems[Item],"&lt;"&amp;tblItems[[#This Row],[Item]]))</f>
        <v>30</v>
      </c>
      <c r="K39" s="39">
        <f>IF(tblItems[[#This Row],[Item]]="","",IF((SUM(tblItems[Annual usage value]))=0,"",(SUMIFS(tblItems[Annual usage value],tblItems[Rank],"&lt;="&amp;tblItems[[#This Row],[Rank]]))/(SUM(tblItems[Annual usage value]))))</f>
        <v>0.9979660564121</v>
      </c>
      <c r="L39" s="40" t="str">
        <f>IF(tblItems[[#This Row],[Item]]="","",IF(tblItems[[#This Row],[Cumulative share]]="","",IF(tblItems[[#This Row],[Cumulative share]]-tblItems[[#This Row],[Share of usage value]]&lt;CutA,"A",IF(tblItems[[#This Row],[Cumulative share]]-tblItems[[#This Row],[Share of usage value]]&lt;CutB,"B","C"))))</f>
        <v>C</v>
      </c>
      <c r="M39" s="37">
        <f>IF(tblItems[[#This Row],[Item]]="","",tblItems[[#This Row],[On hand (units)]]*tblItems[[#This Row],[Unit cost]])</f>
        <v>1140</v>
      </c>
      <c r="N39" s="37">
        <f>IF(tblItems[[#This Row],[Item]]="","",IF(tblItems[[#This Row],[Class]]="A",CountsA,IF(tblItems[[#This Row],[Class]]="B",CountsB,IF(tblItems[[#This Row],[Class]]="C",CountsC,""))))</f>
        <v>1</v>
      </c>
      <c r="O39"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39" s="28" t="s">
        <v>100</v>
      </c>
    </row>
    <row r="40" spans="2:16" x14ac:dyDescent="0.25">
      <c r="B40" s="28" t="s">
        <v>168</v>
      </c>
      <c r="C40" s="28" t="s">
        <v>169</v>
      </c>
      <c r="D40" s="28" t="s">
        <v>81</v>
      </c>
      <c r="E40" s="30">
        <v>2910</v>
      </c>
      <c r="F40" s="36">
        <v>0.38</v>
      </c>
      <c r="G40" s="30">
        <v>950</v>
      </c>
      <c r="H40" s="37">
        <f>IF(tblItems[[#This Row],[Item]]="","",tblItems[[#This Row],[Annual usage (units)]]*tblItems[[#This Row],[Unit cost]])</f>
        <v>1105.8</v>
      </c>
      <c r="I40" s="38">
        <f>IF(tblItems[[#This Row],[Item]]="","",IF((SUM(tblItems[Annual usage value]))=0,"",(tblItems[[#This Row],[Annual usage value]])/(SUM(tblItems[Annual usage value]))))</f>
        <v>0.000423502074922718</v>
      </c>
      <c r="J40" s="37">
        <f>IF(tblItems[[#This Row],[Item]]="","",RANK(tblItems[[#This Row],[Annual usage value]],tblItems[Annual usage value],0)+COUNTIFS(tblItems[Annual usage value],tblItems[[#This Row],[Annual usage value]],tblItems[Item],"&lt;"&amp;tblItems[[#This Row],[Item]]))</f>
        <v>31</v>
      </c>
      <c r="K40" s="39">
        <f>IF(tblItems[[#This Row],[Item]]="","",IF((SUM(tblItems[Annual usage value]))=0,"",(SUMIFS(tblItems[Annual usage value],tblItems[Rank],"&lt;="&amp;tblItems[[#This Row],[Rank]]))/(SUM(tblItems[Annual usage value]))))</f>
        <v>0.998389558487023</v>
      </c>
      <c r="L40" s="40" t="str">
        <f>IF(tblItems[[#This Row],[Item]]="","",IF(tblItems[[#This Row],[Cumulative share]]="","",IF(tblItems[[#This Row],[Cumulative share]]-tblItems[[#This Row],[Share of usage value]]&lt;CutA,"A",IF(tblItems[[#This Row],[Cumulative share]]-tblItems[[#This Row],[Share of usage value]]&lt;CutB,"B","C"))))</f>
        <v>C</v>
      </c>
      <c r="M40" s="37">
        <f>IF(tblItems[[#This Row],[Item]]="","",tblItems[[#This Row],[On hand (units)]]*tblItems[[#This Row],[Unit cost]])</f>
        <v>361</v>
      </c>
      <c r="N40" s="37">
        <f>IF(tblItems[[#This Row],[Item]]="","",IF(tblItems[[#This Row],[Class]]="A",CountsA,IF(tblItems[[#This Row],[Class]]="B",CountsB,IF(tblItems[[#This Row],[Class]]="C",CountsC,""))))</f>
        <v>1</v>
      </c>
      <c r="O40"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0" s="28" t="s">
        <v>100</v>
      </c>
    </row>
    <row r="41" spans="2:16" x14ac:dyDescent="0.25">
      <c r="B41" s="28" t="s">
        <v>170</v>
      </c>
      <c r="C41" s="28" t="s">
        <v>171</v>
      </c>
      <c r="D41" s="28" t="s">
        <v>81</v>
      </c>
      <c r="E41" s="30">
        <v>60</v>
      </c>
      <c r="F41" s="36">
        <v>14.5</v>
      </c>
      <c r="G41" s="30">
        <v>20</v>
      </c>
      <c r="H41" s="37">
        <f>IF(tblItems[[#This Row],[Item]]="","",tblItems[[#This Row],[Annual usage (units)]]*tblItems[[#This Row],[Unit cost]])</f>
        <v>870</v>
      </c>
      <c r="I41" s="38">
        <f>IF(tblItems[[#This Row],[Item]]="","",IF((SUM(tblItems[Annual usage value]))=0,"",(tblItems[[#This Row],[Annual usage value]])/(SUM(tblItems[Annual usage value]))))</f>
        <v>0.000333194795788357</v>
      </c>
      <c r="J41" s="37">
        <f>IF(tblItems[[#This Row],[Item]]="","",RANK(tblItems[[#This Row],[Annual usage value]],tblItems[Annual usage value],0)+COUNTIFS(tblItems[Annual usage value],tblItems[[#This Row],[Annual usage value]],tblItems[Item],"&lt;"&amp;tblItems[[#This Row],[Item]]))</f>
        <v>33</v>
      </c>
      <c r="K41" s="39">
        <f>IF(tblItems[[#This Row],[Item]]="","",IF((SUM(tblItems[Annual usage value]))=0,"",(SUMIFS(tblItems[Annual usage value],tblItems[Rank],"&lt;="&amp;tblItems[[#This Row],[Rank]]))/(SUM(tblItems[Annual usage value]))))</f>
        <v>0.999136374408618</v>
      </c>
      <c r="L41" s="40" t="str">
        <f>IF(tblItems[[#This Row],[Item]]="","",IF(tblItems[[#This Row],[Cumulative share]]="","",IF(tblItems[[#This Row],[Cumulative share]]-tblItems[[#This Row],[Share of usage value]]&lt;CutA,"A",IF(tblItems[[#This Row],[Cumulative share]]-tblItems[[#This Row],[Share of usage value]]&lt;CutB,"B","C"))))</f>
        <v>C</v>
      </c>
      <c r="M41" s="37">
        <f>IF(tblItems[[#This Row],[Item]]="","",tblItems[[#This Row],[On hand (units)]]*tblItems[[#This Row],[Unit cost]])</f>
        <v>290</v>
      </c>
      <c r="N41" s="37">
        <f>IF(tblItems[[#This Row],[Item]]="","",IF(tblItems[[#This Row],[Class]]="A",CountsA,IF(tblItems[[#This Row],[Class]]="B",CountsB,IF(tblItems[[#This Row],[Class]]="C",CountsC,""))))</f>
        <v>1</v>
      </c>
      <c r="O41"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1" s="28" t="s">
        <v>172</v>
      </c>
    </row>
    <row r="42" spans="2:16" x14ac:dyDescent="0.25">
      <c r="B42" s="28" t="s">
        <v>173</v>
      </c>
      <c r="C42" s="28" t="s">
        <v>174</v>
      </c>
      <c r="D42" s="28" t="s">
        <v>81</v>
      </c>
      <c r="E42" s="30">
        <v>1100</v>
      </c>
      <c r="F42" s="36">
        <v>0.22</v>
      </c>
      <c r="G42" s="30">
        <v>305</v>
      </c>
      <c r="H42" s="37">
        <f>IF(tblItems[[#This Row],[Item]]="","",tblItems[[#This Row],[Annual usage (units)]]*tblItems[[#This Row],[Unit cost]])</f>
        <v>242</v>
      </c>
      <c r="I42" s="38">
        <f>IF(tblItems[[#This Row],[Item]]="","",IF((SUM(tblItems[Annual usage value]))=0,"",(tblItems[[#This Row],[Annual usage value]])/(SUM(tblItems[Annual usage value]))))</f>
        <v>9.26817707825084e-05</v>
      </c>
      <c r="J42" s="37">
        <f>IF(tblItems[[#This Row],[Item]]="","",RANK(tblItems[[#This Row],[Annual usage value]],tblItems[Annual usage value],0)+COUNTIFS(tblItems[Annual usage value],tblItems[[#This Row],[Annual usage value]],tblItems[Item],"&lt;"&amp;tblItems[[#This Row],[Item]]))</f>
        <v>37</v>
      </c>
      <c r="K42" s="39">
        <f>IF(tblItems[[#This Row],[Item]]="","",IF((SUM(tblItems[Annual usage value]))=0,"",(SUMIFS(tblItems[Annual usage value],tblItems[Rank],"&lt;="&amp;tblItems[[#This Row],[Rank]]))/(SUM(tblItems[Annual usage value]))))</f>
        <v>0.999815862002512</v>
      </c>
      <c r="L42" s="40" t="str">
        <f>IF(tblItems[[#This Row],[Item]]="","",IF(tblItems[[#This Row],[Cumulative share]]="","",IF(tblItems[[#This Row],[Cumulative share]]-tblItems[[#This Row],[Share of usage value]]&lt;CutA,"A",IF(tblItems[[#This Row],[Cumulative share]]-tblItems[[#This Row],[Share of usage value]]&lt;CutB,"B","C"))))</f>
        <v>C</v>
      </c>
      <c r="M42" s="37">
        <f>IF(tblItems[[#This Row],[Item]]="","",tblItems[[#This Row],[On hand (units)]]*tblItems[[#This Row],[Unit cost]])</f>
        <v>67.1</v>
      </c>
      <c r="N42" s="37">
        <f>IF(tblItems[[#This Row],[Item]]="","",IF(tblItems[[#This Row],[Class]]="A",CountsA,IF(tblItems[[#This Row],[Class]]="B",CountsB,IF(tblItems[[#This Row],[Class]]="C",CountsC,""))))</f>
        <v>1</v>
      </c>
      <c r="O42"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2" s="28" t="s">
        <v>100</v>
      </c>
    </row>
    <row r="43" spans="2:16" x14ac:dyDescent="0.25">
      <c r="B43" s="28" t="s">
        <v>175</v>
      </c>
      <c r="C43" s="28" t="s">
        <v>176</v>
      </c>
      <c r="D43" s="28" t="s">
        <v>82</v>
      </c>
      <c r="E43" s="30">
        <v>160</v>
      </c>
      <c r="F43" s="36">
        <v>16.8</v>
      </c>
      <c r="G43" s="30">
        <v>120</v>
      </c>
      <c r="H43" s="37">
        <f>IF(tblItems[[#This Row],[Item]]="","",tblItems[[#This Row],[Annual usage (units)]]*tblItems[[#This Row],[Unit cost]])</f>
        <v>2688</v>
      </c>
      <c r="I43" s="38">
        <f>IF(tblItems[[#This Row],[Item]]="","",IF((SUM(tblItems[Annual usage value]))=0,"",(tblItems[[#This Row],[Annual usage value]])/(SUM(tblItems[Annual usage value]))))</f>
        <v>0.00102945702422885</v>
      </c>
      <c r="J43" s="37">
        <f>IF(tblItems[[#This Row],[Item]]="","",RANK(tblItems[[#This Row],[Annual usage value]],tblItems[Annual usage value],0)+COUNTIFS(tblItems[Annual usage value],tblItems[[#This Row],[Annual usage value]],tblItems[Item],"&lt;"&amp;tblItems[[#This Row],[Item]]))</f>
        <v>28</v>
      </c>
      <c r="K43" s="39">
        <f>IF(tblItems[[#This Row],[Item]]="","",IF((SUM(tblItems[Annual usage value]))=0,"",(SUMIFS(tblItems[Annual usage value],tblItems[Rank],"&lt;="&amp;tblItems[[#This Row],[Rank]]))/(SUM(tblItems[Annual usage value]))))</f>
        <v>0.996389891835012</v>
      </c>
      <c r="L43" s="40" t="str">
        <f>IF(tblItems[[#This Row],[Item]]="","",IF(tblItems[[#This Row],[Cumulative share]]="","",IF(tblItems[[#This Row],[Cumulative share]]-tblItems[[#This Row],[Share of usage value]]&lt;CutA,"A",IF(tblItems[[#This Row],[Cumulative share]]-tblItems[[#This Row],[Share of usage value]]&lt;CutB,"B","C"))))</f>
        <v>C</v>
      </c>
      <c r="M43" s="37">
        <f>IF(tblItems[[#This Row],[Item]]="","",tblItems[[#This Row],[On hand (units)]]*tblItems[[#This Row],[Unit cost]])</f>
        <v>2016</v>
      </c>
      <c r="N43" s="37">
        <f>IF(tblItems[[#This Row],[Item]]="","",IF(tblItems[[#This Row],[Class]]="A",CountsA,IF(tblItems[[#This Row],[Class]]="B",CountsB,IF(tblItems[[#This Row],[Class]]="C",CountsC,""))))</f>
        <v>1</v>
      </c>
      <c r="O43"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3" s="28" t="s">
        <v>100</v>
      </c>
    </row>
    <row r="44" spans="2:16" x14ac:dyDescent="0.25">
      <c r="B44" s="28" t="s">
        <v>177</v>
      </c>
      <c r="C44" s="28" t="s">
        <v>178</v>
      </c>
      <c r="D44" s="28" t="s">
        <v>82</v>
      </c>
      <c r="E44" s="30">
        <v>490</v>
      </c>
      <c r="F44" s="36">
        <v>0.95</v>
      </c>
      <c r="G44" s="30">
        <v>315</v>
      </c>
      <c r="H44" s="37">
        <f>IF(tblItems[[#This Row],[Item]]="","",tblItems[[#This Row],[Annual usage (units)]]*tblItems[[#This Row],[Unit cost]])</f>
        <v>465.5</v>
      </c>
      <c r="I44" s="38">
        <f>IF(tblItems[[#This Row],[Item]]="","",IF((SUM(tblItems[Annual usage value]))=0,"",(tblItems[[#This Row],[Annual usage value]])/(SUM(tblItems[Annual usage value]))))</f>
        <v>0.000178278364872965</v>
      </c>
      <c r="J44" s="37">
        <f>IF(tblItems[[#This Row],[Item]]="","",RANK(tblItems[[#This Row],[Annual usage value]],tblItems[Annual usage value],0)+COUNTIFS(tblItems[Annual usage value],tblItems[[#This Row],[Annual usage value]],tblItems[Item],"&lt;"&amp;tblItems[[#This Row],[Item]]))</f>
        <v>35</v>
      </c>
      <c r="K44" s="39">
        <f>IF(tblItems[[#This Row],[Item]]="","",IF((SUM(tblItems[Annual usage value]))=0,"",(SUMIFS(tblItems[Annual usage value],tblItems[Rank],"&lt;="&amp;tblItems[[#This Row],[Rank]]))/(SUM(tblItems[Annual usage value]))))</f>
        <v>0.999603230105245</v>
      </c>
      <c r="L44" s="40" t="str">
        <f>IF(tblItems[[#This Row],[Item]]="","",IF(tblItems[[#This Row],[Cumulative share]]="","",IF(tblItems[[#This Row],[Cumulative share]]-tblItems[[#This Row],[Share of usage value]]&lt;CutA,"A",IF(tblItems[[#This Row],[Cumulative share]]-tblItems[[#This Row],[Share of usage value]]&lt;CutB,"B","C"))))</f>
        <v>C</v>
      </c>
      <c r="M44" s="37">
        <f>IF(tblItems[[#This Row],[Item]]="","",tblItems[[#This Row],[On hand (units)]]*tblItems[[#This Row],[Unit cost]])</f>
        <v>299.25</v>
      </c>
      <c r="N44" s="37">
        <f>IF(tblItems[[#This Row],[Item]]="","",IF(tblItems[[#This Row],[Class]]="A",CountsA,IF(tblItems[[#This Row],[Class]]="B",CountsB,IF(tblItems[[#This Row],[Class]]="C",CountsC,""))))</f>
        <v>1</v>
      </c>
      <c r="O44"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4" s="28" t="s">
        <v>100</v>
      </c>
    </row>
    <row r="45" spans="2:16" x14ac:dyDescent="0.25">
      <c r="B45" s="28" t="s">
        <v>179</v>
      </c>
      <c r="C45" s="28" t="s">
        <v>180</v>
      </c>
      <c r="D45" s="28" t="s">
        <v>82</v>
      </c>
      <c r="E45" s="30">
        <v>10</v>
      </c>
      <c r="F45" s="36">
        <v>24</v>
      </c>
      <c r="G45" s="30">
        <v>5</v>
      </c>
      <c r="H45" s="37">
        <f>IF(tblItems[[#This Row],[Item]]="","",tblItems[[#This Row],[Annual usage (units)]]*tblItems[[#This Row],[Unit cost]])</f>
        <v>240</v>
      </c>
      <c r="I45" s="38">
        <f>IF(tblItems[[#This Row],[Item]]="","",IF((SUM(tblItems[Annual usage value]))=0,"",(tblItems[[#This Row],[Annual usage value]])/(SUM(tblItems[Annual usage value]))))</f>
        <v>9.19158057347191e-05</v>
      </c>
      <c r="J45" s="37">
        <f>IF(tblItems[[#This Row],[Item]]="","",RANK(tblItems[[#This Row],[Annual usage value]],tblItems[Annual usage value],0)+COUNTIFS(tblItems[Annual usage value],tblItems[[#This Row],[Annual usage value]],tblItems[Item],"&lt;"&amp;tblItems[[#This Row],[Item]]))</f>
        <v>38</v>
      </c>
      <c r="K45" s="39">
        <f>IF(tblItems[[#This Row],[Item]]="","",IF((SUM(tblItems[Annual usage value]))=0,"",(SUMIFS(tblItems[Annual usage value],tblItems[Rank],"&lt;="&amp;tblItems[[#This Row],[Rank]]))/(SUM(tblItems[Annual usage value]))))</f>
        <v>0.999907777808246</v>
      </c>
      <c r="L45" s="40" t="str">
        <f>IF(tblItems[[#This Row],[Item]]="","",IF(tblItems[[#This Row],[Cumulative share]]="","",IF(tblItems[[#This Row],[Cumulative share]]-tblItems[[#This Row],[Share of usage value]]&lt;CutA,"A",IF(tblItems[[#This Row],[Cumulative share]]-tblItems[[#This Row],[Share of usage value]]&lt;CutB,"B","C"))))</f>
        <v>C</v>
      </c>
      <c r="M45" s="37">
        <f>IF(tblItems[[#This Row],[Item]]="","",tblItems[[#This Row],[On hand (units)]]*tblItems[[#This Row],[Unit cost]])</f>
        <v>120</v>
      </c>
      <c r="N45" s="37">
        <f>IF(tblItems[[#This Row],[Item]]="","",IF(tblItems[[#This Row],[Class]]="A",CountsA,IF(tblItems[[#This Row],[Class]]="B",CountsB,IF(tblItems[[#This Row],[Class]]="C",CountsC,""))))</f>
        <v>1</v>
      </c>
      <c r="O45"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5" s="28" t="s">
        <v>100</v>
      </c>
    </row>
    <row r="46" spans="2:16" x14ac:dyDescent="0.25">
      <c r="B46" s="28" t="s">
        <v>181</v>
      </c>
      <c r="C46" s="28" t="s">
        <v>182</v>
      </c>
      <c r="D46" s="28" t="s">
        <v>82</v>
      </c>
      <c r="E46" s="30">
        <v>220</v>
      </c>
      <c r="F46" s="36">
        <v>0.42</v>
      </c>
      <c r="G46" s="30">
        <v>160</v>
      </c>
      <c r="H46" s="37">
        <f>IF(tblItems[[#This Row],[Item]]="","",tblItems[[#This Row],[Annual usage (units)]]*tblItems[[#This Row],[Unit cost]])</f>
        <v>92.4</v>
      </c>
      <c r="I46" s="38">
        <f>IF(tblItems[[#This Row],[Item]]="","",IF((SUM(tblItems[Annual usage value]))=0,"",(tblItems[[#This Row],[Annual usage value]])/(SUM(tblItems[Annual usage value]))))</f>
        <v>3.53875852078668e-05</v>
      </c>
      <c r="J46" s="37">
        <f>IF(tblItems[[#This Row],[Item]]="","",RANK(tblItems[[#This Row],[Annual usage value]],tblItems[Annual usage value],0)+COUNTIFS(tblItems[Annual usage value],tblItems[[#This Row],[Annual usage value]],tblItems[Item],"&lt;"&amp;tblItems[[#This Row],[Item]]))</f>
        <v>40</v>
      </c>
      <c r="K46" s="39">
        <f>IF(tblItems[[#This Row],[Item]]="","",IF((SUM(tblItems[Annual usage value]))=0,"",(SUMIFS(tblItems[Annual usage value],tblItems[Rank],"&lt;="&amp;tblItems[[#This Row],[Rank]]))/(SUM(tblItems[Annual usage value]))))</f>
        <v>1</v>
      </c>
      <c r="L46" s="40" t="str">
        <f>IF(tblItems[[#This Row],[Item]]="","",IF(tblItems[[#This Row],[Cumulative share]]="","",IF(tblItems[[#This Row],[Cumulative share]]-tblItems[[#This Row],[Share of usage value]]&lt;CutA,"A",IF(tblItems[[#This Row],[Cumulative share]]-tblItems[[#This Row],[Share of usage value]]&lt;CutB,"B","C"))))</f>
        <v>C</v>
      </c>
      <c r="M46" s="37">
        <f>IF(tblItems[[#This Row],[Item]]="","",tblItems[[#This Row],[On hand (units)]]*tblItems[[#This Row],[Unit cost]])</f>
        <v>67.2</v>
      </c>
      <c r="N46" s="37">
        <f>IF(tblItems[[#This Row],[Item]]="","",IF(tblItems[[#This Row],[Class]]="A",CountsA,IF(tblItems[[#This Row],[Class]]="B",CountsB,IF(tblItems[[#This Row],[Class]]="C",CountsC,""))))</f>
        <v>1</v>
      </c>
      <c r="O46" s="41" t="str">
        <f>IF(tblItems[[#This Row],[Item]]="","",IF(tblItems[[#This Row],[Category]]="","Missing category",IF(tblItems[[#This Row],[Annual usage (units)]]="","Missing annual usage",IF(tblItems[[#This Row],[Unit cost]]="","Missing unit cost",IF(COUNTIF(tblCategories[Category],tblItems[[#This Row],[Category]])=0,"Category not on Setup list",IF(COUNTIF(tblItems[Item],tblItems[[#This Row],[Item]])&gt;1,"Item listed twice",IF(tblItems[[#This Row],[Unit cost]]=0,"Unit cost is 0","OK")))))))</f>
        <v>OK</v>
      </c>
      <c r="P46" s="28" t="s">
        <v>100</v>
      </c>
    </row>
  </sheetData>
  <mergeCells count="3">
    <mergeCell ref="A1:P1"/>
    <mergeCell ref="B2:O2"/>
    <mergeCell ref="B4:P4"/>
  </mergeCells>
  <conditionalFormatting sqref="H7:H54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O7:O546">
    <cfRule type="expression" dxfId="3" priority="2">
      <formula>$O7="OK"</formula>
    </cfRule>
    <cfRule type="expression" dxfId="1" priority="3">
      <formula>AND($O7&lt;&gt;"",$O7&lt;&gt;"OK")</formula>
    </cfRule>
  </conditionalFormatting>
  <dataValidations count="7">
    <dataValidation type="textLength" allowBlank="1" showInputMessage="1" showErrorMessage="1" errorTitle="Check this entry" error="Text up to 40 characters." promptTitle="Item" prompt="Text up to 40 characters." sqref="B7:B546">
      <formula1>0</formula1>
      <formula2>40</formula2>
    </dataValidation>
    <dataValidation type="textLength" allowBlank="1" showInputMessage="1" showErrorMessage="1" errorTitle="Check this entry" error="Text up to 80 characters." promptTitle="Description" prompt="Text up to 80 characters." sqref="C7:C546">
      <formula1>0</formula1>
      <formula2>80</formula2>
    </dataValidation>
    <dataValidation type="list" allowBlank="1" showInputMessage="1" showErrorMessage="1" errorTitle="Check this entry" error="Pick from the list (edit the list on Setup: Categories)." promptTitle="Category" prompt="Pick from the list (edit the list on Setup: Categories)." sqref="D7:D546">
      <formula1>Categories</formula1>
    </dataValidation>
    <dataValidation type="decimal" allowBlank="1" showInputMessage="1" showErrorMessage="1" errorTitle="Check this entry" error="Enter a number of at least 0." promptTitle="Annual usage (units)" prompt="Units issued, consumed or sold in the last 12 months (or a 12-month forecast). Enter a number of at least 0." sqref="E7:E546">
      <formula1>0</formula1>
      <formula2>1000000000000.0</formula2>
    </dataValidation>
    <dataValidation type="decimal" allowBlank="1" showInputMessage="1" showErrorMessage="1" errorTitle="Check this entry" error="Enter a number of at least 0." promptTitle="Unit cost" prompt="Standard or average cost per unit, the cost your stock is valued at. Enter a number of at least 0." sqref="F7:F546">
      <formula1>0</formula1>
      <formula2>1000000000.0</formula2>
    </dataValidation>
    <dataValidation type="decimal" allowBlank="1" showInputMessage="1" showErrorMessage="1" errorTitle="Check this entry" error="Enter a number of at least 0." promptTitle="On hand (units)" prompt="Units in stock now (or the year's average). Used for stock value only, not for the class. Enter a number of at least 0." sqref="G7:G546">
      <formula1>0</formula1>
      <formula2>1000000000000.0</formula2>
    </dataValidation>
    <dataValidation type="textLength" allowBlank="1" showInputMessage="1" showErrorMessage="1" errorTitle="Check this entry" error="Text up to 255 characters." promptTitle="Notes" prompt="Text up to 255 characters." sqref="P7:P546">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ABC Inventory Analysis&amp;R&amp;8&amp;A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H7:H546</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3"/>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2" t="str">
        <f>"Showing "&amp;(COUNTIFS(tblItems[Class],"A")+COUNTIFS(tblItems[Class],"B")+COUNTIFS(tblItems[Class],"C"))&amp;" items for "&amp;CompanyName&amp;". Class A: items that start below "&amp;TEXT(CutA,"0%")&amp;" of cumulative usage value; B: below "&amp;TEXT(CutB,"0%")&amp;"; C: the rest."</f>
        <v>Showing 40 items for Kestrel Valve Works (example). Class A: items that start below 80% of cumulative usage value; B: below 95%; C: the rest.</v>
      </c>
      <c r="C4" s="42"/>
      <c r="D4" s="42"/>
      <c r="E4" s="42"/>
      <c r="F4" s="42"/>
      <c r="G4" s="42"/>
      <c r="H4" s="42"/>
      <c r="I4" s="42"/>
      <c r="J4" s="42"/>
      <c r="K4" s="42"/>
      <c r="L4" s="42"/>
    </row>
    <row r="6" spans="1:12" ht="18" customHeight="1">
      <c r="B6" s="43" t="str">
        <f>"ANNUAL USAGE VALUE ("&amp;Currency&amp;")"</f>
        <v>ANNUAL USAGE VALUE (USD)</v>
      </c>
      <c r="C6" s="43"/>
      <c r="D6" s="43" t="s">
        <v>183</v>
      </c>
      <c r="E6" s="43"/>
      <c r="F6" s="43"/>
      <c r="G6" s="43" t="s">
        <v>184</v>
      </c>
      <c r="H6" s="43"/>
      <c r="I6" s="43"/>
      <c r="J6" s="43" t="s">
        <v>185</v>
      </c>
      <c r="K6" s="43"/>
      <c r="L6" s="43"/>
    </row>
    <row r="7" spans="1:12" ht="21" customHeight="1">
      <c r="B7" s="44">
        <f>SUM(tblItems[Annual usage value])</f>
        <v>2611085.2</v>
      </c>
      <c r="C7" s="44"/>
      <c r="D7" s="45">
        <f>IF((SUM(tblItems[Annual usage value]))=0,"",(SUMIFS(tblItems[Annual usage value],tblItems[Class],"A"))/(SUM(tblItems[Annual usage value])))</f>
        <v>0.800088407685816</v>
      </c>
      <c r="E7" s="45"/>
      <c r="F7" s="45"/>
      <c r="G7" s="45">
        <f>IF((COUNTIFS(tblItems[Class],"A")+COUNTIFS(tblItems[Class],"B")+COUNTIFS(tblItems[Class],"C"))=0,"",(COUNTIFS(tblItems[Class],"A"))/(COUNTIFS(tblItems[Class],"A")+COUNTIFS(tblItems[Class],"B")+COUNTIFS(tblItems[Class],"C")))</f>
        <v>0.175</v>
      </c>
      <c r="H7" s="45"/>
      <c r="I7" s="45"/>
      <c r="J7" s="45">
        <f>IF((SUM(tblItems[Stock value]))=0,"",(SUMIFS(tblItems[Stock value],tblItems[Class],"C"))/(SUM(tblItems[Stock value])))</f>
        <v>0.217727797494334</v>
      </c>
      <c r="K7" s="45"/>
      <c r="L7" s="45"/>
    </row>
    <row r="8" spans="1:12" ht="21" customHeight="1">
      <c r="B8" s="44"/>
      <c r="C8" s="44"/>
      <c r="D8" s="45"/>
      <c r="E8" s="45"/>
      <c r="F8" s="45"/>
      <c r="G8" s="45"/>
      <c r="H8" s="45"/>
      <c r="I8" s="45"/>
      <c r="J8" s="45"/>
      <c r="K8" s="45"/>
      <c r="L8" s="45"/>
    </row>
    <row r="9" spans="1:12">
      <c r="B9" s="46" t="s">
        <v>186</v>
      </c>
      <c r="C9" s="46"/>
      <c r="D9" s="46" t="s">
        <v>187</v>
      </c>
      <c r="E9" s="46"/>
      <c r="F9" s="46"/>
      <c r="G9" s="46" t="s">
        <v>188</v>
      </c>
      <c r="H9" s="46"/>
      <c r="I9" s="46"/>
      <c r="J9" s="46" t="s">
        <v>189</v>
      </c>
      <c r="K9" s="46"/>
      <c r="L9" s="46"/>
    </row>
    <row r="10" spans="1:12" ht="18" customHeight="1">
      <c r="B10" s="47"/>
      <c r="C10" s="47"/>
      <c r="D10" s="47"/>
      <c r="E10" s="47"/>
      <c r="F10" s="47"/>
      <c r="G10" s="47"/>
      <c r="H10" s="47"/>
      <c r="I10" s="47"/>
      <c r="J10" s="47"/>
      <c r="K10" s="47"/>
      <c r="L10" s="47"/>
    </row>
    <row r="29" spans="2:10">
      <c r="B29" s="32" t="s">
        <v>190</v>
      </c>
      <c r="C29" s="32"/>
      <c r="D29" s="32"/>
      <c r="E29" s="32"/>
      <c r="F29" s="32"/>
      <c r="G29" s="32"/>
      <c r="H29" s="32"/>
      <c r="I29" s="32"/>
      <c r="J29" s="32"/>
    </row>
    <row r="30" spans="2:10" ht="32" customHeight="1">
      <c r="B30" s="48" t="s">
        <v>92</v>
      </c>
      <c r="C30" s="33" t="s">
        <v>191</v>
      </c>
      <c r="D30" s="33" t="s">
        <v>192</v>
      </c>
      <c r="E30" s="33" t="s">
        <v>193</v>
      </c>
      <c r="F30" s="33" t="s">
        <v>89</v>
      </c>
      <c r="G30" s="33" t="s">
        <v>93</v>
      </c>
      <c r="H30" s="33" t="s">
        <v>194</v>
      </c>
      <c r="I30" s="33" t="s">
        <v>195</v>
      </c>
      <c r="J30" s="33" t="s">
        <v>94</v>
      </c>
    </row>
    <row r="31" spans="2:10" ht="14" customHeight="1">
      <c r="B31" s="35"/>
      <c r="C31" s="35"/>
      <c r="D31" s="35"/>
      <c r="E31" s="35" t="str">
        <f>Currency&amp;"/year"</f>
        <v>USD/year</v>
      </c>
      <c r="F31" s="35"/>
      <c r="G31" s="35" t="str">
        <f>Currency</f>
        <v>USD</v>
      </c>
      <c r="H31" s="35"/>
      <c r="I31" s="35" t="s">
        <v>196</v>
      </c>
      <c r="J31" s="35" t="s">
        <v>197</v>
      </c>
    </row>
    <row r="32" spans="2:10">
      <c r="B32" s="49" t="s">
        <v>198</v>
      </c>
      <c r="C32" s="37">
        <f>COUNTIFS(tblItems[Class],$B$32)</f>
        <v>7</v>
      </c>
      <c r="D32" s="39">
        <f>IF((COUNTIFS(tblItems[Class],"A")+COUNTIFS(tblItems[Class],"B")+COUNTIFS(tblItems[Class],"C"))=0,"",(COUNTIFS(tblItems[Class],$B$32))/(COUNTIFS(tblItems[Class],"A")+COUNTIFS(tblItems[Class],"B")+COUNTIFS(tblItems[Class],"C")))</f>
        <v>0.175</v>
      </c>
      <c r="E32" s="37">
        <f>SUMIFS(tblItems[Annual usage value],tblItems[Class],$B$32)</f>
        <v>2089099</v>
      </c>
      <c r="F32" s="39">
        <f>IF((SUM(tblItems[Annual usage value]))=0,"",(SUMIFS(tblItems[Annual usage value],tblItems[Class],$B$32))/(SUM(tblItems[Annual usage value])))</f>
        <v>0.800088407685816</v>
      </c>
      <c r="G32" s="37">
        <f>SUMIFS(tblItems[Stock value],tblItems[Class],$B$32)</f>
        <v>166213.5</v>
      </c>
      <c r="H32" s="39">
        <f>IF((SUM(tblItems[Stock value]))=0,"",(SUMIFS(tblItems[Stock value],tblItems[Class],$B$32))/(SUM(tblItems[Stock value])))</f>
        <v>0.573152371664986</v>
      </c>
      <c r="I32" s="50">
        <f>IF((SUMIFS(tblItems[Stock value],tblItems[Class],$B$32))=0,"",(SUMIFS(tblItems[Annual usage value],tblItems[Class],$B$32))/(SUMIFS(tblItems[Stock value],tblItems[Class],$B$32)))</f>
        <v>12.5687684815012</v>
      </c>
      <c r="J32" s="37">
        <f>SUMIFS(tblItems[Counts per year],tblItems[Class],$B$32)</f>
        <v>84</v>
      </c>
    </row>
    <row r="33" spans="2:12">
      <c r="B33" s="49" t="s">
        <v>199</v>
      </c>
      <c r="C33" s="37">
        <f>COUNTIFS(tblItems[Class],$B$33)</f>
        <v>8</v>
      </c>
      <c r="D33" s="39">
        <f>IF((COUNTIFS(tblItems[Class],"A")+COUNTIFS(tblItems[Class],"B")+COUNTIFS(tblItems[Class],"C"))=0,"",(COUNTIFS(tblItems[Class],$B$33))/(COUNTIFS(tblItems[Class],"A")+COUNTIFS(tblItems[Class],"B")+COUNTIFS(tblItems[Class],"C")))</f>
        <v>0.2</v>
      </c>
      <c r="E33" s="37">
        <f>SUMIFS(tblItems[Annual usage value],tblItems[Class],$B$33)</f>
        <v>404501</v>
      </c>
      <c r="F33" s="39">
        <f>IF((SUM(tblItems[Annual usage value]))=0,"",(SUMIFS(tblItems[Annual usage value],tblItems[Class],$B$33))/(SUM(tblItems[Annual usage value])))</f>
        <v>0.154916813897915</v>
      </c>
      <c r="G33" s="37">
        <f>SUMIFS(tblItems[Stock value],tblItems[Class],$B$33)</f>
        <v>60644.5</v>
      </c>
      <c r="H33" s="39">
        <f>IF((SUM(tblItems[Stock value]))=0,"",(SUMIFS(tblItems[Stock value],tblItems[Class],$B$33))/(SUM(tblItems[Stock value])))</f>
        <v>0.209119830840679</v>
      </c>
      <c r="I33" s="50">
        <f>IF((SUMIFS(tblItems[Stock value],tblItems[Class],$B$33))=0,"",(SUMIFS(tblItems[Annual usage value],tblItems[Class],$B$33))/(SUMIFS(tblItems[Stock value],tblItems[Class],$B$33)))</f>
        <v>6.6700360296482</v>
      </c>
      <c r="J33" s="37">
        <f>SUMIFS(tblItems[Counts per year],tblItems[Class],$B$33)</f>
        <v>32</v>
      </c>
    </row>
    <row r="34" spans="2:12">
      <c r="B34" s="49" t="s">
        <v>200</v>
      </c>
      <c r="C34" s="37">
        <f>COUNTIFS(tblItems[Class],$B$34)</f>
        <v>25</v>
      </c>
      <c r="D34" s="39">
        <f>IF((COUNTIFS(tblItems[Class],"A")+COUNTIFS(tblItems[Class],"B")+COUNTIFS(tblItems[Class],"C"))=0,"",(COUNTIFS(tblItems[Class],$B$34))/(COUNTIFS(tblItems[Class],"A")+COUNTIFS(tblItems[Class],"B")+COUNTIFS(tblItems[Class],"C")))</f>
        <v>0.625</v>
      </c>
      <c r="E34" s="37">
        <f>SUMIFS(tblItems[Annual usage value],tblItems[Class],$B$34)</f>
        <v>117485.2</v>
      </c>
      <c r="F34" s="39">
        <f>IF((SUM(tblItems[Annual usage value]))=0,"",(SUMIFS(tblItems[Annual usage value],tblItems[Class],$B$34))/(SUM(tblItems[Annual usage value])))</f>
        <v>0.0449947784162692</v>
      </c>
      <c r="G34" s="37">
        <f>SUMIFS(tblItems[Stock value],tblItems[Class],$B$34)</f>
        <v>63140.8</v>
      </c>
      <c r="H34" s="39">
        <f>IF((SUM(tblItems[Stock value]))=0,"",(SUMIFS(tblItems[Stock value],tblItems[Class],$B$34))/(SUM(tblItems[Stock value])))</f>
        <v>0.217727797494334</v>
      </c>
      <c r="I34" s="50">
        <f>IF((SUMIFS(tblItems[Stock value],tblItems[Class],$B$34))=0,"",(SUMIFS(tblItems[Annual usage value],tblItems[Class],$B$34))/(SUMIFS(tblItems[Stock value],tblItems[Class],$B$34)))</f>
        <v>1.86068595899957</v>
      </c>
      <c r="J34" s="37">
        <f>SUMIFS(tblItems[Counts per year],tblItems[Class],$B$34)</f>
        <v>25</v>
      </c>
    </row>
    <row r="35" spans="2:12">
      <c r="B35" s="51" t="s">
        <v>201</v>
      </c>
      <c r="C35" s="52">
        <f>SUM($C$32:$C$34)</f>
        <v>40</v>
      </c>
      <c r="E35" s="52">
        <f>SUM($E$32:$E$34)</f>
        <v>2611085.2</v>
      </c>
      <c r="G35" s="52">
        <f>SUM($G$32:$G$34)</f>
        <v>289998.8</v>
      </c>
      <c r="J35" s="52">
        <f>SUM($J$32:$J$34)</f>
        <v>141</v>
      </c>
    </row>
    <row r="37" spans="2:12">
      <c r="B37" s="32" t="s">
        <v>202</v>
      </c>
      <c r="C37" s="32"/>
      <c r="D37" s="32"/>
      <c r="E37" s="32"/>
      <c r="F37" s="32"/>
      <c r="G37" s="32"/>
      <c r="H37" s="32"/>
      <c r="I37" s="32"/>
      <c r="J37" s="32"/>
      <c r="K37" s="32"/>
      <c r="L37" s="32"/>
    </row>
    <row r="38" spans="2:12" ht="32" customHeight="1">
      <c r="B38" s="48" t="s">
        <v>90</v>
      </c>
      <c r="C38" s="33" t="s">
        <v>83</v>
      </c>
      <c r="D38" s="33" t="s">
        <v>84</v>
      </c>
      <c r="E38" s="33"/>
      <c r="F38" s="33"/>
      <c r="G38" s="33" t="s">
        <v>60</v>
      </c>
      <c r="H38" s="33"/>
      <c r="I38" s="33" t="s">
        <v>193</v>
      </c>
      <c r="J38" s="33" t="s">
        <v>91</v>
      </c>
      <c r="K38" s="33" t="s">
        <v>92</v>
      </c>
      <c r="L38" s="33" t="s">
        <v>93</v>
      </c>
    </row>
    <row r="39" spans="2:12" ht="14" customHeight="1">
      <c r="B39" s="35"/>
      <c r="C39" s="35"/>
      <c r="D39" s="35"/>
      <c r="E39" s="35"/>
      <c r="F39" s="35"/>
      <c r="G39" s="35"/>
      <c r="H39" s="35"/>
      <c r="I39" s="35" t="str">
        <f>Currency&amp;"/year"</f>
        <v>USD/year</v>
      </c>
      <c r="J39" s="35"/>
      <c r="K39" s="35"/>
      <c r="L39" s="35" t="str">
        <f>Currency</f>
        <v>USD</v>
      </c>
    </row>
    <row r="40" spans="2:12">
      <c r="B40" s="49" t="s">
        <v>203</v>
      </c>
      <c r="C40" s="31" t="str">
        <f>IFERROR(INDEX(tblItems[Item],MATCH(1,tblItems[Rank],0)),"")</f>
        <v>CB-200</v>
      </c>
      <c r="D40" s="31" t="str">
        <f>IFERROR(INDEX(tblItems[Description],MATCH(1,tblItems[Rank],0)),"")</f>
        <v>Ball valve body casting, 2 in</v>
      </c>
      <c r="E40" s="31"/>
      <c r="F40" s="31"/>
      <c r="G40" s="31" t="str">
        <f>IFERROR(INDEX(tblItems[Category],MATCH(1,tblItems[Rank],0)),"")</f>
        <v>Castings</v>
      </c>
      <c r="H40" s="31"/>
      <c r="I40" s="37">
        <f>IFERROR(INDEX(tblItems[Annual usage value],MATCH(1,tblItems[Rank],0)),"")</f>
        <v>787320</v>
      </c>
      <c r="J40" s="39">
        <f>IFERROR(INDEX(tblItems[Cumulative share],MATCH(1,tblItems[Rank],0)),"")</f>
        <v>0.301529800712746</v>
      </c>
      <c r="K40" s="40" t="str">
        <f>IFERROR(INDEX(tblItems[Class],MATCH(1,tblItems[Rank],0)),"")</f>
        <v>A</v>
      </c>
      <c r="L40" s="37">
        <f>IFERROR(INDEX(tblItems[Stock value],MATCH(1,tblItems[Rank],0)),"")</f>
        <v>47142</v>
      </c>
    </row>
    <row r="41" spans="2:12">
      <c r="B41" s="49" t="s">
        <v>204</v>
      </c>
      <c r="C41" s="31" t="str">
        <f>IFERROR(INDEX(tblItems[Item],MATCH(2,tblItems[Rank],0)),"")</f>
        <v>CB-300</v>
      </c>
      <c r="D41" s="31" t="str">
        <f>IFERROR(INDEX(tblItems[Description],MATCH(2,tblItems[Rank],0)),"")</f>
        <v>Ball valve body casting, 3 in</v>
      </c>
      <c r="E41" s="31"/>
      <c r="F41" s="31"/>
      <c r="G41" s="31" t="str">
        <f>IFERROR(INDEX(tblItems[Category],MATCH(2,tblItems[Rank],0)),"")</f>
        <v>Castings</v>
      </c>
      <c r="H41" s="31"/>
      <c r="I41" s="37">
        <f>IFERROR(INDEX(tblItems[Annual usage value],MATCH(2,tblItems[Rank],0)),"")</f>
        <v>420768</v>
      </c>
      <c r="J41" s="39">
        <f>IFERROR(INDEX(tblItems[Cumulative share],MATCH(2,tblItems[Rank],0)),"")</f>
        <v>0.462676591326855</v>
      </c>
      <c r="K41" s="40" t="str">
        <f>IFERROR(INDEX(tblItems[Class],MATCH(2,tblItems[Rank],0)),"")</f>
        <v>A</v>
      </c>
      <c r="L41" s="37">
        <f>IFERROR(INDEX(tblItems[Stock value],MATCH(2,tblItems[Rank],0)),"")</f>
        <v>34128</v>
      </c>
    </row>
    <row r="42" spans="2:12">
      <c r="B42" s="49" t="s">
        <v>205</v>
      </c>
      <c r="C42" s="31" t="str">
        <f>IFERROR(INDEX(tblItems[Item],MATCH(3,tblItems[Rank],0)),"")</f>
        <v>PB-200</v>
      </c>
      <c r="D42" s="31" t="str">
        <f>IFERROR(INDEX(tblItems[Description],MATCH(3,tblItems[Rank],0)),"")</f>
        <v>Ball, 316 stainless, 2 in</v>
      </c>
      <c r="E42" s="31"/>
      <c r="F42" s="31"/>
      <c r="G42" s="31" t="str">
        <f>IFERROR(INDEX(tblItems[Category],MATCH(3,tblItems[Rank],0)),"")</f>
        <v>Purchased parts</v>
      </c>
      <c r="H42" s="31"/>
      <c r="I42" s="37">
        <f>IFERROR(INDEX(tblItems[Annual usage value],MATCH(3,tblItems[Rank],0)),"")</f>
        <v>228912</v>
      </c>
      <c r="J42" s="39">
        <f>IFERROR(INDEX(tblItems[Cumulative share],MATCH(3,tblItems[Rank],0)),"")</f>
        <v>0.55034588683663</v>
      </c>
      <c r="K42" s="40" t="str">
        <f>IFERROR(INDEX(tblItems[Class],MATCH(3,tblItems[Rank],0)),"")</f>
        <v>A</v>
      </c>
      <c r="L42" s="37">
        <f>IFERROR(INDEX(tblItems[Stock value],MATCH(3,tblItems[Rank],0)),"")</f>
        <v>22458</v>
      </c>
    </row>
    <row r="43" spans="2:12">
      <c r="B43" s="49" t="s">
        <v>206</v>
      </c>
      <c r="C43" s="31" t="str">
        <f>IFERROR(INDEX(tblItems[Item],MATCH(4,tblItems[Rank],0)),"")</f>
        <v>BS-316-50</v>
      </c>
      <c r="D43" s="31" t="str">
        <f>IFERROR(INDEX(tblItems[Description],MATCH(4,tblItems[Rank],0)),"")</f>
        <v>Stainless bar 316, 50 mm (per m)</v>
      </c>
      <c r="E43" s="31"/>
      <c r="F43" s="31"/>
      <c r="G43" s="31" t="str">
        <f>IFERROR(INDEX(tblItems[Category],MATCH(4,tblItems[Rank],0)),"")</f>
        <v>Bar stock</v>
      </c>
      <c r="H43" s="31"/>
      <c r="I43" s="37">
        <f>IFERROR(INDEX(tblItems[Annual usage value],MATCH(4,tblItems[Rank],0)),"")</f>
        <v>224775</v>
      </c>
      <c r="J43" s="39">
        <f>IFERROR(INDEX(tblItems[Cumulative share],MATCH(4,tblItems[Rank],0)),"")</f>
        <v>0.636430783645053</v>
      </c>
      <c r="K43" s="40" t="str">
        <f>IFERROR(INDEX(tblItems[Class],MATCH(4,tblItems[Rank],0)),"")</f>
        <v>A</v>
      </c>
      <c r="L43" s="37">
        <f>IFERROR(INDEX(tblItems[Stock value],MATCH(4,tblItems[Rank],0)),"")</f>
        <v>23587.5</v>
      </c>
    </row>
    <row r="44" spans="2:12">
      <c r="B44" s="49" t="s">
        <v>207</v>
      </c>
      <c r="C44" s="31" t="str">
        <f>IFERROR(INDEX(tblItems[Item],MATCH(5,tblItems[Rank],0)),"")</f>
        <v>CB-150</v>
      </c>
      <c r="D44" s="31" t="str">
        <f>IFERROR(INDEX(tblItems[Description],MATCH(5,tblItems[Rank],0)),"")</f>
        <v>Ball valve body casting, 1.5 in</v>
      </c>
      <c r="E44" s="31"/>
      <c r="F44" s="31"/>
      <c r="G44" s="31" t="str">
        <f>IFERROR(INDEX(tblItems[Category],MATCH(5,tblItems[Rank],0)),"")</f>
        <v>Castings</v>
      </c>
      <c r="H44" s="31"/>
      <c r="I44" s="37">
        <f>IFERROR(INDEX(tblItems[Annual usage value],MATCH(5,tblItems[Rank],0)),"")</f>
        <v>170664</v>
      </c>
      <c r="J44" s="39">
        <f>IFERROR(INDEX(tblItems[Cumulative share],MATCH(5,tblItems[Rank],0)),"")</f>
        <v>0.701792113103012</v>
      </c>
      <c r="K44" s="40" t="str">
        <f>IFERROR(INDEX(tblItems[Class],MATCH(5,tblItems[Rank],0)),"")</f>
        <v>A</v>
      </c>
      <c r="L44" s="37">
        <f>IFERROR(INDEX(tblItems[Stock value],MATCH(5,tblItems[Rank],0)),"")</f>
        <v>10608</v>
      </c>
    </row>
    <row r="45" spans="2:12">
      <c r="B45" s="49" t="s">
        <v>208</v>
      </c>
      <c r="C45" s="31" t="str">
        <f>IFERROR(INDEX(tblItems[Item],MATCH(6,tblItems[Rank],0)),"")</f>
        <v>CG-400</v>
      </c>
      <c r="D45" s="31" t="str">
        <f>IFERROR(INDEX(tblItems[Description],MATCH(6,tblItems[Rank],0)),"")</f>
        <v>Gate valve body casting, 4 in</v>
      </c>
      <c r="E45" s="31"/>
      <c r="F45" s="31"/>
      <c r="G45" s="31" t="str">
        <f>IFERROR(INDEX(tblItems[Category],MATCH(6,tblItems[Rank],0)),"")</f>
        <v>Castings</v>
      </c>
      <c r="H45" s="31"/>
      <c r="I45" s="37">
        <f>IFERROR(INDEX(tblItems[Annual usage value],MATCH(6,tblItems[Rank],0)),"")</f>
        <v>146260</v>
      </c>
      <c r="J45" s="39">
        <f>IFERROR(INDEX(tblItems[Cumulative share],MATCH(6,tblItems[Rank],0)),"")</f>
        <v>0.757807137047845</v>
      </c>
      <c r="K45" s="40" t="str">
        <f>IFERROR(INDEX(tblItems[Class],MATCH(6,tblItems[Rank],0)),"")</f>
        <v>A</v>
      </c>
      <c r="L45" s="37">
        <f>IFERROR(INDEX(tblItems[Stock value],MATCH(6,tblItems[Rank],0)),"")</f>
        <v>16330</v>
      </c>
    </row>
    <row r="46" spans="2:12">
      <c r="B46" s="49" t="s">
        <v>209</v>
      </c>
      <c r="C46" s="31" t="str">
        <f>IFERROR(INDEX(tblItems[Item],MATCH(7,tblItems[Rank],0)),"")</f>
        <v>PA-ACT-S</v>
      </c>
      <c r="D46" s="31" t="str">
        <f>IFERROR(INDEX(tblItems[Description],MATCH(7,tblItems[Rank],0)),"")</f>
        <v>Pneumatic actuator, small</v>
      </c>
      <c r="E46" s="31"/>
      <c r="F46" s="31"/>
      <c r="G46" s="31" t="str">
        <f>IFERROR(INDEX(tblItems[Category],MATCH(7,tblItems[Rank],0)),"")</f>
        <v>Purchased parts</v>
      </c>
      <c r="H46" s="31"/>
      <c r="I46" s="37">
        <f>IFERROR(INDEX(tblItems[Annual usage value],MATCH(7,tblItems[Rank],0)),"")</f>
        <v>110400</v>
      </c>
      <c r="J46" s="39">
        <f>IFERROR(INDEX(tblItems[Cumulative share],MATCH(7,tblItems[Rank],0)),"")</f>
        <v>0.800088407685816</v>
      </c>
      <c r="K46" s="40" t="str">
        <f>IFERROR(INDEX(tblItems[Class],MATCH(7,tblItems[Rank],0)),"")</f>
        <v>A</v>
      </c>
      <c r="L46" s="37">
        <f>IFERROR(INDEX(tblItems[Stock value],MATCH(7,tblItems[Rank],0)),"")</f>
        <v>11960</v>
      </c>
    </row>
    <row r="47" spans="2:12">
      <c r="B47" s="49" t="s">
        <v>210</v>
      </c>
      <c r="C47" s="31" t="str">
        <f>IFERROR(INDEX(tblItems[Item],MATCH(8,tblItems[Rank],0)),"")</f>
        <v>PB-300</v>
      </c>
      <c r="D47" s="31" t="str">
        <f>IFERROR(INDEX(tblItems[Description],MATCH(8,tblItems[Rank],0)),"")</f>
        <v>Ball, 316 stainless, 3 in</v>
      </c>
      <c r="E47" s="31"/>
      <c r="F47" s="31"/>
      <c r="G47" s="31" t="str">
        <f>IFERROR(INDEX(tblItems[Category],MATCH(8,tblItems[Rank],0)),"")</f>
        <v>Purchased parts</v>
      </c>
      <c r="H47" s="31"/>
      <c r="I47" s="37">
        <f>IFERROR(INDEX(tblItems[Annual usage value],MATCH(8,tblItems[Rank],0)),"")</f>
        <v>99600</v>
      </c>
      <c r="J47" s="39">
        <f>IFERROR(INDEX(tblItems[Cumulative share],MATCH(8,tblItems[Rank],0)),"")</f>
        <v>0.838233467065724</v>
      </c>
      <c r="K47" s="40" t="str">
        <f>IFERROR(INDEX(tblItems[Class],MATCH(8,tblItems[Rank],0)),"")</f>
        <v>B</v>
      </c>
      <c r="L47" s="37">
        <f>IFERROR(INDEX(tblItems[Stock value],MATCH(8,tblItems[Rank],0)),"")</f>
        <v>13695</v>
      </c>
    </row>
    <row r="48" spans="2:12">
      <c r="B48" s="49" t="s">
        <v>211</v>
      </c>
      <c r="C48" s="31" t="str">
        <f>IFERROR(INDEX(tblItems[Item],MATCH(9,tblItems[Rank],0)),"")</f>
        <v>BS-316-30</v>
      </c>
      <c r="D48" s="31" t="str">
        <f>IFERROR(INDEX(tblItems[Description],MATCH(9,tblItems[Rank],0)),"")</f>
        <v>Stainless bar 316, 30 mm (per m)</v>
      </c>
      <c r="E48" s="31"/>
      <c r="F48" s="31"/>
      <c r="G48" s="31" t="str">
        <f>IFERROR(INDEX(tblItems[Category],MATCH(9,tblItems[Rank],0)),"")</f>
        <v>Bar stock</v>
      </c>
      <c r="H48" s="31"/>
      <c r="I48" s="37">
        <f>IFERROR(INDEX(tblItems[Annual usage value],MATCH(9,tblItems[Rank],0)),"")</f>
        <v>66468</v>
      </c>
      <c r="J48" s="39">
        <f>IFERROR(INDEX(tblItems[Cumulative share],MATCH(9,tblItems[Rank],0)),"")</f>
        <v>0.863689549463955</v>
      </c>
      <c r="K48" s="40" t="str">
        <f>IFERROR(INDEX(tblItems[Class],MATCH(9,tblItems[Rank],0)),"")</f>
        <v>B</v>
      </c>
      <c r="L48" s="37">
        <f>IFERROR(INDEX(tblItems[Stock value],MATCH(9,tblItems[Rank],0)),"")</f>
        <v>8213</v>
      </c>
    </row>
    <row r="49" spans="2:12">
      <c r="B49" s="49" t="s">
        <v>212</v>
      </c>
      <c r="C49" s="31" t="str">
        <f>IFERROR(INDEX(tblItems[Item],MATCH(10,tblItems[Rank],0)),"")</f>
        <v>CG-600</v>
      </c>
      <c r="D49" s="31" t="str">
        <f>IFERROR(INDEX(tblItems[Description],MATCH(10,tblItems[Rank],0)),"")</f>
        <v>Gate valve body casting, 6 in</v>
      </c>
      <c r="E49" s="31"/>
      <c r="F49" s="31"/>
      <c r="G49" s="31" t="str">
        <f>IFERROR(INDEX(tblItems[Category],MATCH(10,tblItems[Rank],0)),"")</f>
        <v>Castings</v>
      </c>
      <c r="H49" s="31"/>
      <c r="I49" s="37">
        <f>IFERROR(INDEX(tblItems[Annual usage value],MATCH(10,tblItems[Rank],0)),"")</f>
        <v>53600</v>
      </c>
      <c r="J49" s="39">
        <f>IFERROR(INDEX(tblItems[Cumulative share],MATCH(10,tblItems[Rank],0)),"")</f>
        <v>0.884217412744709</v>
      </c>
      <c r="K49" s="40" t="str">
        <f>IFERROR(INDEX(tblItems[Class],MATCH(10,tblItems[Rank],0)),"")</f>
        <v>B</v>
      </c>
      <c r="L49" s="37">
        <f>IFERROR(INDEX(tblItems[Stock value],MATCH(10,tblItems[Rank],0)),"")</f>
        <v>10720</v>
      </c>
    </row>
    <row r="51" spans="2:12">
      <c r="B51" s="32" t="s">
        <v>213</v>
      </c>
      <c r="C51" s="32"/>
      <c r="D51" s="32"/>
      <c r="E51" s="32"/>
      <c r="F51" s="32"/>
    </row>
    <row r="52" spans="2:12" ht="32" customHeight="1">
      <c r="B52" s="48" t="s">
        <v>192</v>
      </c>
      <c r="C52" s="33" t="s">
        <v>214</v>
      </c>
      <c r="D52" s="33" t="s">
        <v>215</v>
      </c>
      <c r="E52" s="33" t="s">
        <v>216</v>
      </c>
      <c r="F52" s="33" t="s">
        <v>217</v>
      </c>
    </row>
    <row r="53" spans="2:12">
      <c r="B53" s="53">
        <v>0</v>
      </c>
      <c r="C53" s="37">
        <f>ROUNDUP(ROUND($B$53*(COUNTIFS(tblItems[Class],"A")+COUNTIFS(tblItems[Class],"B")+COUNTIFS(tblItems[Class],"C")),9),0)</f>
        <v>0</v>
      </c>
      <c r="D53" s="39">
        <f>IF((SUM(tblItems[Annual usage value]))=0,"",(SUMIFS(tblItems[Annual usage value],tblItems[Rank],"&lt;="&amp;$C$53))/(SUM(tblItems[Annual usage value])))</f>
        <v>0</v>
      </c>
      <c r="E53" s="54">
        <f>CutA</f>
        <v>0.8</v>
      </c>
      <c r="F53" s="54">
        <f>CutB</f>
        <v>0.95</v>
      </c>
    </row>
    <row r="54" spans="2:12">
      <c r="B54" s="53">
        <v>0.1</v>
      </c>
      <c r="C54" s="37">
        <f>ROUNDUP(ROUND($B$54*(COUNTIFS(tblItems[Class],"A")+COUNTIFS(tblItems[Class],"B")+COUNTIFS(tblItems[Class],"C")),9),0)</f>
        <v>4</v>
      </c>
      <c r="D54" s="39">
        <f>IF((SUM(tblItems[Annual usage value]))=0,"",(SUMIFS(tblItems[Annual usage value],tblItems[Rank],"&lt;="&amp;$C$54))/(SUM(tblItems[Annual usage value])))</f>
        <v>0.636430783645053</v>
      </c>
      <c r="E54" s="54">
        <f>CutA</f>
        <v>0.8</v>
      </c>
      <c r="F54" s="54">
        <f>CutB</f>
        <v>0.95</v>
      </c>
    </row>
    <row r="55" spans="2:12">
      <c r="B55" s="53">
        <v>0.2</v>
      </c>
      <c r="C55" s="37">
        <f>ROUNDUP(ROUND($B$55*(COUNTIFS(tblItems[Class],"A")+COUNTIFS(tblItems[Class],"B")+COUNTIFS(tblItems[Class],"C")),9),0)</f>
        <v>8</v>
      </c>
      <c r="D55" s="39">
        <f>IF((SUM(tblItems[Annual usage value]))=0,"",(SUMIFS(tblItems[Annual usage value],tblItems[Rank],"&lt;="&amp;$C$55))/(SUM(tblItems[Annual usage value])))</f>
        <v>0.838233467065724</v>
      </c>
      <c r="E55" s="54">
        <f>CutA</f>
        <v>0.8</v>
      </c>
      <c r="F55" s="54">
        <f>CutB</f>
        <v>0.95</v>
      </c>
    </row>
    <row r="56" spans="2:12">
      <c r="B56" s="53">
        <v>0.3</v>
      </c>
      <c r="C56" s="37">
        <f>ROUNDUP(ROUND($B$56*(COUNTIFS(tblItems[Class],"A")+COUNTIFS(tblItems[Class],"B")+COUNTIFS(tblItems[Class],"C")),9),0)</f>
        <v>12</v>
      </c>
      <c r="D56" s="39">
        <f>IF((SUM(tblItems[Annual usage value]))=0,"",(SUMIFS(tblItems[Annual usage value],tblItems[Rank],"&lt;="&amp;$C$56))/(SUM(tblItems[Annual usage value])))</f>
        <v>0.919971512227943</v>
      </c>
      <c r="E56" s="54">
        <f>CutA</f>
        <v>0.8</v>
      </c>
      <c r="F56" s="54">
        <f>CutB</f>
        <v>0.95</v>
      </c>
    </row>
    <row r="57" spans="2:12">
      <c r="B57" s="53">
        <v>0.4</v>
      </c>
      <c r="C57" s="37">
        <f>ROUNDUP(ROUND($B$57*(COUNTIFS(tblItems[Class],"A")+COUNTIFS(tblItems[Class],"B")+COUNTIFS(tblItems[Class],"C")),9),0)</f>
        <v>16</v>
      </c>
      <c r="D57" s="39">
        <f>IF((SUM(tblItems[Annual usage value]))=0,"",(SUMIFS(tblItems[Annual usage value],tblItems[Rank],"&lt;="&amp;$C$57))/(SUM(tblItems[Annual usage value])))</f>
        <v>0.964565997310237</v>
      </c>
      <c r="E57" s="54">
        <f>CutA</f>
        <v>0.8</v>
      </c>
      <c r="F57" s="54">
        <f>CutB</f>
        <v>0.95</v>
      </c>
    </row>
    <row r="58" spans="2:12">
      <c r="B58" s="53">
        <v>0.5</v>
      </c>
      <c r="C58" s="37">
        <f>ROUNDUP(ROUND($B$58*(COUNTIFS(tblItems[Class],"A")+COUNTIFS(tblItems[Class],"B")+COUNTIFS(tblItems[Class],"C")),9),0)</f>
        <v>20</v>
      </c>
      <c r="D58" s="39">
        <f>IF((SUM(tblItems[Annual usage value]))=0,"",(SUMIFS(tblItems[Annual usage value],tblItems[Rank],"&lt;="&amp;$C$58))/(SUM(tblItems[Annual usage value])))</f>
        <v>0.980576620019906</v>
      </c>
      <c r="E58" s="54">
        <f>CutA</f>
        <v>0.8</v>
      </c>
      <c r="F58" s="54">
        <f>CutB</f>
        <v>0.95</v>
      </c>
    </row>
    <row r="59" spans="2:12">
      <c r="B59" s="53">
        <v>0.6</v>
      </c>
      <c r="C59" s="37">
        <f>ROUNDUP(ROUND($B$59*(COUNTIFS(tblItems[Class],"A")+COUNTIFS(tblItems[Class],"B")+COUNTIFS(tblItems[Class],"C")),9),0)</f>
        <v>24</v>
      </c>
      <c r="D59" s="39">
        <f>IF((SUM(tblItems[Annual usage value]))=0,"",(SUMIFS(tblItems[Annual usage value],tblItems[Rank],"&lt;="&amp;$C$59))/(SUM(tblItems[Annual usage value])))</f>
        <v>0.990702677951681</v>
      </c>
      <c r="E59" s="54">
        <f>CutA</f>
        <v>0.8</v>
      </c>
      <c r="F59" s="54">
        <f>CutB</f>
        <v>0.95</v>
      </c>
    </row>
    <row r="60" spans="2:12">
      <c r="B60" s="53">
        <v>0.7</v>
      </c>
      <c r="C60" s="37">
        <f>ROUNDUP(ROUND($B$60*(COUNTIFS(tblItems[Class],"A")+COUNTIFS(tblItems[Class],"B")+COUNTIFS(tblItems[Class],"C")),9),0)</f>
        <v>28</v>
      </c>
      <c r="D60" s="39">
        <f>IF((SUM(tblItems[Annual usage value]))=0,"",(SUMIFS(tblItems[Annual usage value],tblItems[Rank],"&lt;="&amp;$C$60))/(SUM(tblItems[Annual usage value])))</f>
        <v>0.996389891835012</v>
      </c>
      <c r="E60" s="54">
        <f>CutA</f>
        <v>0.8</v>
      </c>
      <c r="F60" s="54">
        <f>CutB</f>
        <v>0.95</v>
      </c>
    </row>
    <row r="61" spans="2:12">
      <c r="B61" s="53">
        <v>0.8</v>
      </c>
      <c r="C61" s="37">
        <f>ROUNDUP(ROUND($B$61*(COUNTIFS(tblItems[Class],"A")+COUNTIFS(tblItems[Class],"B")+COUNTIFS(tblItems[Class],"C")),9),0)</f>
        <v>32</v>
      </c>
      <c r="D61" s="39">
        <f>IF((SUM(tblItems[Annual usage value]))=0,"",(SUMIFS(tblItems[Annual usage value],tblItems[Rank],"&lt;="&amp;$C$61))/(SUM(tblItems[Annual usage value])))</f>
        <v>0.998803179612829</v>
      </c>
      <c r="E61" s="54">
        <f>CutA</f>
        <v>0.8</v>
      </c>
      <c r="F61" s="54">
        <f>CutB</f>
        <v>0.95</v>
      </c>
    </row>
    <row r="62" spans="2:12">
      <c r="B62" s="53">
        <v>0.9</v>
      </c>
      <c r="C62" s="37">
        <f>ROUNDUP(ROUND($B$62*(COUNTIFS(tblItems[Class],"A")+COUNTIFS(tblItems[Class],"B")+COUNTIFS(tblItems[Class],"C")),9),0)</f>
        <v>36</v>
      </c>
      <c r="D62" s="39">
        <f>IF((SUM(tblItems[Annual usage value]))=0,"",(SUMIFS(tblItems[Annual usage value],tblItems[Rank],"&lt;="&amp;$C$62))/(SUM(tblItems[Annual usage value])))</f>
        <v>0.999723180231729</v>
      </c>
      <c r="E62" s="54">
        <f>CutA</f>
        <v>0.8</v>
      </c>
      <c r="F62" s="54">
        <f>CutB</f>
        <v>0.95</v>
      </c>
    </row>
    <row r="63" spans="2:12">
      <c r="B63" s="53">
        <v>1</v>
      </c>
      <c r="C63" s="37">
        <f>ROUNDUP(ROUND($B$63*(COUNTIFS(tblItems[Class],"A")+COUNTIFS(tblItems[Class],"B")+COUNTIFS(tblItems[Class],"C")),9),0)</f>
        <v>40</v>
      </c>
      <c r="D63" s="39">
        <f>IF((SUM(tblItems[Annual usage value]))=0,"",(SUMIFS(tblItems[Annual usage value],tblItems[Rank],"&lt;="&amp;$C$63))/(SUM(tblItems[Annual usage value])))</f>
        <v>1</v>
      </c>
      <c r="E63" s="54">
        <f>CutA</f>
        <v>0.8</v>
      </c>
      <c r="F63" s="54">
        <f>CutB</f>
        <v>0.95</v>
      </c>
    </row>
  </sheetData>
  <sheetProtection sheet="1" formatColumns="0" formatRows="0"/>
  <mergeCells count="47">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J29"/>
    <mergeCell ref="B37:L37"/>
    <mergeCell ref="D38:F38"/>
    <mergeCell ref="G38:H38"/>
    <mergeCell ref="D39:F39"/>
    <mergeCell ref="G39:H39"/>
    <mergeCell ref="D40:F40"/>
    <mergeCell ref="D41:F41"/>
    <mergeCell ref="D42:F42"/>
    <mergeCell ref="D43:F43"/>
    <mergeCell ref="D44:F44"/>
    <mergeCell ref="D45:F45"/>
    <mergeCell ref="D46:F46"/>
    <mergeCell ref="D47:F47"/>
    <mergeCell ref="D48:F48"/>
    <mergeCell ref="D49:F49"/>
    <mergeCell ref="G40:H40"/>
    <mergeCell ref="G41:H41"/>
    <mergeCell ref="G42:H42"/>
    <mergeCell ref="G43:H43"/>
    <mergeCell ref="G44:H44"/>
    <mergeCell ref="G45:H45"/>
    <mergeCell ref="G46:H46"/>
    <mergeCell ref="G47:H47"/>
    <mergeCell ref="G48:H48"/>
    <mergeCell ref="G49:H49"/>
    <mergeCell ref="B51:F51"/>
  </mergeCells>
  <hyperlinks>
    <hyperlink ref="K2" r:id="rId1" tooltip="Free manufacturing calculators and templates"/>
  </hyperlinks>
  <pageMargins left="0.4" right="0.4" top="0.7" bottom="0.65" header="0.3" footer="0.3"/>
  <pageSetup fitToHeight="0" orientation="landscape"/>
  <headerFooter>
    <oddHeader>&amp;L&amp;8MFG Calcs - ABC Inventory Analysis&amp;R&amp;8&amp;A</oddHeader>
    <oddFooter>&amp;L&amp;8mfgcalcs.com - free manufacturing templates&amp;R&amp;8Page &amp;P of &amp;N</oddFooter>
  </headerFooter>
  <rowBreaks count="2" manualBreakCount="2">
    <brk id="28" max="16383" man="1"/>
    <brk id="50"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218</v>
      </c>
      <c r="C4" s="8"/>
      <c r="D4" s="8"/>
    </row>
    <row r="5" spans="1:4" ht="5" customHeight="1"/>
    <row r="6" spans="1:4" ht="55.8" customHeight="1">
      <c r="B6" s="10" t="s">
        <v>219</v>
      </c>
      <c r="C6" s="10"/>
      <c r="D6" s="10"/>
    </row>
    <row r="8" spans="1:4" ht="21" customHeight="1">
      <c r="B8" s="8" t="s">
        <v>220</v>
      </c>
      <c r="C8" s="8"/>
      <c r="D8" s="8"/>
    </row>
    <row r="9" spans="1:4" ht="5" customHeight="1"/>
    <row r="10" spans="1:4" ht="20" customHeight="1">
      <c r="B10" s="48" t="s">
        <v>221</v>
      </c>
      <c r="C10" s="48" t="s">
        <v>222</v>
      </c>
      <c r="D10" s="33" t="s">
        <v>223</v>
      </c>
    </row>
    <row r="11" spans="1:4" ht="17.2" customHeight="1">
      <c r="B11" s="55" t="s">
        <v>88</v>
      </c>
      <c r="C11" s="56" t="s">
        <v>224</v>
      </c>
      <c r="D11" s="57" t="s">
        <v>225</v>
      </c>
    </row>
    <row r="12" spans="1:4" ht="17.2" customHeight="1">
      <c r="B12" s="55" t="s">
        <v>89</v>
      </c>
      <c r="C12" s="56" t="s">
        <v>226</v>
      </c>
      <c r="D12" s="57" t="s">
        <v>227</v>
      </c>
    </row>
    <row r="13" spans="1:4" ht="30.4" customHeight="1">
      <c r="B13" s="55" t="s">
        <v>90</v>
      </c>
      <c r="C13" s="56" t="s">
        <v>228</v>
      </c>
      <c r="D13" s="57" t="s">
        <v>229</v>
      </c>
    </row>
    <row r="14" spans="1:4" ht="30.4" customHeight="1">
      <c r="B14" s="55" t="s">
        <v>91</v>
      </c>
      <c r="C14" s="56" t="s">
        <v>230</v>
      </c>
      <c r="D14" s="57" t="s">
        <v>227</v>
      </c>
    </row>
    <row r="15" spans="1:4" ht="30.4" customHeight="1">
      <c r="B15" s="55" t="s">
        <v>92</v>
      </c>
      <c r="C15" s="56" t="s">
        <v>231</v>
      </c>
      <c r="D15" s="57" t="s">
        <v>232</v>
      </c>
    </row>
    <row r="16" spans="1:4" ht="17.2" customHeight="1">
      <c r="B16" s="55" t="s">
        <v>93</v>
      </c>
      <c r="C16" s="56" t="s">
        <v>233</v>
      </c>
      <c r="D16" s="57" t="s">
        <v>234</v>
      </c>
    </row>
    <row r="17" spans="2:4" ht="17.2" customHeight="1">
      <c r="B17" s="55" t="s">
        <v>94</v>
      </c>
      <c r="C17" s="56" t="s">
        <v>235</v>
      </c>
      <c r="D17" s="57" t="s">
        <v>197</v>
      </c>
    </row>
    <row r="18" spans="2:4" ht="30.4" customHeight="1">
      <c r="B18" s="55" t="s">
        <v>236</v>
      </c>
      <c r="C18" s="56" t="s">
        <v>237</v>
      </c>
      <c r="D18" s="57" t="s">
        <v>229</v>
      </c>
    </row>
    <row r="19" spans="2:4" ht="30.4" customHeight="1">
      <c r="B19" s="55" t="s">
        <v>238</v>
      </c>
      <c r="C19" s="56" t="s">
        <v>239</v>
      </c>
      <c r="D19" s="57" t="s">
        <v>227</v>
      </c>
    </row>
    <row r="20" spans="2:4" ht="17.2" customHeight="1">
      <c r="B20" s="55" t="s">
        <v>240</v>
      </c>
      <c r="C20" s="56" t="s">
        <v>241</v>
      </c>
      <c r="D20" s="57" t="s">
        <v>229</v>
      </c>
    </row>
    <row r="22" spans="2:4" ht="21" customHeight="1">
      <c r="B22" s="8" t="s">
        <v>242</v>
      </c>
      <c r="C22" s="8"/>
      <c r="D22" s="8"/>
    </row>
    <row r="23" spans="2:4" ht="5" customHeight="1"/>
    <row r="24" spans="2:4" ht="29.4" customHeight="1">
      <c r="B24" s="26" t="s">
        <v>53</v>
      </c>
      <c r="C24" s="10" t="s">
        <v>243</v>
      </c>
      <c r="D24" s="10"/>
    </row>
    <row r="25" spans="2:4" ht="16.2" customHeight="1">
      <c r="B25" s="26" t="s">
        <v>53</v>
      </c>
      <c r="C25" s="10" t="s">
        <v>244</v>
      </c>
      <c r="D25" s="10"/>
    </row>
    <row r="26" spans="2:4" ht="16.2" customHeight="1">
      <c r="B26" s="26" t="s">
        <v>53</v>
      </c>
      <c r="C26" s="10" t="s">
        <v>245</v>
      </c>
      <c r="D26" s="10"/>
    </row>
    <row r="27" spans="2:4" ht="16.2" customHeight="1">
      <c r="B27" s="26" t="s">
        <v>53</v>
      </c>
      <c r="C27" s="10" t="s">
        <v>246</v>
      </c>
      <c r="D27" s="10"/>
    </row>
    <row r="29" spans="2:4" ht="21" customHeight="1">
      <c r="B29" s="8" t="s">
        <v>247</v>
      </c>
      <c r="C29" s="8"/>
      <c r="D29" s="8"/>
    </row>
    <row r="30" spans="2:4" ht="5" customHeight="1"/>
    <row r="31" spans="2:4" ht="29.4" customHeight="1">
      <c r="B31" s="26" t="s">
        <v>53</v>
      </c>
      <c r="C31" s="10" t="s">
        <v>248</v>
      </c>
      <c r="D31" s="10"/>
    </row>
    <row r="32" spans="2:4" ht="29.4" customHeight="1">
      <c r="B32" s="26" t="s">
        <v>53</v>
      </c>
      <c r="C32" s="10" t="s">
        <v>249</v>
      </c>
      <c r="D32" s="10"/>
    </row>
    <row r="33" spans="2:4" ht="16.2" customHeight="1">
      <c r="B33" s="26" t="s">
        <v>53</v>
      </c>
      <c r="C33" s="10" t="s">
        <v>250</v>
      </c>
      <c r="D33" s="10"/>
    </row>
    <row r="34" spans="2:4" ht="16.2" customHeight="1">
      <c r="B34" s="26" t="s">
        <v>53</v>
      </c>
      <c r="C34" s="10" t="s">
        <v>251</v>
      </c>
      <c r="D34" s="10"/>
    </row>
    <row r="36" spans="2:4" ht="21" customHeight="1">
      <c r="B36" s="8" t="s">
        <v>252</v>
      </c>
      <c r="C36" s="8"/>
      <c r="D36" s="8"/>
    </row>
    <row r="37" spans="2:4" ht="5" customHeight="1"/>
    <row r="38" spans="2:4" ht="55.8" customHeight="1">
      <c r="B38" s="10" t="s">
        <v>253</v>
      </c>
      <c r="C38" s="10"/>
      <c r="D38" s="10"/>
    </row>
    <row r="39" spans="2:4">
      <c r="B39" s="24" t="s">
        <v>254</v>
      </c>
      <c r="C39" s="24"/>
      <c r="D39" s="24"/>
    </row>
    <row r="41" spans="2:4" ht="21" customHeight="1">
      <c r="B41" s="8" t="s">
        <v>40</v>
      </c>
      <c r="C41" s="8"/>
      <c r="D41" s="8"/>
    </row>
    <row r="42" spans="2:4" ht="5" customHeight="1"/>
    <row r="43" spans="2:4" ht="42.6" customHeight="1">
      <c r="B43" s="10" t="s">
        <v>255</v>
      </c>
      <c r="C43" s="10"/>
      <c r="D43" s="10"/>
    </row>
    <row r="45" spans="2:4" ht="21" customHeight="1">
      <c r="B45" s="8" t="s">
        <v>256</v>
      </c>
      <c r="C45" s="8"/>
      <c r="D45" s="8"/>
    </row>
    <row r="46" spans="2:4" ht="5" customHeight="1"/>
    <row r="47" spans="2:4" ht="29.4" customHeight="1">
      <c r="B47" s="26" t="s">
        <v>53</v>
      </c>
      <c r="C47" s="10" t="s">
        <v>257</v>
      </c>
      <c r="D47" s="10"/>
    </row>
    <row r="48" spans="2:4" ht="29.4" customHeight="1">
      <c r="B48" s="26" t="s">
        <v>53</v>
      </c>
      <c r="C48" s="10" t="s">
        <v>258</v>
      </c>
      <c r="D48" s="10"/>
    </row>
    <row r="49" spans="2:4" ht="29.4" customHeight="1">
      <c r="B49" s="26" t="s">
        <v>53</v>
      </c>
      <c r="C49" s="10" t="s">
        <v>259</v>
      </c>
      <c r="D49" s="10"/>
    </row>
    <row r="50" spans="2:4">
      <c r="B50" s="21" t="s">
        <v>260</v>
      </c>
      <c r="C50" s="21"/>
      <c r="D50" s="21"/>
    </row>
    <row r="52" spans="2:4" ht="21" customHeight="1">
      <c r="B52" s="8" t="s">
        <v>261</v>
      </c>
      <c r="C52" s="8"/>
      <c r="D52" s="8"/>
    </row>
    <row r="53" spans="2:4" ht="5" customHeight="1"/>
    <row r="54" spans="2:4">
      <c r="B54" s="48" t="s">
        <v>48</v>
      </c>
      <c r="C54" s="48" t="s">
        <v>262</v>
      </c>
      <c r="D54" s="33" t="s">
        <v>263</v>
      </c>
    </row>
    <row r="55" spans="2:4" ht="16.2" customHeight="1">
      <c r="B55" s="58" t="s">
        <v>264</v>
      </c>
      <c r="C55" s="59" t="s">
        <v>265</v>
      </c>
      <c r="D55" s="60" t="s">
        <v>266</v>
      </c>
    </row>
    <row r="57" spans="2:4">
      <c r="B57" s="21" t="s">
        <v>59</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B50:D50"/>
    <mergeCell ref="B52:D52"/>
    <mergeCell ref="B57:D57"/>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ABC Inventory Analysis&amp;R&amp;8&amp;A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P81"/>
  <sheetViews>
    <sheetView showGridLines="0" workbookViewId="0"/>
  </sheetViews>
  <sheetFormatPr defaultRowHeight="15"/>
  <cols>
    <col min="1" max="1" width="2.7109375" customWidth="1"/>
    <col min="2" max="19" width="12.7109375" customWidth="1"/>
  </cols>
  <sheetData>
    <row r="1" spans="1:16" ht="30" customHeight="1">
      <c r="A1" s="1" t="s">
        <v>0</v>
      </c>
      <c r="B1" s="1"/>
      <c r="C1" s="1"/>
      <c r="D1" s="1"/>
      <c r="E1" s="1"/>
      <c r="F1" s="1"/>
      <c r="G1" s="1"/>
      <c r="H1" s="1"/>
      <c r="I1" s="1"/>
      <c r="J1" s="1"/>
      <c r="K1" s="1"/>
      <c r="L1" s="1"/>
      <c r="M1" s="1"/>
      <c r="N1" s="1"/>
      <c r="O1" s="1"/>
      <c r="P1" s="1"/>
    </row>
    <row r="2" spans="1:16" ht="21" customHeight="1">
      <c r="B2" s="2" t="s">
        <v>26</v>
      </c>
      <c r="C2" s="2"/>
      <c r="D2" s="2"/>
      <c r="E2" s="2"/>
      <c r="F2" s="2"/>
      <c r="G2" s="2"/>
      <c r="H2" s="2"/>
      <c r="I2" s="2"/>
      <c r="J2" s="2"/>
      <c r="K2" s="2"/>
      <c r="L2" s="2"/>
      <c r="M2" s="2"/>
      <c r="N2" s="2"/>
      <c r="O2" s="2"/>
      <c r="P2" s="3" t="s">
        <v>2</v>
      </c>
    </row>
    <row r="3" spans="1:16" ht="6" customHeight="1"/>
    <row r="4" spans="1:16" ht="30" customHeight="1">
      <c r="B4" s="61" t="s">
        <v>267</v>
      </c>
      <c r="C4" s="61"/>
      <c r="D4" s="22" t="str">
        <f>IF(COUNTIF($K$11:$K$32,"PASS")=22,"PASS","FAIL")</f>
        <v>PASS</v>
      </c>
      <c r="E4" s="22"/>
      <c r="F4" s="23" t="str">
        <f>COUNTIF($K$11:$K$32,"PASS")&amp;" of 22 checks pass"</f>
        <v>22 of 22 checks pass</v>
      </c>
      <c r="G4" s="23"/>
      <c r="H4" s="23"/>
      <c r="I4" s="23"/>
      <c r="J4" s="23"/>
    </row>
    <row r="6" spans="1:16" ht="29.4" customHeight="1">
      <c r="B6" s="10" t="s">
        <v>268</v>
      </c>
      <c r="C6" s="10"/>
      <c r="D6" s="10"/>
      <c r="E6" s="10"/>
      <c r="F6" s="10"/>
      <c r="G6" s="10"/>
      <c r="H6" s="10"/>
      <c r="I6" s="10"/>
      <c r="J6" s="10"/>
      <c r="K6" s="10"/>
      <c r="L6" s="10"/>
    </row>
    <row r="8" spans="1:16" ht="21" customHeight="1">
      <c r="B8" s="8" t="s">
        <v>269</v>
      </c>
      <c r="C8" s="8"/>
      <c r="D8" s="8"/>
      <c r="E8" s="8"/>
      <c r="F8" s="8"/>
      <c r="G8" s="8"/>
      <c r="H8" s="8"/>
      <c r="I8" s="8"/>
      <c r="J8" s="8"/>
      <c r="K8" s="8"/>
      <c r="L8" s="8"/>
    </row>
    <row r="9" spans="1:16" ht="5" customHeight="1"/>
    <row r="10" spans="1:16" ht="30" customHeight="1">
      <c r="B10" s="33" t="s">
        <v>270</v>
      </c>
      <c r="C10" s="48" t="s">
        <v>95</v>
      </c>
      <c r="D10" s="48"/>
      <c r="E10" s="48"/>
      <c r="F10" s="48"/>
      <c r="G10" s="33" t="s">
        <v>271</v>
      </c>
      <c r="H10" s="33" t="s">
        <v>272</v>
      </c>
      <c r="I10" s="33" t="s">
        <v>273</v>
      </c>
      <c r="J10" s="33" t="s">
        <v>274</v>
      </c>
      <c r="K10" s="33" t="s">
        <v>275</v>
      </c>
    </row>
    <row r="11" spans="1:16" ht="16.2" customHeight="1">
      <c r="B11" s="62">
        <v>1</v>
      </c>
      <c r="C11" s="59" t="s">
        <v>276</v>
      </c>
      <c r="D11" s="59"/>
      <c r="E11" s="59"/>
      <c r="F11" s="59"/>
      <c r="G11" s="63">
        <v>4500</v>
      </c>
      <c r="H11" s="64">
        <f>$H$55</f>
        <v>4500</v>
      </c>
      <c r="I11" s="65">
        <f>IF(AND(ISNUMBER($G$11),ISNUMBER($H$11)),ABS($H$11-$G$11),"")</f>
        <v>0</v>
      </c>
      <c r="J11" s="66">
        <v>1E-09</v>
      </c>
      <c r="K11" s="40" t="str">
        <f>IF(AND(ISNUMBER($G$11),ISNUMBER($H$11)),IF(ABS($H$11-$G$11)&lt;=$J$11,"PASS","FAIL"),"FAIL")</f>
        <v>PASS</v>
      </c>
    </row>
    <row r="12" spans="1:16" ht="16.2" customHeight="1">
      <c r="B12" s="62">
        <v>2</v>
      </c>
      <c r="C12" s="59" t="s">
        <v>277</v>
      </c>
      <c r="D12" s="59"/>
      <c r="E12" s="59"/>
      <c r="F12" s="59"/>
      <c r="G12" s="67">
        <v>0.045</v>
      </c>
      <c r="H12" s="38">
        <f>$I$55</f>
        <v>0.045</v>
      </c>
      <c r="I12" s="65">
        <f>IF(AND(ISNUMBER($G$12),ISNUMBER($H$12)),ABS($H$12-$G$12),"")</f>
        <v>0</v>
      </c>
      <c r="J12" s="66">
        <v>1E-09</v>
      </c>
      <c r="K12" s="40" t="str">
        <f>IF(AND(ISNUMBER($G$12),ISNUMBER($H$12)),IF(ABS($H$12-$G$12)&lt;=$J$12,"PASS","FAIL"),"FAIL")</f>
        <v>PASS</v>
      </c>
    </row>
    <row r="13" spans="1:16" ht="16.2" customHeight="1">
      <c r="B13" s="62">
        <v>3</v>
      </c>
      <c r="C13" s="59" t="s">
        <v>278</v>
      </c>
      <c r="D13" s="59"/>
      <c r="E13" s="59"/>
      <c r="F13" s="59"/>
      <c r="G13" s="58" t="s">
        <v>198</v>
      </c>
      <c r="H13" s="31" t="str">
        <f>$L$52</f>
        <v>A</v>
      </c>
      <c r="I13" s="31"/>
      <c r="J13" s="60" t="s">
        <v>279</v>
      </c>
      <c r="K13" s="40" t="str">
        <f>IF($H$13&amp;""=$G$13&amp;"","PASS","FAIL")</f>
        <v>PASS</v>
      </c>
    </row>
    <row r="14" spans="1:16" ht="16.2" customHeight="1">
      <c r="B14" s="62">
        <v>4</v>
      </c>
      <c r="C14" s="59" t="s">
        <v>280</v>
      </c>
      <c r="D14" s="59"/>
      <c r="E14" s="59"/>
      <c r="F14" s="59"/>
      <c r="G14" s="67">
        <v>0.8100000000000001</v>
      </c>
      <c r="H14" s="38">
        <f>$K$53</f>
        <v>0.81</v>
      </c>
      <c r="I14" s="65">
        <f>IF(AND(ISNUMBER($G$14),ISNUMBER($H$14)),ABS($H$14-$G$14),"")</f>
        <v>0</v>
      </c>
      <c r="J14" s="66">
        <v>1E-09</v>
      </c>
      <c r="K14" s="40" t="str">
        <f>IF(AND(ISNUMBER($G$14),ISNUMBER($H$14)),IF(ABS($H$14-$G$14)&lt;=$J$14,"PASS","FAIL"),"FAIL")</f>
        <v>PASS</v>
      </c>
    </row>
    <row r="15" spans="1:16" ht="16.2" customHeight="1">
      <c r="B15" s="62">
        <v>5</v>
      </c>
      <c r="C15" s="59" t="s">
        <v>281</v>
      </c>
      <c r="D15" s="59"/>
      <c r="E15" s="59"/>
      <c r="F15" s="59"/>
      <c r="G15" s="58" t="s">
        <v>198</v>
      </c>
      <c r="H15" s="31" t="str">
        <f>$L$53</f>
        <v>A</v>
      </c>
      <c r="I15" s="31"/>
      <c r="J15" s="60" t="s">
        <v>279</v>
      </c>
      <c r="K15" s="40" t="str">
        <f>IF($H$15&amp;""=$G$15&amp;"","PASS","FAIL")</f>
        <v>PASS</v>
      </c>
    </row>
    <row r="16" spans="1:16" ht="16.2" customHeight="1">
      <c r="B16" s="62">
        <v>6</v>
      </c>
      <c r="C16" s="59" t="s">
        <v>282</v>
      </c>
      <c r="D16" s="59"/>
      <c r="E16" s="59"/>
      <c r="F16" s="59"/>
      <c r="G16" s="58" t="s">
        <v>199</v>
      </c>
      <c r="H16" s="31" t="str">
        <f>$L$54</f>
        <v>B</v>
      </c>
      <c r="I16" s="31"/>
      <c r="J16" s="60" t="s">
        <v>279</v>
      </c>
      <c r="K16" s="40" t="str">
        <f>IF($H$16&amp;""=$G$16&amp;"","PASS","FAIL")</f>
        <v>PASS</v>
      </c>
    </row>
    <row r="17" spans="2:11" ht="16.2" customHeight="1">
      <c r="B17" s="62">
        <v>7</v>
      </c>
      <c r="C17" s="59" t="s">
        <v>283</v>
      </c>
      <c r="D17" s="59"/>
      <c r="E17" s="59"/>
      <c r="F17" s="59"/>
      <c r="G17" s="68">
        <v>6</v>
      </c>
      <c r="H17" s="37">
        <f>$J$56</f>
        <v>6</v>
      </c>
      <c r="I17" s="65">
        <f>IF(AND(ISNUMBER($G$17),ISNUMBER($H$17)),ABS($H$17-$G$17),"")</f>
        <v>0</v>
      </c>
      <c r="J17" s="66">
        <v>1E-09</v>
      </c>
      <c r="K17" s="40" t="str">
        <f>IF(AND(ISNUMBER($G$17),ISNUMBER($H$17)),IF(ABS($H$17-$G$17)&lt;=$J$17,"PASS","FAIL"),"FAIL")</f>
        <v>PASS</v>
      </c>
    </row>
    <row r="18" spans="2:11" ht="16.2" customHeight="1">
      <c r="B18" s="62">
        <v>8</v>
      </c>
      <c r="C18" s="59" t="s">
        <v>284</v>
      </c>
      <c r="D18" s="59"/>
      <c r="E18" s="59"/>
      <c r="F18" s="59"/>
      <c r="G18" s="68">
        <v>5</v>
      </c>
      <c r="H18" s="37">
        <f>$J$57</f>
        <v>5</v>
      </c>
      <c r="I18" s="65">
        <f>IF(AND(ISNUMBER($G$18),ISNUMBER($H$18)),ABS($H$18-$G$18),"")</f>
        <v>0</v>
      </c>
      <c r="J18" s="66">
        <v>1E-09</v>
      </c>
      <c r="K18" s="40" t="str">
        <f>IF(AND(ISNUMBER($G$18),ISNUMBER($H$18)),IF(ABS($H$18-$G$18)&lt;=$J$18,"PASS","FAIL"),"FAIL")</f>
        <v>PASS</v>
      </c>
    </row>
    <row r="19" spans="2:11" ht="16.2" customHeight="1">
      <c r="B19" s="62">
        <v>9</v>
      </c>
      <c r="C19" s="59" t="s">
        <v>285</v>
      </c>
      <c r="D19" s="59"/>
      <c r="E19" s="59"/>
      <c r="F19" s="59"/>
      <c r="G19" s="58" t="s">
        <v>200</v>
      </c>
      <c r="H19" s="31" t="str">
        <f>$L$57</f>
        <v>C</v>
      </c>
      <c r="I19" s="31"/>
      <c r="J19" s="60" t="s">
        <v>279</v>
      </c>
      <c r="K19" s="40" t="str">
        <f>IF($H$19&amp;""=$G$19&amp;"","PASS","FAIL")</f>
        <v>PASS</v>
      </c>
    </row>
    <row r="20" spans="2:11" ht="16.2" customHeight="1">
      <c r="B20" s="62">
        <v>10</v>
      </c>
      <c r="C20" s="59" t="s">
        <v>286</v>
      </c>
      <c r="D20" s="59"/>
      <c r="E20" s="59"/>
      <c r="F20" s="59"/>
      <c r="G20" s="68">
        <v>7</v>
      </c>
      <c r="H20" s="37">
        <f>$J$58</f>
        <v>7</v>
      </c>
      <c r="I20" s="65">
        <f>IF(AND(ISNUMBER($G$20),ISNUMBER($H$20)),ABS($H$20-$G$20),"")</f>
        <v>0</v>
      </c>
      <c r="J20" s="66">
        <v>1E-09</v>
      </c>
      <c r="K20" s="40" t="str">
        <f>IF(AND(ISNUMBER($G$20),ISNUMBER($H$20)),IF(ABS($H$20-$G$20)&lt;=$J$20,"PASS","FAIL"),"FAIL")</f>
        <v>PASS</v>
      </c>
    </row>
    <row r="21" spans="2:11" ht="16.2" customHeight="1">
      <c r="B21" s="62">
        <v>11</v>
      </c>
      <c r="C21" s="59" t="s">
        <v>287</v>
      </c>
      <c r="D21" s="59"/>
      <c r="E21" s="59"/>
      <c r="F21" s="59"/>
      <c r="G21" s="68">
        <v>1</v>
      </c>
      <c r="H21" s="37">
        <f>$N$58</f>
        <v>1</v>
      </c>
      <c r="I21" s="65">
        <f>IF(AND(ISNUMBER($G$21),ISNUMBER($H$21)),ABS($H$21-$G$21),"")</f>
        <v>0</v>
      </c>
      <c r="J21" s="66">
        <v>1E-09</v>
      </c>
      <c r="K21" s="40" t="str">
        <f>IF(AND(ISNUMBER($G$21),ISNUMBER($H$21)),IF(ABS($H$21-$G$21)&lt;=$J$21,"PASS","FAIL"),"FAIL")</f>
        <v>PASS</v>
      </c>
    </row>
    <row r="22" spans="2:11" ht="16.2" customHeight="1">
      <c r="B22" s="62">
        <v>12</v>
      </c>
      <c r="C22" s="59" t="s">
        <v>288</v>
      </c>
      <c r="D22" s="59"/>
      <c r="E22" s="59"/>
      <c r="F22" s="59"/>
      <c r="G22" s="63">
        <v>1500</v>
      </c>
      <c r="H22" s="64">
        <f>$M$54</f>
        <v>1500</v>
      </c>
      <c r="I22" s="65">
        <f>IF(AND(ISNUMBER($G$22),ISNUMBER($H$22)),ABS($H$22-$G$22),"")</f>
        <v>0</v>
      </c>
      <c r="J22" s="66">
        <v>1E-09</v>
      </c>
      <c r="K22" s="40" t="str">
        <f>IF(AND(ISNUMBER($G$22),ISNUMBER($H$22)),IF(ABS($H$22-$G$22)&lt;=$J$22,"PASS","FAIL"),"FAIL")</f>
        <v>PASS</v>
      </c>
    </row>
    <row r="23" spans="2:11" ht="16.2" customHeight="1">
      <c r="B23" s="62">
        <v>13</v>
      </c>
      <c r="C23" s="59" t="s">
        <v>289</v>
      </c>
      <c r="D23" s="59"/>
      <c r="E23" s="59"/>
      <c r="F23" s="59"/>
      <c r="G23" s="58" t="s">
        <v>290</v>
      </c>
      <c r="H23" s="31" t="str">
        <f>$O$59</f>
        <v>Category not on Setup list</v>
      </c>
      <c r="I23" s="31"/>
      <c r="J23" s="60" t="s">
        <v>279</v>
      </c>
      <c r="K23" s="40" t="str">
        <f>IF($H$23&amp;""=$G$23&amp;"","PASS","FAIL")</f>
        <v>PASS</v>
      </c>
    </row>
    <row r="24" spans="2:11" ht="16.2" customHeight="1">
      <c r="B24" s="62">
        <v>14</v>
      </c>
      <c r="C24" s="59" t="s">
        <v>291</v>
      </c>
      <c r="D24" s="59"/>
      <c r="E24" s="59"/>
      <c r="F24" s="59"/>
      <c r="G24" s="67">
        <v>0.8100000000000001</v>
      </c>
      <c r="H24" s="38">
        <f>IF((SUM(tblVerifyItems[Annual usage value]))=0,"",(SUMIFS(tblVerifyItems[Annual usage value],tblVerifyItems[Class],"A"))/(SUM(tblVerifyItems[Annual usage value])))</f>
        <v>0.81</v>
      </c>
      <c r="I24" s="65">
        <f>IF(AND(ISNUMBER($G$24),ISNUMBER($H$24)),ABS($H$24-$G$24),"")</f>
        <v>0</v>
      </c>
      <c r="J24" s="66">
        <v>1E-09</v>
      </c>
      <c r="K24" s="40" t="str">
        <f>IF(AND(ISNUMBER($G$24),ISNUMBER($H$24)),IF(ABS($H$24-$G$24)&lt;=$J$24,"PASS","FAIL"),"FAIL")</f>
        <v>PASS</v>
      </c>
    </row>
    <row r="25" spans="2:11" ht="16.2" customHeight="1">
      <c r="B25" s="62">
        <v>15</v>
      </c>
      <c r="C25" s="59" t="s">
        <v>292</v>
      </c>
      <c r="D25" s="59"/>
      <c r="E25" s="59"/>
      <c r="F25" s="59"/>
      <c r="G25" s="67">
        <v>0.25</v>
      </c>
      <c r="H25" s="38">
        <f>IF((COUNTIFS(tblVerifyItems[Class],"A")+COUNTIFS(tblVerifyItems[Class],"B")+COUNTIFS(tblVerifyItems[Class],"C"))=0,"",(COUNTIFS(tblVerifyItems[Class],"A"))/(COUNTIFS(tblVerifyItems[Class],"A")+COUNTIFS(tblVerifyItems[Class],"B")+COUNTIFS(tblVerifyItems[Class],"C")))</f>
        <v>0.25</v>
      </c>
      <c r="I25" s="65">
        <f>IF(AND(ISNUMBER($G$25),ISNUMBER($H$25)),ABS($H$25-$G$25),"")</f>
        <v>0</v>
      </c>
      <c r="J25" s="66">
        <v>1E-09</v>
      </c>
      <c r="K25" s="40" t="str">
        <f>IF(AND(ISNUMBER($G$25),ISNUMBER($H$25)),IF(ABS($H$25-$G$25)&lt;=$J$25,"PASS","FAIL"),"FAIL")</f>
        <v>PASS</v>
      </c>
    </row>
    <row r="26" spans="2:11" ht="16.2" customHeight="1">
      <c r="B26" s="62">
        <v>16</v>
      </c>
      <c r="C26" s="59" t="s">
        <v>293</v>
      </c>
      <c r="D26" s="59"/>
      <c r="E26" s="59"/>
      <c r="F26" s="59"/>
      <c r="G26" s="67">
        <v>0.1869983948635634</v>
      </c>
      <c r="H26" s="38">
        <f>IF((SUM(tblVerifyItems[Stock value]))=0,"",(SUMIFS(tblVerifyItems[Stock value],tblVerifyItems[Class],"C"))/(SUM(tblVerifyItems[Stock value])))</f>
        <v>0.186998394863563</v>
      </c>
      <c r="I26" s="65">
        <f>IF(AND(ISNUMBER($G$26),ISNUMBER($H$26)),ABS($H$26-$G$26),"")</f>
        <v>0</v>
      </c>
      <c r="J26" s="66">
        <v>1E-09</v>
      </c>
      <c r="K26" s="40" t="str">
        <f>IF(AND(ISNUMBER($G$26),ISNUMBER($H$26)),IF(ABS($H$26-$G$26)&lt;=$J$26,"PASS","FAIL"),"FAIL")</f>
        <v>PASS</v>
      </c>
    </row>
    <row r="27" spans="2:11" ht="16.2" customHeight="1">
      <c r="B27" s="62">
        <v>17</v>
      </c>
      <c r="C27" s="59" t="s">
        <v>294</v>
      </c>
      <c r="D27" s="59"/>
      <c r="E27" s="59"/>
      <c r="F27" s="59"/>
      <c r="G27" s="63">
        <v>15000</v>
      </c>
      <c r="H27" s="64">
        <f>$E$65</f>
        <v>15000</v>
      </c>
      <c r="I27" s="65">
        <f>IF(AND(ISNUMBER($G$27),ISNUMBER($H$27)),ABS($H$27-$G$27),"")</f>
        <v>0</v>
      </c>
      <c r="J27" s="66">
        <v>1E-09</v>
      </c>
      <c r="K27" s="40" t="str">
        <f>IF(AND(ISNUMBER($G$27),ISNUMBER($H$27)),IF(ABS($H$27-$G$27)&lt;=$J$27,"PASS","FAIL"),"FAIL")</f>
        <v>PASS</v>
      </c>
    </row>
    <row r="28" spans="2:11" ht="16.2" customHeight="1">
      <c r="B28" s="62">
        <v>18</v>
      </c>
      <c r="C28" s="59" t="s">
        <v>295</v>
      </c>
      <c r="D28" s="59"/>
      <c r="E28" s="59"/>
      <c r="F28" s="59"/>
      <c r="G28" s="63">
        <v>1.716738197424893</v>
      </c>
      <c r="H28" s="64">
        <f>$I$66</f>
        <v>1.71673819742489</v>
      </c>
      <c r="I28" s="65">
        <f>IF(AND(ISNUMBER($G$28),ISNUMBER($H$28)),ABS($H$28-$G$28),"")</f>
        <v>0</v>
      </c>
      <c r="J28" s="66">
        <v>1E-09</v>
      </c>
      <c r="K28" s="40" t="str">
        <f>IF(AND(ISNUMBER($G$28),ISNUMBER($H$28)),IF(ABS($H$28-$G$28)&lt;=$J$28,"PASS","FAIL"),"FAIL")</f>
        <v>PASS</v>
      </c>
    </row>
    <row r="29" spans="2:11" ht="16.2" customHeight="1">
      <c r="B29" s="62">
        <v>19</v>
      </c>
      <c r="C29" s="59" t="s">
        <v>296</v>
      </c>
      <c r="D29" s="59"/>
      <c r="E29" s="59"/>
      <c r="F29" s="59"/>
      <c r="G29" s="68">
        <v>24</v>
      </c>
      <c r="H29" s="37">
        <f>$J$64</f>
        <v>24</v>
      </c>
      <c r="I29" s="65">
        <f>IF(AND(ISNUMBER($G$29),ISNUMBER($H$29)),ABS($H$29-$G$29),"")</f>
        <v>0</v>
      </c>
      <c r="J29" s="66">
        <v>1E-09</v>
      </c>
      <c r="K29" s="40" t="str">
        <f>IF(AND(ISNUMBER($G$29),ISNUMBER($H$29)),IF(ABS($H$29-$G$29)&lt;=$J$29,"PASS","FAIL"),"FAIL")</f>
        <v>PASS</v>
      </c>
    </row>
    <row r="30" spans="2:11" ht="16.2" customHeight="1">
      <c r="B30" s="62">
        <v>20</v>
      </c>
      <c r="C30" s="59" t="s">
        <v>297</v>
      </c>
      <c r="D30" s="59"/>
      <c r="E30" s="59"/>
      <c r="F30" s="59"/>
      <c r="G30" s="67">
        <v>0.915</v>
      </c>
      <c r="H30" s="38">
        <f>$D$74</f>
        <v>0.915</v>
      </c>
      <c r="I30" s="65">
        <f>IF(AND(ISNUMBER($G$30),ISNUMBER($H$30)),ABS($H$30-$G$30),"")</f>
        <v>0</v>
      </c>
      <c r="J30" s="66">
        <v>1E-09</v>
      </c>
      <c r="K30" s="40" t="str">
        <f>IF(AND(ISNUMBER($G$30),ISNUMBER($H$30)),IF(ABS($H$30-$G$30)&lt;=$J$30,"PASS","FAIL"),"FAIL")</f>
        <v>PASS</v>
      </c>
    </row>
    <row r="31" spans="2:11" ht="16.2" customHeight="1">
      <c r="B31" s="62">
        <v>21</v>
      </c>
      <c r="C31" s="59" t="s">
        <v>298</v>
      </c>
      <c r="D31" s="59"/>
      <c r="E31" s="59"/>
      <c r="F31" s="59"/>
      <c r="G31" s="67">
        <v>0.96</v>
      </c>
      <c r="H31" s="38">
        <f>$D$76</f>
        <v>0.96</v>
      </c>
      <c r="I31" s="65">
        <f>IF(AND(ISNUMBER($G$31),ISNUMBER($H$31)),ABS($H$31-$G$31),"")</f>
        <v>0</v>
      </c>
      <c r="J31" s="66">
        <v>1E-09</v>
      </c>
      <c r="K31" s="40" t="str">
        <f>IF(AND(ISNUMBER($G$31),ISNUMBER($H$31)),IF(ABS($H$31-$G$31)&lt;=$J$31,"PASS","FAIL"),"FAIL")</f>
        <v>PASS</v>
      </c>
    </row>
    <row r="32" spans="2:11" ht="16.2" customHeight="1">
      <c r="B32" s="62">
        <v>22</v>
      </c>
      <c r="C32" s="59" t="s">
        <v>299</v>
      </c>
      <c r="D32" s="59"/>
      <c r="E32" s="59"/>
      <c r="F32" s="59"/>
      <c r="G32" s="67">
        <v>0</v>
      </c>
      <c r="H32" s="38">
        <f>$D$71</f>
        <v>0</v>
      </c>
      <c r="I32" s="65">
        <f>IF(AND(ISNUMBER($G$32),ISNUMBER($H$32)),ABS($H$32-$G$32),"")</f>
        <v>0</v>
      </c>
      <c r="J32" s="66">
        <v>1E-09</v>
      </c>
      <c r="K32" s="40" t="str">
        <f>IF(AND(ISNUMBER($G$32),ISNUMBER($H$32)),IF(ABS($H$32-$G$32)&lt;=$J$32,"PASS","FAIL"),"FAIL")</f>
        <v>PASS</v>
      </c>
    </row>
    <row r="34" spans="2:12" ht="21" customHeight="1">
      <c r="B34" s="8" t="s">
        <v>300</v>
      </c>
      <c r="C34" s="8"/>
      <c r="D34" s="8"/>
      <c r="E34" s="8"/>
      <c r="F34" s="8"/>
      <c r="G34" s="8"/>
      <c r="H34" s="8"/>
      <c r="I34" s="8"/>
      <c r="J34" s="8"/>
      <c r="K34" s="8"/>
      <c r="L34" s="8"/>
    </row>
    <row r="35" spans="2:12" ht="5" customHeight="1"/>
    <row r="36" spans="2:12">
      <c r="B36" s="21" t="s">
        <v>301</v>
      </c>
      <c r="C36" s="21"/>
      <c r="D36" s="21"/>
      <c r="E36" s="21"/>
      <c r="F36" s="21"/>
      <c r="G36" s="21"/>
      <c r="H36" s="21"/>
      <c r="I36" s="21"/>
      <c r="J36" s="21"/>
      <c r="K36" s="21"/>
      <c r="L36" s="21"/>
    </row>
    <row r="37" spans="2:12">
      <c r="B37" s="32" t="s">
        <v>302</v>
      </c>
      <c r="C37" s="32"/>
      <c r="D37" s="32"/>
      <c r="E37" s="32"/>
      <c r="F37" s="32"/>
    </row>
    <row r="38" spans="2:12">
      <c r="B38" s="27" t="s">
        <v>303</v>
      </c>
      <c r="C38" s="27"/>
      <c r="D38" s="27"/>
      <c r="E38" s="54">
        <v>0.8</v>
      </c>
      <c r="F38" s="7"/>
    </row>
    <row r="39" spans="2:12">
      <c r="B39" s="27" t="s">
        <v>304</v>
      </c>
      <c r="C39" s="27"/>
      <c r="D39" s="27"/>
      <c r="E39" s="54">
        <v>0.95</v>
      </c>
      <c r="F39" s="7"/>
    </row>
    <row r="40" spans="2:12">
      <c r="B40" s="27" t="s">
        <v>305</v>
      </c>
      <c r="C40" s="27"/>
      <c r="D40" s="27"/>
      <c r="E40" s="68">
        <v>12</v>
      </c>
      <c r="F40" s="7"/>
    </row>
    <row r="41" spans="2:12">
      <c r="B41" s="27" t="s">
        <v>306</v>
      </c>
      <c r="C41" s="27"/>
      <c r="D41" s="27"/>
      <c r="E41" s="68">
        <v>4</v>
      </c>
      <c r="F41" s="7"/>
    </row>
    <row r="42" spans="2:12">
      <c r="B42" s="27" t="s">
        <v>307</v>
      </c>
      <c r="C42" s="27"/>
      <c r="D42" s="27"/>
      <c r="E42" s="68">
        <v>1</v>
      </c>
      <c r="F42" s="7"/>
    </row>
    <row r="44" spans="2:12">
      <c r="B44" s="32" t="s">
        <v>308</v>
      </c>
      <c r="C44" s="32"/>
      <c r="D44" s="32"/>
      <c r="E44" s="32"/>
      <c r="F44" s="32"/>
      <c r="G44" s="32"/>
      <c r="H44" s="32"/>
      <c r="I44" s="32"/>
      <c r="J44" s="32"/>
      <c r="K44" s="32"/>
      <c r="L44" s="32"/>
    </row>
    <row r="45" spans="2:12" ht="20" customHeight="1">
      <c r="B45" s="33" t="s">
        <v>60</v>
      </c>
    </row>
    <row r="46" spans="2:12">
      <c r="B46" s="58" t="s">
        <v>76</v>
      </c>
    </row>
    <row r="47" spans="2:12">
      <c r="B47" s="58" t="s">
        <v>78</v>
      </c>
    </row>
    <row r="49" spans="2:16">
      <c r="B49" s="32" t="s">
        <v>309</v>
      </c>
      <c r="C49" s="32"/>
      <c r="D49" s="32"/>
      <c r="E49" s="32"/>
      <c r="F49" s="32"/>
      <c r="G49" s="32"/>
      <c r="H49" s="32"/>
      <c r="I49" s="32"/>
      <c r="J49" s="32"/>
      <c r="K49" s="32"/>
      <c r="L49" s="32"/>
    </row>
    <row r="50" spans="2:16" ht="14" customHeight="1">
      <c r="B50" s="35"/>
      <c r="C50" s="35"/>
      <c r="D50" s="35"/>
      <c r="E50" s="35"/>
      <c r="F50" s="35" t="str">
        <f>Currency&amp;"/unit"</f>
        <v>USD/unit</v>
      </c>
      <c r="G50" s="35"/>
      <c r="H50" s="35" t="str">
        <f>Currency&amp;"/year"</f>
        <v>USD/year</v>
      </c>
      <c r="I50" s="35"/>
      <c r="J50" s="35"/>
      <c r="K50" s="35"/>
      <c r="L50" s="35"/>
      <c r="M50" s="35" t="str">
        <f>Currency</f>
        <v>USD</v>
      </c>
      <c r="N50" s="35"/>
      <c r="O50" s="35"/>
      <c r="P50" s="35"/>
    </row>
    <row r="51" spans="2:16" ht="32" customHeight="1">
      <c r="B51" s="33" t="s">
        <v>83</v>
      </c>
      <c r="C51" s="33" t="s">
        <v>84</v>
      </c>
      <c r="D51" s="33" t="s">
        <v>60</v>
      </c>
      <c r="E51" s="33" t="s">
        <v>85</v>
      </c>
      <c r="F51" s="33" t="s">
        <v>86</v>
      </c>
      <c r="G51" s="33" t="s">
        <v>87</v>
      </c>
      <c r="H51" s="33" t="s">
        <v>88</v>
      </c>
      <c r="I51" s="33" t="s">
        <v>89</v>
      </c>
      <c r="J51" s="33" t="s">
        <v>90</v>
      </c>
      <c r="K51" s="33" t="s">
        <v>91</v>
      </c>
      <c r="L51" s="33" t="s">
        <v>92</v>
      </c>
      <c r="M51" s="33" t="s">
        <v>93</v>
      </c>
      <c r="N51" s="33" t="s">
        <v>94</v>
      </c>
      <c r="O51" s="33" t="s">
        <v>95</v>
      </c>
      <c r="P51" s="33" t="s">
        <v>96</v>
      </c>
    </row>
    <row r="52" spans="2:16">
      <c r="B52" s="58" t="s">
        <v>310</v>
      </c>
      <c r="C52" s="58" t="s">
        <v>311</v>
      </c>
      <c r="D52" s="58" t="s">
        <v>76</v>
      </c>
      <c r="E52" s="68">
        <v>1000</v>
      </c>
      <c r="F52" s="63">
        <v>61</v>
      </c>
      <c r="G52" s="68">
        <v>80</v>
      </c>
      <c r="H52" s="37">
        <f>IF(tblVerifyItems[[#This Row],[Item]]="","",tblVerifyItems[[#This Row],[Annual usage (units)]]*tblVerifyItems[[#This Row],[Unit cost]])</f>
        <v>61000</v>
      </c>
      <c r="I52" s="38">
        <f>IF(tblVerifyItems[[#This Row],[Item]]="","",IF((SUM(tblVerifyItems[Annual usage value]))=0,"",(tblVerifyItems[[#This Row],[Annual usage value]])/(SUM(tblVerifyItems[Annual usage value]))))</f>
        <v>0.61</v>
      </c>
      <c r="J52" s="37">
        <f>IF(tblVerifyItems[[#This Row],[Item]]="","",RANK(tblVerifyItems[[#This Row],[Annual usage value]],tblVerifyItems[Annual usage value],0)+COUNTIFS(tblVerifyItems[Annual usage value],tblVerifyItems[[#This Row],[Annual usage value]],tblVerifyItems[Item],"&lt;"&amp;tblVerifyItems[[#This Row],[Item]]))</f>
        <v>1</v>
      </c>
      <c r="K52" s="39">
        <f>IF(tblVerifyItems[[#This Row],[Item]]="","",IF((SUM(tblVerifyItems[Annual usage value]))=0,"",(SUMIFS(tblVerifyItems[Annual usage value],tblVerifyItems[Rank],"&lt;="&amp;tblVerifyItems[[#This Row],[Rank]]))/(SUM(tblVerifyItems[Annual usage value]))))</f>
        <v>0.61</v>
      </c>
      <c r="L52" s="40" t="str">
        <f>IF(tblVerifyItems[[#This Row],[Item]]="","",IF(tblVerifyItems[[#This Row],[Cumulative share]]="","",IF(tblVerifyItems[[#This Row],[Cumulative share]]-tblVerifyItems[[#This Row],[Share of usage value]]&lt;$E$38,"A",IF(tblVerifyItems[[#This Row],[Cumulative share]]-tblVerifyItems[[#This Row],[Share of usage value]]&lt;$E$39,"B","C"))))</f>
        <v>A</v>
      </c>
      <c r="M52" s="37">
        <f>IF(tblVerifyItems[[#This Row],[Item]]="","",tblVerifyItems[[#This Row],[On hand (units)]]*tblVerifyItems[[#This Row],[Unit cost]])</f>
        <v>4880</v>
      </c>
      <c r="N52" s="37">
        <f>IF(tblVerifyItems[[#This Row],[Item]]="","",IF(tblVerifyItems[[#This Row],[Class]]="A",$E$40,IF(tblVerifyItems[[#This Row],[Class]]="B",$E$41,IF(tblVerifyItems[[#This Row],[Class]]="C",$E$42,""))))</f>
        <v>12</v>
      </c>
      <c r="O52"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2" s="58" t="s">
        <v>100</v>
      </c>
    </row>
    <row r="53" spans="2:16">
      <c r="B53" s="58" t="s">
        <v>312</v>
      </c>
      <c r="C53" s="58" t="s">
        <v>313</v>
      </c>
      <c r="D53" s="58" t="s">
        <v>76</v>
      </c>
      <c r="E53" s="68">
        <v>500</v>
      </c>
      <c r="F53" s="63">
        <v>40</v>
      </c>
      <c r="G53" s="68">
        <v>60</v>
      </c>
      <c r="H53" s="37">
        <f>IF(tblVerifyItems[[#This Row],[Item]]="","",tblVerifyItems[[#This Row],[Annual usage (units)]]*tblVerifyItems[[#This Row],[Unit cost]])</f>
        <v>20000</v>
      </c>
      <c r="I53" s="38">
        <f>IF(tblVerifyItems[[#This Row],[Item]]="","",IF((SUM(tblVerifyItems[Annual usage value]))=0,"",(tblVerifyItems[[#This Row],[Annual usage value]])/(SUM(tblVerifyItems[Annual usage value]))))</f>
        <v>0.2</v>
      </c>
      <c r="J53" s="37">
        <f>IF(tblVerifyItems[[#This Row],[Item]]="","",RANK(tblVerifyItems[[#This Row],[Annual usage value]],tblVerifyItems[Annual usage value],0)+COUNTIFS(tblVerifyItems[Annual usage value],tblVerifyItems[[#This Row],[Annual usage value]],tblVerifyItems[Item],"&lt;"&amp;tblVerifyItems[[#This Row],[Item]]))</f>
        <v>2</v>
      </c>
      <c r="K53" s="39">
        <f>IF(tblVerifyItems[[#This Row],[Item]]="","",IF((SUM(tblVerifyItems[Annual usage value]))=0,"",(SUMIFS(tblVerifyItems[Annual usage value],tblVerifyItems[Rank],"&lt;="&amp;tblVerifyItems[[#This Row],[Rank]]))/(SUM(tblVerifyItems[Annual usage value]))))</f>
        <v>0.81</v>
      </c>
      <c r="L53" s="40" t="str">
        <f>IF(tblVerifyItems[[#This Row],[Item]]="","",IF(tblVerifyItems[[#This Row],[Cumulative share]]="","",IF(tblVerifyItems[[#This Row],[Cumulative share]]-tblVerifyItems[[#This Row],[Share of usage value]]&lt;$E$38,"A",IF(tblVerifyItems[[#This Row],[Cumulative share]]-tblVerifyItems[[#This Row],[Share of usage value]]&lt;$E$39,"B","C"))))</f>
        <v>A</v>
      </c>
      <c r="M53" s="37">
        <f>IF(tblVerifyItems[[#This Row],[Item]]="","",tblVerifyItems[[#This Row],[On hand (units)]]*tblVerifyItems[[#This Row],[Unit cost]])</f>
        <v>2400</v>
      </c>
      <c r="N53" s="37">
        <f>IF(tblVerifyItems[[#This Row],[Item]]="","",IF(tblVerifyItems[[#This Row],[Class]]="A",$E$40,IF(tblVerifyItems[[#This Row],[Class]]="B",$E$41,IF(tblVerifyItems[[#This Row],[Class]]="C",$E$42,""))))</f>
        <v>12</v>
      </c>
      <c r="O53"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3" s="58" t="s">
        <v>100</v>
      </c>
    </row>
    <row r="54" spans="2:16">
      <c r="B54" s="58" t="s">
        <v>314</v>
      </c>
      <c r="C54" s="58" t="s">
        <v>315</v>
      </c>
      <c r="D54" s="58" t="s">
        <v>78</v>
      </c>
      <c r="E54" s="68">
        <v>700</v>
      </c>
      <c r="F54" s="63">
        <v>15</v>
      </c>
      <c r="G54" s="68">
        <v>100</v>
      </c>
      <c r="H54" s="37">
        <f>IF(tblVerifyItems[[#This Row],[Item]]="","",tblVerifyItems[[#This Row],[Annual usage (units)]]*tblVerifyItems[[#This Row],[Unit cost]])</f>
        <v>10500</v>
      </c>
      <c r="I54" s="38">
        <f>IF(tblVerifyItems[[#This Row],[Item]]="","",IF((SUM(tblVerifyItems[Annual usage value]))=0,"",(tblVerifyItems[[#This Row],[Annual usage value]])/(SUM(tblVerifyItems[Annual usage value]))))</f>
        <v>0.105</v>
      </c>
      <c r="J54" s="37">
        <f>IF(tblVerifyItems[[#This Row],[Item]]="","",RANK(tblVerifyItems[[#This Row],[Annual usage value]],tblVerifyItems[Annual usage value],0)+COUNTIFS(tblVerifyItems[Annual usage value],tblVerifyItems[[#This Row],[Annual usage value]],tblVerifyItems[Item],"&lt;"&amp;tblVerifyItems[[#This Row],[Item]]))</f>
        <v>3</v>
      </c>
      <c r="K54" s="39">
        <f>IF(tblVerifyItems[[#This Row],[Item]]="","",IF((SUM(tblVerifyItems[Annual usage value]))=0,"",(SUMIFS(tblVerifyItems[Annual usage value],tblVerifyItems[Rank],"&lt;="&amp;tblVerifyItems[[#This Row],[Rank]]))/(SUM(tblVerifyItems[Annual usage value]))))</f>
        <v>0.915</v>
      </c>
      <c r="L54" s="40" t="str">
        <f>IF(tblVerifyItems[[#This Row],[Item]]="","",IF(tblVerifyItems[[#This Row],[Cumulative share]]="","",IF(tblVerifyItems[[#This Row],[Cumulative share]]-tblVerifyItems[[#This Row],[Share of usage value]]&lt;$E$38,"A",IF(tblVerifyItems[[#This Row],[Cumulative share]]-tblVerifyItems[[#This Row],[Share of usage value]]&lt;$E$39,"B","C"))))</f>
        <v>B</v>
      </c>
      <c r="M54" s="37">
        <f>IF(tblVerifyItems[[#This Row],[Item]]="","",tblVerifyItems[[#This Row],[On hand (units)]]*tblVerifyItems[[#This Row],[Unit cost]])</f>
        <v>1500</v>
      </c>
      <c r="N54" s="37">
        <f>IF(tblVerifyItems[[#This Row],[Item]]="","",IF(tblVerifyItems[[#This Row],[Class]]="A",$E$40,IF(tblVerifyItems[[#This Row],[Class]]="B",$E$41,IF(tblVerifyItems[[#This Row],[Class]]="C",$E$42,""))))</f>
        <v>4</v>
      </c>
      <c r="O54"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4" s="58" t="s">
        <v>100</v>
      </c>
    </row>
    <row r="55" spans="2:16">
      <c r="B55" s="58" t="s">
        <v>316</v>
      </c>
      <c r="C55" s="58" t="s">
        <v>317</v>
      </c>
      <c r="D55" s="58" t="s">
        <v>78</v>
      </c>
      <c r="E55" s="68">
        <v>100</v>
      </c>
      <c r="F55" s="63">
        <v>45</v>
      </c>
      <c r="G55" s="68">
        <v>30</v>
      </c>
      <c r="H55" s="37">
        <f>IF(tblVerifyItems[[#This Row],[Item]]="","",tblVerifyItems[[#This Row],[Annual usage (units)]]*tblVerifyItems[[#This Row],[Unit cost]])</f>
        <v>4500</v>
      </c>
      <c r="I55" s="38">
        <f>IF(tblVerifyItems[[#This Row],[Item]]="","",IF((SUM(tblVerifyItems[Annual usage value]))=0,"",(tblVerifyItems[[#This Row],[Annual usage value]])/(SUM(tblVerifyItems[Annual usage value]))))</f>
        <v>0.045</v>
      </c>
      <c r="J55" s="37">
        <f>IF(tblVerifyItems[[#This Row],[Item]]="","",RANK(tblVerifyItems[[#This Row],[Annual usage value]],tblVerifyItems[Annual usage value],0)+COUNTIFS(tblVerifyItems[Annual usage value],tblVerifyItems[[#This Row],[Annual usage value]],tblVerifyItems[Item],"&lt;"&amp;tblVerifyItems[[#This Row],[Item]]))</f>
        <v>4</v>
      </c>
      <c r="K55" s="39">
        <f>IF(tblVerifyItems[[#This Row],[Item]]="","",IF((SUM(tblVerifyItems[Annual usage value]))=0,"",(SUMIFS(tblVerifyItems[Annual usage value],tblVerifyItems[Rank],"&lt;="&amp;tblVerifyItems[[#This Row],[Rank]]))/(SUM(tblVerifyItems[Annual usage value]))))</f>
        <v>0.96</v>
      </c>
      <c r="L55" s="40" t="str">
        <f>IF(tblVerifyItems[[#This Row],[Item]]="","",IF(tblVerifyItems[[#This Row],[Cumulative share]]="","",IF(tblVerifyItems[[#This Row],[Cumulative share]]-tblVerifyItems[[#This Row],[Share of usage value]]&lt;$E$38,"A",IF(tblVerifyItems[[#This Row],[Cumulative share]]-tblVerifyItems[[#This Row],[Share of usage value]]&lt;$E$39,"B","C"))))</f>
        <v>B</v>
      </c>
      <c r="M55" s="37">
        <f>IF(tblVerifyItems[[#This Row],[Item]]="","",tblVerifyItems[[#This Row],[On hand (units)]]*tblVerifyItems[[#This Row],[Unit cost]])</f>
        <v>1350</v>
      </c>
      <c r="N55" s="37">
        <f>IF(tblVerifyItems[[#This Row],[Item]]="","",IF(tblVerifyItems[[#This Row],[Class]]="A",$E$40,IF(tblVerifyItems[[#This Row],[Class]]="B",$E$41,IF(tblVerifyItems[[#This Row],[Class]]="C",$E$42,""))))</f>
        <v>4</v>
      </c>
      <c r="O55"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5" s="58" t="s">
        <v>100</v>
      </c>
    </row>
    <row r="56" spans="2:16">
      <c r="B56" s="58" t="s">
        <v>318</v>
      </c>
      <c r="C56" s="58" t="s">
        <v>319</v>
      </c>
      <c r="D56" s="58" t="s">
        <v>78</v>
      </c>
      <c r="E56" s="68">
        <v>2000</v>
      </c>
      <c r="F56" s="63">
        <v>1</v>
      </c>
      <c r="G56" s="68">
        <v>900</v>
      </c>
      <c r="H56" s="37">
        <f>IF(tblVerifyItems[[#This Row],[Item]]="","",tblVerifyItems[[#This Row],[Annual usage (units)]]*tblVerifyItems[[#This Row],[Unit cost]])</f>
        <v>2000</v>
      </c>
      <c r="I56" s="38">
        <f>IF(tblVerifyItems[[#This Row],[Item]]="","",IF((SUM(tblVerifyItems[Annual usage value]))=0,"",(tblVerifyItems[[#This Row],[Annual usage value]])/(SUM(tblVerifyItems[Annual usage value]))))</f>
        <v>0.02</v>
      </c>
      <c r="J56" s="37">
        <f>IF(tblVerifyItems[[#This Row],[Item]]="","",RANK(tblVerifyItems[[#This Row],[Annual usage value]],tblVerifyItems[Annual usage value],0)+COUNTIFS(tblVerifyItems[Annual usage value],tblVerifyItems[[#This Row],[Annual usage value]],tblVerifyItems[Item],"&lt;"&amp;tblVerifyItems[[#This Row],[Item]]))</f>
        <v>6</v>
      </c>
      <c r="K56" s="39">
        <f>IF(tblVerifyItems[[#This Row],[Item]]="","",IF((SUM(tblVerifyItems[Annual usage value]))=0,"",(SUMIFS(tblVerifyItems[Annual usage value],tblVerifyItems[Rank],"&lt;="&amp;tblVerifyItems[[#This Row],[Rank]]))/(SUM(tblVerifyItems[Annual usage value]))))</f>
        <v>1</v>
      </c>
      <c r="L56" s="40" t="str">
        <f>IF(tblVerifyItems[[#This Row],[Item]]="","",IF(tblVerifyItems[[#This Row],[Cumulative share]]="","",IF(tblVerifyItems[[#This Row],[Cumulative share]]-tblVerifyItems[[#This Row],[Share of usage value]]&lt;$E$38,"A",IF(tblVerifyItems[[#This Row],[Cumulative share]]-tblVerifyItems[[#This Row],[Share of usage value]]&lt;$E$39,"B","C"))))</f>
        <v>C</v>
      </c>
      <c r="M56" s="37">
        <f>IF(tblVerifyItems[[#This Row],[Item]]="","",tblVerifyItems[[#This Row],[On hand (units)]]*tblVerifyItems[[#This Row],[Unit cost]])</f>
        <v>900</v>
      </c>
      <c r="N56" s="37">
        <f>IF(tblVerifyItems[[#This Row],[Item]]="","",IF(tblVerifyItems[[#This Row],[Class]]="A",$E$40,IF(tblVerifyItems[[#This Row],[Class]]="B",$E$41,IF(tblVerifyItems[[#This Row],[Class]]="C",$E$42,""))))</f>
        <v>1</v>
      </c>
      <c r="O56"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6" s="58" t="s">
        <v>100</v>
      </c>
    </row>
    <row r="57" spans="2:16">
      <c r="B57" s="58" t="s">
        <v>320</v>
      </c>
      <c r="C57" s="58" t="s">
        <v>321</v>
      </c>
      <c r="D57" s="58" t="s">
        <v>78</v>
      </c>
      <c r="E57" s="68">
        <v>1000</v>
      </c>
      <c r="F57" s="63">
        <v>2</v>
      </c>
      <c r="G57" s="68">
        <v>400</v>
      </c>
      <c r="H57" s="37">
        <f>IF(tblVerifyItems[[#This Row],[Item]]="","",tblVerifyItems[[#This Row],[Annual usage (units)]]*tblVerifyItems[[#This Row],[Unit cost]])</f>
        <v>2000</v>
      </c>
      <c r="I57" s="38">
        <f>IF(tblVerifyItems[[#This Row],[Item]]="","",IF((SUM(tblVerifyItems[Annual usage value]))=0,"",(tblVerifyItems[[#This Row],[Annual usage value]])/(SUM(tblVerifyItems[Annual usage value]))))</f>
        <v>0.02</v>
      </c>
      <c r="J57" s="37">
        <f>IF(tblVerifyItems[[#This Row],[Item]]="","",RANK(tblVerifyItems[[#This Row],[Annual usage value]],tblVerifyItems[Annual usage value],0)+COUNTIFS(tblVerifyItems[Annual usage value],tblVerifyItems[[#This Row],[Annual usage value]],tblVerifyItems[Item],"&lt;"&amp;tblVerifyItems[[#This Row],[Item]]))</f>
        <v>5</v>
      </c>
      <c r="K57" s="39">
        <f>IF(tblVerifyItems[[#This Row],[Item]]="","",IF((SUM(tblVerifyItems[Annual usage value]))=0,"",(SUMIFS(tblVerifyItems[Annual usage value],tblVerifyItems[Rank],"&lt;="&amp;tblVerifyItems[[#This Row],[Rank]]))/(SUM(tblVerifyItems[Annual usage value]))))</f>
        <v>0.98</v>
      </c>
      <c r="L57" s="40" t="str">
        <f>IF(tblVerifyItems[[#This Row],[Item]]="","",IF(tblVerifyItems[[#This Row],[Cumulative share]]="","",IF(tblVerifyItems[[#This Row],[Cumulative share]]-tblVerifyItems[[#This Row],[Share of usage value]]&lt;$E$38,"A",IF(tblVerifyItems[[#This Row],[Cumulative share]]-tblVerifyItems[[#This Row],[Share of usage value]]&lt;$E$39,"B","C"))))</f>
        <v>C</v>
      </c>
      <c r="M57" s="37">
        <f>IF(tblVerifyItems[[#This Row],[Item]]="","",tblVerifyItems[[#This Row],[On hand (units)]]*tblVerifyItems[[#This Row],[Unit cost]])</f>
        <v>800</v>
      </c>
      <c r="N57" s="37">
        <f>IF(tblVerifyItems[[#This Row],[Item]]="","",IF(tblVerifyItems[[#This Row],[Class]]="A",$E$40,IF(tblVerifyItems[[#This Row],[Class]]="B",$E$41,IF(tblVerifyItems[[#This Row],[Class]]="C",$E$42,""))))</f>
        <v>1</v>
      </c>
      <c r="O57"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7" s="58" t="s">
        <v>100</v>
      </c>
    </row>
    <row r="58" spans="2:16">
      <c r="B58" s="58" t="s">
        <v>322</v>
      </c>
      <c r="C58" s="58" t="s">
        <v>323</v>
      </c>
      <c r="D58" s="58" t="s">
        <v>76</v>
      </c>
      <c r="E58" s="68">
        <v>0</v>
      </c>
      <c r="F58" s="63">
        <v>12</v>
      </c>
      <c r="G58" s="68">
        <v>50</v>
      </c>
      <c r="H58" s="37">
        <f>IF(tblVerifyItems[[#This Row],[Item]]="","",tblVerifyItems[[#This Row],[Annual usage (units)]]*tblVerifyItems[[#This Row],[Unit cost]])</f>
        <v>0</v>
      </c>
      <c r="I58" s="38">
        <f>IF(tblVerifyItems[[#This Row],[Item]]="","",IF((SUM(tblVerifyItems[Annual usage value]))=0,"",(tblVerifyItems[[#This Row],[Annual usage value]])/(SUM(tblVerifyItems[Annual usage value]))))</f>
        <v>0</v>
      </c>
      <c r="J58" s="37">
        <f>IF(tblVerifyItems[[#This Row],[Item]]="","",RANK(tblVerifyItems[[#This Row],[Annual usage value]],tblVerifyItems[Annual usage value],0)+COUNTIFS(tblVerifyItems[Annual usage value],tblVerifyItems[[#This Row],[Annual usage value]],tblVerifyItems[Item],"&lt;"&amp;tblVerifyItems[[#This Row],[Item]]))</f>
        <v>7</v>
      </c>
      <c r="K58" s="39">
        <f>IF(tblVerifyItems[[#This Row],[Item]]="","",IF((SUM(tblVerifyItems[Annual usage value]))=0,"",(SUMIFS(tblVerifyItems[Annual usage value],tblVerifyItems[Rank],"&lt;="&amp;tblVerifyItems[[#This Row],[Rank]]))/(SUM(tblVerifyItems[Annual usage value]))))</f>
        <v>1</v>
      </c>
      <c r="L58" s="40" t="str">
        <f>IF(tblVerifyItems[[#This Row],[Item]]="","",IF(tblVerifyItems[[#This Row],[Cumulative share]]="","",IF(tblVerifyItems[[#This Row],[Cumulative share]]-tblVerifyItems[[#This Row],[Share of usage value]]&lt;$E$38,"A",IF(tblVerifyItems[[#This Row],[Cumulative share]]-tblVerifyItems[[#This Row],[Share of usage value]]&lt;$E$39,"B","C"))))</f>
        <v>C</v>
      </c>
      <c r="M58" s="37">
        <f>IF(tblVerifyItems[[#This Row],[Item]]="","",tblVerifyItems[[#This Row],[On hand (units)]]*tblVerifyItems[[#This Row],[Unit cost]])</f>
        <v>600</v>
      </c>
      <c r="N58" s="37">
        <f>IF(tblVerifyItems[[#This Row],[Item]]="","",IF(tblVerifyItems[[#This Row],[Class]]="A",$E$40,IF(tblVerifyItems[[#This Row],[Class]]="B",$E$41,IF(tblVerifyItems[[#This Row],[Class]]="C",$E$42,""))))</f>
        <v>1</v>
      </c>
      <c r="O58"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OK</v>
      </c>
      <c r="P58" s="58" t="s">
        <v>100</v>
      </c>
    </row>
    <row r="59" spans="2:16">
      <c r="B59" s="58" t="s">
        <v>324</v>
      </c>
      <c r="C59" s="58" t="s">
        <v>325</v>
      </c>
      <c r="D59" s="58" t="s">
        <v>326</v>
      </c>
      <c r="E59" s="68">
        <v>0</v>
      </c>
      <c r="F59" s="63">
        <v>3</v>
      </c>
      <c r="G59" s="68">
        <v>10</v>
      </c>
      <c r="H59" s="37">
        <f>IF(tblVerifyItems[[#This Row],[Item]]="","",tblVerifyItems[[#This Row],[Annual usage (units)]]*tblVerifyItems[[#This Row],[Unit cost]])</f>
        <v>0</v>
      </c>
      <c r="I59" s="38">
        <f>IF(tblVerifyItems[[#This Row],[Item]]="","",IF((SUM(tblVerifyItems[Annual usage value]))=0,"",(tblVerifyItems[[#This Row],[Annual usage value]])/(SUM(tblVerifyItems[Annual usage value]))))</f>
        <v>0</v>
      </c>
      <c r="J59" s="37">
        <f>IF(tblVerifyItems[[#This Row],[Item]]="","",RANK(tblVerifyItems[[#This Row],[Annual usage value]],tblVerifyItems[Annual usage value],0)+COUNTIFS(tblVerifyItems[Annual usage value],tblVerifyItems[[#This Row],[Annual usage value]],tblVerifyItems[Item],"&lt;"&amp;tblVerifyItems[[#This Row],[Item]]))</f>
        <v>8</v>
      </c>
      <c r="K59" s="39">
        <f>IF(tblVerifyItems[[#This Row],[Item]]="","",IF((SUM(tblVerifyItems[Annual usage value]))=0,"",(SUMIFS(tblVerifyItems[Annual usage value],tblVerifyItems[Rank],"&lt;="&amp;tblVerifyItems[[#This Row],[Rank]]))/(SUM(tblVerifyItems[Annual usage value]))))</f>
        <v>1</v>
      </c>
      <c r="L59" s="40" t="str">
        <f>IF(tblVerifyItems[[#This Row],[Item]]="","",IF(tblVerifyItems[[#This Row],[Cumulative share]]="","",IF(tblVerifyItems[[#This Row],[Cumulative share]]-tblVerifyItems[[#This Row],[Share of usage value]]&lt;$E$38,"A",IF(tblVerifyItems[[#This Row],[Cumulative share]]-tblVerifyItems[[#This Row],[Share of usage value]]&lt;$E$39,"B","C"))))</f>
        <v>C</v>
      </c>
      <c r="M59" s="37">
        <f>IF(tblVerifyItems[[#This Row],[Item]]="","",tblVerifyItems[[#This Row],[On hand (units)]]*tblVerifyItems[[#This Row],[Unit cost]])</f>
        <v>30</v>
      </c>
      <c r="N59" s="37">
        <f>IF(tblVerifyItems[[#This Row],[Item]]="","",IF(tblVerifyItems[[#This Row],[Class]]="A",$E$40,IF(tblVerifyItems[[#This Row],[Class]]="B",$E$41,IF(tblVerifyItems[[#This Row],[Class]]="C",$E$42,""))))</f>
        <v>1</v>
      </c>
      <c r="O59" s="41" t="str">
        <f>IF(tblVerifyItems[[#This Row],[Item]]="","",IF(tblVerifyItems[[#This Row],[Category]]="","Missing category",IF(tblVerifyItems[[#This Row],[Annual usage (units)]]="","Missing annual usage",IF(tblVerifyItems[[#This Row],[Unit cost]]="","Missing unit cost",IF(COUNTIF(tblVerifyCategories[Category],tblVerifyItems[[#This Row],[Category]])=0,"Category not on Setup list",IF(COUNTIF(tblVerifyItems[Item],tblVerifyItems[[#This Row],[Item]])&gt;1,"Item listed twice",IF(tblVerifyItems[[#This Row],[Unit cost]]=0,"Unit cost is 0","OK")))))))</f>
        <v>Category not on Setup list</v>
      </c>
      <c r="P59" s="58" t="s">
        <v>100</v>
      </c>
    </row>
    <row r="61" spans="2:16">
      <c r="B61" s="32" t="s">
        <v>327</v>
      </c>
      <c r="C61" s="32"/>
      <c r="D61" s="32"/>
      <c r="E61" s="32"/>
      <c r="F61" s="32"/>
      <c r="G61" s="32"/>
      <c r="H61" s="32"/>
      <c r="I61" s="32"/>
      <c r="J61" s="32"/>
      <c r="K61" s="32"/>
      <c r="L61" s="32"/>
    </row>
    <row r="62" spans="2:16" ht="32" customHeight="1">
      <c r="B62" s="48" t="s">
        <v>92</v>
      </c>
      <c r="C62" s="33" t="s">
        <v>191</v>
      </c>
      <c r="D62" s="33" t="s">
        <v>192</v>
      </c>
      <c r="E62" s="33" t="s">
        <v>193</v>
      </c>
      <c r="F62" s="33" t="s">
        <v>89</v>
      </c>
      <c r="G62" s="33" t="s">
        <v>93</v>
      </c>
      <c r="H62" s="33" t="s">
        <v>194</v>
      </c>
      <c r="I62" s="33" t="s">
        <v>195</v>
      </c>
      <c r="J62" s="33" t="s">
        <v>94</v>
      </c>
    </row>
    <row r="63" spans="2:16" ht="14" customHeight="1">
      <c r="B63" s="35"/>
      <c r="C63" s="35"/>
      <c r="D63" s="35"/>
      <c r="E63" s="35" t="str">
        <f>Currency&amp;"/year"</f>
        <v>USD/year</v>
      </c>
      <c r="F63" s="35"/>
      <c r="G63" s="35" t="str">
        <f>Currency</f>
        <v>USD</v>
      </c>
      <c r="H63" s="35"/>
      <c r="I63" s="35" t="s">
        <v>196</v>
      </c>
      <c r="J63" s="35" t="s">
        <v>197</v>
      </c>
    </row>
    <row r="64" spans="2:16">
      <c r="B64" s="49" t="s">
        <v>198</v>
      </c>
      <c r="C64" s="37">
        <f>COUNTIFS(tblVerifyItems[Class],$B$64)</f>
        <v>2</v>
      </c>
      <c r="D64" s="39">
        <f>IF((COUNTIFS(tblVerifyItems[Class],"A")+COUNTIFS(tblVerifyItems[Class],"B")+COUNTIFS(tblVerifyItems[Class],"C"))=0,"",(COUNTIFS(tblVerifyItems[Class],$B$64))/(COUNTIFS(tblVerifyItems[Class],"A")+COUNTIFS(tblVerifyItems[Class],"B")+COUNTIFS(tblVerifyItems[Class],"C")))</f>
        <v>0.25</v>
      </c>
      <c r="E64" s="37">
        <f>SUMIFS(tblVerifyItems[Annual usage value],tblVerifyItems[Class],$B$64)</f>
        <v>81000</v>
      </c>
      <c r="F64" s="39">
        <f>IF((SUM(tblVerifyItems[Annual usage value]))=0,"",(SUMIFS(tblVerifyItems[Annual usage value],tblVerifyItems[Class],$B$64))/(SUM(tblVerifyItems[Annual usage value])))</f>
        <v>0.81</v>
      </c>
      <c r="G64" s="37">
        <f>SUMIFS(tblVerifyItems[Stock value],tblVerifyItems[Class],$B$64)</f>
        <v>7280</v>
      </c>
      <c r="H64" s="39">
        <f>IF((SUM(tblVerifyItems[Stock value]))=0,"",(SUMIFS(tblVerifyItems[Stock value],tblVerifyItems[Class],$B$64))/(SUM(tblVerifyItems[Stock value])))</f>
        <v>0.584269662921348</v>
      </c>
      <c r="I64" s="50">
        <f>IF((SUMIFS(tblVerifyItems[Stock value],tblVerifyItems[Class],$B$64))=0,"",(SUMIFS(tblVerifyItems[Annual usage value],tblVerifyItems[Class],$B$64))/(SUMIFS(tblVerifyItems[Stock value],tblVerifyItems[Class],$B$64)))</f>
        <v>11.1263736263736</v>
      </c>
      <c r="J64" s="37">
        <f>SUMIFS(tblVerifyItems[Counts per year],tblVerifyItems[Class],$B$64)</f>
        <v>24</v>
      </c>
    </row>
    <row r="65" spans="2:12">
      <c r="B65" s="49" t="s">
        <v>199</v>
      </c>
      <c r="C65" s="37">
        <f>COUNTIFS(tblVerifyItems[Class],$B$65)</f>
        <v>2</v>
      </c>
      <c r="D65" s="39">
        <f>IF((COUNTIFS(tblVerifyItems[Class],"A")+COUNTIFS(tblVerifyItems[Class],"B")+COUNTIFS(tblVerifyItems[Class],"C"))=0,"",(COUNTIFS(tblVerifyItems[Class],$B$65))/(COUNTIFS(tblVerifyItems[Class],"A")+COUNTIFS(tblVerifyItems[Class],"B")+COUNTIFS(tblVerifyItems[Class],"C")))</f>
        <v>0.25</v>
      </c>
      <c r="E65" s="37">
        <f>SUMIFS(tblVerifyItems[Annual usage value],tblVerifyItems[Class],$B$65)</f>
        <v>15000</v>
      </c>
      <c r="F65" s="39">
        <f>IF((SUM(tblVerifyItems[Annual usage value]))=0,"",(SUMIFS(tblVerifyItems[Annual usage value],tblVerifyItems[Class],$B$65))/(SUM(tblVerifyItems[Annual usage value])))</f>
        <v>0.15</v>
      </c>
      <c r="G65" s="37">
        <f>SUMIFS(tblVerifyItems[Stock value],tblVerifyItems[Class],$B$65)</f>
        <v>2850</v>
      </c>
      <c r="H65" s="39">
        <f>IF((SUM(tblVerifyItems[Stock value]))=0,"",(SUMIFS(tblVerifyItems[Stock value],tblVerifyItems[Class],$B$65))/(SUM(tblVerifyItems[Stock value])))</f>
        <v>0.228731942215088</v>
      </c>
      <c r="I65" s="50">
        <f>IF((SUMIFS(tblVerifyItems[Stock value],tblVerifyItems[Class],$B$65))=0,"",(SUMIFS(tblVerifyItems[Annual usage value],tblVerifyItems[Class],$B$65))/(SUMIFS(tblVerifyItems[Stock value],tblVerifyItems[Class],$B$65)))</f>
        <v>5.26315789473684</v>
      </c>
      <c r="J65" s="37">
        <f>SUMIFS(tblVerifyItems[Counts per year],tblVerifyItems[Class],$B$65)</f>
        <v>8</v>
      </c>
    </row>
    <row r="66" spans="2:12">
      <c r="B66" s="49" t="s">
        <v>200</v>
      </c>
      <c r="C66" s="37">
        <f>COUNTIFS(tblVerifyItems[Class],$B$66)</f>
        <v>4</v>
      </c>
      <c r="D66" s="39">
        <f>IF((COUNTIFS(tblVerifyItems[Class],"A")+COUNTIFS(tblVerifyItems[Class],"B")+COUNTIFS(tblVerifyItems[Class],"C"))=0,"",(COUNTIFS(tblVerifyItems[Class],$B$66))/(COUNTIFS(tblVerifyItems[Class],"A")+COUNTIFS(tblVerifyItems[Class],"B")+COUNTIFS(tblVerifyItems[Class],"C")))</f>
        <v>0.5</v>
      </c>
      <c r="E66" s="37">
        <f>SUMIFS(tblVerifyItems[Annual usage value],tblVerifyItems[Class],$B$66)</f>
        <v>4000</v>
      </c>
      <c r="F66" s="39">
        <f>IF((SUM(tblVerifyItems[Annual usage value]))=0,"",(SUMIFS(tblVerifyItems[Annual usage value],tblVerifyItems[Class],$B$66))/(SUM(tblVerifyItems[Annual usage value])))</f>
        <v>0.04</v>
      </c>
      <c r="G66" s="37">
        <f>SUMIFS(tblVerifyItems[Stock value],tblVerifyItems[Class],$B$66)</f>
        <v>2330</v>
      </c>
      <c r="H66" s="39">
        <f>IF((SUM(tblVerifyItems[Stock value]))=0,"",(SUMIFS(tblVerifyItems[Stock value],tblVerifyItems[Class],$B$66))/(SUM(tblVerifyItems[Stock value])))</f>
        <v>0.186998394863563</v>
      </c>
      <c r="I66" s="50">
        <f>IF((SUMIFS(tblVerifyItems[Stock value],tblVerifyItems[Class],$B$66))=0,"",(SUMIFS(tblVerifyItems[Annual usage value],tblVerifyItems[Class],$B$66))/(SUMIFS(tblVerifyItems[Stock value],tblVerifyItems[Class],$B$66)))</f>
        <v>1.71673819742489</v>
      </c>
      <c r="J66" s="37">
        <f>SUMIFS(tblVerifyItems[Counts per year],tblVerifyItems[Class],$B$66)</f>
        <v>4</v>
      </c>
    </row>
    <row r="67" spans="2:12">
      <c r="B67" s="51" t="s">
        <v>201</v>
      </c>
      <c r="C67" s="52">
        <f>SUM($C$64:$C$66)</f>
        <v>8</v>
      </c>
      <c r="E67" s="52">
        <f>SUM($E$64:$E$66)</f>
        <v>100000</v>
      </c>
      <c r="G67" s="52">
        <f>SUM($G$64:$G$66)</f>
        <v>12460</v>
      </c>
      <c r="J67" s="52">
        <f>SUM($J$64:$J$66)</f>
        <v>36</v>
      </c>
    </row>
    <row r="69" spans="2:12">
      <c r="B69" s="32" t="s">
        <v>328</v>
      </c>
      <c r="C69" s="32"/>
      <c r="D69" s="32"/>
      <c r="E69" s="32"/>
      <c r="F69" s="32"/>
      <c r="G69" s="32"/>
      <c r="H69" s="32"/>
      <c r="I69" s="32"/>
      <c r="J69" s="32"/>
      <c r="K69" s="32"/>
      <c r="L69" s="32"/>
    </row>
    <row r="70" spans="2:12" ht="32" customHeight="1">
      <c r="B70" s="48" t="s">
        <v>192</v>
      </c>
      <c r="C70" s="33" t="s">
        <v>214</v>
      </c>
      <c r="D70" s="33" t="s">
        <v>215</v>
      </c>
      <c r="E70" s="33" t="s">
        <v>216</v>
      </c>
      <c r="F70" s="33" t="s">
        <v>217</v>
      </c>
    </row>
    <row r="71" spans="2:12">
      <c r="B71" s="53">
        <v>0</v>
      </c>
      <c r="C71" s="37">
        <f>ROUNDUP(ROUND($B$71*(COUNTIFS(tblVerifyItems[Class],"A")+COUNTIFS(tblVerifyItems[Class],"B")+COUNTIFS(tblVerifyItems[Class],"C")),9),0)</f>
        <v>0</v>
      </c>
      <c r="D71" s="39">
        <f>IF((SUM(tblVerifyItems[Annual usage value]))=0,"",(SUMIFS(tblVerifyItems[Annual usage value],tblVerifyItems[Rank],"&lt;="&amp;$C$71))/(SUM(tblVerifyItems[Annual usage value])))</f>
        <v>0</v>
      </c>
      <c r="E71" s="54">
        <f>$E$38</f>
        <v>0.8</v>
      </c>
      <c r="F71" s="54">
        <f>$E$39</f>
        <v>0.95</v>
      </c>
    </row>
    <row r="72" spans="2:12">
      <c r="B72" s="53">
        <v>0.1</v>
      </c>
      <c r="C72" s="37">
        <f>ROUNDUP(ROUND($B$72*(COUNTIFS(tblVerifyItems[Class],"A")+COUNTIFS(tblVerifyItems[Class],"B")+COUNTIFS(tblVerifyItems[Class],"C")),9),0)</f>
        <v>1</v>
      </c>
      <c r="D72" s="39">
        <f>IF((SUM(tblVerifyItems[Annual usage value]))=0,"",(SUMIFS(tblVerifyItems[Annual usage value],tblVerifyItems[Rank],"&lt;="&amp;$C$72))/(SUM(tblVerifyItems[Annual usage value])))</f>
        <v>0.61</v>
      </c>
      <c r="E72" s="54">
        <f>$E$38</f>
        <v>0.8</v>
      </c>
      <c r="F72" s="54">
        <f>$E$39</f>
        <v>0.95</v>
      </c>
    </row>
    <row r="73" spans="2:12">
      <c r="B73" s="53">
        <v>0.2</v>
      </c>
      <c r="C73" s="37">
        <f>ROUNDUP(ROUND($B$73*(COUNTIFS(tblVerifyItems[Class],"A")+COUNTIFS(tblVerifyItems[Class],"B")+COUNTIFS(tblVerifyItems[Class],"C")),9),0)</f>
        <v>2</v>
      </c>
      <c r="D73" s="39">
        <f>IF((SUM(tblVerifyItems[Annual usage value]))=0,"",(SUMIFS(tblVerifyItems[Annual usage value],tblVerifyItems[Rank],"&lt;="&amp;$C$73))/(SUM(tblVerifyItems[Annual usage value])))</f>
        <v>0.81</v>
      </c>
      <c r="E73" s="54">
        <f>$E$38</f>
        <v>0.8</v>
      </c>
      <c r="F73" s="54">
        <f>$E$39</f>
        <v>0.95</v>
      </c>
    </row>
    <row r="74" spans="2:12">
      <c r="B74" s="53">
        <v>0.3</v>
      </c>
      <c r="C74" s="37">
        <f>ROUNDUP(ROUND($B$74*(COUNTIFS(tblVerifyItems[Class],"A")+COUNTIFS(tblVerifyItems[Class],"B")+COUNTIFS(tblVerifyItems[Class],"C")),9),0)</f>
        <v>3</v>
      </c>
      <c r="D74" s="39">
        <f>IF((SUM(tblVerifyItems[Annual usage value]))=0,"",(SUMIFS(tblVerifyItems[Annual usage value],tblVerifyItems[Rank],"&lt;="&amp;$C$74))/(SUM(tblVerifyItems[Annual usage value])))</f>
        <v>0.915</v>
      </c>
      <c r="E74" s="54">
        <f>$E$38</f>
        <v>0.8</v>
      </c>
      <c r="F74" s="54">
        <f>$E$39</f>
        <v>0.95</v>
      </c>
    </row>
    <row r="75" spans="2:12">
      <c r="B75" s="53">
        <v>0.4</v>
      </c>
      <c r="C75" s="37">
        <f>ROUNDUP(ROUND($B$75*(COUNTIFS(tblVerifyItems[Class],"A")+COUNTIFS(tblVerifyItems[Class],"B")+COUNTIFS(tblVerifyItems[Class],"C")),9),0)</f>
        <v>4</v>
      </c>
      <c r="D75" s="39">
        <f>IF((SUM(tblVerifyItems[Annual usage value]))=0,"",(SUMIFS(tblVerifyItems[Annual usage value],tblVerifyItems[Rank],"&lt;="&amp;$C$75))/(SUM(tblVerifyItems[Annual usage value])))</f>
        <v>0.96</v>
      </c>
      <c r="E75" s="54">
        <f>$E$38</f>
        <v>0.8</v>
      </c>
      <c r="F75" s="54">
        <f>$E$39</f>
        <v>0.95</v>
      </c>
    </row>
    <row r="76" spans="2:12">
      <c r="B76" s="53">
        <v>0.5</v>
      </c>
      <c r="C76" s="37">
        <f>ROUNDUP(ROUND($B$76*(COUNTIFS(tblVerifyItems[Class],"A")+COUNTIFS(tblVerifyItems[Class],"B")+COUNTIFS(tblVerifyItems[Class],"C")),9),0)</f>
        <v>4</v>
      </c>
      <c r="D76" s="39">
        <f>IF((SUM(tblVerifyItems[Annual usage value]))=0,"",(SUMIFS(tblVerifyItems[Annual usage value],tblVerifyItems[Rank],"&lt;="&amp;$C$76))/(SUM(tblVerifyItems[Annual usage value])))</f>
        <v>0.96</v>
      </c>
      <c r="E76" s="54">
        <f>$E$38</f>
        <v>0.8</v>
      </c>
      <c r="F76" s="54">
        <f>$E$39</f>
        <v>0.95</v>
      </c>
    </row>
    <row r="77" spans="2:12">
      <c r="B77" s="53">
        <v>0.6</v>
      </c>
      <c r="C77" s="37">
        <f>ROUNDUP(ROUND($B$77*(COUNTIFS(tblVerifyItems[Class],"A")+COUNTIFS(tblVerifyItems[Class],"B")+COUNTIFS(tblVerifyItems[Class],"C")),9),0)</f>
        <v>5</v>
      </c>
      <c r="D77" s="39">
        <f>IF((SUM(tblVerifyItems[Annual usage value]))=0,"",(SUMIFS(tblVerifyItems[Annual usage value],tblVerifyItems[Rank],"&lt;="&amp;$C$77))/(SUM(tblVerifyItems[Annual usage value])))</f>
        <v>0.98</v>
      </c>
      <c r="E77" s="54">
        <f>$E$38</f>
        <v>0.8</v>
      </c>
      <c r="F77" s="54">
        <f>$E$39</f>
        <v>0.95</v>
      </c>
    </row>
    <row r="78" spans="2:12">
      <c r="B78" s="53">
        <v>0.7</v>
      </c>
      <c r="C78" s="37">
        <f>ROUNDUP(ROUND($B$78*(COUNTIFS(tblVerifyItems[Class],"A")+COUNTIFS(tblVerifyItems[Class],"B")+COUNTIFS(tblVerifyItems[Class],"C")),9),0)</f>
        <v>6</v>
      </c>
      <c r="D78" s="39">
        <f>IF((SUM(tblVerifyItems[Annual usage value]))=0,"",(SUMIFS(tblVerifyItems[Annual usage value],tblVerifyItems[Rank],"&lt;="&amp;$C$78))/(SUM(tblVerifyItems[Annual usage value])))</f>
        <v>1</v>
      </c>
      <c r="E78" s="54">
        <f>$E$38</f>
        <v>0.8</v>
      </c>
      <c r="F78" s="54">
        <f>$E$39</f>
        <v>0.95</v>
      </c>
    </row>
    <row r="79" spans="2:12">
      <c r="B79" s="53">
        <v>0.8</v>
      </c>
      <c r="C79" s="37">
        <f>ROUNDUP(ROUND($B$79*(COUNTIFS(tblVerifyItems[Class],"A")+COUNTIFS(tblVerifyItems[Class],"B")+COUNTIFS(tblVerifyItems[Class],"C")),9),0)</f>
        <v>7</v>
      </c>
      <c r="D79" s="39">
        <f>IF((SUM(tblVerifyItems[Annual usage value]))=0,"",(SUMIFS(tblVerifyItems[Annual usage value],tblVerifyItems[Rank],"&lt;="&amp;$C$79))/(SUM(tblVerifyItems[Annual usage value])))</f>
        <v>1</v>
      </c>
      <c r="E79" s="54">
        <f>$E$38</f>
        <v>0.8</v>
      </c>
      <c r="F79" s="54">
        <f>$E$39</f>
        <v>0.95</v>
      </c>
    </row>
    <row r="80" spans="2:12">
      <c r="B80" s="53">
        <v>0.9</v>
      </c>
      <c r="C80" s="37">
        <f>ROUNDUP(ROUND($B$80*(COUNTIFS(tblVerifyItems[Class],"A")+COUNTIFS(tblVerifyItems[Class],"B")+COUNTIFS(tblVerifyItems[Class],"C")),9),0)</f>
        <v>8</v>
      </c>
      <c r="D80" s="39">
        <f>IF((SUM(tblVerifyItems[Annual usage value]))=0,"",(SUMIFS(tblVerifyItems[Annual usage value],tblVerifyItems[Rank],"&lt;="&amp;$C$80))/(SUM(tblVerifyItems[Annual usage value])))</f>
        <v>1</v>
      </c>
      <c r="E80" s="54">
        <f>$E$38</f>
        <v>0.8</v>
      </c>
      <c r="F80" s="54">
        <f>$E$39</f>
        <v>0.95</v>
      </c>
    </row>
    <row r="81" spans="2:6">
      <c r="B81" s="53">
        <v>1</v>
      </c>
      <c r="C81" s="37">
        <f>ROUNDUP(ROUND($B$81*(COUNTIFS(tblVerifyItems[Class],"A")+COUNTIFS(tblVerifyItems[Class],"B")+COUNTIFS(tblVerifyItems[Class],"C")),9),0)</f>
        <v>8</v>
      </c>
      <c r="D81" s="39">
        <f>IF((SUM(tblVerifyItems[Annual usage value]))=0,"",(SUMIFS(tblVerifyItems[Annual usage value],tblVerifyItems[Rank],"&lt;="&amp;$C$81))/(SUM(tblVerifyItems[Annual usage value])))</f>
        <v>1</v>
      </c>
      <c r="E81" s="54">
        <f>$E$38</f>
        <v>0.8</v>
      </c>
      <c r="F81" s="54">
        <f>$E$39</f>
        <v>0.95</v>
      </c>
    </row>
  </sheetData>
  <sheetProtection sheet="1" formatColumns="0" formatRows="0"/>
  <mergeCells count="42">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B34:L34"/>
    <mergeCell ref="B36:L36"/>
    <mergeCell ref="B37:F37"/>
    <mergeCell ref="B38:D38"/>
    <mergeCell ref="B39:D39"/>
    <mergeCell ref="B40:D40"/>
    <mergeCell ref="B41:D41"/>
    <mergeCell ref="B42:D42"/>
    <mergeCell ref="B44:L44"/>
    <mergeCell ref="B49:L49"/>
    <mergeCell ref="B61:L61"/>
    <mergeCell ref="B69:L6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52:O59">
    <cfRule type="expression" dxfId="3" priority="41">
      <formula>$O52="OK"</formula>
    </cfRule>
    <cfRule type="expression" dxfId="1" priority="42">
      <formula>AND($O52&lt;&gt;"",$O52&lt;&gt;"OK")</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ABC Inventory Analysis&amp;R&amp;8&amp;A</oddHeader>
    <oddFooter>&amp;L&amp;8mfgcalcs.com - free manufacturing templates&amp;R&amp;8Page &amp;P of &amp;N</oddFooter>
  </headerFooter>
  <rowBreaks count="2" manualBreakCount="2">
    <brk id="36" max="16383" man="1"/>
    <brk id="68"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Item List</vt:lpstr>
      <vt:lpstr>Dashboard</vt:lpstr>
      <vt:lpstr>Method</vt:lpstr>
      <vt:lpstr>Verify</vt:lpstr>
      <vt:lpstr>CompanyName</vt:lpstr>
      <vt:lpstr>CountsA</vt:lpstr>
      <vt:lpstr>CountsB</vt:lpstr>
      <vt:lpstr>CountsC</vt:lpstr>
      <vt:lpstr>Currency</vt:lpstr>
      <vt:lpstr>CutA</vt:lpstr>
      <vt:lpstr>CutB</vt:lpstr>
      <vt:lpstr>CutCheck</vt:lpstr>
      <vt:lpstr>KpiAItems</vt:lpstr>
      <vt:lpstr>KpiAValue</vt:lpstr>
      <vt:lpstr>KpiCStock</vt:lpstr>
      <vt:lpstr>KpiValue</vt:lpstr>
      <vt:lpstr>Dashboard!Print_Area</vt:lpstr>
      <vt:lpstr>'Item List'!Print_Area</vt:lpstr>
      <vt:lpstr>Method!Print_Area</vt:lpstr>
      <vt:lpstr>Setup!Print_Area</vt:lpstr>
      <vt:lpstr>'Start Here'!Print_Area</vt:lpstr>
      <vt:lpstr>Verify!Print_Area</vt:lpstr>
      <vt:lpstr>'Item List'!Print_Titles</vt:lpstr>
      <vt:lpstr>Method!Print_Titles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ABC Inventory Analysis - free Excel template from MFG Calcs</dc:title>
  <dc:subject>Rank every item by annual usage value, split the list into A, B and C classes at your own cut-offs, and see where usage value and stock sit.</dc:subject>
  <dc:creator>MFG Calcs</dc:creator>
  <cp:keywords>ABC analysis, ABC inventory classification, Pareto, annual usage value, inventory classification, cycle count frequency, 80/20</cp:keywords>
  <dc:description>https://www.mfgcalcs.com/templates/abc-inventory-analysis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abc-inventory-analysis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https://www.mfgcalcs.com/templates/abc-inventory-analysis</vt:lpwstr>
  </property>
  <property fmtid="{D5CDD505-2E9C-101B-9397-08002B2CF9AE}" pid="7" name="Template sheet roles">
    <vt:lpwstr>Start Here=start;Setup=setup;Item List=work;Dashboard=dashboard;Method=method;Verify=verify</vt:lpwstr>
  </property>
</Properties>
</file>