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Activities" sheetId="3" r:id="rId3"/>
    <sheet name="Products" sheetId="4" r:id="rId4"/>
    <sheet name="Driver Usage" sheetId="5" r:id="rId5"/>
    <sheet name="Dashboard" sheetId="6" r:id="rId6"/>
    <sheet name="Method" sheetId="7" r:id="rId7"/>
    <sheet name="Verify" sheetId="8" r:id="rId8"/>
  </sheets>
  <definedNames>
    <definedName name="ActivityList">tblActivities[Activity]</definedName>
    <definedName name="BasisTotal">Products!$C$17</definedName>
    <definedName name="Currency">Setup!$C$8</definedName>
    <definedName name="KpiBelow">Dashboard!$G$8</definedName>
    <definedName name="KpiMinMargin">Dashboard!$D$8</definedName>
    <definedName name="KpiPlantMargin">Dashboard!$D$31</definedName>
    <definedName name="KpiPlantRate">Dashboard!$G$31</definedName>
    <definedName name="KpiPool">Dashboard!$B$8</definedName>
    <definedName name="KpiRevenue">Dashboard!$B$31</definedName>
    <definedName name="KpiUnused">Dashboard!$J$31</definedName>
    <definedName name="KpiWorst">Dashboard!$J$8</definedName>
    <definedName name="Period">Setup!$C$7</definedName>
    <definedName name="PlantName">Setup!$C$6</definedName>
    <definedName name="PlantRate">Products!$C$18</definedName>
    <definedName name="_xlnm.Print_Area" localSheetId="2">Activities!$A$1:$L$18</definedName>
    <definedName name="_xlnm.Print_Area" localSheetId="5">Dashboard!$A$1:$L$69</definedName>
    <definedName name="_xlnm.Print_Area" localSheetId="4">'Driver Usage'!$A$1:$I$62</definedName>
    <definedName name="_xlnm.Print_Area" localSheetId="6">Method!$A$1:$D$58</definedName>
    <definedName name="_xlnm.Print_Area" localSheetId="3">Products!$A$1:$S$18</definedName>
    <definedName name="_xlnm.Print_Area" localSheetId="1">Setup!$A$1:$E$15</definedName>
    <definedName name="_xlnm.Print_Area" localSheetId="0">'Start Here'!$A$1:$F$58</definedName>
    <definedName name="_xlnm.Print_Area" localSheetId="7">Verify!$A$1:$S$73</definedName>
    <definedName name="_xlnm.Print_Titles" localSheetId="2">Activities!$1:$6</definedName>
    <definedName name="_xlnm.Print_Titles" localSheetId="4">'Driver Usage'!$1:$6</definedName>
    <definedName name="_xlnm.Print_Titles" localSheetId="6">Method!$1:$2</definedName>
    <definedName name="_xlnm.Print_Titles" localSheetId="3">Products!$1:$6</definedName>
    <definedName name="ProductList">tblProducts[Product]</definedName>
    <definedName name="SelfCheck">Verify!$D$4</definedName>
    <definedName name="SelfCheckSummary">Verify!$F$4</definedName>
    <definedName name="TargetMargin">Setup!$C$13</definedName>
    <definedName name="TotalAssigned">Activities!$C$17</definedName>
    <definedName name="TotalPool">Activities!$C$16</definedName>
    <definedName name="TotalUnused">Activities!$C$18</definedName>
    <definedName name="TradBasis">Setup!$C$12</definedName>
  </definedNames>
  <calcPr calcId="124519" fullCalcOnLoad="1"/>
</workbook>
</file>

<file path=xl/sharedStrings.xml><?xml version="1.0" encoding="utf-8"?>
<sst xmlns="http://schemas.openxmlformats.org/spreadsheetml/2006/main" count="600" uniqueCount="273">
  <si>
    <t>Activity-Based Costing</t>
  </si>
  <si>
    <t>Read this first: what the workbook does and how to use it.</t>
  </si>
  <si>
    <t>mfgcalcs.com</t>
  </si>
  <si>
    <t>Assign overhead to products by the activities they use, compare it with a single plantwide rate, and see which products are really profitable.</t>
  </si>
  <si>
    <t>For: Plant controllers, cost accountants, finance and pricing managers, and plant managers in manufacturing businesses with a mixed product range.</t>
  </si>
  <si>
    <t>Version 1.0.0  ·  updated 15 October 2026</t>
  </si>
  <si>
    <t>Quick start</t>
  </si>
  <si>
    <t>1.</t>
  </si>
  <si>
    <t>On Setup, type your company, currency and period, choose the traditional allocation base (labour or machine hours) and set your margin target.</t>
  </si>
  <si>
    <t>2.</t>
  </si>
  <si>
    <t>On Activities, list each overhead cost pool with its cost driver and, if you know it, its practical capacity.</t>
  </si>
  <si>
    <t>3.</t>
  </si>
  <si>
    <t>On Products, type each product's volume, price, direct material, direct labour and hours per unit.</t>
  </si>
  <si>
    <t>4.</t>
  </si>
  <si>
    <t>On Driver Usage, type how much of each driver every product used (setups, purchase orders, hours). Fix anything the Check columns name.</t>
  </si>
  <si>
    <t>5.</t>
  </si>
  <si>
    <t>Open the Dashboard: margin by product under both methods, the overhead each method gives every product, and the activity rates.</t>
  </si>
  <si>
    <t>What is in this workbook</t>
  </si>
  <si>
    <t>Start Here</t>
  </si>
  <si>
    <t>Setup</t>
  </si>
  <si>
    <t>Company, currency and period, the traditional allocation base to compare with, and your margin target.</t>
  </si>
  <si>
    <t>Activities</t>
  </si>
  <si>
    <t>One row per overhead activity: its cost pool, cost driver and capacity in; activity rate and unused capacity out.</t>
  </si>
  <si>
    <t>Products</t>
  </si>
  <si>
    <t>One row per product: volume, price and direct cost in; overhead and unit cost by both methods, margins and the gap out.</t>
  </si>
  <si>
    <t>Driver Usage</t>
  </si>
  <si>
    <t>One row per product and activity: how much of the cost driver the product used, and the cost that assigns.</t>
  </si>
  <si>
    <t>Dashboard</t>
  </si>
  <si>
    <t>Which products the single rate over-costs and under-costs, margin by product under both methods, and the activity rates.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</si>
  <si>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</si>
  <si>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</si>
  <si>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</si>
  <si>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</si>
  <si>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</si>
  <si>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</si>
  <si>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</si>
  <si>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</si>
  <si>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</si>
  <si>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</si>
  <si>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</si>
  <si>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</si>
  <si>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</si>
  <si>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</si>
  <si>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</si>
  <si>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</si>
  <si>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</si>
  <si>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</si>
  <si>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</si>
  <si>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</si>
  <si>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Cost Center Rate Calculator on mfgcalcs.com</t>
  </si>
  <si>
    <t>Latest version</t>
  </si>
  <si>
    <t>mfgcalcs.com/templates/activity-based-costing</t>
  </si>
  <si>
    <t>More free templates</t>
  </si>
  <si>
    <t>mfgcalcs.com/templates</t>
  </si>
  <si>
    <t>Version</t>
  </si>
  <si>
    <t>1.0.0 (updated 15 October 2026)</t>
  </si>
  <si>
    <t>About the example data</t>
  </si>
  <si>
    <t>Every number already in this workbook is example data for Brightwater Valves, a fictional business invented for this template, so the dashboard and charts show something meaningful on day one. It covers eight valve product families, seven activity cost pools and one year's budgeted volumes, prices and driver counts; every figure is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</si>
  <si>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</si>
  <si>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</si>
  <si>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</si>
  <si>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</si>
  <si>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</si>
  <si>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</si>
  <si>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</si>
  <si>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</si>
  <si>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Company and period</t>
  </si>
  <si>
    <t>Company or plant</t>
  </si>
  <si>
    <t>Brightwater Valves (example)</t>
  </si>
  <si>
    <t>Period the costs cover</t>
  </si>
  <si>
    <t>FY 2026 budget</t>
  </si>
  <si>
    <t>Currency label</t>
  </si>
  <si>
    <t>USD</t>
  </si>
  <si>
    <t>Comparison and target</t>
  </si>
  <si>
    <t>Traditional allocation base</t>
  </si>
  <si>
    <t>Direct labour hours</t>
  </si>
  <si>
    <t>Margin target on price</t>
  </si>
  <si>
    <t>The margin target is yours, not an industry figure. Margin here is after direct material, direct labour and the overhead each method assigns; selling, general and administrative costs are not included unless you put them in an activity pool.</t>
  </si>
  <si>
    <t>Activity</t>
  </si>
  <si>
    <t>Cost pool</t>
  </si>
  <si>
    <t>Cost driver</t>
  </si>
  <si>
    <t>Practical capacity</t>
  </si>
  <si>
    <t>Driver volume</t>
  </si>
  <si>
    <t>Activity rate</t>
  </si>
  <si>
    <t>Assigned to products</t>
  </si>
  <si>
    <t>Unused capacity</t>
  </si>
  <si>
    <t>Share of overhead</t>
  </si>
  <si>
    <t>Check</t>
  </si>
  <si>
    <t>Notes</t>
  </si>
  <si>
    <t>Example data for Brightwater Valves (fictional). Overwrite the yellow cells with your own activity pools; to clear them, select the example rows, right-click, Delete &gt; Table Rows. The pools should add up to the overhead you want to assign.</t>
  </si>
  <si>
    <t>driver units</t>
  </si>
  <si>
    <t>Machine setups</t>
  </si>
  <si>
    <t>Setups</t>
  </si>
  <si>
    <t>Setters, first-off checks, setup scrap</t>
  </si>
  <si>
    <t>Purchasing and receiving</t>
  </si>
  <si>
    <t>Purchase orders</t>
  </si>
  <si>
    <t>Buyers, goods-in, supplier invoices</t>
  </si>
  <si>
    <t>Production scheduling</t>
  </si>
  <si>
    <t>Production orders</t>
  </si>
  <si>
    <t>Planners, kitting, order paperwork</t>
  </si>
  <si>
    <t>Quality inspection</t>
  </si>
  <si>
    <t>Inspection hours</t>
  </si>
  <si>
    <t>Inspectors and the test bench; capacity = staffed hours</t>
  </si>
  <si>
    <t>Engineering support</t>
  </si>
  <si>
    <t>Engineering hours</t>
  </si>
  <si>
    <t>Drawings, revisions, customer queries</t>
  </si>
  <si>
    <t>Machining</t>
  </si>
  <si>
    <t>Machine hours</t>
  </si>
  <si>
    <t>Depreciation, power, tooling, maintenance; capacity = practical machine hours</t>
  </si>
  <si>
    <t>Orders and shipping</t>
  </si>
  <si>
    <t>Shipments</t>
  </si>
  <si>
    <t>Order entry, packing, despatch</t>
  </si>
  <si>
    <t>Totals</t>
  </si>
  <si>
    <t>Overhead in all pools</t>
  </si>
  <si>
    <t>Assigned to products (ABC)</t>
  </si>
  <si>
    <t>Unused capacity (period cost)</t>
  </si>
  <si>
    <t>Product</t>
  </si>
  <si>
    <t>Volume (units)</t>
  </si>
  <si>
    <t>Price</t>
  </si>
  <si>
    <t>Material</t>
  </si>
  <si>
    <t>Direct labour</t>
  </si>
  <si>
    <t>Labour hours (h/unit)</t>
  </si>
  <si>
    <t>Machine hours (h/unit)</t>
  </si>
  <si>
    <t>Direct cost</t>
  </si>
  <si>
    <t>ABC overhead</t>
  </si>
  <si>
    <t>Traditional overhead</t>
  </si>
  <si>
    <t>ABC unit cost</t>
  </si>
  <si>
    <t>Traditional unit cost</t>
  </si>
  <si>
    <t>ABC vs traditional</t>
  </si>
  <si>
    <t>ABC margin</t>
  </si>
  <si>
    <t>Traditional margin</t>
  </si>
  <si>
    <t>Margin status</t>
  </si>
  <si>
    <t>Example data for Brightwater Valves (fictional). Overwrite the yellow cells with your products; to clear them, select the example rows, right-click, Delete &gt; Table Rows. Volume, prices and costs are for the Setup period.</t>
  </si>
  <si>
    <t>BV-25 ball valve</t>
  </si>
  <si>
    <t>DN25; runner: long batches, shipped by the pallet</t>
  </si>
  <si>
    <t>BV-50 ball valve</t>
  </si>
  <si>
    <t/>
  </si>
  <si>
    <t>BV-80 ball valve</t>
  </si>
  <si>
    <t>CK-50 check valve</t>
  </si>
  <si>
    <t>GV-100 gate valve</t>
  </si>
  <si>
    <t>DN100 to customer drawings, frequent revisions</t>
  </si>
  <si>
    <t>AV-50 actuated valve</t>
  </si>
  <si>
    <t>DN50, made to order, bought-in actuators</t>
  </si>
  <si>
    <t>SK-01 spares kit</t>
  </si>
  <si>
    <t>Seals and spares, many small orders</t>
  </si>
  <si>
    <t>CV-40 cryo valve</t>
  </si>
  <si>
    <t>DN40 cryogenic special: extended bonnet, full testing</t>
  </si>
  <si>
    <t>Traditional costing: one rate for all overhead</t>
  </si>
  <si>
    <t>Traditional allocation base, all products</t>
  </si>
  <si>
    <t>h</t>
  </si>
  <si>
    <t>Plantwide overhead rate (traditional)</t>
  </si>
  <si>
    <t>Driver quantity</t>
  </si>
  <si>
    <t>Assigned cost</t>
  </si>
  <si>
    <t>Example data for Brightwater Valves (fictional): eight products x seven activities. Machine hours are volume x machine hours per unit. To clear: select the example rows, right-click, Delete &gt; Table Rows. Leave out a product and activity pair that used none of the driver.</t>
  </si>
  <si>
    <t>LOWEST PRODUCT MARGIN (ABC)</t>
  </si>
  <si>
    <t>PRODUCTS BELOW THE MARGIN TARGET (ABC)</t>
  </si>
  <si>
    <t>MOST UNDER-COSTED BY THE SINGLE RATE</t>
  </si>
  <si>
    <t>Assigned by each activity's cost driver</t>
  </si>
  <si>
    <t>Largest ABC unit cost above traditional</t>
  </si>
  <si>
    <t>PLANT MARGIN (BOTH METHODS)</t>
  </si>
  <si>
    <t>Volume x price, all products</t>
  </si>
  <si>
    <t>Traditional: all overhead / base hours</t>
  </si>
  <si>
    <t>Pool cost no product used</t>
  </si>
  <si>
    <t>By product: overhead, unit cost and margin under both methods</t>
  </si>
  <si>
    <t>ABC overhead, total</t>
  </si>
  <si>
    <t>Traditional overhead, total</t>
  </si>
  <si>
    <t>Margin status (ABC)</t>
  </si>
  <si>
    <t>By activity: pool, driver and rate</t>
  </si>
  <si>
    <t>The Dashboard shows the first 8 products and 8 activities of their sheets. If you add more, extend the 'By product' and 'By activity' blocks and the chart ranges (see Method).</t>
  </si>
  <si>
    <t>Chart data: margin target</t>
  </si>
  <si>
    <t>Margin target</t>
  </si>
  <si>
    <t>What this workbook calculates</t>
  </si>
  <si>
    <t>Traditional costing spreads all overhead with one rate per labour or machine hour, so every product carries overhead in proportion to its hours. Activity-based costing (ABC) first splits overhead into activity pools (setups, purchasing, inspection, engineering, machining, shipping), then charges each product for the driver units it actually uses: a product with many small batches pays for many setups, whatever its hours. The difference shows which products subsidise which.</t>
  </si>
  <si>
    <t>Calculations</t>
  </si>
  <si>
    <t>Quantity</t>
  </si>
  <si>
    <t>How it is calculated</t>
  </si>
  <si>
    <t>Units</t>
  </si>
  <si>
    <t>Sum of the activity's driver quantities on Driver Usage.</t>
  </si>
  <si>
    <t>Cost pool / practical capacity; when no capacity is given, cost pool / driver volume.</t>
  </si>
  <si>
    <t>currency/driver</t>
  </si>
  <si>
    <t>Driver quantity x activity rate, per Driver Usage row; summed per activity it is the cost assigned to products.</t>
  </si>
  <si>
    <t>currency</t>
  </si>
  <si>
    <t>Cost pool - cost assigned to products: zero unless a practical capacity above the volume used is given.</t>
  </si>
  <si>
    <t>ABC overhead per unit</t>
  </si>
  <si>
    <t>Sum of the product's assigned costs / its volume.</t>
  </si>
  <si>
    <t>currency/unit</t>
  </si>
  <si>
    <t>Plantwide rate</t>
  </si>
  <si>
    <t>Overhead in all pools / (sum of volume x hours per unit on the Setup base).</t>
  </si>
  <si>
    <t>currency/h</t>
  </si>
  <si>
    <t>Traditional overhead per unit</t>
  </si>
  <si>
    <t>Hours per unit on the Setup base (labour or machine) x plantwide rate.</t>
  </si>
  <si>
    <t>Unit costs</t>
  </si>
  <si>
    <t>Direct cost (material + direct labour) + ABC overhead, or + traditional overhead.</t>
  </si>
  <si>
    <t>ABC unit cost / traditional unit cost - 1; positive = the single rate under-costs the product.</t>
  </si>
  <si>
    <t>%</t>
  </si>
  <si>
    <t>Margins and status</t>
  </si>
  <si>
    <t>(Price - unit cost) / price, by each method; the ABC margin is compared with the Setup target (Near target = within 5% below it).</t>
  </si>
  <si>
    <t>Plant margin</t>
  </si>
  <si>
    <t>(Revenue - direct cost - all overhead) / revenue. The same under both methods: ABC moves overhead between products, it does not change the total.</t>
  </si>
  <si>
    <t>Assumptions</t>
  </si>
  <si>
    <t>Cost pools, volumes, prices and driver counts cover the same period (the Setup label).</t>
  </si>
  <si>
    <t>Each activity's cost varies with one driver; its rate is the same for every product.</t>
  </si>
  <si>
    <t>Traditional costing charges all overhead to products at one rate; ABC charges products for what they used and leaves unused capacity as a period cost.</t>
  </si>
  <si>
    <t>Direct material and direct labour are traced to products and are the same under both methods.</t>
  </si>
  <si>
    <t>Limitations</t>
  </si>
  <si>
    <t>The Dashboard blocks hold 8 products and 8 activities (a warning shows when a list is longer); to extend, unprotect the Dashboard, copy the last row of each block down and extend the chart ranges.</t>
  </si>
  <si>
    <t>Driver counts are only as good as their source; a rough count is still usually better than spreading everything on hours.</t>
  </si>
  <si>
    <t>Margins exclude selling, general and administrative costs unless you add them as activity pools.</t>
  </si>
  <si>
    <t>This is a costing model, not a price list: use it to question prices, product mix and batch sizes, then decide with the customer and capacity in view.</t>
  </si>
  <si>
    <t>Agreement with the live calculator</t>
  </si>
  <si>
    <t>An activity rate is the live Cost Center Rate calculator's rate (cost centre budget / productive hours) and a product's assigned cost is its assigned job cost (rate x job hours). The build checks the reference against the calculator's engine for the calculator's own example (150,000 budget, 5,000 productive hours, a 12-hour job: 30.00 per hour and 360.00 assigned) and the Verify sheet runs that example through the Activities and Driver Usage formulas, with 5,000 hours as the practical capacity. The plantwide rate is the Burden Rate calculator's overhead budget / budget direct labour hours (120,000 / 6,000 = 20.00 per hour), also checked. Difference: the calculators take one pool; this workbook takes many and compares the two methods product by product.</t>
  </si>
  <si>
    <t>Open the Cost Center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</si>
  <si>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</si>
  <si>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</si>
  <si>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Cooper, R. and Kaplan, R. S., Measure costs right: make the right decisions, Harvard Business Review, 1988 (activity-based costing).</t>
  </si>
  <si>
    <t>Kaplan, R. S. and Anderson, S. R., Time-Driven Activity-Based Costing, Harvard Business School Press, 2007 (rates on practical capacity, unused capacity).</t>
  </si>
  <si>
    <t>MFG Calcs Cost Center Rate calculator (cost-center-rate) and Burden Rate calculator (burden-rate).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</si>
  <si>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</si>
  <si>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</si>
  <si>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</si>
  <si>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</si>
  <si>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</si>
  <si>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</si>
  <si>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</si>
  <si>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</si>
  <si>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</si>
  <si>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</si>
  <si>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</si>
  <si>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</si>
  <si>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</si>
  <si>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</si>
  <si>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</si>
  <si>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</si>
  <si>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Calculator example: activity rate = 150,000 / 5,000</t>
  </si>
  <si>
    <t>Calculator example: unused capacity (3,912 of 5,000 h used)</t>
  </si>
  <si>
    <t>Setups: rate on driver volume (no capacity given)</t>
  </si>
  <si>
    <t>Idle pool: Check reports no usage</t>
  </si>
  <si>
    <t>No driver usage rows</t>
  </si>
  <si>
    <t>exact</t>
  </si>
  <si>
    <t>Idle pool: whole pool is unused</t>
  </si>
  <si>
    <t>Job A, 12 h: assigned cost = calculator's 360</t>
  </si>
  <si>
    <t>Plantwide rate (labour hours)</t>
  </si>
  <si>
    <t>Job A: ABC overhead per unit</t>
  </si>
  <si>
    <t>Job A: traditional overhead per unit</t>
  </si>
  <si>
    <t>Job A: ABC margin</t>
  </si>
  <si>
    <t>Job B: ABC overhead per unit</t>
  </si>
  <si>
    <t>Job B: traditional overhead per unit</t>
  </si>
  <si>
    <t>Job B: ABC margin</t>
  </si>
  <si>
    <t>Job C: ABC overhead per unit</t>
  </si>
  <si>
    <t>Job C: traditional overhead per unit</t>
  </si>
  <si>
    <t>Job C: ABC margin</t>
  </si>
  <si>
    <t>Job C: ABC vs traditional</t>
  </si>
  <si>
    <t>Job B: traditional margin</t>
  </si>
  <si>
    <t>Overhead in all pools (Dashboard)</t>
  </si>
  <si>
    <t>Unused capacity (Dashboard)</t>
  </si>
  <si>
    <t>Lowest product margin, ABC (Dashboard)</t>
  </si>
  <si>
    <t>Products below the margin target (Dashboard)</t>
  </si>
  <si>
    <t>Plant margin (Dashboard)</t>
  </si>
  <si>
    <t>Fixed test inputs</t>
  </si>
  <si>
    <t>White cells are fixed test inputs; blue cells are the workbook's formulas evaluated on them.</t>
  </si>
  <si>
    <t>Parameters</t>
  </si>
  <si>
    <t>Test table: Activities</t>
  </si>
  <si>
    <t>Calculator example</t>
  </si>
  <si>
    <t>Hours</t>
  </si>
  <si>
    <t>Idle pool</t>
  </si>
  <si>
    <t>Orders</t>
  </si>
  <si>
    <t>Test table: Products</t>
  </si>
  <si>
    <t>Job A</t>
  </si>
  <si>
    <t>Job B</t>
  </si>
  <si>
    <t>Job C</t>
  </si>
  <si>
    <t>Test table: Usage</t>
  </si>
  <si>
    <t>Test totals (same formulas as the Activities sheet)</t>
  </si>
  <si>
    <t>Test plantwide rate (same formulas as the Products sheet)</t>
  </si>
</sst>
</file>

<file path=xl/styles.xml><?xml version="1.0" encoding="utf-8"?>
<styleSheet xmlns="http://schemas.openxmlformats.org/spreadsheetml/2006/main">
  <numFmts count="9">
    <numFmt numFmtId="164" formatCode="0.0%"/>
    <numFmt numFmtId="165" formatCode="#,##0"/>
    <numFmt numFmtId="166" formatCode="#,##0.0"/>
    <numFmt numFmtId="167" formatCode="#,##0.00"/>
    <numFmt numFmtId="168" formatCode="+0.0%;-0.0%;0.0%"/>
    <numFmt numFmtId="169" formatCode="&quot;Target &quot;0.0%"/>
    <numFmt numFmtId="170" formatCode="&quot;Target &quot;#,##0"/>
    <numFmt numFmtId="171" formatCode="0.0E+00"/>
    <numFmt numFmtId="172"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10"/>
      <color rgb="FF14386C"/>
      <name val="Calibri"/>
      <family val="2"/>
      <scheme val="minor"/>
    </font>
    <font>
      <b/>
      <sz val="9"/>
      <color rgb="FF4A5361"/>
      <name val="Calibri"/>
      <family val="2"/>
      <scheme val="minor"/>
    </font>
    <font>
      <b/>
      <sz val="14"/>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21" fillId="0" borderId="0" xfId="0" applyFont="1" applyAlignment="1">
      <alignment vertical="center"/>
    </xf>
    <xf numFmtId="165" fontId="9" fillId="4" borderId="3" xfId="0" applyNumberFormat="1" applyFont="1" applyFill="1" applyBorder="1" applyAlignment="1">
      <alignment vertical="center"/>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9"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0" fontId="8" fillId="0" borderId="0" xfId="0" applyFont="1" applyAlignment="1">
      <alignment vertical="center"/>
    </xf>
    <xf numFmtId="0" fontId="18"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169" fontId="24" fillId="9" borderId="7" xfId="0" applyNumberFormat="1" applyFont="1" applyFill="1" applyBorder="1" applyAlignment="1">
      <alignment horizontal="left" vertical="center"/>
    </xf>
    <xf numFmtId="170" fontId="24" fillId="9" borderId="7" xfId="0" applyNumberFormat="1" applyFont="1" applyFill="1" applyBorder="1" applyAlignment="1">
      <alignment horizontal="left" vertical="center"/>
    </xf>
    <xf numFmtId="0" fontId="22" fillId="9" borderId="8" xfId="0" applyFont="1" applyFill="1" applyBorder="1" applyAlignment="1">
      <alignment vertical="center"/>
    </xf>
    <xf numFmtId="167" fontId="4" fillId="9" borderId="7" xfId="0" applyNumberFormat="1" applyFont="1" applyFill="1" applyBorder="1" applyAlignment="1">
      <alignment horizontal="lef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0" fontId="13" fillId="0" borderId="0" xfId="0" applyFont="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165"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5"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by product: traditional vs ABC</a:t>
            </a:r>
          </a:p>
        </c:rich>
      </c:tx>
      <c:layout/>
    </c:title>
    <c:plotArea>
      <c:layout/>
      <c:barChart>
        <c:barDir val="col"/>
        <c:grouping val="clustered"/>
        <c:ser>
          <c:idx val="0"/>
          <c:order val="0"/>
          <c:tx>
            <c:v>Traditional margin</c:v>
          </c:tx>
          <c:spPr>
            <a:solidFill>
              <a:srgbClr val="E8702A"/>
            </a:solidFill>
            <a:ln w="9525">
              <a:solidFill>
                <a:srgbClr val="FFFFFF"/>
              </a:solidFill>
            </a:ln>
          </c:spPr>
          <c:cat>
            <c:strRef>
              <c:f>Dashboard!$B$38:$B$45</c:f>
              <c:strCache>
                <c:ptCount val="8"/>
                <c:pt idx="0">
                  <c:v>BV-25 ball valve</c:v>
                </c:pt>
                <c:pt idx="1">
                  <c:v>BV-50 ball valve</c:v>
                </c:pt>
                <c:pt idx="2">
                  <c:v>BV-80 ball valve</c:v>
                </c:pt>
                <c:pt idx="3">
                  <c:v>CK-50 check valve</c:v>
                </c:pt>
                <c:pt idx="4">
                  <c:v>GV-100 gate valve</c:v>
                </c:pt>
                <c:pt idx="5">
                  <c:v>AV-50 actuated valve</c:v>
                </c:pt>
                <c:pt idx="6">
                  <c:v>SK-01 spares kit</c:v>
                </c:pt>
                <c:pt idx="7">
                  <c:v>CV-40 cryo valve</c:v>
                </c:pt>
              </c:strCache>
            </c:strRef>
          </c:cat>
          <c:val>
            <c:numRef>
              <c:f>Dashboard!$J$38:$J$45</c:f>
              <c:numCache>
                <c:formatCode>General</c:formatCode>
                <c:ptCount val="8"/>
                <c:pt idx="0">
                  <c:v>0.310373964640664</c:v>
                </c:pt>
                <c:pt idx="1">
                  <c:v>0.324175064852178</c:v>
                </c:pt>
                <c:pt idx="2">
                  <c:v>0.322534570380927</c:v>
                </c:pt>
                <c:pt idx="3">
                  <c:v>0.306779894661086</c:v>
                </c:pt>
                <c:pt idx="4">
                  <c:v>0.32661693436237</c:v>
                </c:pt>
                <c:pt idx="5">
                  <c:v>0.226688064788908</c:v>
                </c:pt>
                <c:pt idx="6">
                  <c:v>0.348130984555262</c:v>
                </c:pt>
                <c:pt idx="7">
                  <c:v>0.472942897142387</c:v>
                </c:pt>
              </c:numCache>
            </c:numRef>
          </c:val>
        </c:ser>
        <c:ser>
          <c:idx val="1"/>
          <c:order val="1"/>
          <c:tx>
            <c:v>ABC margin</c:v>
          </c:tx>
          <c:spPr>
            <a:solidFill>
              <a:srgbClr val="3B64D8"/>
            </a:solidFill>
            <a:ln w="9525">
              <a:solidFill>
                <a:srgbClr val="FFFFFF"/>
              </a:solidFill>
            </a:ln>
          </c:spPr>
          <c:cat>
            <c:strRef>
              <c:f>Dashboard!$B$38:$B$45</c:f>
              <c:strCache>
                <c:ptCount val="8"/>
                <c:pt idx="0">
                  <c:v>BV-25 ball valve</c:v>
                </c:pt>
                <c:pt idx="1">
                  <c:v>BV-50 ball valve</c:v>
                </c:pt>
                <c:pt idx="2">
                  <c:v>BV-80 ball valve</c:v>
                </c:pt>
                <c:pt idx="3">
                  <c:v>CK-50 check valve</c:v>
                </c:pt>
                <c:pt idx="4">
                  <c:v>GV-100 gate valve</c:v>
                </c:pt>
                <c:pt idx="5">
                  <c:v>AV-50 actuated valve</c:v>
                </c:pt>
                <c:pt idx="6">
                  <c:v>SK-01 spares kit</c:v>
                </c:pt>
                <c:pt idx="7">
                  <c:v>CV-40 cryo valve</c:v>
                </c:pt>
              </c:strCache>
            </c:strRef>
          </c:cat>
          <c:val>
            <c:numRef>
              <c:f>Dashboard!$I$38:$I$45</c:f>
              <c:numCache>
                <c:formatCode>General</c:formatCode>
                <c:ptCount val="8"/>
                <c:pt idx="0">
                  <c:v>0.405817583266571</c:v>
                </c:pt>
                <c:pt idx="1">
                  <c:v>0.394612855550126</c:v>
                </c:pt>
                <c:pt idx="2">
                  <c:v>0.3742986095383</c:v>
                </c:pt>
                <c:pt idx="3">
                  <c:v>0.351314643780975</c:v>
                </c:pt>
                <c:pt idx="4">
                  <c:v>0.337136044581245</c:v>
                </c:pt>
                <c:pt idx="5">
                  <c:v>0.0592946787317623</c:v>
                </c:pt>
                <c:pt idx="6">
                  <c:v>0.261670962681484</c:v>
                </c:pt>
                <c:pt idx="7">
                  <c:v>0.145866529994561</c:v>
                </c:pt>
              </c:numCache>
            </c:numRef>
          </c:val>
        </c:ser>
        <c:gapWidth val="60"/>
        <c:overlap val="-10"/>
        <c:axId val="50010001"/>
        <c:axId val="50010002"/>
      </c:barChart>
      <c:lineChart>
        <c:grouping val="standard"/>
        <c:ser>
          <c:idx val="2"/>
          <c:order val="2"/>
          <c:tx>
            <c:v>Margin target</c:v>
          </c:tx>
          <c:spPr>
            <a:ln w="19050">
              <a:solidFill>
                <a:srgbClr val="4A5361"/>
              </a:solidFill>
              <a:prstDash val="dash"/>
            </a:ln>
          </c:spPr>
          <c:marker>
            <c:symbol val="none"/>
          </c:marker>
          <c:cat>
            <c:strRef>
              <c:f>Dashboard!$B$38:$B$45</c:f>
              <c:strCache>
                <c:ptCount val="8"/>
                <c:pt idx="0">
                  <c:v>BV-25 ball valve</c:v>
                </c:pt>
                <c:pt idx="1">
                  <c:v>BV-50 ball valve</c:v>
                </c:pt>
                <c:pt idx="2">
                  <c:v>BV-80 ball valve</c:v>
                </c:pt>
                <c:pt idx="3">
                  <c:v>CK-50 check valve</c:v>
                </c:pt>
                <c:pt idx="4">
                  <c:v>GV-100 gate valve</c:v>
                </c:pt>
                <c:pt idx="5">
                  <c:v>AV-50 actuated valve</c:v>
                </c:pt>
                <c:pt idx="6">
                  <c:v>SK-01 spares kit</c:v>
                </c:pt>
                <c:pt idx="7">
                  <c:v>CV-40 cryo valve</c:v>
                </c:pt>
              </c:strCache>
            </c:strRef>
          </c:cat>
          <c:val>
            <c:numRef>
              <c:f>Dashboard!$C$62:$C$69</c:f>
              <c:numCache>
                <c:formatCode>General</c:formatCode>
                <c:ptCount val="8"/>
                <c:pt idx="0">
                  <c:v>0.25</c:v>
                </c:pt>
                <c:pt idx="1">
                  <c:v>0.25</c:v>
                </c:pt>
                <c:pt idx="2">
                  <c:v>0.25</c:v>
                </c:pt>
                <c:pt idx="3">
                  <c:v>0.25</c:v>
                </c:pt>
                <c:pt idx="4">
                  <c:v>0.25</c:v>
                </c:pt>
                <c:pt idx="5">
                  <c:v>0.25</c:v>
                </c:pt>
                <c:pt idx="6">
                  <c:v>0.25</c:v>
                </c:pt>
                <c:pt idx="7">
                  <c:v>0.25</c:v>
                </c:pt>
              </c:numCache>
            </c:numRef>
          </c:val>
        </c:ser>
        <c:marker val="1"/>
        <c:axId val="50010001"/>
        <c:axId val="50010002"/>
      </c:lineChart>
      <c:catAx>
        <c:axId val="50010001"/>
        <c:scaling>
          <c:orientation val="minMax"/>
        </c:scaling>
        <c:axPos val="b"/>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Overhead each method gives a product</a:t>
            </a:r>
          </a:p>
        </c:rich>
      </c:tx>
      <c:layout/>
    </c:title>
    <c:plotArea>
      <c:layout/>
      <c:barChart>
        <c:barDir val="bar"/>
        <c:grouping val="clustered"/>
        <c:ser>
          <c:idx val="0"/>
          <c:order val="0"/>
          <c:tx>
            <c:v>Traditional</c:v>
          </c:tx>
          <c:spPr>
            <a:solidFill>
              <a:srgbClr val="E8702A"/>
            </a:solidFill>
            <a:ln w="9525">
              <a:solidFill>
                <a:srgbClr val="FFFFFF"/>
              </a:solidFill>
            </a:ln>
          </c:spPr>
          <c:cat>
            <c:strRef>
              <c:f>Dashboard!$B$38:$B$45</c:f>
              <c:strCache>
                <c:ptCount val="8"/>
                <c:pt idx="0">
                  <c:v>BV-25 ball valve</c:v>
                </c:pt>
                <c:pt idx="1">
                  <c:v>BV-50 ball valve</c:v>
                </c:pt>
                <c:pt idx="2">
                  <c:v>BV-80 ball valve</c:v>
                </c:pt>
                <c:pt idx="3">
                  <c:v>CK-50 check valve</c:v>
                </c:pt>
                <c:pt idx="4">
                  <c:v>GV-100 gate valve</c:v>
                </c:pt>
                <c:pt idx="5">
                  <c:v>AV-50 actuated valve</c:v>
                </c:pt>
                <c:pt idx="6">
                  <c:v>SK-01 spares kit</c:v>
                </c:pt>
                <c:pt idx="7">
                  <c:v>CV-40 cryo valve</c:v>
                </c:pt>
              </c:strCache>
            </c:strRef>
          </c:cat>
          <c:val>
            <c:numRef>
              <c:f>Dashboard!$E$38:$E$45</c:f>
              <c:numCache>
                <c:formatCode>General</c:formatCode>
                <c:ptCount val="8"/>
                <c:pt idx="0">
                  <c:v>332043.152433501</c:v>
                </c:pt>
                <c:pt idx="1">
                  <c:v>222350.325290291</c:v>
                </c:pt>
                <c:pt idx="2">
                  <c:v>163056.90521288</c:v>
                </c:pt>
                <c:pt idx="3">
                  <c:v>103269.373301491</c:v>
                </c:pt>
                <c:pt idx="4">
                  <c:v>148628.83966071</c:v>
                </c:pt>
                <c:pt idx="5">
                  <c:v>142304.208185786</c:v>
                </c:pt>
                <c:pt idx="6">
                  <c:v>44470.0650580581</c:v>
                </c:pt>
                <c:pt idx="7">
                  <c:v>43877.130857284</c:v>
                </c:pt>
              </c:numCache>
            </c:numRef>
          </c:val>
        </c:ser>
        <c:ser>
          <c:idx val="1"/>
          <c:order val="1"/>
          <c:tx>
            <c:v>ABC</c:v>
          </c:tx>
          <c:spPr>
            <a:solidFill>
              <a:srgbClr val="3B64D8"/>
            </a:solidFill>
            <a:ln w="9525">
              <a:solidFill>
                <a:srgbClr val="FFFFFF"/>
              </a:solidFill>
            </a:ln>
          </c:spPr>
          <c:cat>
            <c:strRef>
              <c:f>Dashboard!$B$38:$B$45</c:f>
              <c:strCache>
                <c:ptCount val="8"/>
                <c:pt idx="0">
                  <c:v>BV-25 ball valve</c:v>
                </c:pt>
                <c:pt idx="1">
                  <c:v>BV-50 ball valve</c:v>
                </c:pt>
                <c:pt idx="2">
                  <c:v>BV-80 ball valve</c:v>
                </c:pt>
                <c:pt idx="3">
                  <c:v>CK-50 check valve</c:v>
                </c:pt>
                <c:pt idx="4">
                  <c:v>GV-100 gate valve</c:v>
                </c:pt>
                <c:pt idx="5">
                  <c:v>AV-50 actuated valve</c:v>
                </c:pt>
                <c:pt idx="6">
                  <c:v>SK-01 spares kit</c:v>
                </c:pt>
                <c:pt idx="7">
                  <c:v>CV-40 cryo valve</c:v>
                </c:pt>
              </c:strCache>
            </c:strRef>
          </c:cat>
          <c:val>
            <c:numRef>
              <c:f>Dashboard!$D$38:$D$45</c:f>
              <c:numCache>
                <c:formatCode>General</c:formatCode>
                <c:ptCount val="8"/>
                <c:pt idx="0">
                  <c:v>179715.137106553</c:v>
                </c:pt>
                <c:pt idx="1">
                  <c:v>141205.990406254</c:v>
                </c:pt>
                <c:pt idx="2">
                  <c:v>117245.730558604</c:v>
                </c:pt>
                <c:pt idx="3">
                  <c:v>80734.7902468269</c:v>
                </c:pt>
                <c:pt idx="4">
                  <c:v>139708.634195104</c:v>
                </c:pt>
                <c:pt idx="5">
                  <c:v>265840.527095959</c:v>
                </c:pt>
                <c:pt idx="6">
                  <c:v>61589.1493890662</c:v>
                </c:pt>
                <c:pt idx="7">
                  <c:v>142000.041001632</c:v>
                </c:pt>
              </c:numCache>
            </c:numRef>
          </c:val>
        </c:ser>
        <c:gapWidth val="40"/>
        <c:overlap val="-1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quot;k&quot;"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lustered column chart of each product's margin under traditional costing and under activity-based costing, with the margin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Horizontal clustered bar chart of the total overhead each product receives for the period under traditional costing and under activity-based costing."/>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Activities" displayName="tblActivities" ref="B6:L13" totalsRowShown="0">
  <autoFilter ref="B6:L13"/>
  <tableColumns count="11">
    <tableColumn id="1" name="Activity"/>
    <tableColumn id="2" name="Cost pool"/>
    <tableColumn id="3" name="Cost driver"/>
    <tableColumn id="4" name="Practical capacity"/>
    <tableColumn id="5" name="Driver volume">
      <calculatedColumnFormula>IF(tblActivities[[#This Row],[Activity]]="","",SUMIFS(tblUsage[Driver quantity],tblUsage[Activity],tblActivities[[#This Row],[Activity]]))</calculatedColumnFormula>
    </tableColumn>
    <tableColumn id="6" name="Activity rate">
      <calculatedColumnFormula>IF(tblActivities[[#This Row],[Activity]]="","",IF(N(tblActivities[[#This Row],[Practical capacity]])&gt;0,tblActivities[[#This Row],[Cost pool]]/tblActivities[[#This Row],[Practical capacity]],IF(tblActivities[[#This Row],[Driver volume]]&gt;0,tblActivities[[#This Row],[Cost pool]]/tblActivities[[#This Row],[Driver volume]],"")))</calculatedColumnFormula>
    </tableColumn>
    <tableColumn id="7" name="Assigned to products">
      <calculatedColumnFormula>IF(tblActivities[[#This Row],[Activity]]="","",IF(tblActivities[[#This Row],[Activity rate]]="",0,tblActivities[[#This Row],[Activity rate]]*tblActivities[[#This Row],[Driver volume]]))</calculatedColumnFormula>
    </tableColumn>
    <tableColumn id="8" name="Unused capacity">
      <calculatedColumnFormula>IF(tblActivities[[#This Row],[Activity]]="","",tblActivities[[#This Row],[Cost pool]]-tblActivities[[#This Row],[Assigned to products]])</calculatedColumnFormula>
    </tableColumn>
    <tableColumn id="9" name="Share of overhead">
      <calculatedColumnFormula>IF(tblActivities[[#This Row],[Activity]]="","",IF(SUM(tblActivities[Cost pool])=0,"",tblActivities[[#This Row],[Cost pool]]/SUM(tblActivities[Cost pool])))</calculatedColumnFormula>
    </tableColumn>
    <tableColumn id="10" name="Check">
      <calculatedColumnFormula>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calculatedColumnFormula>
    </tableColumn>
    <tableColumn id="11" name="Notes"/>
  </tableColumns>
  <tableStyleInfo name="TableStyleLight1" showFirstColumn="0" showLastColumn="0" showRowStripes="0" showColumnStripes="0"/>
</table>
</file>

<file path=xl/tables/table2.xml><?xml version="1.0" encoding="utf-8"?>
<table xmlns="http://schemas.openxmlformats.org/spreadsheetml/2006/main" id="2" name="tblProducts" displayName="tblProducts" ref="B6:S14" totalsRowShown="0">
  <autoFilter ref="B6:S14"/>
  <tableColumns count="18">
    <tableColumn id="1" name="Product"/>
    <tableColumn id="2" name="Volume (units)"/>
    <tableColumn id="3" name="Price"/>
    <tableColumn id="4" name="Material"/>
    <tableColumn id="5" name="Direct labour"/>
    <tableColumn id="6" name="Labour hours (h/unit)"/>
    <tableColumn id="7" name="Machine hours (h/unit)"/>
    <tableColumn id="8" name="Direct cost">
      <calculatedColumnFormula>IF(tblProducts[[#This Row],[Product]]="","",tblProducts[[#This Row],[Material]]+tblProducts[[#This Row],[Direct labour]])</calculatedColumnFormula>
    </tableColumn>
    <tableColumn id="9" name="ABC overhead">
      <calculatedColumnFormula>IF(tblProducts[[#This Row],[Product]]="","",IF(N(tblProducts[[#This Row],[Volume (units)]])=0,"",SUMIFS(tblUsage[Assigned cost],tblUsage[Product],tblProducts[[#This Row],[Product]])/tblProducts[[#This Row],[Volume (units)]]))</calculatedColumnFormula>
    </tableColumn>
    <tableColumn id="10" name="Traditional overhead">
      <calculatedColumnFormula>IF(tblProducts[[#This Row],[Product]]="","",IF(PlantRate="","",IF(TradBasis="Machine hours",tblProducts[[#This Row],[Machine hours (h/unit)]],tblProducts[[#This Row],[Labour hours (h/unit)]])*PlantRate))</calculatedColumnFormula>
    </tableColumn>
    <tableColumn id="11" name="ABC unit cost">
      <calculatedColumnFormula>IF(tblProducts[[#This Row],[Product]]="","",IF(tblProducts[[#This Row],[ABC overhead]]="","",tblProducts[[#This Row],[Direct cost]]+tblProducts[[#This Row],[ABC overhead]]))</calculatedColumnFormula>
    </tableColumn>
    <tableColumn id="12" name="Traditional unit cost">
      <calculatedColumnFormula>IF(tblProducts[[#This Row],[Product]]="","",IF(tblProducts[[#This Row],[Traditional overhead]]="","",tblProducts[[#This Row],[Direct cost]]+tblProducts[[#This Row],[Traditional overhead]]))</calculatedColumnFormula>
    </tableColumn>
    <tableColumn id="13" name="ABC vs traditional">
      <calculatedColumnFormula>IF(tblProducts[[#This Row],[Product]]="","",IF(OR(tblProducts[[#This Row],[ABC unit cost]]="",N(tblProducts[[#This Row],[Traditional unit cost]])=0),"",tblProducts[[#This Row],[ABC unit cost]]/tblProducts[[#This Row],[Traditional unit cost]]-1))</calculatedColumnFormula>
    </tableColumn>
    <tableColumn id="14" name="ABC margin">
      <calculatedColumnFormula>IF(tblProducts[[#This Row],[Product]]="","",IF(OR(N(tblProducts[[#This Row],[Price]])=0,tblProducts[[#This Row],[ABC unit cost]]=""),"",(tblProducts[[#This Row],[Price]]-tblProducts[[#This Row],[ABC unit cost]])/tblProducts[[#This Row],[Price]]))</calculatedColumnFormula>
    </tableColumn>
    <tableColumn id="15" name="Traditional margin">
      <calculatedColumnFormula>IF(tblProducts[[#This Row],[Product]]="","",IF(OR(N(tblProducts[[#This Row],[Price]])=0,tblProducts[[#This Row],[Traditional unit cost]]=""),"",(tblProducts[[#This Row],[Price]]-tblProducts[[#This Row],[Traditional unit cost]])/tblProducts[[#This Row],[Price]]))</calculatedColumnFormula>
    </tableColumn>
    <tableColumn id="16" name="Margin status">
      <calculatedColumnFormula>IF(NOT(ISNUMBER(tblProducts[[#This Row],[ABC margin]])),"",IF(tblProducts[[#This Row],[ABC margin]]&gt;=TargetMargin,"On target",IF(tblProducts[[#This Row],[ABC margin]]&gt;=TargetMargin*(1-0.05),"Near target","Below target")))</calculatedColumnFormula>
    </tableColumn>
    <tableColumn id="17" name="Check">
      <calculatedColumnFormula>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calculatedColumnFormula>
    </tableColumn>
    <tableColumn id="18" name="Notes"/>
  </tableColumns>
  <tableStyleInfo name="TableStyleLight1" showFirstColumn="0" showLastColumn="0" showRowStripes="0" showColumnStripes="0"/>
</table>
</file>

<file path=xl/tables/table3.xml><?xml version="1.0" encoding="utf-8"?>
<table xmlns="http://schemas.openxmlformats.org/spreadsheetml/2006/main" id="3" name="tblUsage" displayName="tblUsage" ref="B6:I62" totalsRowShown="0">
  <autoFilter ref="B6:I62"/>
  <tableColumns count="8">
    <tableColumn id="1" name="Product"/>
    <tableColumn id="2" name="Activity"/>
    <tableColumn id="3" name="Driver quantity"/>
    <tableColumn id="4" name="Cost driver">
      <calculatedColumnFormula>IF(tblUsage[[#This Row],[Product]]="","",IFERROR(INDEX(tblActivities[Cost driver],MATCH(tblUsage[[#This Row],[Activity]],tblActivities[Activity],0))&amp;"",""))</calculatedColumnFormula>
    </tableColumn>
    <tableColumn id="5" name="Activity rate">
      <calculatedColumnFormula>IF(tblUsage[[#This Row],[Product]]="","",IFERROR(INDEX(tblActivities[Activity rate],MATCH(tblUsage[[#This Row],[Activity]],tblActivities[Activity],0)),""))</calculatedColumnFormula>
    </tableColumn>
    <tableColumn id="6" name="Assigned cost">
      <calculatedColumnFormula>IF(tblUsage[[#This Row],[Product]]="","",IF(OR(tblUsage[[#This Row],[Activity rate]]="",tblUsage[[#This Row],[Driver quantity]]=""),"",tblUsage[[#This Row],[Driver quantity]]*tblUsage[[#This Row],[Activity rate]]))</calculatedColumnFormula>
    </tableColumn>
    <tableColumn id="7" name="Check">
      <calculatedColumnFormula>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calculatedColumnFormula>
    </tableColumn>
    <tableColumn id="8" name="Notes"/>
  </tableColumns>
  <tableStyleInfo name="TableStyleLight1" showFirstColumn="0" showLastColumn="0" showRowStripes="0" showColumnStripes="0"/>
</table>
</file>

<file path=xl/tables/table4.xml><?xml version="1.0" encoding="utf-8"?>
<table xmlns="http://schemas.openxmlformats.org/spreadsheetml/2006/main" id="4" name="tblVerifyActivities" displayName="tblVerifyActivities" ref="B44:L47" totalsRowShown="0">
  <tableColumns count="11">
    <tableColumn id="1" name="Activity"/>
    <tableColumn id="2" name="Cost pool"/>
    <tableColumn id="3" name="Cost driver"/>
    <tableColumn id="4" name="Practical capacity"/>
    <tableColumn id="5" name="Driver volume">
      <calculatedColumnFormula>IF(tblVerifyActivities[[#This Row],[Activity]]="","",SUMIFS(tblVerifyUsage[Driver quantity],tblVerifyUsage[Activity],tblVerifyActivities[[#This Row],[Activity]]))</calculatedColumnFormula>
    </tableColumn>
    <tableColumn id="6" name="Activity rate">
      <calculatedColumnFormula>IF(tblVerifyActivities[[#This Row],[Activity]]="","",IF(N(tblVerifyActivities[[#This Row],[Practical capacity]])&gt;0,tblVerifyActivities[[#This Row],[Cost pool]]/tblVerifyActivities[[#This Row],[Practical capacity]],IF(tblVerifyActivities[[#This Row],[Driver volume]]&gt;0,tblVerifyActivities[[#This Row],[Cost pool]]/tblVerifyActivities[[#This Row],[Driver volume]],"")))</calculatedColumnFormula>
    </tableColumn>
    <tableColumn id="7" name="Assigned to products">
      <calculatedColumnFormula>IF(tblVerifyActivities[[#This Row],[Activity]]="","",IF(tblVerifyActivities[[#This Row],[Activity rate]]="",0,tblVerifyActivities[[#This Row],[Activity rate]]*tblVerifyActivities[[#This Row],[Driver volume]]))</calculatedColumnFormula>
    </tableColumn>
    <tableColumn id="8" name="Unused capacity">
      <calculatedColumnFormula>IF(tblVerifyActivities[[#This Row],[Activity]]="","",tblVerifyActivities[[#This Row],[Cost pool]]-tblVerifyActivities[[#This Row],[Assigned to products]])</calculatedColumnFormula>
    </tableColumn>
    <tableColumn id="9" name="Share of overhead">
      <calculatedColumnFormula>IF(tblVerifyActivities[[#This Row],[Activity]]="","",IF(SUM(tblVerifyActivities[Cost pool])=0,"",tblVerifyActivities[[#This Row],[Cost pool]]/SUM(tblVerifyActivities[Cost pool])))</calculatedColumnFormula>
    </tableColumn>
    <tableColumn id="10" name="Check">
      <calculatedColumnFormula>IF(tblVerifyActivities[[#This Row],[Activity]]="","",IF(tblVerifyActivities[[#This Row],[Cost pool]]="","Missing cost pool",IF(tblVerifyActivities[[#This Row],[Cost driver]]="","Missing cost driver",IF(COUNTIFS(tblVerifyActivities[Activity],tblVerifyActivities[[#This Row],[Activity]])&gt;1,"Activity listed twice",IF(tblVerifyActivities[[#This Row],[Driver volume]]=0,"No driver usage rows",IF(AND(N(tblVerifyActivities[[#This Row],[Practical capacity]])&gt;0,tblVerifyActivities[[#This Row],[Driver volume]]&gt;tblVerifyActivities[[#This Row],[Practical capacity]]),"Use above practical capacity","OK"))))))</calculatedColumnFormula>
    </tableColumn>
    <tableColumn id="11" name="Notes"/>
  </tableColumns>
  <tableStyleInfo name="TableStyleLight1" showFirstColumn="0" showLastColumn="0" showRowStripes="0" showColumnStripes="0"/>
</table>
</file>

<file path=xl/tables/table5.xml><?xml version="1.0" encoding="utf-8"?>
<table xmlns="http://schemas.openxmlformats.org/spreadsheetml/2006/main" id="5" name="tblVerifyProducts" displayName="tblVerifyProducts" ref="B51:S54" totalsRowShown="0">
  <tableColumns count="18">
    <tableColumn id="1" name="Product"/>
    <tableColumn id="2" name="Volume (units)"/>
    <tableColumn id="3" name="Price"/>
    <tableColumn id="4" name="Material"/>
    <tableColumn id="5" name="Direct labour"/>
    <tableColumn id="6" name="Labour hours (h/unit)"/>
    <tableColumn id="7" name="Machine hours (h/unit)"/>
    <tableColumn id="8" name="Direct cost">
      <calculatedColumnFormula>IF(tblVerifyProducts[[#This Row],[Product]]="","",tblVerifyProducts[[#This Row],[Material]]+tblVerifyProducts[[#This Row],[Direct labour]])</calculatedColumnFormula>
    </tableColumn>
    <tableColumn id="9" name="ABC overhead">
      <calculatedColumnFormula>IF(tblVerifyProducts[[#This Row],[Product]]="","",IF(N(tblVerifyProducts[[#This Row],[Volume (units)]])=0,"",SUMIFS(tblVerifyUsage[Assigned cost],tblVerifyUsage[Product],tblVerifyProducts[[#This Row],[Product]])/tblVerifyProducts[[#This Row],[Volume (units)]]))</calculatedColumnFormula>
    </tableColumn>
    <tableColumn id="10" name="Traditional overhead">
      <calculatedColumnFormula>IF(tblVerifyProducts[[#This Row],[Product]]="","",IF($E$73="","",IF($E$39="Machine hours",tblVerifyProducts[[#This Row],[Machine hours (h/unit)]],tblVerifyProducts[[#This Row],[Labour hours (h/unit)]])*$E$73))</calculatedColumnFormula>
    </tableColumn>
    <tableColumn id="11" name="ABC unit cost">
      <calculatedColumnFormula>IF(tblVerifyProducts[[#This Row],[Product]]="","",IF(tblVerifyProducts[[#This Row],[ABC overhead]]="","",tblVerifyProducts[[#This Row],[Direct cost]]+tblVerifyProducts[[#This Row],[ABC overhead]]))</calculatedColumnFormula>
    </tableColumn>
    <tableColumn id="12" name="Traditional unit cost">
      <calculatedColumnFormula>IF(tblVerifyProducts[[#This Row],[Product]]="","",IF(tblVerifyProducts[[#This Row],[Traditional overhead]]="","",tblVerifyProducts[[#This Row],[Direct cost]]+tblVerifyProducts[[#This Row],[Traditional overhead]]))</calculatedColumnFormula>
    </tableColumn>
    <tableColumn id="13" name="ABC vs traditional">
      <calculatedColumnFormula>IF(tblVerifyProducts[[#This Row],[Product]]="","",IF(OR(tblVerifyProducts[[#This Row],[ABC unit cost]]="",N(tblVerifyProducts[[#This Row],[Traditional unit cost]])=0),"",tblVerifyProducts[[#This Row],[ABC unit cost]]/tblVerifyProducts[[#This Row],[Traditional unit cost]]-1))</calculatedColumnFormula>
    </tableColumn>
    <tableColumn id="14" name="ABC margin">
      <calculatedColumnFormula>IF(tblVerifyProducts[[#This Row],[Product]]="","",IF(OR(N(tblVerifyProducts[[#This Row],[Price]])=0,tblVerifyProducts[[#This Row],[ABC unit cost]]=""),"",(tblVerifyProducts[[#This Row],[Price]]-tblVerifyProducts[[#This Row],[ABC unit cost]])/tblVerifyProducts[[#This Row],[Price]]))</calculatedColumnFormula>
    </tableColumn>
    <tableColumn id="15" name="Traditional margin">
      <calculatedColumnFormula>IF(tblVerifyProducts[[#This Row],[Product]]="","",IF(OR(N(tblVerifyProducts[[#This Row],[Price]])=0,tblVerifyProducts[[#This Row],[Traditional unit cost]]=""),"",(tblVerifyProducts[[#This Row],[Price]]-tblVerifyProducts[[#This Row],[Traditional unit cost]])/tblVerifyProducts[[#This Row],[Price]]))</calculatedColumnFormula>
    </tableColumn>
    <tableColumn id="16" name="Margin status">
      <calculatedColumnFormula>IF(NOT(ISNUMBER(tblVerifyProducts[[#This Row],[ABC margin]])),"",IF(tblVerifyProducts[[#This Row],[ABC margin]]&gt;=$E$40,"On target",IF(tblVerifyProducts[[#This Row],[ABC margin]]&gt;=$E$40*(1-0.05),"Near target","Below target")))</calculatedColumnFormula>
    </tableColumn>
    <tableColumn id="17" name="Check">
      <calculatedColumnFormula>IF(tblVerifyProducts[[#This Row],[Product]]="","",IF(tblVerifyProducts[[#This Row],[Volume (units)]]="","Missing volume",IF(tblVerifyProducts[[#This Row],[Price]]="","Missing price",IF(COUNTIFS(tblVerifyProducts[Product],tblVerifyProducts[[#This Row],[Product]])&gt;1,"Product listed twice",IF(COUNTIFS(tblVerifyUsage[Product],tblVerifyProducts[[#This Row],[Product]])=0,"No driver usage rows",IF(AND($E$39="Machine hours",N(tblVerifyProducts[[#This Row],[Machine hours (h/unit)]])=0),"Missing machine hours",IF(AND($E$39&lt;&gt;"Machine hours",N(tblVerifyProducts[[#This Row],[Labour hours (h/unit)]])=0),"Missing labour hours","OK")))))))</calculatedColumnFormula>
    </tableColumn>
    <tableColumn id="18" name="Notes"/>
  </tableColumns>
  <tableStyleInfo name="TableStyleLight1" showFirstColumn="0" showLastColumn="0" showRowStripes="0" showColumnStripes="0"/>
</table>
</file>

<file path=xl/tables/table6.xml><?xml version="1.0" encoding="utf-8"?>
<table xmlns="http://schemas.openxmlformats.org/spreadsheetml/2006/main" id="6" name="tblVerifyUsage" displayName="tblVerifyUsage" ref="B58:I64" totalsRowShown="0">
  <tableColumns count="8">
    <tableColumn id="1" name="Product"/>
    <tableColumn id="2" name="Activity"/>
    <tableColumn id="3" name="Driver quantity"/>
    <tableColumn id="4" name="Cost driver">
      <calculatedColumnFormula>IF(tblVerifyUsage[[#This Row],[Product]]="","",IFERROR(INDEX(tblVerifyActivities[Cost driver],MATCH(tblVerifyUsage[[#This Row],[Activity]],tblVerifyActivities[Activity],0))&amp;"",""))</calculatedColumnFormula>
    </tableColumn>
    <tableColumn id="5" name="Activity rate">
      <calculatedColumnFormula>IF(tblVerifyUsage[[#This Row],[Product]]="","",IFERROR(INDEX(tblVerifyActivities[Activity rate],MATCH(tblVerifyUsage[[#This Row],[Activity]],tblVerifyActivities[Activity],0)),""))</calculatedColumnFormula>
    </tableColumn>
    <tableColumn id="6" name="Assigned cost">
      <calculatedColumnFormula>IF(tblVerifyUsage[[#This Row],[Product]]="","",IF(OR(tblVerifyUsage[[#This Row],[Activity rate]]="",tblVerifyUsage[[#This Row],[Driver quantity]]=""),"",tblVerifyUsage[[#This Row],[Driver quantity]]*tblVerifyUsage[[#This Row],[Activity rate]]))</calculatedColumnFormula>
    </tableColumn>
    <tableColumn id="7" name="Check">
      <calculatedColumnFormula>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calculatedColumnFormula>
    </tableColumn>
    <tableColumn id="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hyperlink" Target="https://www.mfgcalcs.com/calculators/manufacturing-cost-accounting-finance/cost-center-rate?utm_source=mfgcalcs-template&amp;utm_medium=xlsx&amp;utm_campaign=activity-based-costing" TargetMode="External"/><Relationship Id="rId3" Type="http://schemas.openxmlformats.org/officeDocument/2006/relationships/hyperlink" Target="https://www.mfgcalcs.com/templates/activity-based-costing?utm_source=mfgcalcs-template&amp;utm_medium=xlsx&amp;utm_campaign=activity-based-costing" TargetMode="External"/><Relationship Id="rId4" Type="http://schemas.openxmlformats.org/officeDocument/2006/relationships/hyperlink" Target="https://www.mfgcalcs.com/templates?utm_source=mfgcalcs-template&amp;utm_medium=xlsx&amp;utm_campaign=activity-based-cost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hyperlink" Target="https://www.mfgcalcs.com/calculators/manufacturing-cost-accounting-finance/cost-center-rate?utm_source=mfgcalcs-template&amp;utm_medium=xlsx&amp;utm_campaign=activity-based-costin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ctivity-based-costing"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8"/>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29.4" customHeight="1">
      <c r="B25" s="11"/>
      <c r="C25" s="12" t="s">
        <v>27</v>
      </c>
      <c r="D25" s="10" t="s">
        <v>28</v>
      </c>
      <c r="E25" s="10"/>
      <c r="F25" s="10"/>
    </row>
    <row r="26" spans="2:6" ht="16.2" customHeight="1">
      <c r="B26" s="11"/>
      <c r="C26" s="12" t="s">
        <v>29</v>
      </c>
      <c r="D26" s="10" t="s">
        <v>30</v>
      </c>
      <c r="E26" s="10"/>
      <c r="F26" s="10"/>
    </row>
    <row r="27" spans="2:6" ht="29.4" customHeight="1">
      <c r="B27" s="11"/>
      <c r="C27" s="12" t="s">
        <v>31</v>
      </c>
      <c r="D27" s="10" t="s">
        <v>32</v>
      </c>
      <c r="E27" s="10"/>
      <c r="F27" s="10"/>
    </row>
    <row r="29" spans="2:6" ht="21" customHeight="1">
      <c r="B29" s="8" t="s">
        <v>33</v>
      </c>
      <c r="C29" s="8"/>
      <c r="D29" s="8"/>
      <c r="E29" s="8"/>
      <c r="F29" s="8"/>
    </row>
    <row r="30" spans="2:6" ht="5" customHeight="1"/>
    <row r="31" spans="2:6" ht="29.4" customHeight="1">
      <c r="C31" s="13" t="s">
        <v>34</v>
      </c>
      <c r="D31" s="14" t="s">
        <v>35</v>
      </c>
      <c r="E31" s="14"/>
      <c r="F31" s="14"/>
    </row>
    <row r="32" spans="2:6" ht="29.4" customHeight="1">
      <c r="C32" s="15" t="s">
        <v>36</v>
      </c>
      <c r="D32" s="14" t="s">
        <v>37</v>
      </c>
      <c r="E32" s="14"/>
      <c r="F32" s="14"/>
    </row>
    <row r="33" spans="2:6" ht="16.2" customHeight="1">
      <c r="C33" s="16" t="s">
        <v>38</v>
      </c>
      <c r="D33" s="14" t="s">
        <v>39</v>
      </c>
      <c r="E33" s="14"/>
      <c r="F33" s="14"/>
    </row>
    <row r="34" spans="2:6" ht="18" customHeight="1">
      <c r="C34" s="17" t="s">
        <v>40</v>
      </c>
      <c r="D34" s="18" t="s">
        <v>41</v>
      </c>
      <c r="E34" s="19" t="s">
        <v>42</v>
      </c>
      <c r="F34" s="20" t="s">
        <v>43</v>
      </c>
    </row>
    <row r="35" spans="2:6" ht="26.76" customHeight="1">
      <c r="C35" s="21" t="s">
        <v>44</v>
      </c>
      <c r="D35" s="21"/>
      <c r="E35" s="21"/>
      <c r="F35" s="21"/>
    </row>
    <row r="37" spans="2:6" ht="21" customHeight="1">
      <c r="B37" s="8" t="s">
        <v>45</v>
      </c>
      <c r="C37" s="8"/>
      <c r="D37" s="8"/>
      <c r="E37" s="8"/>
      <c r="F37" s="8"/>
    </row>
    <row r="38" spans="2:6" ht="5" customHeight="1"/>
    <row r="39" spans="2:6" ht="26" customHeight="1">
      <c r="C39" s="17" t="s">
        <v>46</v>
      </c>
      <c r="D39" s="22" t="str">
        <f>SelfCheck</f>
        <v>PASS</v>
      </c>
      <c r="E39" s="23" t="str">
        <f>SelfCheckSummary</f>
        <v>23 of 23 checks pass</v>
      </c>
      <c r="F39" s="23"/>
    </row>
    <row r="40" spans="2:6" ht="26.76" customHeight="1">
      <c r="C40" s="21" t="s">
        <v>47</v>
      </c>
      <c r="D40" s="21"/>
      <c r="E40" s="21"/>
      <c r="F40" s="21"/>
    </row>
    <row r="41" spans="2:6">
      <c r="C41" s="17" t="s">
        <v>48</v>
      </c>
      <c r="D41" s="24" t="s">
        <v>49</v>
      </c>
      <c r="E41" s="24"/>
      <c r="F41" s="24"/>
    </row>
    <row r="42" spans="2:6">
      <c r="C42" s="17" t="s">
        <v>50</v>
      </c>
      <c r="D42" s="24" t="s">
        <v>51</v>
      </c>
      <c r="E42" s="24"/>
      <c r="F42" s="24"/>
    </row>
    <row r="43" spans="2:6">
      <c r="C43" s="17" t="s">
        <v>52</v>
      </c>
      <c r="D43" s="24" t="s">
        <v>53</v>
      </c>
      <c r="E43" s="24"/>
      <c r="F43" s="24"/>
    </row>
    <row r="44" spans="2:6">
      <c r="C44" s="17" t="s">
        <v>54</v>
      </c>
      <c r="D44" s="11" t="s">
        <v>55</v>
      </c>
      <c r="E44" s="11"/>
      <c r="F44" s="11"/>
    </row>
    <row r="46" spans="2:6" ht="21" customHeight="1">
      <c r="B46" s="8" t="s">
        <v>56</v>
      </c>
      <c r="C46" s="8"/>
      <c r="D46" s="8"/>
      <c r="E46" s="8"/>
      <c r="F46" s="8"/>
    </row>
    <row r="47" spans="2:6" ht="5" customHeight="1"/>
    <row r="48" spans="2:6" ht="61.8" customHeight="1">
      <c r="B48" s="25" t="s">
        <v>57</v>
      </c>
      <c r="C48" s="25"/>
      <c r="D48" s="25"/>
      <c r="E48" s="25"/>
      <c r="F48" s="25"/>
    </row>
    <row r="50" spans="2:6" ht="21" customHeight="1">
      <c r="B50" s="8" t="s">
        <v>58</v>
      </c>
      <c r="C50" s="8"/>
      <c r="D50" s="8"/>
      <c r="E50" s="8"/>
      <c r="F50" s="8"/>
    </row>
    <row r="51" spans="2:6" ht="5" customHeight="1"/>
    <row r="52" spans="2:6" ht="29.4" customHeight="1">
      <c r="B52" s="26" t="s">
        <v>59</v>
      </c>
      <c r="C52" s="10" t="s">
        <v>60</v>
      </c>
      <c r="D52" s="10"/>
      <c r="E52" s="10"/>
      <c r="F52" s="10"/>
    </row>
    <row r="53" spans="2:6" ht="16.2" customHeight="1">
      <c r="B53" s="26" t="s">
        <v>59</v>
      </c>
      <c r="C53" s="10" t="s">
        <v>61</v>
      </c>
      <c r="D53" s="10"/>
      <c r="E53" s="10"/>
      <c r="F53" s="10"/>
    </row>
    <row r="54" spans="2:6" ht="29.4" customHeight="1">
      <c r="B54" s="26" t="s">
        <v>59</v>
      </c>
      <c r="C54" s="10" t="s">
        <v>62</v>
      </c>
      <c r="D54" s="10"/>
      <c r="E54" s="10"/>
      <c r="F54" s="10"/>
    </row>
    <row r="55" spans="2:6" ht="16.2" customHeight="1">
      <c r="B55" s="26" t="s">
        <v>59</v>
      </c>
      <c r="C55" s="10" t="s">
        <v>63</v>
      </c>
      <c r="D55" s="10"/>
      <c r="E55" s="10"/>
      <c r="F55" s="10"/>
    </row>
    <row r="57" spans="2:6" ht="16.2" customHeight="1">
      <c r="B57" s="17" t="s">
        <v>64</v>
      </c>
      <c r="C57" s="17"/>
      <c r="D57" s="17"/>
      <c r="E57" s="17"/>
      <c r="F57" s="17"/>
    </row>
    <row r="58" spans="2:6" ht="26.76" customHeight="1">
      <c r="B58" s="21" t="s">
        <v>65</v>
      </c>
      <c r="C58" s="21"/>
      <c r="D58" s="21"/>
      <c r="E58" s="21"/>
      <c r="F58" s="21"/>
    </row>
  </sheetData>
  <sheetProtection sheet="1" formatColumns="0" formatRows="0"/>
  <mergeCells count="42">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D27:F27"/>
    <mergeCell ref="B29:F29"/>
    <mergeCell ref="D31:F31"/>
    <mergeCell ref="D32:F32"/>
    <mergeCell ref="D33:F33"/>
    <mergeCell ref="C35:F35"/>
    <mergeCell ref="B37:F37"/>
    <mergeCell ref="E39:F39"/>
    <mergeCell ref="C40:F40"/>
    <mergeCell ref="D41:F41"/>
    <mergeCell ref="D42:F42"/>
    <mergeCell ref="D43:F43"/>
    <mergeCell ref="D44:F44"/>
    <mergeCell ref="B46:F46"/>
    <mergeCell ref="B48:F48"/>
    <mergeCell ref="B50:F50"/>
    <mergeCell ref="C52:F52"/>
    <mergeCell ref="C53:F53"/>
    <mergeCell ref="C54:F54"/>
    <mergeCell ref="C55:F55"/>
    <mergeCell ref="B57:F57"/>
    <mergeCell ref="B58:F58"/>
  </mergeCells>
  <conditionalFormatting sqref="D3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Activities!A1" tooltip="Go to Activities" display="Activities"/>
    <hyperlink ref="C23" location="Products!A1" tooltip="Go to Products" display="Products"/>
    <hyperlink ref="C24" location="'Driver Usage'!A1" tooltip="Go to Driver Usage" display="Driver Usage"/>
    <hyperlink ref="C25" location="Dashboard!A1" tooltip="Go to Dashboard" display="Dashboard"/>
    <hyperlink ref="C26" location="Method!A1" tooltip="Go to Method" display="Method"/>
    <hyperlink ref="C27" location="Verify!A1" tooltip="Go to Verify" display="Verify"/>
    <hyperlink ref="D41" r:id="rId2"/>
    <hyperlink ref="D42" r:id="rId3"/>
    <hyperlink ref="D43" r:id="rId4"/>
  </hyperlinks>
  <printOptions horizontalCentered="1"/>
  <pageMargins left="0.4" right="0.4" top="0.7" bottom="0.65" header="0.3" footer="0.3"/>
  <pageSetup fitToHeight="0" orientation="portrait"/>
  <headerFooter>
    <oddHeader>&amp;L&amp;8MFG Calcs - Activity-Based Costing&amp;R&amp;8&amp;A</oddHeader>
    <oddFooter>&amp;L&amp;8mfgcalcs.com - free manufacturing templates&amp;R&amp;8Page &amp;P of &amp;N</oddFooter>
  </headerFooter>
  <rowBreaks count="1" manualBreakCount="1">
    <brk id="28"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5"/>
  <sheetViews>
    <sheetView showGridLines="0" workbookViewId="0"/>
  </sheetViews>
  <sheetFormatPr defaultRowHeight="15"/>
  <cols>
    <col min="1" max="1" width="2.7109375" customWidth="1"/>
    <col min="2" max="2" width="34.7109375" customWidth="1"/>
    <col min="3" max="3" width="22.7109375" customWidth="1"/>
    <col min="4" max="4" width="44.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66</v>
      </c>
      <c r="C4" s="8"/>
      <c r="D4" s="8"/>
    </row>
    <row r="5" spans="1:5" ht="5" customHeight="1"/>
    <row r="6" spans="1:5">
      <c r="B6" s="27" t="s">
        <v>67</v>
      </c>
      <c r="C6" s="28" t="s">
        <v>68</v>
      </c>
    </row>
    <row r="7" spans="1:5">
      <c r="B7" s="27" t="s">
        <v>69</v>
      </c>
      <c r="C7" s="28" t="s">
        <v>70</v>
      </c>
    </row>
    <row r="8" spans="1:5">
      <c r="B8" s="27" t="s">
        <v>71</v>
      </c>
      <c r="C8" s="28" t="s">
        <v>72</v>
      </c>
    </row>
    <row r="10" spans="1:5" ht="21" customHeight="1">
      <c r="B10" s="8" t="s">
        <v>73</v>
      </c>
      <c r="C10" s="8"/>
      <c r="D10" s="8"/>
    </row>
    <row r="11" spans="1:5" ht="5" customHeight="1"/>
    <row r="12" spans="1:5">
      <c r="B12" s="27" t="s">
        <v>74</v>
      </c>
      <c r="C12" s="28" t="s">
        <v>75</v>
      </c>
    </row>
    <row r="13" spans="1:5">
      <c r="B13" s="27" t="s">
        <v>76</v>
      </c>
      <c r="C13" s="29">
        <v>0.25</v>
      </c>
    </row>
    <row r="15" spans="1:5" ht="35.4" customHeight="1">
      <c r="B15" s="25" t="s">
        <v>77</v>
      </c>
      <c r="C15" s="25"/>
      <c r="D15" s="25"/>
    </row>
  </sheetData>
  <mergeCells count="6">
    <mergeCell ref="A1:E1"/>
    <mergeCell ref="B2:C2"/>
    <mergeCell ref="D2:E2"/>
    <mergeCell ref="B4:D4"/>
    <mergeCell ref="B10:D10"/>
    <mergeCell ref="B15:D15"/>
  </mergeCells>
  <dataValidations count="5">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40 characters." promptTitle="Period the costs cover" prompt="A label such as FY 2026 budget or Jan-Jun 2026 actual. Pools, volumes and driver counts must all cover this period. Text up to 40 characters." sqref="C7">
      <formula1>0</formula1>
      <formula2>40</formula2>
    </dataValidation>
    <dataValidation type="textLength" allowBlank="1" showInputMessage="1" showErrorMessage="1" errorTitle="Check this entry" error="Text up to 12 characters." promptTitle="Currency label" prompt="Text shown with every amount, e.g. USD, INR, GBP, EUR, MXN. No exchange rate is applied. Text up to 12 characters." sqref="C8">
      <formula1>0</formula1>
      <formula2>12</formula2>
    </dataValidation>
    <dataValidation type="list" allowBlank="1" showInputMessage="1" showErrorMessage="1" errorTitle="Check this entry" error="Pick one of: Direct labour hours, Machine hours." promptTitle="Traditional allocation base" prompt="How your current costing spreads overhead: one plantwide rate per direct labour hour or per machine hour. The Dashboard compares ABC with it. Pick one of: Direct labour hours, Machine hours." sqref="C12">
      <formula1>"Direct labour hours,Machine hours"</formula1>
    </dataValidation>
    <dataValidation type="decimal" allowBlank="1" showInputMessage="1" showErrorMessage="1" errorTitle="Check this entry" error="Enter a percentage from -100% to 99% (type 85% or 0.85)." promptTitle="Margin target on price" prompt="Your own target for (price - full unit cost) / price. Products below it are flagged on Products and the Dashboard. Enter a percentage from -100% to 99% (type 85% or 0.85)." sqref="C13">
      <formula1>-1</formula1>
      <formula2>0.99</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Activity-Based Costing&amp;R&amp;8&amp;A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L18"/>
  <sheetViews>
    <sheetView workbookViewId="0">
      <pane xSplit="1" ySplit="6" topLeftCell="B7" activePane="bottomRight" state="frozen"/>
      <selection pane="topRight" activeCell="B1" sqref="B1"/>
      <selection pane="bottomLeft" activeCell="A7" sqref="A7"/>
      <selection pane="bottomRight"/>
    </sheetView>
  </sheetViews>
  <sheetFormatPr defaultRowHeight="15" x14ac:dyDescent="0.25"/>
  <cols>
    <col min="1" max="1" width="2.7109375" customWidth="1"/>
    <col min="2" max="2" width="30.7109375" customWidth="1"/>
    <col min="3" max="3" width="14.7109375" customWidth="1"/>
    <col min="4" max="4" width="18.7109375" customWidth="1"/>
    <col min="5" max="5" width="12.7109375" customWidth="1"/>
    <col min="6" max="6" width="11.7109375" customWidth="1"/>
    <col min="7" max="8" width="12.7109375" customWidth="1"/>
    <col min="9" max="9" width="11.7109375" customWidth="1"/>
    <col min="10" max="10" width="10.7109375" customWidth="1"/>
    <col min="11" max="11" width="24.7109375" customWidth="1"/>
    <col min="12" max="12" width="34.7109375"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2"/>
      <c r="L2" s="3" t="s">
        <v>2</v>
      </c>
    </row>
    <row r="3" spans="1:12" ht="6" customHeight="1" x14ac:dyDescent="0.25"/>
    <row r="4" spans="1:12" ht="29.76" customHeight="1" x14ac:dyDescent="0.25">
      <c r="B4" s="30" t="s">
        <v>89</v>
      </c>
      <c r="C4" s="30"/>
      <c r="D4" s="30"/>
      <c r="E4" s="30"/>
      <c r="F4" s="30"/>
      <c r="G4" s="30"/>
      <c r="H4" s="30"/>
      <c r="I4" s="30"/>
      <c r="J4" s="30"/>
      <c r="K4" s="30"/>
      <c r="L4" s="30"/>
    </row>
    <row r="5" spans="1:12" ht="14" customHeight="1" x14ac:dyDescent="0.25">
      <c r="B5" s="31"/>
      <c r="C5" s="31" t="str">
        <f>Currency</f>
        <v>USD</v>
      </c>
      <c r="D5" s="31"/>
      <c r="E5" s="31" t="s">
        <v>90</v>
      </c>
      <c r="F5" s="31" t="s">
        <v>90</v>
      </c>
      <c r="G5" s="31" t="str">
        <f>Currency&amp;"/driver unit"</f>
        <v>USD/driver unit</v>
      </c>
      <c r="H5" s="31" t="str">
        <f>Currency</f>
        <v>USD</v>
      </c>
      <c r="I5" s="31" t="str">
        <f>Currency</f>
        <v>USD</v>
      </c>
      <c r="J5" s="31"/>
      <c r="K5" s="31"/>
      <c r="L5" s="31"/>
    </row>
    <row r="6" spans="1:12" ht="32" customHeight="1" x14ac:dyDescent="0.25">
      <c r="B6" s="32" t="s">
        <v>78</v>
      </c>
      <c r="C6" s="32" t="s">
        <v>79</v>
      </c>
      <c r="D6" s="32" t="s">
        <v>80</v>
      </c>
      <c r="E6" s="32" t="s">
        <v>81</v>
      </c>
      <c r="F6" s="32" t="s">
        <v>82</v>
      </c>
      <c r="G6" s="32" t="s">
        <v>83</v>
      </c>
      <c r="H6" s="32" t="s">
        <v>84</v>
      </c>
      <c r="I6" s="32" t="s">
        <v>85</v>
      </c>
      <c r="J6" s="32" t="s">
        <v>86</v>
      </c>
      <c r="K6" s="32" t="s">
        <v>87</v>
      </c>
      <c r="L6" s="32" t="s">
        <v>88</v>
      </c>
    </row>
    <row r="7" spans="1:12" x14ac:dyDescent="0.25">
      <c r="B7" s="28" t="s">
        <v>91</v>
      </c>
      <c r="C7" s="33">
        <v>186000</v>
      </c>
      <c r="D7" s="28" t="s">
        <v>92</v>
      </c>
      <c r="E7" s="33"/>
      <c r="F7" s="34">
        <f>IF(tblActivities[[#This Row],[Activity]]="","",SUMIFS(tblUsage[Driver quantity],tblUsage[Activity],tblActivities[[#This Row],[Activity]]))</f>
        <v>360</v>
      </c>
      <c r="G7" s="35">
        <f>IF(tblActivities[[#This Row],[Activity]]="","",IF(N(tblActivities[[#This Row],[Practical capacity]])&gt;0,tblActivities[[#This Row],[Cost pool]]/tblActivities[[#This Row],[Practical capacity]],IF(tblActivities[[#This Row],[Driver volume]]&gt;0,tblActivities[[#This Row],[Cost pool]]/tblActivities[[#This Row],[Driver volume]],"")))</f>
        <v>516.666666666667</v>
      </c>
      <c r="H7" s="36">
        <f>IF(tblActivities[[#This Row],[Activity]]="","",IF(tblActivities[[#This Row],[Activity rate]]="",0,tblActivities[[#This Row],[Activity rate]]*tblActivities[[#This Row],[Driver volume]]))</f>
        <v>186000</v>
      </c>
      <c r="I7" s="36">
        <f>IF(tblActivities[[#This Row],[Activity]]="","",tblActivities[[#This Row],[Cost pool]]-tblActivities[[#This Row],[Assigned to products]])</f>
        <v>0</v>
      </c>
      <c r="J7" s="37">
        <f>IF(tblActivities[[#This Row],[Activity]]="","",IF(SUM(tblActivities[Cost pool])=0,"",tblActivities[[#This Row],[Cost pool]]/SUM(tblActivities[Cost pool])))</f>
        <v>0.155</v>
      </c>
      <c r="K7"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7" s="39" t="s">
        <v>93</v>
      </c>
    </row>
    <row r="8" spans="1:12" x14ac:dyDescent="0.25">
      <c r="B8" s="28" t="s">
        <v>94</v>
      </c>
      <c r="C8" s="33">
        <v>142000</v>
      </c>
      <c r="D8" s="28" t="s">
        <v>95</v>
      </c>
      <c r="E8" s="33"/>
      <c r="F8" s="34">
        <f>IF(tblActivities[[#This Row],[Activity]]="","",SUMIFS(tblUsage[Driver quantity],tblUsage[Activity],tblActivities[[#This Row],[Activity]]))</f>
        <v>1325</v>
      </c>
      <c r="G8" s="35">
        <f>IF(tblActivities[[#This Row],[Activity]]="","",IF(N(tblActivities[[#This Row],[Practical capacity]])&gt;0,tblActivities[[#This Row],[Cost pool]]/tblActivities[[#This Row],[Practical capacity]],IF(tblActivities[[#This Row],[Driver volume]]&gt;0,tblActivities[[#This Row],[Cost pool]]/tblActivities[[#This Row],[Driver volume]],"")))</f>
        <v>107.169811320755</v>
      </c>
      <c r="H8" s="36">
        <f>IF(tblActivities[[#This Row],[Activity]]="","",IF(tblActivities[[#This Row],[Activity rate]]="",0,tblActivities[[#This Row],[Activity rate]]*tblActivities[[#This Row],[Driver volume]]))</f>
        <v>142000</v>
      </c>
      <c r="I8" s="36">
        <f>IF(tblActivities[[#This Row],[Activity]]="","",tblActivities[[#This Row],[Cost pool]]-tblActivities[[#This Row],[Assigned to products]])</f>
        <v>0</v>
      </c>
      <c r="J8" s="37">
        <f>IF(tblActivities[[#This Row],[Activity]]="","",IF(SUM(tblActivities[Cost pool])=0,"",tblActivities[[#This Row],[Cost pool]]/SUM(tblActivities[Cost pool])))</f>
        <v>0.118333333333333</v>
      </c>
      <c r="K8"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8" s="39" t="s">
        <v>96</v>
      </c>
    </row>
    <row r="9" spans="1:12" x14ac:dyDescent="0.25">
      <c r="B9" s="28" t="s">
        <v>97</v>
      </c>
      <c r="C9" s="33">
        <v>96000</v>
      </c>
      <c r="D9" s="28" t="s">
        <v>98</v>
      </c>
      <c r="E9" s="33"/>
      <c r="F9" s="34">
        <f>IF(tblActivities[[#This Row],[Activity]]="","",SUMIFS(tblUsage[Driver quantity],tblUsage[Activity],tblActivities[[#This Row],[Activity]]))</f>
        <v>698</v>
      </c>
      <c r="G9" s="35">
        <f>IF(tblActivities[[#This Row],[Activity]]="","",IF(N(tblActivities[[#This Row],[Practical capacity]])&gt;0,tblActivities[[#This Row],[Cost pool]]/tblActivities[[#This Row],[Practical capacity]],IF(tblActivities[[#This Row],[Driver volume]]&gt;0,tblActivities[[#This Row],[Cost pool]]/tblActivities[[#This Row],[Driver volume]],"")))</f>
        <v>137.535816618911</v>
      </c>
      <c r="H9" s="36">
        <f>IF(tblActivities[[#This Row],[Activity]]="","",IF(tblActivities[[#This Row],[Activity rate]]="",0,tblActivities[[#This Row],[Activity rate]]*tblActivities[[#This Row],[Driver volume]]))</f>
        <v>96000</v>
      </c>
      <c r="I9" s="36">
        <f>IF(tblActivities[[#This Row],[Activity]]="","",tblActivities[[#This Row],[Cost pool]]-tblActivities[[#This Row],[Assigned to products]])</f>
        <v>0</v>
      </c>
      <c r="J9" s="37">
        <f>IF(tblActivities[[#This Row],[Activity]]="","",IF(SUM(tblActivities[Cost pool])=0,"",tblActivities[[#This Row],[Cost pool]]/SUM(tblActivities[Cost pool])))</f>
        <v>0.08</v>
      </c>
      <c r="K9"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9" s="39" t="s">
        <v>99</v>
      </c>
    </row>
    <row r="10" spans="1:12" x14ac:dyDescent="0.25">
      <c r="B10" s="28" t="s">
        <v>100</v>
      </c>
      <c r="C10" s="33">
        <v>128000</v>
      </c>
      <c r="D10" s="28" t="s">
        <v>101</v>
      </c>
      <c r="E10" s="33">
        <v>4000</v>
      </c>
      <c r="F10" s="34">
        <f>IF(tblActivities[[#This Row],[Activity]]="","",SUMIFS(tblUsage[Driver quantity],tblUsage[Activity],tblActivities[[#This Row],[Activity]]))</f>
        <v>3800</v>
      </c>
      <c r="G10" s="35">
        <f>IF(tblActivities[[#This Row],[Activity]]="","",IF(N(tblActivities[[#This Row],[Practical capacity]])&gt;0,tblActivities[[#This Row],[Cost pool]]/tblActivities[[#This Row],[Practical capacity]],IF(tblActivities[[#This Row],[Driver volume]]&gt;0,tblActivities[[#This Row],[Cost pool]]/tblActivities[[#This Row],[Driver volume]],"")))</f>
        <v>32</v>
      </c>
      <c r="H10" s="36">
        <f>IF(tblActivities[[#This Row],[Activity]]="","",IF(tblActivities[[#This Row],[Activity rate]]="",0,tblActivities[[#This Row],[Activity rate]]*tblActivities[[#This Row],[Driver volume]]))</f>
        <v>121600</v>
      </c>
      <c r="I10" s="36">
        <f>IF(tblActivities[[#This Row],[Activity]]="","",tblActivities[[#This Row],[Cost pool]]-tblActivities[[#This Row],[Assigned to products]])</f>
        <v>6400</v>
      </c>
      <c r="J10" s="37">
        <f>IF(tblActivities[[#This Row],[Activity]]="","",IF(SUM(tblActivities[Cost pool])=0,"",tblActivities[[#This Row],[Cost pool]]/SUM(tblActivities[Cost pool])))</f>
        <v>0.106666666666667</v>
      </c>
      <c r="K10"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10" s="39" t="s">
        <v>102</v>
      </c>
    </row>
    <row r="11" spans="1:12" x14ac:dyDescent="0.25">
      <c r="B11" s="28" t="s">
        <v>103</v>
      </c>
      <c r="C11" s="33">
        <v>154000</v>
      </c>
      <c r="D11" s="28" t="s">
        <v>104</v>
      </c>
      <c r="E11" s="33"/>
      <c r="F11" s="34">
        <f>IF(tblActivities[[#This Row],[Activity]]="","",SUMIFS(tblUsage[Driver quantity],tblUsage[Activity],tblActivities[[#This Row],[Activity]]))</f>
        <v>3720</v>
      </c>
      <c r="G11" s="35">
        <f>IF(tblActivities[[#This Row],[Activity]]="","",IF(N(tblActivities[[#This Row],[Practical capacity]])&gt;0,tblActivities[[#This Row],[Cost pool]]/tblActivities[[#This Row],[Practical capacity]],IF(tblActivities[[#This Row],[Driver volume]]&gt;0,tblActivities[[#This Row],[Cost pool]]/tblActivities[[#This Row],[Driver volume]],"")))</f>
        <v>41.3978494623656</v>
      </c>
      <c r="H11" s="36">
        <f>IF(tblActivities[[#This Row],[Activity]]="","",IF(tblActivities[[#This Row],[Activity rate]]="",0,tblActivities[[#This Row],[Activity rate]]*tblActivities[[#This Row],[Driver volume]]))</f>
        <v>154000</v>
      </c>
      <c r="I11" s="36">
        <f>IF(tblActivities[[#This Row],[Activity]]="","",tblActivities[[#This Row],[Cost pool]]-tblActivities[[#This Row],[Assigned to products]])</f>
        <v>0</v>
      </c>
      <c r="J11" s="37">
        <f>IF(tblActivities[[#This Row],[Activity]]="","",IF(SUM(tblActivities[Cost pool])=0,"",tblActivities[[#This Row],[Cost pool]]/SUM(tblActivities[Cost pool])))</f>
        <v>0.128333333333333</v>
      </c>
      <c r="K11"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11" s="39" t="s">
        <v>105</v>
      </c>
    </row>
    <row r="12" spans="1:12" x14ac:dyDescent="0.25">
      <c r="B12" s="28" t="s">
        <v>106</v>
      </c>
      <c r="C12" s="33">
        <v>420000</v>
      </c>
      <c r="D12" s="28" t="s">
        <v>107</v>
      </c>
      <c r="E12" s="33">
        <v>21000</v>
      </c>
      <c r="F12" s="34">
        <f>IF(tblActivities[[#This Row],[Activity]]="","",SUMIFS(tblUsage[Driver quantity],tblUsage[Activity],tblActivities[[#This Row],[Activity]]))</f>
        <v>17722</v>
      </c>
      <c r="G12" s="35">
        <f>IF(tblActivities[[#This Row],[Activity]]="","",IF(N(tblActivities[[#This Row],[Practical capacity]])&gt;0,tblActivities[[#This Row],[Cost pool]]/tblActivities[[#This Row],[Practical capacity]],IF(tblActivities[[#This Row],[Driver volume]]&gt;0,tblActivities[[#This Row],[Cost pool]]/tblActivities[[#This Row],[Driver volume]],"")))</f>
        <v>20</v>
      </c>
      <c r="H12" s="36">
        <f>IF(tblActivities[[#This Row],[Activity]]="","",IF(tblActivities[[#This Row],[Activity rate]]="",0,tblActivities[[#This Row],[Activity rate]]*tblActivities[[#This Row],[Driver volume]]))</f>
        <v>354440</v>
      </c>
      <c r="I12" s="36">
        <f>IF(tblActivities[[#This Row],[Activity]]="","",tblActivities[[#This Row],[Cost pool]]-tblActivities[[#This Row],[Assigned to products]])</f>
        <v>65560</v>
      </c>
      <c r="J12" s="37">
        <f>IF(tblActivities[[#This Row],[Activity]]="","",IF(SUM(tblActivities[Cost pool])=0,"",tblActivities[[#This Row],[Cost pool]]/SUM(tblActivities[Cost pool])))</f>
        <v>0.35</v>
      </c>
      <c r="K12"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12" s="39" t="s">
        <v>108</v>
      </c>
    </row>
    <row r="13" spans="1:12" x14ac:dyDescent="0.25">
      <c r="B13" s="28" t="s">
        <v>109</v>
      </c>
      <c r="C13" s="33">
        <v>74000</v>
      </c>
      <c r="D13" s="28" t="s">
        <v>110</v>
      </c>
      <c r="E13" s="33"/>
      <c r="F13" s="34">
        <f>IF(tblActivities[[#This Row],[Activity]]="","",SUMIFS(tblUsage[Driver quantity],tblUsage[Activity],tblActivities[[#This Row],[Activity]]))</f>
        <v>1820</v>
      </c>
      <c r="G13" s="35">
        <f>IF(tblActivities[[#This Row],[Activity]]="","",IF(N(tblActivities[[#This Row],[Practical capacity]])&gt;0,tblActivities[[#This Row],[Cost pool]]/tblActivities[[#This Row],[Practical capacity]],IF(tblActivities[[#This Row],[Driver volume]]&gt;0,tblActivities[[#This Row],[Cost pool]]/tblActivities[[#This Row],[Driver volume]],"")))</f>
        <v>40.6593406593407</v>
      </c>
      <c r="H13" s="36">
        <f>IF(tblActivities[[#This Row],[Activity]]="","",IF(tblActivities[[#This Row],[Activity rate]]="",0,tblActivities[[#This Row],[Activity rate]]*tblActivities[[#This Row],[Driver volume]]))</f>
        <v>74000</v>
      </c>
      <c r="I13" s="36">
        <f>IF(tblActivities[[#This Row],[Activity]]="","",tblActivities[[#This Row],[Cost pool]]-tblActivities[[#This Row],[Assigned to products]])</f>
        <v>0</v>
      </c>
      <c r="J13" s="37">
        <f>IF(tblActivities[[#This Row],[Activity]]="","",IF(SUM(tblActivities[Cost pool])=0,"",tblActivities[[#This Row],[Cost pool]]/SUM(tblActivities[Cost pool])))</f>
        <v>0.0616666666666667</v>
      </c>
      <c r="K13" s="38" t="str">
        <f>IF(tblActivities[[#This Row],[Activity]]="","",IF(tblActivities[[#This Row],[Cost pool]]="","Missing cost pool",IF(tblActivities[[#This Row],[Cost driver]]="","Missing cost driver",IF(COUNTIFS(tblActivities[Activity],tblActivities[[#This Row],[Activity]])&gt;1,"Activity listed twice",IF(tblActivities[[#This Row],[Driver volume]]=0,"No driver usage rows",IF(AND(N(tblActivities[[#This Row],[Practical capacity]])&gt;0,tblActivities[[#This Row],[Driver volume]]&gt;tblActivities[[#This Row],[Practical capacity]]),"Use above practical capacity","OK"))))))</f>
        <v>OK</v>
      </c>
      <c r="L13" s="39" t="s">
        <v>111</v>
      </c>
    </row>
    <row r="15" spans="1:12" x14ac:dyDescent="0.25">
      <c r="B15" s="40" t="s">
        <v>112</v>
      </c>
      <c r="C15" s="40"/>
      <c r="D15" s="40"/>
    </row>
    <row r="16" spans="1:12" x14ac:dyDescent="0.25">
      <c r="B16" s="17" t="s">
        <v>113</v>
      </c>
      <c r="C16" s="41">
        <f>SUM(tblActivities[Cost pool])</f>
        <v>1200000</v>
      </c>
      <c r="D16" s="7" t="str">
        <f>Currency</f>
        <v>USD</v>
      </c>
    </row>
    <row r="17" spans="2:4" x14ac:dyDescent="0.25">
      <c r="B17" s="27" t="s">
        <v>114</v>
      </c>
      <c r="C17" s="36">
        <f>SUM(tblActivities[Assigned to products])</f>
        <v>1128040</v>
      </c>
      <c r="D17" s="7" t="str">
        <f>Currency</f>
        <v>USD</v>
      </c>
    </row>
    <row r="18" spans="2:4" x14ac:dyDescent="0.25">
      <c r="B18" s="27" t="s">
        <v>115</v>
      </c>
      <c r="C18" s="36">
        <f>SUM(tblActivities[Unused capacity])</f>
        <v>71960</v>
      </c>
      <c r="D18" s="7" t="str">
        <f>Currency</f>
        <v>USD</v>
      </c>
    </row>
  </sheetData>
  <mergeCells count="4">
    <mergeCell ref="A1:L1"/>
    <mergeCell ref="B2:K2"/>
    <mergeCell ref="B4:L4"/>
    <mergeCell ref="B15:D15"/>
  </mergeCells>
  <conditionalFormatting sqref="J7:J513">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K7:K513">
    <cfRule type="expression" dxfId="3" priority="2">
      <formula>$K7="OK"</formula>
    </cfRule>
    <cfRule type="expression" dxfId="1" priority="3">
      <formula>AND($K7&lt;&gt;"",$K7&lt;&gt;"OK")</formula>
    </cfRule>
  </conditionalFormatting>
  <dataValidations count="5">
    <dataValidation type="textLength" allowBlank="1" showInputMessage="1" showErrorMessage="1" errorTitle="Check this entry" error="Text up to 60 characters." promptTitle="Activity" prompt="Text up to 60 characters." sqref="B7:B513">
      <formula1>0</formula1>
      <formula2>60</formula2>
    </dataValidation>
    <dataValidation type="decimal" allowBlank="1" showInputMessage="1" showErrorMessage="1" errorTitle="Check this entry" error="Enter a number of at least 0." promptTitle="Cost pool" prompt="The overhead cost of this activity for the Setup period: people, space, equipment and supplies traced to it. Enter a number of at least 0." sqref="C7:C513">
      <formula1>0</formula1>
      <formula2>100000000000.0</formula2>
    </dataValidation>
    <dataValidation type="textLength" allowBlank="1" showInputMessage="1" showErrorMessage="1" errorTitle="Check this entry" error="Text up to 40 characters." promptTitle="Cost driver" prompt="What drives the activity's workload, counted per product on Driver Usage: setups, purchase orders, inspection hours, machine hours, shipments. Text up to 40 characters." sqref="D7:D513">
      <formula1>0</formula1>
      <formula2>40</formula2>
    </dataValidation>
    <dataValidation type="decimal" allowBlank="1" showInputMessage="1" showErrorMessage="1" errorTitle="Check this entry" error="Enter a number of at least 0." promptTitle="Practical capacity" prompt="Optional. The driver volume the pool could support (staffed hours, practical machine hours). Leave blank to use the volume actually used. Enter a number of at least 0." sqref="E7:E513">
      <formula1>0</formula1>
      <formula2>1000000000000.0</formula2>
    </dataValidation>
    <dataValidation type="textLength" allowBlank="1" showInputMessage="1" showErrorMessage="1" errorTitle="Check this entry" error="Text up to 255 characters." promptTitle="Notes" prompt="Text up to 255 characters." sqref="L7:L513">
      <formula1>0</formula1>
      <formula2>255</formula2>
    </dataValidation>
  </dataValidations>
  <hyperlinks>
    <hyperlink ref="L2" r:id="rId1" tooltip="Free manufacturing calculators and templates"/>
  </hyperlinks>
  <pageMargins left="0.4" right="0.4" top="0.7" bottom="0.65" header="0.3" footer="0.3"/>
  <pageSetup fitToHeight="0" orientation="landscape"/>
  <headerFooter>
    <oddHeader>&amp;L&amp;8MFG Calcs - Activity-Based Costing&amp;R&amp;8&amp;A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J7:J513</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S18"/>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30.7109375" customWidth="1"/>
    <col min="3" max="3" width="14.7109375" customWidth="1"/>
    <col min="4" max="4" width="12.7109375" customWidth="1"/>
    <col min="5" max="6" width="10.7109375" customWidth="1"/>
    <col min="7" max="8" width="9.7109375" customWidth="1"/>
    <col min="9" max="10" width="10.7109375" customWidth="1"/>
    <col min="11" max="11" width="11.7109375" customWidth="1"/>
    <col min="12" max="12" width="10.7109375" customWidth="1"/>
    <col min="13" max="14" width="11.7109375" customWidth="1"/>
    <col min="15" max="15" width="9.7109375" customWidth="1"/>
    <col min="16" max="16" width="10.7109375" customWidth="1"/>
    <col min="17" max="17" width="12.7109375" customWidth="1"/>
    <col min="18" max="18" width="18.7109375" customWidth="1"/>
    <col min="19" max="19" width="30.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24</v>
      </c>
      <c r="C2" s="2"/>
      <c r="D2" s="2"/>
      <c r="E2" s="2"/>
      <c r="F2" s="2"/>
      <c r="G2" s="2"/>
      <c r="H2" s="2"/>
      <c r="I2" s="2"/>
      <c r="J2" s="2"/>
      <c r="K2" s="2"/>
      <c r="L2" s="2"/>
      <c r="M2" s="2"/>
      <c r="N2" s="2"/>
      <c r="O2" s="2"/>
      <c r="P2" s="2"/>
      <c r="Q2" s="2"/>
      <c r="R2" s="2"/>
      <c r="S2" s="3" t="s">
        <v>2</v>
      </c>
    </row>
    <row r="3" spans="1:19" ht="6" customHeight="1"/>
    <row r="4" spans="1:19" ht="18" customHeight="1">
      <c r="B4" s="30" t="s">
        <v>132</v>
      </c>
      <c r="C4" s="30"/>
      <c r="D4" s="30"/>
      <c r="E4" s="30"/>
      <c r="F4" s="30"/>
      <c r="G4" s="30"/>
      <c r="H4" s="30"/>
      <c r="I4" s="30"/>
      <c r="J4" s="30"/>
      <c r="K4" s="30"/>
      <c r="L4" s="30"/>
      <c r="M4" s="30"/>
      <c r="N4" s="30"/>
      <c r="O4" s="30"/>
      <c r="P4" s="30"/>
      <c r="Q4" s="30"/>
      <c r="R4" s="30"/>
      <c r="S4" s="30"/>
    </row>
    <row r="5" spans="1:19" ht="14" customHeight="1">
      <c r="B5" s="31"/>
      <c r="C5" s="31"/>
      <c r="D5" s="31" t="str">
        <f>Currency&amp;"/unit"</f>
        <v>USD/unit</v>
      </c>
      <c r="E5" s="31" t="str">
        <f>Currency&amp;"/unit"</f>
        <v>USD/unit</v>
      </c>
      <c r="F5" s="31" t="str">
        <f>Currency&amp;"/unit"</f>
        <v>USD/unit</v>
      </c>
      <c r="G5" s="31"/>
      <c r="H5" s="31"/>
      <c r="I5" s="31" t="str">
        <f>Currency&amp;"/unit"</f>
        <v>USD/unit</v>
      </c>
      <c r="J5" s="31" t="str">
        <f>Currency&amp;"/unit"</f>
        <v>USD/unit</v>
      </c>
      <c r="K5" s="31" t="str">
        <f>Currency&amp;"/unit"</f>
        <v>USD/unit</v>
      </c>
      <c r="L5" s="31" t="str">
        <f>Currency&amp;"/unit"</f>
        <v>USD/unit</v>
      </c>
      <c r="M5" s="31" t="str">
        <f>Currency&amp;"/unit"</f>
        <v>USD/unit</v>
      </c>
      <c r="N5" s="31"/>
      <c r="O5" s="31"/>
      <c r="P5" s="31"/>
      <c r="Q5" s="31"/>
      <c r="R5" s="31"/>
      <c r="S5" s="31"/>
    </row>
    <row r="6" spans="1:19" ht="45.5" customHeight="1">
      <c r="B6" s="32" t="s">
        <v>116</v>
      </c>
      <c r="C6" s="32" t="s">
        <v>117</v>
      </c>
      <c r="D6" s="32" t="s">
        <v>118</v>
      </c>
      <c r="E6" s="32" t="s">
        <v>119</v>
      </c>
      <c r="F6" s="32" t="s">
        <v>120</v>
      </c>
      <c r="G6" s="32" t="s">
        <v>121</v>
      </c>
      <c r="H6" s="32" t="s">
        <v>122</v>
      </c>
      <c r="I6" s="32" t="s">
        <v>123</v>
      </c>
      <c r="J6" s="32" t="s">
        <v>124</v>
      </c>
      <c r="K6" s="32" t="s">
        <v>125</v>
      </c>
      <c r="L6" s="32" t="s">
        <v>126</v>
      </c>
      <c r="M6" s="32" t="s">
        <v>127</v>
      </c>
      <c r="N6" s="32" t="s">
        <v>128</v>
      </c>
      <c r="O6" s="32" t="s">
        <v>129</v>
      </c>
      <c r="P6" s="32" t="s">
        <v>130</v>
      </c>
      <c r="Q6" s="32" t="s">
        <v>131</v>
      </c>
      <c r="R6" s="32" t="s">
        <v>87</v>
      </c>
      <c r="S6" s="32" t="s">
        <v>88</v>
      </c>
    </row>
    <row r="7" spans="1:19">
      <c r="B7" s="28" t="s">
        <v>133</v>
      </c>
      <c r="C7" s="33">
        <v>42000</v>
      </c>
      <c r="D7" s="42">
        <v>38</v>
      </c>
      <c r="E7" s="42">
        <v>14.2</v>
      </c>
      <c r="F7" s="42">
        <v>4.1</v>
      </c>
      <c r="G7" s="42">
        <v>0.16</v>
      </c>
      <c r="H7" s="42">
        <v>0.12</v>
      </c>
      <c r="I7" s="35">
        <f>IF(tblProducts[[#This Row],[Product]]="","",tblProducts[[#This Row],[Material]]+tblProducts[[#This Row],[Direct labour]])</f>
        <v>18.3</v>
      </c>
      <c r="J7" s="35">
        <f>IF(tblProducts[[#This Row],[Product]]="","",IF(N(tblProducts[[#This Row],[Volume (units)]])=0,"",SUMIFS(tblUsage[Assigned cost],tblUsage[Product],tblProducts[[#This Row],[Product]])/tblProducts[[#This Row],[Volume (units)]]))</f>
        <v>4.27893183587031</v>
      </c>
      <c r="K7" s="35">
        <f>IF(tblProducts[[#This Row],[Product]]="","",IF(PlantRate="","",IF(TradBasis="Machine hours",tblProducts[[#This Row],[Machine hours (h/unit)]],tblProducts[[#This Row],[Labour hours (h/unit)]])*PlantRate))</f>
        <v>7.90578934365478</v>
      </c>
      <c r="L7" s="35">
        <f>IF(tblProducts[[#This Row],[Product]]="","",IF(tblProducts[[#This Row],[ABC overhead]]="","",tblProducts[[#This Row],[Direct cost]]+tblProducts[[#This Row],[ABC overhead]]))</f>
        <v>22.5789318358703</v>
      </c>
      <c r="M7" s="35">
        <f>IF(tblProducts[[#This Row],[Product]]="","",IF(tblProducts[[#This Row],[Traditional overhead]]="","",tblProducts[[#This Row],[Direct cost]]+tblProducts[[#This Row],[Traditional overhead]]))</f>
        <v>26.2057893436548</v>
      </c>
      <c r="N7" s="43">
        <f>IF(tblProducts[[#This Row],[Product]]="","",IF(OR(tblProducts[[#This Row],[ABC unit cost]]="",N(tblProducts[[#This Row],[Traditional unit cost]])=0),"",tblProducts[[#This Row],[ABC unit cost]]/tblProducts[[#This Row],[Traditional unit cost]]-1))</f>
        <v>-0.138399094193385</v>
      </c>
      <c r="O7" s="37">
        <f>IF(tblProducts[[#This Row],[Product]]="","",IF(OR(N(tblProducts[[#This Row],[Price]])=0,tblProducts[[#This Row],[ABC unit cost]]=""),"",(tblProducts[[#This Row],[Price]]-tblProducts[[#This Row],[ABC unit cost]])/tblProducts[[#This Row],[Price]]))</f>
        <v>0.405817583266571</v>
      </c>
      <c r="P7" s="37">
        <f>IF(tblProducts[[#This Row],[Product]]="","",IF(OR(N(tblProducts[[#This Row],[Price]])=0,tblProducts[[#This Row],[Traditional unit cost]]=""),"",(tblProducts[[#This Row],[Price]]-tblProducts[[#This Row],[Traditional unit cost]])/tblProducts[[#This Row],[Price]]))</f>
        <v>0.310373964640664</v>
      </c>
      <c r="Q7" s="44" t="str">
        <f>IF(NOT(ISNUMBER(tblProducts[[#This Row],[ABC margin]])),"",IF(tblProducts[[#This Row],[ABC margin]]&gt;=TargetMargin,"On target",IF(tblProducts[[#This Row],[ABC margin]]&gt;=TargetMargin*(1-0.05),"Near target","Below target")))</f>
        <v>On target</v>
      </c>
      <c r="R7"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7" s="39" t="s">
        <v>134</v>
      </c>
    </row>
    <row r="8" spans="1:19">
      <c r="B8" s="28" t="s">
        <v>135</v>
      </c>
      <c r="C8" s="33">
        <v>18000</v>
      </c>
      <c r="D8" s="42">
        <v>64</v>
      </c>
      <c r="E8" s="42">
        <v>24.5</v>
      </c>
      <c r="F8" s="42">
        <v>6.4</v>
      </c>
      <c r="G8" s="42">
        <v>0.25</v>
      </c>
      <c r="H8" s="42">
        <v>0.2</v>
      </c>
      <c r="I8" s="35">
        <f>IF(tblProducts[[#This Row],[Product]]="","",tblProducts[[#This Row],[Material]]+tblProducts[[#This Row],[Direct labour]])</f>
        <v>30.9</v>
      </c>
      <c r="J8" s="35">
        <f>IF(tblProducts[[#This Row],[Product]]="","",IF(N(tblProducts[[#This Row],[Volume (units)]])=0,"",SUMIFS(tblUsage[Assigned cost],tblUsage[Product],tblProducts[[#This Row],[Product]])/tblProducts[[#This Row],[Volume (units)]]))</f>
        <v>7.84477724479191</v>
      </c>
      <c r="K8" s="35">
        <f>IF(tblProducts[[#This Row],[Product]]="","",IF(PlantRate="","",IF(TradBasis="Machine hours",tblProducts[[#This Row],[Machine hours (h/unit)]],tblProducts[[#This Row],[Labour hours (h/unit)]])*PlantRate))</f>
        <v>12.3527958494606</v>
      </c>
      <c r="L8" s="35">
        <f>IF(tblProducts[[#This Row],[Product]]="","",IF(tblProducts[[#This Row],[ABC overhead]]="","",tblProducts[[#This Row],[Direct cost]]+tblProducts[[#This Row],[ABC overhead]]))</f>
        <v>38.7447772447919</v>
      </c>
      <c r="M8" s="35">
        <f>IF(tblProducts[[#This Row],[Product]]="","",IF(tblProducts[[#This Row],[Traditional overhead]]="","",tblProducts[[#This Row],[Direct cost]]+tblProducts[[#This Row],[Traditional overhead]]))</f>
        <v>43.2527958494606</v>
      </c>
      <c r="N8" s="43">
        <f>IF(tblProducts[[#This Row],[Product]]="","",IF(OR(tblProducts[[#This Row],[ABC unit cost]]="",N(tblProducts[[#This Row],[Traditional unit cost]])=0),"",tblProducts[[#This Row],[ABC unit cost]]/tblProducts[[#This Row],[Traditional unit cost]]-1))</f>
        <v>-0.104224906532254</v>
      </c>
      <c r="O8" s="37">
        <f>IF(tblProducts[[#This Row],[Product]]="","",IF(OR(N(tblProducts[[#This Row],[Price]])=0,tblProducts[[#This Row],[ABC unit cost]]=""),"",(tblProducts[[#This Row],[Price]]-tblProducts[[#This Row],[ABC unit cost]])/tblProducts[[#This Row],[Price]]))</f>
        <v>0.394612855550126</v>
      </c>
      <c r="P8" s="37">
        <f>IF(tblProducts[[#This Row],[Product]]="","",IF(OR(N(tblProducts[[#This Row],[Price]])=0,tblProducts[[#This Row],[Traditional unit cost]]=""),"",(tblProducts[[#This Row],[Price]]-tblProducts[[#This Row],[Traditional unit cost]])/tblProducts[[#This Row],[Price]]))</f>
        <v>0.324175064852178</v>
      </c>
      <c r="Q8" s="44" t="str">
        <f>IF(NOT(ISNUMBER(tblProducts[[#This Row],[ABC margin]])),"",IF(tblProducts[[#This Row],[ABC margin]]&gt;=TargetMargin,"On target",IF(tblProducts[[#This Row],[ABC margin]]&gt;=TargetMargin*(1-0.05),"Near target","Below target")))</f>
        <v>On target</v>
      </c>
      <c r="R8"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8" s="39" t="s">
        <v>136</v>
      </c>
    </row>
    <row r="9" spans="1:19">
      <c r="B9" s="28" t="s">
        <v>137</v>
      </c>
      <c r="C9" s="33">
        <v>7500</v>
      </c>
      <c r="D9" s="42">
        <v>118</v>
      </c>
      <c r="E9" s="42">
        <v>47</v>
      </c>
      <c r="F9" s="42">
        <v>11.2</v>
      </c>
      <c r="G9" s="42">
        <v>0.44</v>
      </c>
      <c r="H9" s="42">
        <v>0.38</v>
      </c>
      <c r="I9" s="35">
        <f>IF(tblProducts[[#This Row],[Product]]="","",tblProducts[[#This Row],[Material]]+tblProducts[[#This Row],[Direct labour]])</f>
        <v>58.2</v>
      </c>
      <c r="J9" s="35">
        <f>IF(tblProducts[[#This Row],[Product]]="","",IF(N(tblProducts[[#This Row],[Volume (units)]])=0,"",SUMIFS(tblUsage[Assigned cost],tblUsage[Product],tblProducts[[#This Row],[Product]])/tblProducts[[#This Row],[Volume (units)]]))</f>
        <v>15.6327640744806</v>
      </c>
      <c r="K9" s="35">
        <f>IF(tblProducts[[#This Row],[Product]]="","",IF(PlantRate="","",IF(TradBasis="Machine hours",tblProducts[[#This Row],[Machine hours (h/unit)]],tblProducts[[#This Row],[Labour hours (h/unit)]])*PlantRate))</f>
        <v>21.7409206950506</v>
      </c>
      <c r="L9" s="35">
        <f>IF(tblProducts[[#This Row],[Product]]="","",IF(tblProducts[[#This Row],[ABC overhead]]="","",tblProducts[[#This Row],[Direct cost]]+tblProducts[[#This Row],[ABC overhead]]))</f>
        <v>73.8327640744806</v>
      </c>
      <c r="M9" s="35">
        <f>IF(tblProducts[[#This Row],[Product]]="","",IF(tblProducts[[#This Row],[Traditional overhead]]="","",tblProducts[[#This Row],[Direct cost]]+tblProducts[[#This Row],[Traditional overhead]]))</f>
        <v>79.9409206950507</v>
      </c>
      <c r="N9" s="43">
        <f>IF(tblProducts[[#This Row],[Product]]="","",IF(OR(tblProducts[[#This Row],[ABC unit cost]]="",N(tblProducts[[#This Row],[Traditional unit cost]])=0),"",tblProducts[[#This Row],[ABC unit cost]]/tblProducts[[#This Row],[Traditional unit cost]]-1))</f>
        <v>-0.07640838468537</v>
      </c>
      <c r="O9" s="37">
        <f>IF(tblProducts[[#This Row],[Product]]="","",IF(OR(N(tblProducts[[#This Row],[Price]])=0,tblProducts[[#This Row],[ABC unit cost]]=""),"",(tblProducts[[#This Row],[Price]]-tblProducts[[#This Row],[ABC unit cost]])/tblProducts[[#This Row],[Price]]))</f>
        <v>0.3742986095383</v>
      </c>
      <c r="P9" s="37">
        <f>IF(tblProducts[[#This Row],[Product]]="","",IF(OR(N(tblProducts[[#This Row],[Price]])=0,tblProducts[[#This Row],[Traditional unit cost]]=""),"",(tblProducts[[#This Row],[Price]]-tblProducts[[#This Row],[Traditional unit cost]])/tblProducts[[#This Row],[Price]]))</f>
        <v>0.322534570380927</v>
      </c>
      <c r="Q9" s="44" t="str">
        <f>IF(NOT(ISNUMBER(tblProducts[[#This Row],[ABC margin]])),"",IF(tblProducts[[#This Row],[ABC margin]]&gt;=TargetMargin,"On target",IF(tblProducts[[#This Row],[ABC margin]]&gt;=TargetMargin*(1-0.05),"Near target","Below target")))</f>
        <v>On target</v>
      </c>
      <c r="R9"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9" s="39" t="s">
        <v>136</v>
      </c>
    </row>
    <row r="10" spans="1:19">
      <c r="B10" s="28" t="s">
        <v>138</v>
      </c>
      <c r="C10" s="33">
        <v>11000</v>
      </c>
      <c r="D10" s="42">
        <v>46</v>
      </c>
      <c r="E10" s="42">
        <v>17.6</v>
      </c>
      <c r="F10" s="42">
        <v>4.9</v>
      </c>
      <c r="G10" s="42">
        <v>0.19</v>
      </c>
      <c r="H10" s="42">
        <v>0.14</v>
      </c>
      <c r="I10" s="35">
        <f>IF(tblProducts[[#This Row],[Product]]="","",tblProducts[[#This Row],[Material]]+tblProducts[[#This Row],[Direct labour]])</f>
        <v>22.5</v>
      </c>
      <c r="J10" s="35">
        <f>IF(tblProducts[[#This Row],[Product]]="","",IF(N(tblProducts[[#This Row],[Volume (units)]])=0,"",SUMIFS(tblUsage[Assigned cost],tblUsage[Product],tblProducts[[#This Row],[Product]])/tblProducts[[#This Row],[Volume (units)]]))</f>
        <v>7.33952638607517</v>
      </c>
      <c r="K10" s="35">
        <f>IF(tblProducts[[#This Row],[Product]]="","",IF(PlantRate="","",IF(TradBasis="Machine hours",tblProducts[[#This Row],[Machine hours (h/unit)]],tblProducts[[#This Row],[Labour hours (h/unit)]])*PlantRate))</f>
        <v>9.38812484559005</v>
      </c>
      <c r="L10" s="35">
        <f>IF(tblProducts[[#This Row],[Product]]="","",IF(tblProducts[[#This Row],[ABC overhead]]="","",tblProducts[[#This Row],[Direct cost]]+tblProducts[[#This Row],[ABC overhead]]))</f>
        <v>29.8395263860752</v>
      </c>
      <c r="M10" s="35">
        <f>IF(tblProducts[[#This Row],[Product]]="","",IF(tblProducts[[#This Row],[Traditional overhead]]="","",tblProducts[[#This Row],[Direct cost]]+tblProducts[[#This Row],[Traditional overhead]]))</f>
        <v>31.8881248455901</v>
      </c>
      <c r="N10" s="43">
        <f>IF(tblProducts[[#This Row],[Product]]="","",IF(OR(tblProducts[[#This Row],[ABC unit cost]]="",N(tblProducts[[#This Row],[Traditional unit cost]])=0),"",tblProducts[[#This Row],[ABC unit cost]]/tblProducts[[#This Row],[Traditional unit cost]]-1))</f>
        <v>-0.0642433027791596</v>
      </c>
      <c r="O10" s="37">
        <f>IF(tblProducts[[#This Row],[Product]]="","",IF(OR(N(tblProducts[[#This Row],[Price]])=0,tblProducts[[#This Row],[ABC unit cost]]=""),"",(tblProducts[[#This Row],[Price]]-tblProducts[[#This Row],[ABC unit cost]])/tblProducts[[#This Row],[Price]]))</f>
        <v>0.351314643780975</v>
      </c>
      <c r="P10" s="37">
        <f>IF(tblProducts[[#This Row],[Product]]="","",IF(OR(N(tblProducts[[#This Row],[Price]])=0,tblProducts[[#This Row],[Traditional unit cost]]=""),"",(tblProducts[[#This Row],[Price]]-tblProducts[[#This Row],[Traditional unit cost]])/tblProducts[[#This Row],[Price]]))</f>
        <v>0.306779894661086</v>
      </c>
      <c r="Q10" s="44" t="str">
        <f>IF(NOT(ISNUMBER(tblProducts[[#This Row],[ABC margin]])),"",IF(tblProducts[[#This Row],[ABC margin]]&gt;=TargetMargin,"On target",IF(tblProducts[[#This Row],[ABC margin]]&gt;=TargetMargin*(1-0.05),"Near target","Below target")))</f>
        <v>On target</v>
      </c>
      <c r="R10"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10" s="39" t="s">
        <v>136</v>
      </c>
    </row>
    <row r="11" spans="1:19">
      <c r="B11" s="28" t="s">
        <v>139</v>
      </c>
      <c r="C11" s="33">
        <v>3200</v>
      </c>
      <c r="D11" s="42">
        <v>265</v>
      </c>
      <c r="E11" s="42">
        <v>108</v>
      </c>
      <c r="F11" s="42">
        <v>24</v>
      </c>
      <c r="G11" s="42">
        <v>0.9399999999999999</v>
      </c>
      <c r="H11" s="42">
        <v>0.78</v>
      </c>
      <c r="I11" s="35">
        <f>IF(tblProducts[[#This Row],[Product]]="","",tblProducts[[#This Row],[Material]]+tblProducts[[#This Row],[Direct labour]])</f>
        <v>132</v>
      </c>
      <c r="J11" s="35">
        <f>IF(tblProducts[[#This Row],[Product]]="","",IF(N(tblProducts[[#This Row],[Volume (units)]])=0,"",SUMIFS(tblUsage[Assigned cost],tblUsage[Product],tblProducts[[#This Row],[Product]])/tblProducts[[#This Row],[Volume (units)]]))</f>
        <v>43.6589481859701</v>
      </c>
      <c r="K11" s="35">
        <f>IF(tblProducts[[#This Row],[Product]]="","",IF(PlantRate="","",IF(TradBasis="Machine hours",tblProducts[[#This Row],[Machine hours (h/unit)]],tblProducts[[#This Row],[Labour hours (h/unit)]])*PlantRate))</f>
        <v>46.4465123939718</v>
      </c>
      <c r="L11" s="35">
        <f>IF(tblProducts[[#This Row],[Product]]="","",IF(tblProducts[[#This Row],[ABC overhead]]="","",tblProducts[[#This Row],[Direct cost]]+tblProducts[[#This Row],[ABC overhead]]))</f>
        <v>175.65894818597</v>
      </c>
      <c r="M11" s="35">
        <f>IF(tblProducts[[#This Row],[Product]]="","",IF(tblProducts[[#This Row],[Traditional overhead]]="","",tblProducts[[#This Row],[Direct cost]]+tblProducts[[#This Row],[Traditional overhead]]))</f>
        <v>178.446512393972</v>
      </c>
      <c r="N11" s="43">
        <f>IF(tblProducts[[#This Row],[Product]]="","",IF(OR(tblProducts[[#This Row],[ABC unit cost]]="",N(tblProducts[[#This Row],[Traditional unit cost]])=0),"",tblProducts[[#This Row],[ABC unit cost]]/tblProducts[[#This Row],[Traditional unit cost]]-1))</f>
        <v>-0.0156212871330734</v>
      </c>
      <c r="O11" s="37">
        <f>IF(tblProducts[[#This Row],[Product]]="","",IF(OR(N(tblProducts[[#This Row],[Price]])=0,tblProducts[[#This Row],[ABC unit cost]]=""),"",(tblProducts[[#This Row],[Price]]-tblProducts[[#This Row],[ABC unit cost]])/tblProducts[[#This Row],[Price]]))</f>
        <v>0.337136044581245</v>
      </c>
      <c r="P11" s="37">
        <f>IF(tblProducts[[#This Row],[Product]]="","",IF(OR(N(tblProducts[[#This Row],[Price]])=0,tblProducts[[#This Row],[Traditional unit cost]]=""),"",(tblProducts[[#This Row],[Price]]-tblProducts[[#This Row],[Traditional unit cost]])/tblProducts[[#This Row],[Price]]))</f>
        <v>0.32661693436237</v>
      </c>
      <c r="Q11" s="44" t="str">
        <f>IF(NOT(ISNUMBER(tblProducts[[#This Row],[ABC margin]])),"",IF(tblProducts[[#This Row],[ABC margin]]&gt;=TargetMargin,"On target",IF(tblProducts[[#This Row],[ABC margin]]&gt;=TargetMargin*(1-0.05),"Near target","Below target")))</f>
        <v>On target</v>
      </c>
      <c r="R11"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11" s="39" t="s">
        <v>140</v>
      </c>
    </row>
    <row r="12" spans="1:19">
      <c r="B12" s="28" t="s">
        <v>141</v>
      </c>
      <c r="C12" s="33">
        <v>1800</v>
      </c>
      <c r="D12" s="42">
        <v>410</v>
      </c>
      <c r="E12" s="42">
        <v>196</v>
      </c>
      <c r="F12" s="42">
        <v>42</v>
      </c>
      <c r="G12" s="42">
        <v>1.6</v>
      </c>
      <c r="H12" s="42">
        <v>0.8</v>
      </c>
      <c r="I12" s="35">
        <f>IF(tblProducts[[#This Row],[Product]]="","",tblProducts[[#This Row],[Material]]+tblProducts[[#This Row],[Direct labour]])</f>
        <v>238</v>
      </c>
      <c r="J12" s="35">
        <f>IF(tblProducts[[#This Row],[Product]]="","",IF(N(tblProducts[[#This Row],[Volume (units)]])=0,"",SUMIFS(tblUsage[Assigned cost],tblUsage[Product],tblProducts[[#This Row],[Product]])/tblProducts[[#This Row],[Volume (units)]]))</f>
        <v>147.689181719977</v>
      </c>
      <c r="K12" s="35">
        <f>IF(tblProducts[[#This Row],[Product]]="","",IF(PlantRate="","",IF(TradBasis="Machine hours",tblProducts[[#This Row],[Machine hours (h/unit)]],tblProducts[[#This Row],[Labour hours (h/unit)]])*PlantRate))</f>
        <v>79.0578934365478</v>
      </c>
      <c r="L12" s="35">
        <f>IF(tblProducts[[#This Row],[Product]]="","",IF(tblProducts[[#This Row],[ABC overhead]]="","",tblProducts[[#This Row],[Direct cost]]+tblProducts[[#This Row],[ABC overhead]]))</f>
        <v>385.689181719977</v>
      </c>
      <c r="M12" s="35">
        <f>IF(tblProducts[[#This Row],[Product]]="","",IF(tblProducts[[#This Row],[Traditional overhead]]="","",tblProducts[[#This Row],[Direct cost]]+tblProducts[[#This Row],[Traditional overhead]]))</f>
        <v>317.057893436548</v>
      </c>
      <c r="N12" s="43">
        <f>IF(tblProducts[[#This Row],[Product]]="","",IF(OR(tblProducts[[#This Row],[ABC unit cost]]="",N(tblProducts[[#This Row],[Traditional unit cost]])=0),"",tblProducts[[#This Row],[ABC unit cost]]/tblProducts[[#This Row],[Traditional unit cost]]-1))</f>
        <v>0.216462954255907</v>
      </c>
      <c r="O12" s="37">
        <f>IF(tblProducts[[#This Row],[Product]]="","",IF(OR(N(tblProducts[[#This Row],[Price]])=0,tblProducts[[#This Row],[ABC unit cost]]=""),"",(tblProducts[[#This Row],[Price]]-tblProducts[[#This Row],[ABC unit cost]])/tblProducts[[#This Row],[Price]]))</f>
        <v>0.0592946787317623</v>
      </c>
      <c r="P12" s="37">
        <f>IF(tblProducts[[#This Row],[Product]]="","",IF(OR(N(tblProducts[[#This Row],[Price]])=0,tblProducts[[#This Row],[Traditional unit cost]]=""),"",(tblProducts[[#This Row],[Price]]-tblProducts[[#This Row],[Traditional unit cost]])/tblProducts[[#This Row],[Price]]))</f>
        <v>0.226688064788908</v>
      </c>
      <c r="Q12" s="44" t="str">
        <f>IF(NOT(ISNUMBER(tblProducts[[#This Row],[ABC margin]])),"",IF(tblProducts[[#This Row],[ABC margin]]&gt;=TargetMargin,"On target",IF(tblProducts[[#This Row],[ABC margin]]&gt;=TargetMargin*(1-0.05),"Near target","Below target")))</f>
        <v>Below target</v>
      </c>
      <c r="R12"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12" s="39" t="s">
        <v>142</v>
      </c>
    </row>
    <row r="13" spans="1:19">
      <c r="B13" s="28" t="s">
        <v>143</v>
      </c>
      <c r="C13" s="33">
        <v>9000</v>
      </c>
      <c r="D13" s="42">
        <v>22</v>
      </c>
      <c r="E13" s="42">
        <v>6.8</v>
      </c>
      <c r="F13" s="42">
        <v>2.6</v>
      </c>
      <c r="G13" s="42">
        <v>0.1</v>
      </c>
      <c r="H13" s="42">
        <v>0.02</v>
      </c>
      <c r="I13" s="35">
        <f>IF(tblProducts[[#This Row],[Product]]="","",tblProducts[[#This Row],[Material]]+tblProducts[[#This Row],[Direct labour]])</f>
        <v>9.4</v>
      </c>
      <c r="J13" s="35">
        <f>IF(tblProducts[[#This Row],[Product]]="","",IF(N(tblProducts[[#This Row],[Volume (units)]])=0,"",SUMIFS(tblUsage[Assigned cost],tblUsage[Product],tblProducts[[#This Row],[Product]])/tblProducts[[#This Row],[Volume (units)]]))</f>
        <v>6.84323882100735</v>
      </c>
      <c r="K13" s="35">
        <f>IF(tblProducts[[#This Row],[Product]]="","",IF(PlantRate="","",IF(TradBasis="Machine hours",tblProducts[[#This Row],[Machine hours (h/unit)]],tblProducts[[#This Row],[Labour hours (h/unit)]])*PlantRate))</f>
        <v>4.94111833978424</v>
      </c>
      <c r="L13" s="35">
        <f>IF(tblProducts[[#This Row],[Product]]="","",IF(tblProducts[[#This Row],[ABC overhead]]="","",tblProducts[[#This Row],[Direct cost]]+tblProducts[[#This Row],[ABC overhead]]))</f>
        <v>16.2432388210074</v>
      </c>
      <c r="M13" s="35">
        <f>IF(tblProducts[[#This Row],[Product]]="","",IF(tblProducts[[#This Row],[Traditional overhead]]="","",tblProducts[[#This Row],[Direct cost]]+tblProducts[[#This Row],[Traditional overhead]]))</f>
        <v>14.3411183397842</v>
      </c>
      <c r="N13" s="43">
        <f>IF(tblProducts[[#This Row],[Product]]="","",IF(OR(tblProducts[[#This Row],[ABC unit cost]]="",N(tblProducts[[#This Row],[Traditional unit cost]])=0),"",tblProducts[[#This Row],[ABC unit cost]]/tblProducts[[#This Row],[Traditional unit cost]]-1))</f>
        <v>0.132634041234174</v>
      </c>
      <c r="O13" s="37">
        <f>IF(tblProducts[[#This Row],[Product]]="","",IF(OR(N(tblProducts[[#This Row],[Price]])=0,tblProducts[[#This Row],[ABC unit cost]]=""),"",(tblProducts[[#This Row],[Price]]-tblProducts[[#This Row],[ABC unit cost]])/tblProducts[[#This Row],[Price]]))</f>
        <v>0.261670962681484</v>
      </c>
      <c r="P13" s="37">
        <f>IF(tblProducts[[#This Row],[Product]]="","",IF(OR(N(tblProducts[[#This Row],[Price]])=0,tblProducts[[#This Row],[Traditional unit cost]]=""),"",(tblProducts[[#This Row],[Price]]-tblProducts[[#This Row],[Traditional unit cost]])/tblProducts[[#This Row],[Price]]))</f>
        <v>0.348130984555262</v>
      </c>
      <c r="Q13" s="44" t="str">
        <f>IF(NOT(ISNUMBER(tblProducts[[#This Row],[ABC margin]])),"",IF(tblProducts[[#This Row],[ABC margin]]&gt;=TargetMargin,"On target",IF(tblProducts[[#This Row],[ABC margin]]&gt;=TargetMargin*(1-0.05),"Near target","Below target")))</f>
        <v>On target</v>
      </c>
      <c r="R13"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13" s="39" t="s">
        <v>144</v>
      </c>
    </row>
    <row r="14" spans="1:19">
      <c r="B14" s="28" t="s">
        <v>145</v>
      </c>
      <c r="C14" s="33">
        <v>240</v>
      </c>
      <c r="D14" s="42">
        <v>1250</v>
      </c>
      <c r="E14" s="42">
        <v>380</v>
      </c>
      <c r="F14" s="42">
        <v>96</v>
      </c>
      <c r="G14" s="42">
        <v>3.7</v>
      </c>
      <c r="H14" s="42">
        <v>2.4</v>
      </c>
      <c r="I14" s="35">
        <f>IF(tblProducts[[#This Row],[Product]]="","",tblProducts[[#This Row],[Material]]+tblProducts[[#This Row],[Direct labour]])</f>
        <v>476</v>
      </c>
      <c r="J14" s="35">
        <f>IF(tblProducts[[#This Row],[Product]]="","",IF(N(tblProducts[[#This Row],[Volume (units)]])=0,"",SUMIFS(tblUsage[Assigned cost],tblUsage[Product],tblProducts[[#This Row],[Product]])/tblProducts[[#This Row],[Volume (units)]]))</f>
        <v>591.666837506799</v>
      </c>
      <c r="K14" s="35">
        <f>IF(tblProducts[[#This Row],[Product]]="","",IF(PlantRate="","",IF(TradBasis="Machine hours",tblProducts[[#This Row],[Machine hours (h/unit)]],tblProducts[[#This Row],[Labour hours (h/unit)]])*PlantRate))</f>
        <v>182.821378572017</v>
      </c>
      <c r="L14" s="35">
        <f>IF(tblProducts[[#This Row],[Product]]="","",IF(tblProducts[[#This Row],[ABC overhead]]="","",tblProducts[[#This Row],[Direct cost]]+tblProducts[[#This Row],[ABC overhead]]))</f>
        <v>1067.6668375068</v>
      </c>
      <c r="M14" s="35">
        <f>IF(tblProducts[[#This Row],[Product]]="","",IF(tblProducts[[#This Row],[Traditional overhead]]="","",tblProducts[[#This Row],[Direct cost]]+tblProducts[[#This Row],[Traditional overhead]]))</f>
        <v>658.821378572017</v>
      </c>
      <c r="N14" s="43">
        <f>IF(tblProducts[[#This Row],[Product]]="","",IF(OR(tblProducts[[#This Row],[ABC unit cost]]="",N(tblProducts[[#This Row],[Traditional unit cost]])=0),"",tblProducts[[#This Row],[ABC unit cost]]/tblProducts[[#This Row],[Traditional unit cost]]-1))</f>
        <v>0.620571026126911</v>
      </c>
      <c r="O14" s="37">
        <f>IF(tblProducts[[#This Row],[Product]]="","",IF(OR(N(tblProducts[[#This Row],[Price]])=0,tblProducts[[#This Row],[ABC unit cost]]=""),"",(tblProducts[[#This Row],[Price]]-tblProducts[[#This Row],[ABC unit cost]])/tblProducts[[#This Row],[Price]]))</f>
        <v>0.145866529994561</v>
      </c>
      <c r="P14" s="37">
        <f>IF(tblProducts[[#This Row],[Product]]="","",IF(OR(N(tblProducts[[#This Row],[Price]])=0,tblProducts[[#This Row],[Traditional unit cost]]=""),"",(tblProducts[[#This Row],[Price]]-tblProducts[[#This Row],[Traditional unit cost]])/tblProducts[[#This Row],[Price]]))</f>
        <v>0.472942897142387</v>
      </c>
      <c r="Q14" s="44" t="str">
        <f>IF(NOT(ISNUMBER(tblProducts[[#This Row],[ABC margin]])),"",IF(tblProducts[[#This Row],[ABC margin]]&gt;=TargetMargin,"On target",IF(tblProducts[[#This Row],[ABC margin]]&gt;=TargetMargin*(1-0.05),"Near target","Below target")))</f>
        <v>Below target</v>
      </c>
      <c r="R14" s="38" t="str">
        <f>IF(tblProducts[[#This Row],[Product]]="","",IF(tblProducts[[#This Row],[Volume (units)]]="","Missing volume",IF(tblProducts[[#This Row],[Price]]="","Missing price",IF(COUNTIFS(tblProducts[Product],tblProducts[[#This Row],[Product]])&gt;1,"Product listed twice",IF(COUNTIFS(tblUsage[Product],tblProducts[[#This Row],[Product]])=0,"No driver usage rows",IF(AND(TradBasis="Machine hours",N(tblProducts[[#This Row],[Machine hours (h/unit)]])=0),"Missing machine hours",IF(AND(TradBasis&lt;&gt;"Machine hours",N(tblProducts[[#This Row],[Labour hours (h/unit)]])=0),"Missing labour hours","OK")))))))</f>
        <v>OK</v>
      </c>
      <c r="S14" s="39" t="s">
        <v>146</v>
      </c>
    </row>
    <row r="16" spans="1:19">
      <c r="B16" s="40" t="s">
        <v>147</v>
      </c>
      <c r="C16" s="40"/>
      <c r="D16" s="40"/>
    </row>
    <row r="17" spans="2:4">
      <c r="B17" s="27" t="s">
        <v>148</v>
      </c>
      <c r="C17" s="34">
        <f>IF(TradBasis="Machine hours",SUMPRODUCT(tblProducts[Volume (units)],tblProducts[Machine hours (h/unit)]),SUMPRODUCT(tblProducts[Volume (units)],tblProducts[Labour hours (h/unit)]))</f>
        <v>24286</v>
      </c>
      <c r="D17" s="7" t="s">
        <v>149</v>
      </c>
    </row>
    <row r="18" spans="2:4">
      <c r="B18" s="17" t="s">
        <v>150</v>
      </c>
      <c r="C18" s="45">
        <f>IF(N(BasisTotal)=0,"",TotalPool/BasisTotal)</f>
        <v>49.4111833978424</v>
      </c>
      <c r="D18" s="7" t="str">
        <f>Currency&amp;"/h"</f>
        <v>USD/h</v>
      </c>
    </row>
  </sheetData>
  <mergeCells count="4">
    <mergeCell ref="A1:S1"/>
    <mergeCell ref="B2:R2"/>
    <mergeCell ref="B4:S4"/>
    <mergeCell ref="B16:D16"/>
  </mergeCells>
  <conditionalFormatting sqref="O7:O514">
    <cfRule type="expression" dxfId="3" priority="1" stopIfTrue="1">
      <formula>AND(ISNUMBER(O7),O7&gt;=(TargetMargin))</formula>
    </cfRule>
    <cfRule type="expression" dxfId="4" priority="2" stopIfTrue="1">
      <formula>AND(ISNUMBER(O7),O7&gt;=(TargetMargin)*(1-0.05))</formula>
    </cfRule>
    <cfRule type="expression" dxfId="5" priority="3">
      <formula>ISNUMBER(O7)</formula>
    </cfRule>
  </conditionalFormatting>
  <conditionalFormatting sqref="Q7:Q514">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R7:R514">
    <cfRule type="expression" dxfId="3" priority="24">
      <formula>$R7="OK"</formula>
    </cfRule>
    <cfRule type="expression" dxfId="1" priority="25">
      <formula>AND($R7&lt;&gt;"",$R7&lt;&gt;"OK")</formula>
    </cfRule>
  </conditionalFormatting>
  <dataValidations count="8">
    <dataValidation type="textLength" allowBlank="1" showInputMessage="1" showErrorMessage="1" errorTitle="Check this entry" error="Text up to 60 characters." promptTitle="Product" prompt="Text up to 60 characters." sqref="B7:B514">
      <formula1>0</formula1>
      <formula2>60</formula2>
    </dataValidation>
    <dataValidation type="whole" allowBlank="1" showInputMessage="1" showErrorMessage="1" errorTitle="Check this entry" error="Enter a whole number of at least 0." promptTitle="Volume (units)" prompt="Units made and sold in the Setup period. Enter a whole number of at least 0." sqref="C7:C514">
      <formula1>0</formula1>
      <formula2>10000000000.0</formula2>
    </dataValidation>
    <dataValidation type="decimal" allowBlank="1" showInputMessage="1" showErrorMessage="1" errorTitle="Check this entry" error="Enter a number of at least 0." promptTitle="Price" prompt="Net selling price per unit after discounts. Enter a number of at least 0." sqref="D7:D514">
      <formula1>0</formula1>
      <formula2>1000000000.0</formula2>
    </dataValidation>
    <dataValidation type="decimal" allowBlank="1" showInputMessage="1" showErrorMessage="1" errorTitle="Check this entry" error="Enter a number of at least 0." promptTitle="Material" prompt="Direct material per unit, scrap allowance included. Enter a number of at least 0." sqref="E7:E514">
      <formula1>0</formula1>
      <formula2>1000000000.0</formula2>
    </dataValidation>
    <dataValidation type="decimal" allowBlank="1" showInputMessage="1" showErrorMessage="1" errorTitle="Check this entry" error="Enter a number of at least 0." promptTitle="Direct labour" prompt="Direct labour cost per unit at your loaded wage rate. Enter a number of at least 0." sqref="F7:F514">
      <formula1>0</formula1>
      <formula2>1000000000.0</formula2>
    </dataValidation>
    <dataValidation type="decimal" allowBlank="1" showInputMessage="1" showErrorMessage="1" errorTitle="Check this entry" error="Enter a number from 0 to 10,000." promptTitle="Labour hours (h/unit)" prompt="Direct labour hours per unit (the traditional base when Setup says labour hours). Enter a number from 0 to 10,000." sqref="G7:G514">
      <formula1>0</formula1>
      <formula2>10000</formula2>
    </dataValidation>
    <dataValidation type="decimal" allowBlank="1" showInputMessage="1" showErrorMessage="1" errorTitle="Check this entry" error="Enter a number from 0 to 10,000." promptTitle="Machine hours (h/unit)" prompt="Machine hours per unit (the traditional base when Setup says machine hours). Enter a number from 0 to 10,000." sqref="H7:H514">
      <formula1>0</formula1>
      <formula2>10000</formula2>
    </dataValidation>
    <dataValidation type="textLength" allowBlank="1" showInputMessage="1" showErrorMessage="1" errorTitle="Check this entry" error="Text up to 255 characters." promptTitle="Notes" prompt="Text up to 255 characters." sqref="S7:S514">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Activity-Based Costing&amp;R&amp;8&amp;A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I62"/>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3" width="28.7109375" customWidth="1"/>
    <col min="4" max="4" width="11.7109375" customWidth="1"/>
    <col min="5" max="5" width="18.7109375" customWidth="1"/>
    <col min="6" max="7" width="12.7109375" customWidth="1"/>
    <col min="8" max="8" width="26.7109375" customWidth="1"/>
    <col min="9" max="9" width="30.7109375" customWidth="1"/>
  </cols>
  <sheetData>
    <row r="1" spans="1:9" ht="30" customHeight="1" x14ac:dyDescent="0.25">
      <c r="A1" s="1" t="s">
        <v>0</v>
      </c>
      <c r="B1" s="1"/>
      <c r="C1" s="1"/>
      <c r="D1" s="1"/>
      <c r="E1" s="1"/>
      <c r="F1" s="1"/>
      <c r="G1" s="1"/>
      <c r="H1" s="1"/>
      <c r="I1" s="1"/>
    </row>
    <row r="2" spans="1:9" ht="21" customHeight="1" x14ac:dyDescent="0.25">
      <c r="B2" s="2" t="s">
        <v>26</v>
      </c>
      <c r="C2" s="2"/>
      <c r="D2" s="2"/>
      <c r="E2" s="2"/>
      <c r="F2" s="2"/>
      <c r="G2" s="2"/>
      <c r="H2" s="2"/>
      <c r="I2" s="3" t="s">
        <v>2</v>
      </c>
    </row>
    <row r="3" spans="1:9" ht="6" customHeight="1" x14ac:dyDescent="0.25"/>
    <row r="4" spans="1:9" ht="41.64" customHeight="1" x14ac:dyDescent="0.25">
      <c r="B4" s="30" t="s">
        <v>153</v>
      </c>
      <c r="C4" s="30"/>
      <c r="D4" s="30"/>
      <c r="E4" s="30"/>
      <c r="F4" s="30"/>
      <c r="G4" s="30"/>
      <c r="H4" s="30"/>
      <c r="I4" s="30"/>
    </row>
    <row r="5" spans="1:9" ht="14" customHeight="1" x14ac:dyDescent="0.25">
      <c r="B5" s="31"/>
      <c r="C5" s="31"/>
      <c r="D5" s="31"/>
      <c r="E5" s="31"/>
      <c r="F5" s="31" t="str">
        <f>Currency&amp;"/driver unit"</f>
        <v>USD/driver unit</v>
      </c>
      <c r="G5" s="31" t="str">
        <f>Currency</f>
        <v>USD</v>
      </c>
      <c r="H5" s="31"/>
      <c r="I5" s="31"/>
    </row>
    <row r="6" spans="1:9" ht="32" customHeight="1" x14ac:dyDescent="0.25">
      <c r="B6" s="32" t="s">
        <v>116</v>
      </c>
      <c r="C6" s="32" t="s">
        <v>78</v>
      </c>
      <c r="D6" s="32" t="s">
        <v>151</v>
      </c>
      <c r="E6" s="32" t="s">
        <v>80</v>
      </c>
      <c r="F6" s="32" t="s">
        <v>83</v>
      </c>
      <c r="G6" s="32" t="s">
        <v>152</v>
      </c>
      <c r="H6" s="32" t="s">
        <v>87</v>
      </c>
      <c r="I6" s="32" t="s">
        <v>88</v>
      </c>
    </row>
    <row r="7" spans="1:9" x14ac:dyDescent="0.25">
      <c r="B7" s="28" t="s">
        <v>133</v>
      </c>
      <c r="C7" s="28" t="s">
        <v>91</v>
      </c>
      <c r="D7" s="46">
        <v>40</v>
      </c>
      <c r="E7" s="47" t="str">
        <f>IF(tblUsage[[#This Row],[Product]]="","",IFERROR(INDEX(tblActivities[Cost driver],MATCH(tblUsage[[#This Row],[Activity]],tblActivities[Activity],0))&amp;"",""))</f>
        <v>Setups</v>
      </c>
      <c r="F7" s="35">
        <f>IF(tblUsage[[#This Row],[Product]]="","",IFERROR(INDEX(tblActivities[Activity rate],MATCH(tblUsage[[#This Row],[Activity]],tblActivities[Activity],0)),""))</f>
        <v>516.666666666667</v>
      </c>
      <c r="G7" s="36">
        <f>IF(tblUsage[[#This Row],[Product]]="","",IF(OR(tblUsage[[#This Row],[Activity rate]]="",tblUsage[[#This Row],[Driver quantity]]=""),"",tblUsage[[#This Row],[Driver quantity]]*tblUsage[[#This Row],[Activity rate]]))</f>
        <v>20666.6666666667</v>
      </c>
      <c r="H7"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7" s="39"/>
    </row>
    <row r="8" spans="1:9" x14ac:dyDescent="0.25">
      <c r="B8" s="28" t="s">
        <v>135</v>
      </c>
      <c r="C8" s="28" t="s">
        <v>91</v>
      </c>
      <c r="D8" s="46">
        <v>36</v>
      </c>
      <c r="E8" s="47" t="str">
        <f>IF(tblUsage[[#This Row],[Product]]="","",IFERROR(INDEX(tblActivities[Cost driver],MATCH(tblUsage[[#This Row],[Activity]],tblActivities[Activity],0))&amp;"",""))</f>
        <v>Setups</v>
      </c>
      <c r="F8" s="35">
        <f>IF(tblUsage[[#This Row],[Product]]="","",IFERROR(INDEX(tblActivities[Activity rate],MATCH(tblUsage[[#This Row],[Activity]],tblActivities[Activity],0)),""))</f>
        <v>516.666666666667</v>
      </c>
      <c r="G8" s="36">
        <f>IF(tblUsage[[#This Row],[Product]]="","",IF(OR(tblUsage[[#This Row],[Activity rate]]="",tblUsage[[#This Row],[Driver quantity]]=""),"",tblUsage[[#This Row],[Driver quantity]]*tblUsage[[#This Row],[Activity rate]]))</f>
        <v>18600</v>
      </c>
      <c r="H8"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8" s="39"/>
    </row>
    <row r="9" spans="1:9" x14ac:dyDescent="0.25">
      <c r="B9" s="28" t="s">
        <v>137</v>
      </c>
      <c r="C9" s="28" t="s">
        <v>91</v>
      </c>
      <c r="D9" s="46">
        <v>30</v>
      </c>
      <c r="E9" s="47" t="str">
        <f>IF(tblUsage[[#This Row],[Product]]="","",IFERROR(INDEX(tblActivities[Cost driver],MATCH(tblUsage[[#This Row],[Activity]],tblActivities[Activity],0))&amp;"",""))</f>
        <v>Setups</v>
      </c>
      <c r="F9" s="35">
        <f>IF(tblUsage[[#This Row],[Product]]="","",IFERROR(INDEX(tblActivities[Activity rate],MATCH(tblUsage[[#This Row],[Activity]],tblActivities[Activity],0)),""))</f>
        <v>516.666666666667</v>
      </c>
      <c r="G9" s="36">
        <f>IF(tblUsage[[#This Row],[Product]]="","",IF(OR(tblUsage[[#This Row],[Activity rate]]="",tblUsage[[#This Row],[Driver quantity]]=""),"",tblUsage[[#This Row],[Driver quantity]]*tblUsage[[#This Row],[Activity rate]]))</f>
        <v>15500</v>
      </c>
      <c r="H9"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9" s="39"/>
    </row>
    <row r="10" spans="1:9" x14ac:dyDescent="0.25">
      <c r="B10" s="28" t="s">
        <v>138</v>
      </c>
      <c r="C10" s="28" t="s">
        <v>91</v>
      </c>
      <c r="D10" s="46">
        <v>26</v>
      </c>
      <c r="E10" s="47" t="str">
        <f>IF(tblUsage[[#This Row],[Product]]="","",IFERROR(INDEX(tblActivities[Cost driver],MATCH(tblUsage[[#This Row],[Activity]],tblActivities[Activity],0))&amp;"",""))</f>
        <v>Setups</v>
      </c>
      <c r="F10" s="35">
        <f>IF(tblUsage[[#This Row],[Product]]="","",IFERROR(INDEX(tblActivities[Activity rate],MATCH(tblUsage[[#This Row],[Activity]],tblActivities[Activity],0)),""))</f>
        <v>516.666666666667</v>
      </c>
      <c r="G10" s="36">
        <f>IF(tblUsage[[#This Row],[Product]]="","",IF(OR(tblUsage[[#This Row],[Activity rate]]="",tblUsage[[#This Row],[Driver quantity]]=""),"",tblUsage[[#This Row],[Driver quantity]]*tblUsage[[#This Row],[Activity rate]]))</f>
        <v>13433.3333333333</v>
      </c>
      <c r="H10"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0" s="39"/>
    </row>
    <row r="11" spans="1:9" x14ac:dyDescent="0.25">
      <c r="B11" s="28" t="s">
        <v>139</v>
      </c>
      <c r="C11" s="28" t="s">
        <v>91</v>
      </c>
      <c r="D11" s="46">
        <v>44</v>
      </c>
      <c r="E11" s="47" t="str">
        <f>IF(tblUsage[[#This Row],[Product]]="","",IFERROR(INDEX(tblActivities[Cost driver],MATCH(tblUsage[[#This Row],[Activity]],tblActivities[Activity],0))&amp;"",""))</f>
        <v>Setups</v>
      </c>
      <c r="F11" s="35">
        <f>IF(tblUsage[[#This Row],[Product]]="","",IFERROR(INDEX(tblActivities[Activity rate],MATCH(tblUsage[[#This Row],[Activity]],tblActivities[Activity],0)),""))</f>
        <v>516.666666666667</v>
      </c>
      <c r="G11" s="36">
        <f>IF(tblUsage[[#This Row],[Product]]="","",IF(OR(tblUsage[[#This Row],[Activity rate]]="",tblUsage[[#This Row],[Driver quantity]]=""),"",tblUsage[[#This Row],[Driver quantity]]*tblUsage[[#This Row],[Activity rate]]))</f>
        <v>22733.3333333333</v>
      </c>
      <c r="H11"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1" s="39"/>
    </row>
    <row r="12" spans="1:9" x14ac:dyDescent="0.25">
      <c r="B12" s="28" t="s">
        <v>141</v>
      </c>
      <c r="C12" s="28" t="s">
        <v>91</v>
      </c>
      <c r="D12" s="46">
        <v>110</v>
      </c>
      <c r="E12" s="47" t="str">
        <f>IF(tblUsage[[#This Row],[Product]]="","",IFERROR(INDEX(tblActivities[Cost driver],MATCH(tblUsage[[#This Row],[Activity]],tblActivities[Activity],0))&amp;"",""))</f>
        <v>Setups</v>
      </c>
      <c r="F12" s="35">
        <f>IF(tblUsage[[#This Row],[Product]]="","",IFERROR(INDEX(tblActivities[Activity rate],MATCH(tblUsage[[#This Row],[Activity]],tblActivities[Activity],0)),""))</f>
        <v>516.666666666667</v>
      </c>
      <c r="G12" s="36">
        <f>IF(tblUsage[[#This Row],[Product]]="","",IF(OR(tblUsage[[#This Row],[Activity rate]]="",tblUsage[[#This Row],[Driver quantity]]=""),"",tblUsage[[#This Row],[Driver quantity]]*tblUsage[[#This Row],[Activity rate]]))</f>
        <v>56833.3333333333</v>
      </c>
      <c r="H12"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2" s="39"/>
    </row>
    <row r="13" spans="1:9" x14ac:dyDescent="0.25">
      <c r="B13" s="28" t="s">
        <v>143</v>
      </c>
      <c r="C13" s="28" t="s">
        <v>91</v>
      </c>
      <c r="D13" s="46">
        <v>18</v>
      </c>
      <c r="E13" s="47" t="str">
        <f>IF(tblUsage[[#This Row],[Product]]="","",IFERROR(INDEX(tblActivities[Cost driver],MATCH(tblUsage[[#This Row],[Activity]],tblActivities[Activity],0))&amp;"",""))</f>
        <v>Setups</v>
      </c>
      <c r="F13" s="35">
        <f>IF(tblUsage[[#This Row],[Product]]="","",IFERROR(INDEX(tblActivities[Activity rate],MATCH(tblUsage[[#This Row],[Activity]],tblActivities[Activity],0)),""))</f>
        <v>516.666666666667</v>
      </c>
      <c r="G13" s="36">
        <f>IF(tblUsage[[#This Row],[Product]]="","",IF(OR(tblUsage[[#This Row],[Activity rate]]="",tblUsage[[#This Row],[Driver quantity]]=""),"",tblUsage[[#This Row],[Driver quantity]]*tblUsage[[#This Row],[Activity rate]]))</f>
        <v>9300</v>
      </c>
      <c r="H13"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3" s="39"/>
    </row>
    <row r="14" spans="1:9" x14ac:dyDescent="0.25">
      <c r="B14" s="28" t="s">
        <v>145</v>
      </c>
      <c r="C14" s="28" t="s">
        <v>91</v>
      </c>
      <c r="D14" s="46">
        <v>56</v>
      </c>
      <c r="E14" s="47" t="str">
        <f>IF(tblUsage[[#This Row],[Product]]="","",IFERROR(INDEX(tblActivities[Cost driver],MATCH(tblUsage[[#This Row],[Activity]],tblActivities[Activity],0))&amp;"",""))</f>
        <v>Setups</v>
      </c>
      <c r="F14" s="35">
        <f>IF(tblUsage[[#This Row],[Product]]="","",IFERROR(INDEX(tblActivities[Activity rate],MATCH(tblUsage[[#This Row],[Activity]],tblActivities[Activity],0)),""))</f>
        <v>516.666666666667</v>
      </c>
      <c r="G14" s="36">
        <f>IF(tblUsage[[#This Row],[Product]]="","",IF(OR(tblUsage[[#This Row],[Activity rate]]="",tblUsage[[#This Row],[Driver quantity]]=""),"",tblUsage[[#This Row],[Driver quantity]]*tblUsage[[#This Row],[Activity rate]]))</f>
        <v>28933.3333333333</v>
      </c>
      <c r="H14"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4" s="39"/>
    </row>
    <row r="15" spans="1:9" x14ac:dyDescent="0.25">
      <c r="B15" s="28" t="s">
        <v>133</v>
      </c>
      <c r="C15" s="28" t="s">
        <v>94</v>
      </c>
      <c r="D15" s="46">
        <v>120</v>
      </c>
      <c r="E15" s="47" t="str">
        <f>IF(tblUsage[[#This Row],[Product]]="","",IFERROR(INDEX(tblActivities[Cost driver],MATCH(tblUsage[[#This Row],[Activity]],tblActivities[Activity],0))&amp;"",""))</f>
        <v>Purchase orders</v>
      </c>
      <c r="F15" s="35">
        <f>IF(tblUsage[[#This Row],[Product]]="","",IFERROR(INDEX(tblActivities[Activity rate],MATCH(tblUsage[[#This Row],[Activity]],tblActivities[Activity],0)),""))</f>
        <v>107.169811320755</v>
      </c>
      <c r="G15" s="36">
        <f>IF(tblUsage[[#This Row],[Product]]="","",IF(OR(tblUsage[[#This Row],[Activity rate]]="",tblUsage[[#This Row],[Driver quantity]]=""),"",tblUsage[[#This Row],[Driver quantity]]*tblUsage[[#This Row],[Activity rate]]))</f>
        <v>12860.3773584906</v>
      </c>
      <c r="H15"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5" s="39"/>
    </row>
    <row r="16" spans="1:9" x14ac:dyDescent="0.25">
      <c r="B16" s="28" t="s">
        <v>135</v>
      </c>
      <c r="C16" s="28" t="s">
        <v>94</v>
      </c>
      <c r="D16" s="46">
        <v>110</v>
      </c>
      <c r="E16" s="47" t="str">
        <f>IF(tblUsage[[#This Row],[Product]]="","",IFERROR(INDEX(tblActivities[Cost driver],MATCH(tblUsage[[#This Row],[Activity]],tblActivities[Activity],0))&amp;"",""))</f>
        <v>Purchase orders</v>
      </c>
      <c r="F16" s="35">
        <f>IF(tblUsage[[#This Row],[Product]]="","",IFERROR(INDEX(tblActivities[Activity rate],MATCH(tblUsage[[#This Row],[Activity]],tblActivities[Activity],0)),""))</f>
        <v>107.169811320755</v>
      </c>
      <c r="G16" s="36">
        <f>IF(tblUsage[[#This Row],[Product]]="","",IF(OR(tblUsage[[#This Row],[Activity rate]]="",tblUsage[[#This Row],[Driver quantity]]=""),"",tblUsage[[#This Row],[Driver quantity]]*tblUsage[[#This Row],[Activity rate]]))</f>
        <v>11788.679245283</v>
      </c>
      <c r="H16"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6" s="39"/>
    </row>
    <row r="17" spans="2:9" x14ac:dyDescent="0.25">
      <c r="B17" s="28" t="s">
        <v>137</v>
      </c>
      <c r="C17" s="28" t="s">
        <v>94</v>
      </c>
      <c r="D17" s="46">
        <v>95</v>
      </c>
      <c r="E17" s="47" t="str">
        <f>IF(tblUsage[[#This Row],[Product]]="","",IFERROR(INDEX(tblActivities[Cost driver],MATCH(tblUsage[[#This Row],[Activity]],tblActivities[Activity],0))&amp;"",""))</f>
        <v>Purchase orders</v>
      </c>
      <c r="F17" s="35">
        <f>IF(tblUsage[[#This Row],[Product]]="","",IFERROR(INDEX(tblActivities[Activity rate],MATCH(tblUsage[[#This Row],[Activity]],tblActivities[Activity],0)),""))</f>
        <v>107.169811320755</v>
      </c>
      <c r="G17" s="36">
        <f>IF(tblUsage[[#This Row],[Product]]="","",IF(OR(tblUsage[[#This Row],[Activity rate]]="",tblUsage[[#This Row],[Driver quantity]]=""),"",tblUsage[[#This Row],[Driver quantity]]*tblUsage[[#This Row],[Activity rate]]))</f>
        <v>10181.1320754717</v>
      </c>
      <c r="H17"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7" s="39"/>
    </row>
    <row r="18" spans="2:9" x14ac:dyDescent="0.25">
      <c r="B18" s="28" t="s">
        <v>138</v>
      </c>
      <c r="C18" s="28" t="s">
        <v>94</v>
      </c>
      <c r="D18" s="46">
        <v>80</v>
      </c>
      <c r="E18" s="47" t="str">
        <f>IF(tblUsage[[#This Row],[Product]]="","",IFERROR(INDEX(tblActivities[Cost driver],MATCH(tblUsage[[#This Row],[Activity]],tblActivities[Activity],0))&amp;"",""))</f>
        <v>Purchase orders</v>
      </c>
      <c r="F18" s="35">
        <f>IF(tblUsage[[#This Row],[Product]]="","",IFERROR(INDEX(tblActivities[Activity rate],MATCH(tblUsage[[#This Row],[Activity]],tblActivities[Activity],0)),""))</f>
        <v>107.169811320755</v>
      </c>
      <c r="G18" s="36">
        <f>IF(tblUsage[[#This Row],[Product]]="","",IF(OR(tblUsage[[#This Row],[Activity rate]]="",tblUsage[[#This Row],[Driver quantity]]=""),"",tblUsage[[#This Row],[Driver quantity]]*tblUsage[[#This Row],[Activity rate]]))</f>
        <v>8573.58490566038</v>
      </c>
      <c r="H18"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8" s="39"/>
    </row>
    <row r="19" spans="2:9" x14ac:dyDescent="0.25">
      <c r="B19" s="28" t="s">
        <v>139</v>
      </c>
      <c r="C19" s="28" t="s">
        <v>94</v>
      </c>
      <c r="D19" s="46">
        <v>150</v>
      </c>
      <c r="E19" s="47" t="str">
        <f>IF(tblUsage[[#This Row],[Product]]="","",IFERROR(INDEX(tblActivities[Cost driver],MATCH(tblUsage[[#This Row],[Activity]],tblActivities[Activity],0))&amp;"",""))</f>
        <v>Purchase orders</v>
      </c>
      <c r="F19" s="35">
        <f>IF(tblUsage[[#This Row],[Product]]="","",IFERROR(INDEX(tblActivities[Activity rate],MATCH(tblUsage[[#This Row],[Activity]],tblActivities[Activity],0)),""))</f>
        <v>107.169811320755</v>
      </c>
      <c r="G19" s="36">
        <f>IF(tblUsage[[#This Row],[Product]]="","",IF(OR(tblUsage[[#This Row],[Activity rate]]="",tblUsage[[#This Row],[Driver quantity]]=""),"",tblUsage[[#This Row],[Driver quantity]]*tblUsage[[#This Row],[Activity rate]]))</f>
        <v>16075.4716981132</v>
      </c>
      <c r="H19"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19" s="39"/>
    </row>
    <row r="20" spans="2:9" x14ac:dyDescent="0.25">
      <c r="B20" s="28" t="s">
        <v>141</v>
      </c>
      <c r="C20" s="28" t="s">
        <v>94</v>
      </c>
      <c r="D20" s="46">
        <v>400</v>
      </c>
      <c r="E20" s="47" t="str">
        <f>IF(tblUsage[[#This Row],[Product]]="","",IFERROR(INDEX(tblActivities[Cost driver],MATCH(tblUsage[[#This Row],[Activity]],tblActivities[Activity],0))&amp;"",""))</f>
        <v>Purchase orders</v>
      </c>
      <c r="F20" s="35">
        <f>IF(tblUsage[[#This Row],[Product]]="","",IFERROR(INDEX(tblActivities[Activity rate],MATCH(tblUsage[[#This Row],[Activity]],tblActivities[Activity],0)),""))</f>
        <v>107.169811320755</v>
      </c>
      <c r="G20" s="36">
        <f>IF(tblUsage[[#This Row],[Product]]="","",IF(OR(tblUsage[[#This Row],[Activity rate]]="",tblUsage[[#This Row],[Driver quantity]]=""),"",tblUsage[[#This Row],[Driver quantity]]*tblUsage[[#This Row],[Activity rate]]))</f>
        <v>42867.9245283019</v>
      </c>
      <c r="H20"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0" s="39"/>
    </row>
    <row r="21" spans="2:9" x14ac:dyDescent="0.25">
      <c r="B21" s="28" t="s">
        <v>143</v>
      </c>
      <c r="C21" s="28" t="s">
        <v>94</v>
      </c>
      <c r="D21" s="46">
        <v>170</v>
      </c>
      <c r="E21" s="47" t="str">
        <f>IF(tblUsage[[#This Row],[Product]]="","",IFERROR(INDEX(tblActivities[Cost driver],MATCH(tblUsage[[#This Row],[Activity]],tblActivities[Activity],0))&amp;"",""))</f>
        <v>Purchase orders</v>
      </c>
      <c r="F21" s="35">
        <f>IF(tblUsage[[#This Row],[Product]]="","",IFERROR(INDEX(tblActivities[Activity rate],MATCH(tblUsage[[#This Row],[Activity]],tblActivities[Activity],0)),""))</f>
        <v>107.169811320755</v>
      </c>
      <c r="G21" s="36">
        <f>IF(tblUsage[[#This Row],[Product]]="","",IF(OR(tblUsage[[#This Row],[Activity rate]]="",tblUsage[[#This Row],[Driver quantity]]=""),"",tblUsage[[#This Row],[Driver quantity]]*tblUsage[[#This Row],[Activity rate]]))</f>
        <v>18218.8679245283</v>
      </c>
      <c r="H21"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1" s="39"/>
    </row>
    <row r="22" spans="2:9" x14ac:dyDescent="0.25">
      <c r="B22" s="28" t="s">
        <v>145</v>
      </c>
      <c r="C22" s="28" t="s">
        <v>94</v>
      </c>
      <c r="D22" s="46">
        <v>200</v>
      </c>
      <c r="E22" s="47" t="str">
        <f>IF(tblUsage[[#This Row],[Product]]="","",IFERROR(INDEX(tblActivities[Cost driver],MATCH(tblUsage[[#This Row],[Activity]],tblActivities[Activity],0))&amp;"",""))</f>
        <v>Purchase orders</v>
      </c>
      <c r="F22" s="35">
        <f>IF(tblUsage[[#This Row],[Product]]="","",IFERROR(INDEX(tblActivities[Activity rate],MATCH(tblUsage[[#This Row],[Activity]],tblActivities[Activity],0)),""))</f>
        <v>107.169811320755</v>
      </c>
      <c r="G22" s="36">
        <f>IF(tblUsage[[#This Row],[Product]]="","",IF(OR(tblUsage[[#This Row],[Activity rate]]="",tblUsage[[#This Row],[Driver quantity]]=""),"",tblUsage[[#This Row],[Driver quantity]]*tblUsage[[#This Row],[Activity rate]]))</f>
        <v>21433.9622641509</v>
      </c>
      <c r="H22"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2" s="39"/>
    </row>
    <row r="23" spans="2:9" x14ac:dyDescent="0.25">
      <c r="B23" s="28" t="s">
        <v>133</v>
      </c>
      <c r="C23" s="28" t="s">
        <v>97</v>
      </c>
      <c r="D23" s="46">
        <v>84</v>
      </c>
      <c r="E23" s="47" t="str">
        <f>IF(tblUsage[[#This Row],[Product]]="","",IFERROR(INDEX(tblActivities[Cost driver],MATCH(tblUsage[[#This Row],[Activity]],tblActivities[Activity],0))&amp;"",""))</f>
        <v>Production orders</v>
      </c>
      <c r="F23" s="35">
        <f>IF(tblUsage[[#This Row],[Product]]="","",IFERROR(INDEX(tblActivities[Activity rate],MATCH(tblUsage[[#This Row],[Activity]],tblActivities[Activity],0)),""))</f>
        <v>137.535816618911</v>
      </c>
      <c r="G23" s="36">
        <f>IF(tblUsage[[#This Row],[Product]]="","",IF(OR(tblUsage[[#This Row],[Activity rate]]="",tblUsage[[#This Row],[Driver quantity]]=""),"",tblUsage[[#This Row],[Driver quantity]]*tblUsage[[#This Row],[Activity rate]]))</f>
        <v>11553.0085959885</v>
      </c>
      <c r="H23"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3" s="39"/>
    </row>
    <row r="24" spans="2:9" x14ac:dyDescent="0.25">
      <c r="B24" s="28" t="s">
        <v>135</v>
      </c>
      <c r="C24" s="28" t="s">
        <v>97</v>
      </c>
      <c r="D24" s="46">
        <v>72</v>
      </c>
      <c r="E24" s="47" t="str">
        <f>IF(tblUsage[[#This Row],[Product]]="","",IFERROR(INDEX(tblActivities[Cost driver],MATCH(tblUsage[[#This Row],[Activity]],tblActivities[Activity],0))&amp;"",""))</f>
        <v>Production orders</v>
      </c>
      <c r="F24" s="35">
        <f>IF(tblUsage[[#This Row],[Product]]="","",IFERROR(INDEX(tblActivities[Activity rate],MATCH(tblUsage[[#This Row],[Activity]],tblActivities[Activity],0)),""))</f>
        <v>137.535816618911</v>
      </c>
      <c r="G24" s="36">
        <f>IF(tblUsage[[#This Row],[Product]]="","",IF(OR(tblUsage[[#This Row],[Activity rate]]="",tblUsage[[#This Row],[Driver quantity]]=""),"",tblUsage[[#This Row],[Driver quantity]]*tblUsage[[#This Row],[Activity rate]]))</f>
        <v>9902.57879656161</v>
      </c>
      <c r="H24"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4" s="39"/>
    </row>
    <row r="25" spans="2:9" x14ac:dyDescent="0.25">
      <c r="B25" s="28" t="s">
        <v>137</v>
      </c>
      <c r="C25" s="28" t="s">
        <v>97</v>
      </c>
      <c r="D25" s="46">
        <v>60</v>
      </c>
      <c r="E25" s="47" t="str">
        <f>IF(tblUsage[[#This Row],[Product]]="","",IFERROR(INDEX(tblActivities[Cost driver],MATCH(tblUsage[[#This Row],[Activity]],tblActivities[Activity],0))&amp;"",""))</f>
        <v>Production orders</v>
      </c>
      <c r="F25" s="35">
        <f>IF(tblUsage[[#This Row],[Product]]="","",IFERROR(INDEX(tblActivities[Activity rate],MATCH(tblUsage[[#This Row],[Activity]],tblActivities[Activity],0)),""))</f>
        <v>137.535816618911</v>
      </c>
      <c r="G25" s="36">
        <f>IF(tblUsage[[#This Row],[Product]]="","",IF(OR(tblUsage[[#This Row],[Activity rate]]="",tblUsage[[#This Row],[Driver quantity]]=""),"",tblUsage[[#This Row],[Driver quantity]]*tblUsage[[#This Row],[Activity rate]]))</f>
        <v>8252.14899713467</v>
      </c>
      <c r="H25"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5" s="39"/>
    </row>
    <row r="26" spans="2:9" x14ac:dyDescent="0.25">
      <c r="B26" s="28" t="s">
        <v>138</v>
      </c>
      <c r="C26" s="28" t="s">
        <v>97</v>
      </c>
      <c r="D26" s="46">
        <v>50</v>
      </c>
      <c r="E26" s="47" t="str">
        <f>IF(tblUsage[[#This Row],[Product]]="","",IFERROR(INDEX(tblActivities[Cost driver],MATCH(tblUsage[[#This Row],[Activity]],tblActivities[Activity],0))&amp;"",""))</f>
        <v>Production orders</v>
      </c>
      <c r="F26" s="35">
        <f>IF(tblUsage[[#This Row],[Product]]="","",IFERROR(INDEX(tblActivities[Activity rate],MATCH(tblUsage[[#This Row],[Activity]],tblActivities[Activity],0)),""))</f>
        <v>137.535816618911</v>
      </c>
      <c r="G26" s="36">
        <f>IF(tblUsage[[#This Row],[Product]]="","",IF(OR(tblUsage[[#This Row],[Activity rate]]="",tblUsage[[#This Row],[Driver quantity]]=""),"",tblUsage[[#This Row],[Driver quantity]]*tblUsage[[#This Row],[Activity rate]]))</f>
        <v>6876.79083094556</v>
      </c>
      <c r="H26"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6" s="39"/>
    </row>
    <row r="27" spans="2:9" x14ac:dyDescent="0.25">
      <c r="B27" s="28" t="s">
        <v>139</v>
      </c>
      <c r="C27" s="28" t="s">
        <v>97</v>
      </c>
      <c r="D27" s="46">
        <v>88</v>
      </c>
      <c r="E27" s="47" t="str">
        <f>IF(tblUsage[[#This Row],[Product]]="","",IFERROR(INDEX(tblActivities[Cost driver],MATCH(tblUsage[[#This Row],[Activity]],tblActivities[Activity],0))&amp;"",""))</f>
        <v>Production orders</v>
      </c>
      <c r="F27" s="35">
        <f>IF(tblUsage[[#This Row],[Product]]="","",IFERROR(INDEX(tblActivities[Activity rate],MATCH(tblUsage[[#This Row],[Activity]],tblActivities[Activity],0)),""))</f>
        <v>137.535816618911</v>
      </c>
      <c r="G27" s="36">
        <f>IF(tblUsage[[#This Row],[Product]]="","",IF(OR(tblUsage[[#This Row],[Activity rate]]="",tblUsage[[#This Row],[Driver quantity]]=""),"",tblUsage[[#This Row],[Driver quantity]]*tblUsage[[#This Row],[Activity rate]]))</f>
        <v>12103.1518624642</v>
      </c>
      <c r="H27"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7" s="39"/>
    </row>
    <row r="28" spans="2:9" x14ac:dyDescent="0.25">
      <c r="B28" s="28" t="s">
        <v>141</v>
      </c>
      <c r="C28" s="28" t="s">
        <v>97</v>
      </c>
      <c r="D28" s="46">
        <v>220</v>
      </c>
      <c r="E28" s="47" t="str">
        <f>IF(tblUsage[[#This Row],[Product]]="","",IFERROR(INDEX(tblActivities[Cost driver],MATCH(tblUsage[[#This Row],[Activity]],tblActivities[Activity],0))&amp;"",""))</f>
        <v>Production orders</v>
      </c>
      <c r="F28" s="35">
        <f>IF(tblUsage[[#This Row],[Product]]="","",IFERROR(INDEX(tblActivities[Activity rate],MATCH(tblUsage[[#This Row],[Activity]],tblActivities[Activity],0)),""))</f>
        <v>137.535816618911</v>
      </c>
      <c r="G28" s="36">
        <f>IF(tblUsage[[#This Row],[Product]]="","",IF(OR(tblUsage[[#This Row],[Activity rate]]="",tblUsage[[#This Row],[Driver quantity]]=""),"",tblUsage[[#This Row],[Driver quantity]]*tblUsage[[#This Row],[Activity rate]]))</f>
        <v>30257.8796561605</v>
      </c>
      <c r="H28"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8" s="39"/>
    </row>
    <row r="29" spans="2:9" x14ac:dyDescent="0.25">
      <c r="B29" s="28" t="s">
        <v>143</v>
      </c>
      <c r="C29" s="28" t="s">
        <v>97</v>
      </c>
      <c r="D29" s="46">
        <v>52</v>
      </c>
      <c r="E29" s="47" t="str">
        <f>IF(tblUsage[[#This Row],[Product]]="","",IFERROR(INDEX(tblActivities[Cost driver],MATCH(tblUsage[[#This Row],[Activity]],tblActivities[Activity],0))&amp;"",""))</f>
        <v>Production orders</v>
      </c>
      <c r="F29" s="35">
        <f>IF(tblUsage[[#This Row],[Product]]="","",IFERROR(INDEX(tblActivities[Activity rate],MATCH(tblUsage[[#This Row],[Activity]],tblActivities[Activity],0)),""))</f>
        <v>137.535816618911</v>
      </c>
      <c r="G29" s="36">
        <f>IF(tblUsage[[#This Row],[Product]]="","",IF(OR(tblUsage[[#This Row],[Activity rate]]="",tblUsage[[#This Row],[Driver quantity]]=""),"",tblUsage[[#This Row],[Driver quantity]]*tblUsage[[#This Row],[Activity rate]]))</f>
        <v>7151.86246418338</v>
      </c>
      <c r="H29"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29" s="39"/>
    </row>
    <row r="30" spans="2:9" x14ac:dyDescent="0.25">
      <c r="B30" s="28" t="s">
        <v>145</v>
      </c>
      <c r="C30" s="28" t="s">
        <v>97</v>
      </c>
      <c r="D30" s="46">
        <v>72</v>
      </c>
      <c r="E30" s="47" t="str">
        <f>IF(tblUsage[[#This Row],[Product]]="","",IFERROR(INDEX(tblActivities[Cost driver],MATCH(tblUsage[[#This Row],[Activity]],tblActivities[Activity],0))&amp;"",""))</f>
        <v>Production orders</v>
      </c>
      <c r="F30" s="35">
        <f>IF(tblUsage[[#This Row],[Product]]="","",IFERROR(INDEX(tblActivities[Activity rate],MATCH(tblUsage[[#This Row],[Activity]],tblActivities[Activity],0)),""))</f>
        <v>137.535816618911</v>
      </c>
      <c r="G30" s="36">
        <f>IF(tblUsage[[#This Row],[Product]]="","",IF(OR(tblUsage[[#This Row],[Activity rate]]="",tblUsage[[#This Row],[Driver quantity]]=""),"",tblUsage[[#This Row],[Driver quantity]]*tblUsage[[#This Row],[Activity rate]]))</f>
        <v>9902.57879656161</v>
      </c>
      <c r="H30"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0" s="39"/>
    </row>
    <row r="31" spans="2:9" x14ac:dyDescent="0.25">
      <c r="B31" s="28" t="s">
        <v>133</v>
      </c>
      <c r="C31" s="28" t="s">
        <v>100</v>
      </c>
      <c r="D31" s="46">
        <v>520</v>
      </c>
      <c r="E31" s="47" t="str">
        <f>IF(tblUsage[[#This Row],[Product]]="","",IFERROR(INDEX(tblActivities[Cost driver],MATCH(tblUsage[[#This Row],[Activity]],tblActivities[Activity],0))&amp;"",""))</f>
        <v>Inspection hours</v>
      </c>
      <c r="F31" s="35">
        <f>IF(tblUsage[[#This Row],[Product]]="","",IFERROR(INDEX(tblActivities[Activity rate],MATCH(tblUsage[[#This Row],[Activity]],tblActivities[Activity],0)),""))</f>
        <v>32</v>
      </c>
      <c r="G31" s="36">
        <f>IF(tblUsage[[#This Row],[Product]]="","",IF(OR(tblUsage[[#This Row],[Activity rate]]="",tblUsage[[#This Row],[Driver quantity]]=""),"",tblUsage[[#This Row],[Driver quantity]]*tblUsage[[#This Row],[Activity rate]]))</f>
        <v>16640</v>
      </c>
      <c r="H31"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1" s="39"/>
    </row>
    <row r="32" spans="2:9" x14ac:dyDescent="0.25">
      <c r="B32" s="28" t="s">
        <v>135</v>
      </c>
      <c r="C32" s="28" t="s">
        <v>100</v>
      </c>
      <c r="D32" s="46">
        <v>430</v>
      </c>
      <c r="E32" s="47" t="str">
        <f>IF(tblUsage[[#This Row],[Product]]="","",IFERROR(INDEX(tblActivities[Cost driver],MATCH(tblUsage[[#This Row],[Activity]],tblActivities[Activity],0))&amp;"",""))</f>
        <v>Inspection hours</v>
      </c>
      <c r="F32" s="35">
        <f>IF(tblUsage[[#This Row],[Product]]="","",IFERROR(INDEX(tblActivities[Activity rate],MATCH(tblUsage[[#This Row],[Activity]],tblActivities[Activity],0)),""))</f>
        <v>32</v>
      </c>
      <c r="G32" s="36">
        <f>IF(tblUsage[[#This Row],[Product]]="","",IF(OR(tblUsage[[#This Row],[Activity rate]]="",tblUsage[[#This Row],[Driver quantity]]=""),"",tblUsage[[#This Row],[Driver quantity]]*tblUsage[[#This Row],[Activity rate]]))</f>
        <v>13760</v>
      </c>
      <c r="H32"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2" s="39"/>
    </row>
    <row r="33" spans="2:9" x14ac:dyDescent="0.25">
      <c r="B33" s="28" t="s">
        <v>137</v>
      </c>
      <c r="C33" s="28" t="s">
        <v>100</v>
      </c>
      <c r="D33" s="46">
        <v>360</v>
      </c>
      <c r="E33" s="47" t="str">
        <f>IF(tblUsage[[#This Row],[Product]]="","",IFERROR(INDEX(tblActivities[Cost driver],MATCH(tblUsage[[#This Row],[Activity]],tblActivities[Activity],0))&amp;"",""))</f>
        <v>Inspection hours</v>
      </c>
      <c r="F33" s="35">
        <f>IF(tblUsage[[#This Row],[Product]]="","",IFERROR(INDEX(tblActivities[Activity rate],MATCH(tblUsage[[#This Row],[Activity]],tblActivities[Activity],0)),""))</f>
        <v>32</v>
      </c>
      <c r="G33" s="36">
        <f>IF(tblUsage[[#This Row],[Product]]="","",IF(OR(tblUsage[[#This Row],[Activity rate]]="",tblUsage[[#This Row],[Driver quantity]]=""),"",tblUsage[[#This Row],[Driver quantity]]*tblUsage[[#This Row],[Activity rate]]))</f>
        <v>11520</v>
      </c>
      <c r="H33"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3" s="39"/>
    </row>
    <row r="34" spans="2:9" x14ac:dyDescent="0.25">
      <c r="B34" s="28" t="s">
        <v>138</v>
      </c>
      <c r="C34" s="28" t="s">
        <v>100</v>
      </c>
      <c r="D34" s="46">
        <v>300</v>
      </c>
      <c r="E34" s="47" t="str">
        <f>IF(tblUsage[[#This Row],[Product]]="","",IFERROR(INDEX(tblActivities[Cost driver],MATCH(tblUsage[[#This Row],[Activity]],tblActivities[Activity],0))&amp;"",""))</f>
        <v>Inspection hours</v>
      </c>
      <c r="F34" s="35">
        <f>IF(tblUsage[[#This Row],[Product]]="","",IFERROR(INDEX(tblActivities[Activity rate],MATCH(tblUsage[[#This Row],[Activity]],tblActivities[Activity],0)),""))</f>
        <v>32</v>
      </c>
      <c r="G34" s="36">
        <f>IF(tblUsage[[#This Row],[Product]]="","",IF(OR(tblUsage[[#This Row],[Activity rate]]="",tblUsage[[#This Row],[Driver quantity]]=""),"",tblUsage[[#This Row],[Driver quantity]]*tblUsage[[#This Row],[Activity rate]]))</f>
        <v>9600</v>
      </c>
      <c r="H34"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4" s="39"/>
    </row>
    <row r="35" spans="2:9" x14ac:dyDescent="0.25">
      <c r="B35" s="28" t="s">
        <v>139</v>
      </c>
      <c r="C35" s="28" t="s">
        <v>100</v>
      </c>
      <c r="D35" s="46">
        <v>520</v>
      </c>
      <c r="E35" s="47" t="str">
        <f>IF(tblUsage[[#This Row],[Product]]="","",IFERROR(INDEX(tblActivities[Cost driver],MATCH(tblUsage[[#This Row],[Activity]],tblActivities[Activity],0))&amp;"",""))</f>
        <v>Inspection hours</v>
      </c>
      <c r="F35" s="35">
        <f>IF(tblUsage[[#This Row],[Product]]="","",IFERROR(INDEX(tblActivities[Activity rate],MATCH(tblUsage[[#This Row],[Activity]],tblActivities[Activity],0)),""))</f>
        <v>32</v>
      </c>
      <c r="G35" s="36">
        <f>IF(tblUsage[[#This Row],[Product]]="","",IF(OR(tblUsage[[#This Row],[Activity rate]]="",tblUsage[[#This Row],[Driver quantity]]=""),"",tblUsage[[#This Row],[Driver quantity]]*tblUsage[[#This Row],[Activity rate]]))</f>
        <v>16640</v>
      </c>
      <c r="H35"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5" s="39"/>
    </row>
    <row r="36" spans="2:9" x14ac:dyDescent="0.25">
      <c r="B36" s="28" t="s">
        <v>141</v>
      </c>
      <c r="C36" s="28" t="s">
        <v>100</v>
      </c>
      <c r="D36" s="46">
        <v>1050</v>
      </c>
      <c r="E36" s="47" t="str">
        <f>IF(tblUsage[[#This Row],[Product]]="","",IFERROR(INDEX(tblActivities[Cost driver],MATCH(tblUsage[[#This Row],[Activity]],tblActivities[Activity],0))&amp;"",""))</f>
        <v>Inspection hours</v>
      </c>
      <c r="F36" s="35">
        <f>IF(tblUsage[[#This Row],[Product]]="","",IFERROR(INDEX(tblActivities[Activity rate],MATCH(tblUsage[[#This Row],[Activity]],tblActivities[Activity],0)),""))</f>
        <v>32</v>
      </c>
      <c r="G36" s="36">
        <f>IF(tblUsage[[#This Row],[Product]]="","",IF(OR(tblUsage[[#This Row],[Activity rate]]="",tblUsage[[#This Row],[Driver quantity]]=""),"",tblUsage[[#This Row],[Driver quantity]]*tblUsage[[#This Row],[Activity rate]]))</f>
        <v>33600</v>
      </c>
      <c r="H36"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6" s="39"/>
    </row>
    <row r="37" spans="2:9" x14ac:dyDescent="0.25">
      <c r="B37" s="28" t="s">
        <v>143</v>
      </c>
      <c r="C37" s="28" t="s">
        <v>100</v>
      </c>
      <c r="D37" s="46">
        <v>80</v>
      </c>
      <c r="E37" s="47" t="str">
        <f>IF(tblUsage[[#This Row],[Product]]="","",IFERROR(INDEX(tblActivities[Cost driver],MATCH(tblUsage[[#This Row],[Activity]],tblActivities[Activity],0))&amp;"",""))</f>
        <v>Inspection hours</v>
      </c>
      <c r="F37" s="35">
        <f>IF(tblUsage[[#This Row],[Product]]="","",IFERROR(INDEX(tblActivities[Activity rate],MATCH(tblUsage[[#This Row],[Activity]],tblActivities[Activity],0)),""))</f>
        <v>32</v>
      </c>
      <c r="G37" s="36">
        <f>IF(tblUsage[[#This Row],[Product]]="","",IF(OR(tblUsage[[#This Row],[Activity rate]]="",tblUsage[[#This Row],[Driver quantity]]=""),"",tblUsage[[#This Row],[Driver quantity]]*tblUsage[[#This Row],[Activity rate]]))</f>
        <v>2560</v>
      </c>
      <c r="H37"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7" s="39"/>
    </row>
    <row r="38" spans="2:9" x14ac:dyDescent="0.25">
      <c r="B38" s="28" t="s">
        <v>145</v>
      </c>
      <c r="C38" s="28" t="s">
        <v>100</v>
      </c>
      <c r="D38" s="46">
        <v>540</v>
      </c>
      <c r="E38" s="47" t="str">
        <f>IF(tblUsage[[#This Row],[Product]]="","",IFERROR(INDEX(tblActivities[Cost driver],MATCH(tblUsage[[#This Row],[Activity]],tblActivities[Activity],0))&amp;"",""))</f>
        <v>Inspection hours</v>
      </c>
      <c r="F38" s="35">
        <f>IF(tblUsage[[#This Row],[Product]]="","",IFERROR(INDEX(tblActivities[Activity rate],MATCH(tblUsage[[#This Row],[Activity]],tblActivities[Activity],0)),""))</f>
        <v>32</v>
      </c>
      <c r="G38" s="36">
        <f>IF(tblUsage[[#This Row],[Product]]="","",IF(OR(tblUsage[[#This Row],[Activity rate]]="",tblUsage[[#This Row],[Driver quantity]]=""),"",tblUsage[[#This Row],[Driver quantity]]*tblUsage[[#This Row],[Activity rate]]))</f>
        <v>17280</v>
      </c>
      <c r="H38"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8" s="39"/>
    </row>
    <row r="39" spans="2:9" x14ac:dyDescent="0.25">
      <c r="B39" s="28" t="s">
        <v>133</v>
      </c>
      <c r="C39" s="28" t="s">
        <v>103</v>
      </c>
      <c r="D39" s="46">
        <v>160</v>
      </c>
      <c r="E39" s="47" t="str">
        <f>IF(tblUsage[[#This Row],[Product]]="","",IFERROR(INDEX(tblActivities[Cost driver],MATCH(tblUsage[[#This Row],[Activity]],tblActivities[Activity],0))&amp;"",""))</f>
        <v>Engineering hours</v>
      </c>
      <c r="F39" s="35">
        <f>IF(tblUsage[[#This Row],[Product]]="","",IFERROR(INDEX(tblActivities[Activity rate],MATCH(tblUsage[[#This Row],[Activity]],tblActivities[Activity],0)),""))</f>
        <v>41.3978494623656</v>
      </c>
      <c r="G39" s="36">
        <f>IF(tblUsage[[#This Row],[Product]]="","",IF(OR(tblUsage[[#This Row],[Activity rate]]="",tblUsage[[#This Row],[Driver quantity]]=""),"",tblUsage[[#This Row],[Driver quantity]]*tblUsage[[#This Row],[Activity rate]]))</f>
        <v>6623.6559139785</v>
      </c>
      <c r="H39"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39" s="39"/>
    </row>
    <row r="40" spans="2:9" x14ac:dyDescent="0.25">
      <c r="B40" s="28" t="s">
        <v>135</v>
      </c>
      <c r="C40" s="28" t="s">
        <v>103</v>
      </c>
      <c r="D40" s="46">
        <v>150</v>
      </c>
      <c r="E40" s="47" t="str">
        <f>IF(tblUsage[[#This Row],[Product]]="","",IFERROR(INDEX(tblActivities[Cost driver],MATCH(tblUsage[[#This Row],[Activity]],tblActivities[Activity],0))&amp;"",""))</f>
        <v>Engineering hours</v>
      </c>
      <c r="F40" s="35">
        <f>IF(tblUsage[[#This Row],[Product]]="","",IFERROR(INDEX(tblActivities[Activity rate],MATCH(tblUsage[[#This Row],[Activity]],tblActivities[Activity],0)),""))</f>
        <v>41.3978494623656</v>
      </c>
      <c r="G40" s="36">
        <f>IF(tblUsage[[#This Row],[Product]]="","",IF(OR(tblUsage[[#This Row],[Activity rate]]="",tblUsage[[#This Row],[Driver quantity]]=""),"",tblUsage[[#This Row],[Driver quantity]]*tblUsage[[#This Row],[Activity rate]]))</f>
        <v>6209.67741935484</v>
      </c>
      <c r="H40"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0" s="39"/>
    </row>
    <row r="41" spans="2:9" x14ac:dyDescent="0.25">
      <c r="B41" s="28" t="s">
        <v>137</v>
      </c>
      <c r="C41" s="28" t="s">
        <v>103</v>
      </c>
      <c r="D41" s="46">
        <v>210</v>
      </c>
      <c r="E41" s="47" t="str">
        <f>IF(tblUsage[[#This Row],[Product]]="","",IFERROR(INDEX(tblActivities[Cost driver],MATCH(tblUsage[[#This Row],[Activity]],tblActivities[Activity],0))&amp;"",""))</f>
        <v>Engineering hours</v>
      </c>
      <c r="F41" s="35">
        <f>IF(tblUsage[[#This Row],[Product]]="","",IFERROR(INDEX(tblActivities[Activity rate],MATCH(tblUsage[[#This Row],[Activity]],tblActivities[Activity],0)),""))</f>
        <v>41.3978494623656</v>
      </c>
      <c r="G41" s="36">
        <f>IF(tblUsage[[#This Row],[Product]]="","",IF(OR(tblUsage[[#This Row],[Activity rate]]="",tblUsage[[#This Row],[Driver quantity]]=""),"",tblUsage[[#This Row],[Driver quantity]]*tblUsage[[#This Row],[Activity rate]]))</f>
        <v>8693.54838709678</v>
      </c>
      <c r="H41"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1" s="39"/>
    </row>
    <row r="42" spans="2:9" x14ac:dyDescent="0.25">
      <c r="B42" s="28" t="s">
        <v>138</v>
      </c>
      <c r="C42" s="28" t="s">
        <v>103</v>
      </c>
      <c r="D42" s="46">
        <v>90</v>
      </c>
      <c r="E42" s="47" t="str">
        <f>IF(tblUsage[[#This Row],[Product]]="","",IFERROR(INDEX(tblActivities[Cost driver],MATCH(tblUsage[[#This Row],[Activity]],tblActivities[Activity],0))&amp;"",""))</f>
        <v>Engineering hours</v>
      </c>
      <c r="F42" s="35">
        <f>IF(tblUsage[[#This Row],[Product]]="","",IFERROR(INDEX(tblActivities[Activity rate],MATCH(tblUsage[[#This Row],[Activity]],tblActivities[Activity],0)),""))</f>
        <v>41.3978494623656</v>
      </c>
      <c r="G42" s="36">
        <f>IF(tblUsage[[#This Row],[Product]]="","",IF(OR(tblUsage[[#This Row],[Activity rate]]="",tblUsage[[#This Row],[Driver quantity]]=""),"",tblUsage[[#This Row],[Driver quantity]]*tblUsage[[#This Row],[Activity rate]]))</f>
        <v>3725.8064516129</v>
      </c>
      <c r="H42"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2" s="39"/>
    </row>
    <row r="43" spans="2:9" x14ac:dyDescent="0.25">
      <c r="B43" s="28" t="s">
        <v>139</v>
      </c>
      <c r="C43" s="28" t="s">
        <v>103</v>
      </c>
      <c r="D43" s="46">
        <v>380</v>
      </c>
      <c r="E43" s="47" t="str">
        <f>IF(tblUsage[[#This Row],[Product]]="","",IFERROR(INDEX(tblActivities[Cost driver],MATCH(tblUsage[[#This Row],[Activity]],tblActivities[Activity],0))&amp;"",""))</f>
        <v>Engineering hours</v>
      </c>
      <c r="F43" s="35">
        <f>IF(tblUsage[[#This Row],[Product]]="","",IFERROR(INDEX(tblActivities[Activity rate],MATCH(tblUsage[[#This Row],[Activity]],tblActivities[Activity],0)),""))</f>
        <v>41.3978494623656</v>
      </c>
      <c r="G43" s="36">
        <f>IF(tblUsage[[#This Row],[Product]]="","",IF(OR(tblUsage[[#This Row],[Activity rate]]="",tblUsage[[#This Row],[Driver quantity]]=""),"",tblUsage[[#This Row],[Driver quantity]]*tblUsage[[#This Row],[Activity rate]]))</f>
        <v>15731.1827956989</v>
      </c>
      <c r="H43"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3" s="39"/>
    </row>
    <row r="44" spans="2:9" x14ac:dyDescent="0.25">
      <c r="B44" s="28" t="s">
        <v>141</v>
      </c>
      <c r="C44" s="28" t="s">
        <v>103</v>
      </c>
      <c r="D44" s="46">
        <v>1500</v>
      </c>
      <c r="E44" s="47" t="str">
        <f>IF(tblUsage[[#This Row],[Product]]="","",IFERROR(INDEX(tblActivities[Cost driver],MATCH(tblUsage[[#This Row],[Activity]],tblActivities[Activity],0))&amp;"",""))</f>
        <v>Engineering hours</v>
      </c>
      <c r="F44" s="35">
        <f>IF(tblUsage[[#This Row],[Product]]="","",IFERROR(INDEX(tblActivities[Activity rate],MATCH(tblUsage[[#This Row],[Activity]],tblActivities[Activity],0)),""))</f>
        <v>41.3978494623656</v>
      </c>
      <c r="G44" s="36">
        <f>IF(tblUsage[[#This Row],[Product]]="","",IF(OR(tblUsage[[#This Row],[Activity rate]]="",tblUsage[[#This Row],[Driver quantity]]=""),"",tblUsage[[#This Row],[Driver quantity]]*tblUsage[[#This Row],[Activity rate]]))</f>
        <v>62096.7741935484</v>
      </c>
      <c r="H44"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4" s="39"/>
    </row>
    <row r="45" spans="2:9" x14ac:dyDescent="0.25">
      <c r="B45" s="28" t="s">
        <v>143</v>
      </c>
      <c r="C45" s="28" t="s">
        <v>103</v>
      </c>
      <c r="D45" s="46">
        <v>30</v>
      </c>
      <c r="E45" s="47" t="str">
        <f>IF(tblUsage[[#This Row],[Product]]="","",IFERROR(INDEX(tblActivities[Cost driver],MATCH(tblUsage[[#This Row],[Activity]],tblActivities[Activity],0))&amp;"",""))</f>
        <v>Engineering hours</v>
      </c>
      <c r="F45" s="35">
        <f>IF(tblUsage[[#This Row],[Product]]="","",IFERROR(INDEX(tblActivities[Activity rate],MATCH(tblUsage[[#This Row],[Activity]],tblActivities[Activity],0)),""))</f>
        <v>41.3978494623656</v>
      </c>
      <c r="G45" s="36">
        <f>IF(tblUsage[[#This Row],[Product]]="","",IF(OR(tblUsage[[#This Row],[Activity rate]]="",tblUsage[[#This Row],[Driver quantity]]=""),"",tblUsage[[#This Row],[Driver quantity]]*tblUsage[[#This Row],[Activity rate]]))</f>
        <v>1241.93548387097</v>
      </c>
      <c r="H45"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5" s="39"/>
    </row>
    <row r="46" spans="2:9" x14ac:dyDescent="0.25">
      <c r="B46" s="28" t="s">
        <v>145</v>
      </c>
      <c r="C46" s="28" t="s">
        <v>103</v>
      </c>
      <c r="D46" s="46">
        <v>1200</v>
      </c>
      <c r="E46" s="47" t="str">
        <f>IF(tblUsage[[#This Row],[Product]]="","",IFERROR(INDEX(tblActivities[Cost driver],MATCH(tblUsage[[#This Row],[Activity]],tblActivities[Activity],0))&amp;"",""))</f>
        <v>Engineering hours</v>
      </c>
      <c r="F46" s="35">
        <f>IF(tblUsage[[#This Row],[Product]]="","",IFERROR(INDEX(tblActivities[Activity rate],MATCH(tblUsage[[#This Row],[Activity]],tblActivities[Activity],0)),""))</f>
        <v>41.3978494623656</v>
      </c>
      <c r="G46" s="36">
        <f>IF(tblUsage[[#This Row],[Product]]="","",IF(OR(tblUsage[[#This Row],[Activity rate]]="",tblUsage[[#This Row],[Driver quantity]]=""),"",tblUsage[[#This Row],[Driver quantity]]*tblUsage[[#This Row],[Activity rate]]))</f>
        <v>49677.4193548387</v>
      </c>
      <c r="H46"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6" s="39"/>
    </row>
    <row r="47" spans="2:9" x14ac:dyDescent="0.25">
      <c r="B47" s="28" t="s">
        <v>133</v>
      </c>
      <c r="C47" s="28" t="s">
        <v>106</v>
      </c>
      <c r="D47" s="46">
        <v>5040</v>
      </c>
      <c r="E47" s="47" t="str">
        <f>IF(tblUsage[[#This Row],[Product]]="","",IFERROR(INDEX(tblActivities[Cost driver],MATCH(tblUsage[[#This Row],[Activity]],tblActivities[Activity],0))&amp;"",""))</f>
        <v>Machine hours</v>
      </c>
      <c r="F47" s="35">
        <f>IF(tblUsage[[#This Row],[Product]]="","",IFERROR(INDEX(tblActivities[Activity rate],MATCH(tblUsage[[#This Row],[Activity]],tblActivities[Activity],0)),""))</f>
        <v>20</v>
      </c>
      <c r="G47" s="36">
        <f>IF(tblUsage[[#This Row],[Product]]="","",IF(OR(tblUsage[[#This Row],[Activity rate]]="",tblUsage[[#This Row],[Driver quantity]]=""),"",tblUsage[[#This Row],[Driver quantity]]*tblUsage[[#This Row],[Activity rate]]))</f>
        <v>100800</v>
      </c>
      <c r="H47"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7" s="39"/>
    </row>
    <row r="48" spans="2:9" x14ac:dyDescent="0.25">
      <c r="B48" s="28" t="s">
        <v>135</v>
      </c>
      <c r="C48" s="28" t="s">
        <v>106</v>
      </c>
      <c r="D48" s="46">
        <v>3600</v>
      </c>
      <c r="E48" s="47" t="str">
        <f>IF(tblUsage[[#This Row],[Product]]="","",IFERROR(INDEX(tblActivities[Cost driver],MATCH(tblUsage[[#This Row],[Activity]],tblActivities[Activity],0))&amp;"",""))</f>
        <v>Machine hours</v>
      </c>
      <c r="F48" s="35">
        <f>IF(tblUsage[[#This Row],[Product]]="","",IFERROR(INDEX(tblActivities[Activity rate],MATCH(tblUsage[[#This Row],[Activity]],tblActivities[Activity],0)),""))</f>
        <v>20</v>
      </c>
      <c r="G48" s="36">
        <f>IF(tblUsage[[#This Row],[Product]]="","",IF(OR(tblUsage[[#This Row],[Activity rate]]="",tblUsage[[#This Row],[Driver quantity]]=""),"",tblUsage[[#This Row],[Driver quantity]]*tblUsage[[#This Row],[Activity rate]]))</f>
        <v>72000</v>
      </c>
      <c r="H48"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8" s="39"/>
    </row>
    <row r="49" spans="2:9" x14ac:dyDescent="0.25">
      <c r="B49" s="28" t="s">
        <v>137</v>
      </c>
      <c r="C49" s="28" t="s">
        <v>106</v>
      </c>
      <c r="D49" s="46">
        <v>2850</v>
      </c>
      <c r="E49" s="47" t="str">
        <f>IF(tblUsage[[#This Row],[Product]]="","",IFERROR(INDEX(tblActivities[Cost driver],MATCH(tblUsage[[#This Row],[Activity]],tblActivities[Activity],0))&amp;"",""))</f>
        <v>Machine hours</v>
      </c>
      <c r="F49" s="35">
        <f>IF(tblUsage[[#This Row],[Product]]="","",IFERROR(INDEX(tblActivities[Activity rate],MATCH(tblUsage[[#This Row],[Activity]],tblActivities[Activity],0)),""))</f>
        <v>20</v>
      </c>
      <c r="G49" s="36">
        <f>IF(tblUsage[[#This Row],[Product]]="","",IF(OR(tblUsage[[#This Row],[Activity rate]]="",tblUsage[[#This Row],[Driver quantity]]=""),"",tblUsage[[#This Row],[Driver quantity]]*tblUsage[[#This Row],[Activity rate]]))</f>
        <v>57000</v>
      </c>
      <c r="H49"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49" s="39"/>
    </row>
    <row r="50" spans="2:9" x14ac:dyDescent="0.25">
      <c r="B50" s="28" t="s">
        <v>138</v>
      </c>
      <c r="C50" s="28" t="s">
        <v>106</v>
      </c>
      <c r="D50" s="46">
        <v>1540</v>
      </c>
      <c r="E50" s="47" t="str">
        <f>IF(tblUsage[[#This Row],[Product]]="","",IFERROR(INDEX(tblActivities[Cost driver],MATCH(tblUsage[[#This Row],[Activity]],tblActivities[Activity],0))&amp;"",""))</f>
        <v>Machine hours</v>
      </c>
      <c r="F50" s="35">
        <f>IF(tblUsage[[#This Row],[Product]]="","",IFERROR(INDEX(tblActivities[Activity rate],MATCH(tblUsage[[#This Row],[Activity]],tblActivities[Activity],0)),""))</f>
        <v>20</v>
      </c>
      <c r="G50" s="36">
        <f>IF(tblUsage[[#This Row],[Product]]="","",IF(OR(tblUsage[[#This Row],[Activity rate]]="",tblUsage[[#This Row],[Driver quantity]]=""),"",tblUsage[[#This Row],[Driver quantity]]*tblUsage[[#This Row],[Activity rate]]))</f>
        <v>30800</v>
      </c>
      <c r="H50"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0" s="39"/>
    </row>
    <row r="51" spans="2:9" x14ac:dyDescent="0.25">
      <c r="B51" s="28" t="s">
        <v>139</v>
      </c>
      <c r="C51" s="28" t="s">
        <v>106</v>
      </c>
      <c r="D51" s="46">
        <v>2496</v>
      </c>
      <c r="E51" s="47" t="str">
        <f>IF(tblUsage[[#This Row],[Product]]="","",IFERROR(INDEX(tblActivities[Cost driver],MATCH(tblUsage[[#This Row],[Activity]],tblActivities[Activity],0))&amp;"",""))</f>
        <v>Machine hours</v>
      </c>
      <c r="F51" s="35">
        <f>IF(tblUsage[[#This Row],[Product]]="","",IFERROR(INDEX(tblActivities[Activity rate],MATCH(tblUsage[[#This Row],[Activity]],tblActivities[Activity],0)),""))</f>
        <v>20</v>
      </c>
      <c r="G51" s="36">
        <f>IF(tblUsage[[#This Row],[Product]]="","",IF(OR(tblUsage[[#This Row],[Activity rate]]="",tblUsage[[#This Row],[Driver quantity]]=""),"",tblUsage[[#This Row],[Driver quantity]]*tblUsage[[#This Row],[Activity rate]]))</f>
        <v>49920</v>
      </c>
      <c r="H51"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1" s="39"/>
    </row>
    <row r="52" spans="2:9" x14ac:dyDescent="0.25">
      <c r="B52" s="28" t="s">
        <v>141</v>
      </c>
      <c r="C52" s="28" t="s">
        <v>106</v>
      </c>
      <c r="D52" s="46">
        <v>1440</v>
      </c>
      <c r="E52" s="47" t="str">
        <f>IF(tblUsage[[#This Row],[Product]]="","",IFERROR(INDEX(tblActivities[Cost driver],MATCH(tblUsage[[#This Row],[Activity]],tblActivities[Activity],0))&amp;"",""))</f>
        <v>Machine hours</v>
      </c>
      <c r="F52" s="35">
        <f>IF(tblUsage[[#This Row],[Product]]="","",IFERROR(INDEX(tblActivities[Activity rate],MATCH(tblUsage[[#This Row],[Activity]],tblActivities[Activity],0)),""))</f>
        <v>20</v>
      </c>
      <c r="G52" s="36">
        <f>IF(tblUsage[[#This Row],[Product]]="","",IF(OR(tblUsage[[#This Row],[Activity rate]]="",tblUsage[[#This Row],[Driver quantity]]=""),"",tblUsage[[#This Row],[Driver quantity]]*tblUsage[[#This Row],[Activity rate]]))</f>
        <v>28800</v>
      </c>
      <c r="H52"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2" s="39"/>
    </row>
    <row r="53" spans="2:9" x14ac:dyDescent="0.25">
      <c r="B53" s="28" t="s">
        <v>143</v>
      </c>
      <c r="C53" s="28" t="s">
        <v>106</v>
      </c>
      <c r="D53" s="46">
        <v>180</v>
      </c>
      <c r="E53" s="47" t="str">
        <f>IF(tblUsage[[#This Row],[Product]]="","",IFERROR(INDEX(tblActivities[Cost driver],MATCH(tblUsage[[#This Row],[Activity]],tblActivities[Activity],0))&amp;"",""))</f>
        <v>Machine hours</v>
      </c>
      <c r="F53" s="35">
        <f>IF(tblUsage[[#This Row],[Product]]="","",IFERROR(INDEX(tblActivities[Activity rate],MATCH(tblUsage[[#This Row],[Activity]],tblActivities[Activity],0)),""))</f>
        <v>20</v>
      </c>
      <c r="G53" s="36">
        <f>IF(tblUsage[[#This Row],[Product]]="","",IF(OR(tblUsage[[#This Row],[Activity rate]]="",tblUsage[[#This Row],[Driver quantity]]=""),"",tblUsage[[#This Row],[Driver quantity]]*tblUsage[[#This Row],[Activity rate]]))</f>
        <v>3600</v>
      </c>
      <c r="H53"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3" s="39"/>
    </row>
    <row r="54" spans="2:9" x14ac:dyDescent="0.25">
      <c r="B54" s="28" t="s">
        <v>145</v>
      </c>
      <c r="C54" s="28" t="s">
        <v>106</v>
      </c>
      <c r="D54" s="46">
        <v>576</v>
      </c>
      <c r="E54" s="47" t="str">
        <f>IF(tblUsage[[#This Row],[Product]]="","",IFERROR(INDEX(tblActivities[Cost driver],MATCH(tblUsage[[#This Row],[Activity]],tblActivities[Activity],0))&amp;"",""))</f>
        <v>Machine hours</v>
      </c>
      <c r="F54" s="35">
        <f>IF(tblUsage[[#This Row],[Product]]="","",IFERROR(INDEX(tblActivities[Activity rate],MATCH(tblUsage[[#This Row],[Activity]],tblActivities[Activity],0)),""))</f>
        <v>20</v>
      </c>
      <c r="G54" s="36">
        <f>IF(tblUsage[[#This Row],[Product]]="","",IF(OR(tblUsage[[#This Row],[Activity rate]]="",tblUsage[[#This Row],[Driver quantity]]=""),"",tblUsage[[#This Row],[Driver quantity]]*tblUsage[[#This Row],[Activity rate]]))</f>
        <v>11520</v>
      </c>
      <c r="H54"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4" s="39"/>
    </row>
    <row r="55" spans="2:9" x14ac:dyDescent="0.25">
      <c r="B55" s="28" t="s">
        <v>133</v>
      </c>
      <c r="C55" s="28" t="s">
        <v>109</v>
      </c>
      <c r="D55" s="46">
        <v>260</v>
      </c>
      <c r="E55" s="47" t="str">
        <f>IF(tblUsage[[#This Row],[Product]]="","",IFERROR(INDEX(tblActivities[Cost driver],MATCH(tblUsage[[#This Row],[Activity]],tblActivities[Activity],0))&amp;"",""))</f>
        <v>Shipments</v>
      </c>
      <c r="F55" s="35">
        <f>IF(tblUsage[[#This Row],[Product]]="","",IFERROR(INDEX(tblActivities[Activity rate],MATCH(tblUsage[[#This Row],[Activity]],tblActivities[Activity],0)),""))</f>
        <v>40.6593406593407</v>
      </c>
      <c r="G55" s="36">
        <f>IF(tblUsage[[#This Row],[Product]]="","",IF(OR(tblUsage[[#This Row],[Activity rate]]="",tblUsage[[#This Row],[Driver quantity]]=""),"",tblUsage[[#This Row],[Driver quantity]]*tblUsage[[#This Row],[Activity rate]]))</f>
        <v>10571.4285714286</v>
      </c>
      <c r="H55"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5" s="39"/>
    </row>
    <row r="56" spans="2:9" x14ac:dyDescent="0.25">
      <c r="B56" s="28" t="s">
        <v>135</v>
      </c>
      <c r="C56" s="28" t="s">
        <v>109</v>
      </c>
      <c r="D56" s="46">
        <v>220</v>
      </c>
      <c r="E56" s="47" t="str">
        <f>IF(tblUsage[[#This Row],[Product]]="","",IFERROR(INDEX(tblActivities[Cost driver],MATCH(tblUsage[[#This Row],[Activity]],tblActivities[Activity],0))&amp;"",""))</f>
        <v>Shipments</v>
      </c>
      <c r="F56" s="35">
        <f>IF(tblUsage[[#This Row],[Product]]="","",IFERROR(INDEX(tblActivities[Activity rate],MATCH(tblUsage[[#This Row],[Activity]],tblActivities[Activity],0)),""))</f>
        <v>40.6593406593407</v>
      </c>
      <c r="G56" s="36">
        <f>IF(tblUsage[[#This Row],[Product]]="","",IF(OR(tblUsage[[#This Row],[Activity rate]]="",tblUsage[[#This Row],[Driver quantity]]=""),"",tblUsage[[#This Row],[Driver quantity]]*tblUsage[[#This Row],[Activity rate]]))</f>
        <v>8945.05494505494</v>
      </c>
      <c r="H56"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6" s="39"/>
    </row>
    <row r="57" spans="2:9" x14ac:dyDescent="0.25">
      <c r="B57" s="28" t="s">
        <v>137</v>
      </c>
      <c r="C57" s="28" t="s">
        <v>109</v>
      </c>
      <c r="D57" s="46">
        <v>150</v>
      </c>
      <c r="E57" s="47" t="str">
        <f>IF(tblUsage[[#This Row],[Product]]="","",IFERROR(INDEX(tblActivities[Cost driver],MATCH(tblUsage[[#This Row],[Activity]],tblActivities[Activity],0))&amp;"",""))</f>
        <v>Shipments</v>
      </c>
      <c r="F57" s="35">
        <f>IF(tblUsage[[#This Row],[Product]]="","",IFERROR(INDEX(tblActivities[Activity rate],MATCH(tblUsage[[#This Row],[Activity]],tblActivities[Activity],0)),""))</f>
        <v>40.6593406593407</v>
      </c>
      <c r="G57" s="36">
        <f>IF(tblUsage[[#This Row],[Product]]="","",IF(OR(tblUsage[[#This Row],[Activity rate]]="",tblUsage[[#This Row],[Driver quantity]]=""),"",tblUsage[[#This Row],[Driver quantity]]*tblUsage[[#This Row],[Activity rate]]))</f>
        <v>6098.9010989011</v>
      </c>
      <c r="H57"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7" s="39"/>
    </row>
    <row r="58" spans="2:9" x14ac:dyDescent="0.25">
      <c r="B58" s="28" t="s">
        <v>138</v>
      </c>
      <c r="C58" s="28" t="s">
        <v>109</v>
      </c>
      <c r="D58" s="46">
        <v>190</v>
      </c>
      <c r="E58" s="47" t="str">
        <f>IF(tblUsage[[#This Row],[Product]]="","",IFERROR(INDEX(tblActivities[Cost driver],MATCH(tblUsage[[#This Row],[Activity]],tblActivities[Activity],0))&amp;"",""))</f>
        <v>Shipments</v>
      </c>
      <c r="F58" s="35">
        <f>IF(tblUsage[[#This Row],[Product]]="","",IFERROR(INDEX(tblActivities[Activity rate],MATCH(tblUsage[[#This Row],[Activity]],tblActivities[Activity],0)),""))</f>
        <v>40.6593406593407</v>
      </c>
      <c r="G58" s="36">
        <f>IF(tblUsage[[#This Row],[Product]]="","",IF(OR(tblUsage[[#This Row],[Activity rate]]="",tblUsage[[#This Row],[Driver quantity]]=""),"",tblUsage[[#This Row],[Driver quantity]]*tblUsage[[#This Row],[Activity rate]]))</f>
        <v>7725.27472527473</v>
      </c>
      <c r="H58"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8" s="39"/>
    </row>
    <row r="59" spans="2:9" x14ac:dyDescent="0.25">
      <c r="B59" s="28" t="s">
        <v>139</v>
      </c>
      <c r="C59" s="28" t="s">
        <v>109</v>
      </c>
      <c r="D59" s="46">
        <v>160</v>
      </c>
      <c r="E59" s="47" t="str">
        <f>IF(tblUsage[[#This Row],[Product]]="","",IFERROR(INDEX(tblActivities[Cost driver],MATCH(tblUsage[[#This Row],[Activity]],tblActivities[Activity],0))&amp;"",""))</f>
        <v>Shipments</v>
      </c>
      <c r="F59" s="35">
        <f>IF(tblUsage[[#This Row],[Product]]="","",IFERROR(INDEX(tblActivities[Activity rate],MATCH(tblUsage[[#This Row],[Activity]],tblActivities[Activity],0)),""))</f>
        <v>40.6593406593407</v>
      </c>
      <c r="G59" s="36">
        <f>IF(tblUsage[[#This Row],[Product]]="","",IF(OR(tblUsage[[#This Row],[Activity rate]]="",tblUsage[[#This Row],[Driver quantity]]=""),"",tblUsage[[#This Row],[Driver quantity]]*tblUsage[[#This Row],[Activity rate]]))</f>
        <v>6505.49450549451</v>
      </c>
      <c r="H59"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59" s="39"/>
    </row>
    <row r="60" spans="2:9" x14ac:dyDescent="0.25">
      <c r="B60" s="28" t="s">
        <v>141</v>
      </c>
      <c r="C60" s="28" t="s">
        <v>109</v>
      </c>
      <c r="D60" s="46">
        <v>280</v>
      </c>
      <c r="E60" s="47" t="str">
        <f>IF(tblUsage[[#This Row],[Product]]="","",IFERROR(INDEX(tblActivities[Cost driver],MATCH(tblUsage[[#This Row],[Activity]],tblActivities[Activity],0))&amp;"",""))</f>
        <v>Shipments</v>
      </c>
      <c r="F60" s="35">
        <f>IF(tblUsage[[#This Row],[Product]]="","",IFERROR(INDEX(tblActivities[Activity rate],MATCH(tblUsage[[#This Row],[Activity]],tblActivities[Activity],0)),""))</f>
        <v>40.6593406593407</v>
      </c>
      <c r="G60" s="36">
        <f>IF(tblUsage[[#This Row],[Product]]="","",IF(OR(tblUsage[[#This Row],[Activity rate]]="",tblUsage[[#This Row],[Driver quantity]]=""),"",tblUsage[[#This Row],[Driver quantity]]*tblUsage[[#This Row],[Activity rate]]))</f>
        <v>11384.6153846154</v>
      </c>
      <c r="H60"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60" s="39"/>
    </row>
    <row r="61" spans="2:9" x14ac:dyDescent="0.25">
      <c r="B61" s="28" t="s">
        <v>143</v>
      </c>
      <c r="C61" s="28" t="s">
        <v>109</v>
      </c>
      <c r="D61" s="46">
        <v>480</v>
      </c>
      <c r="E61" s="47" t="str">
        <f>IF(tblUsage[[#This Row],[Product]]="","",IFERROR(INDEX(tblActivities[Cost driver],MATCH(tblUsage[[#This Row],[Activity]],tblActivities[Activity],0))&amp;"",""))</f>
        <v>Shipments</v>
      </c>
      <c r="F61" s="35">
        <f>IF(tblUsage[[#This Row],[Product]]="","",IFERROR(INDEX(tblActivities[Activity rate],MATCH(tblUsage[[#This Row],[Activity]],tblActivities[Activity],0)),""))</f>
        <v>40.6593406593407</v>
      </c>
      <c r="G61" s="36">
        <f>IF(tblUsage[[#This Row],[Product]]="","",IF(OR(tblUsage[[#This Row],[Activity rate]]="",tblUsage[[#This Row],[Driver quantity]]=""),"",tblUsage[[#This Row],[Driver quantity]]*tblUsage[[#This Row],[Activity rate]]))</f>
        <v>19516.4835164835</v>
      </c>
      <c r="H61"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61" s="39"/>
    </row>
    <row r="62" spans="2:9" x14ac:dyDescent="0.25">
      <c r="B62" s="28" t="s">
        <v>145</v>
      </c>
      <c r="C62" s="28" t="s">
        <v>109</v>
      </c>
      <c r="D62" s="46">
        <v>80</v>
      </c>
      <c r="E62" s="47" t="str">
        <f>IF(tblUsage[[#This Row],[Product]]="","",IFERROR(INDEX(tblActivities[Cost driver],MATCH(tblUsage[[#This Row],[Activity]],tblActivities[Activity],0))&amp;"",""))</f>
        <v>Shipments</v>
      </c>
      <c r="F62" s="35">
        <f>IF(tblUsage[[#This Row],[Product]]="","",IFERROR(INDEX(tblActivities[Activity rate],MATCH(tblUsage[[#This Row],[Activity]],tblActivities[Activity],0)),""))</f>
        <v>40.6593406593407</v>
      </c>
      <c r="G62" s="36">
        <f>IF(tblUsage[[#This Row],[Product]]="","",IF(OR(tblUsage[[#This Row],[Activity rate]]="",tblUsage[[#This Row],[Driver quantity]]=""),"",tblUsage[[#This Row],[Driver quantity]]*tblUsage[[#This Row],[Activity rate]]))</f>
        <v>3252.74725274725</v>
      </c>
      <c r="H62" s="38" t="str">
        <f>IF(tblUsage[[#This Row],[Product]]="","",IF(tblUsage[[#This Row],[Activity]]="","Missing activity",IF(tblUsage[[#This Row],[Driver quantity]]="","Missing driver quantity",IF(COUNTIFS(tblProducts[Product],tblUsage[[#This Row],[Product]])=0,"Product not on Products sheet",IF(COUNTIFS(tblActivities[Activity],tblUsage[[#This Row],[Activity]])=0,"Activity not on Activities sheet",IF(COUNTIFS(tblUsage[Product],tblUsage[[#This Row],[Product]],tblUsage[Activity],tblUsage[[#This Row],[Activity]])&gt;1,"Same product and activity twice","OK"))))))</f>
        <v>OK</v>
      </c>
      <c r="I62" s="39"/>
    </row>
  </sheetData>
  <mergeCells count="3">
    <mergeCell ref="A1:I1"/>
    <mergeCell ref="B2:H2"/>
    <mergeCell ref="B4:I4"/>
  </mergeCells>
  <conditionalFormatting sqref="G7:G562">
    <cfRule type="dataBar" priority="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H7:H562">
    <cfRule type="expression" dxfId="3" priority="2">
      <formula>$H7="OK"</formula>
    </cfRule>
    <cfRule type="expression" dxfId="1" priority="3">
      <formula>AND($H7&lt;&gt;"",$H7&lt;&gt;"OK")</formula>
    </cfRule>
  </conditionalFormatting>
  <dataValidations count="4">
    <dataValidation type="list" allowBlank="1" showInputMessage="1" showErrorMessage="1" errorTitle="Check this entry" error="Pick from the list (edit the list on Setup: ProductList)." promptTitle="Product" prompt="Pick from the list (edit the list on Setup: ProductList)." sqref="B7:B562">
      <formula1>ProductList</formula1>
    </dataValidation>
    <dataValidation type="list" allowBlank="1" showInputMessage="1" showErrorMessage="1" errorTitle="Check this entry" error="Pick from the list (edit the list on Setup: ActivityList)." promptTitle="Activity" prompt="Pick from the list (edit the list on Setup: ActivityList)." sqref="C7:C562">
      <formula1>ActivityList</formula1>
    </dataValidation>
    <dataValidation type="decimal" allowBlank="1" showInputMessage="1" showErrorMessage="1" errorTitle="Check this entry" error="Enter a number of at least 0." promptTitle="Driver quantity" prompt="How many driver units this product used in the period: setups, purchase orders, hours, shipments. Enter a number of at least 0." sqref="D7:D562">
      <formula1>0</formula1>
      <formula2>1000000000000.0</formula2>
    </dataValidation>
    <dataValidation type="textLength" allowBlank="1" showInputMessage="1" showErrorMessage="1" errorTitle="Check this entry" error="Text up to 255 characters." promptTitle="Notes" prompt="Text up to 255 characters." sqref="I7:I562">
      <formula1>0</formula1>
      <formula2>255</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Activity-Based Costing&amp;R&amp;8&amp;A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G7:G562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69"/>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28</v>
      </c>
      <c r="C2" s="2"/>
      <c r="D2" s="2"/>
      <c r="E2" s="2"/>
      <c r="F2" s="2"/>
      <c r="G2" s="2"/>
      <c r="H2" s="2"/>
      <c r="I2" s="2"/>
      <c r="J2" s="2"/>
      <c r="K2" s="3" t="s">
        <v>2</v>
      </c>
      <c r="L2" s="3"/>
    </row>
    <row r="3" spans="1:12" ht="6" customHeight="1" x14ac:dyDescent="0.25"/>
    <row r="4" spans="1:12" ht="20" customHeight="1" x14ac:dyDescent="0.25">
      <c r="B4" s="48" t="str">
        <f>PlantName&amp;"  -  "&amp;Period</f>
        <v>Brightwater Valves (example)  -  FY 2026 budget</v>
      </c>
      <c r="C4" s="48"/>
      <c r="D4" s="48"/>
      <c r="E4" s="48"/>
      <c r="F4" s="48"/>
      <c r="G4" s="48"/>
      <c r="H4" s="48"/>
      <c r="I4" s="48"/>
      <c r="J4" s="48"/>
      <c r="K4" s="48"/>
      <c r="L4" s="48"/>
    </row>
    <row r="5" spans="1:12" x14ac:dyDescent="0.25">
      <c r="B5" s="49" t="str">
        <f>"Traditional: all overhead spread by "&amp;LOWER(TradBasis)&amp;" at one plantwide rate. ABC: each activity pool spread by its own cost driver. Amounts in "&amp;Currency&amp;"."</f>
        <v>Traditional: all overhead spread by direct labour hours at one plantwide rate. ABC: each activity pool spread by its own cost driver. Amounts in USD.</v>
      </c>
      <c r="C5" s="49"/>
      <c r="D5" s="49"/>
      <c r="E5" s="49"/>
      <c r="F5" s="49"/>
      <c r="G5" s="49"/>
      <c r="H5" s="49"/>
      <c r="I5" s="49"/>
      <c r="J5" s="49"/>
      <c r="K5" s="49"/>
      <c r="L5" s="49"/>
    </row>
    <row r="7" spans="1:12" ht="18" customHeight="1" x14ac:dyDescent="0.25">
      <c r="B7" s="50" t="str">
        <f>"OVERHEAD IN ACTIVITY POOLS ("&amp;Currency&amp;")"</f>
        <v>OVERHEAD IN ACTIVITY POOLS (USD)</v>
      </c>
      <c r="C7" s="50"/>
      <c r="D7" s="50" t="s">
        <v>154</v>
      </c>
      <c r="E7" s="50"/>
      <c r="F7" s="50"/>
      <c r="G7" s="50" t="s">
        <v>155</v>
      </c>
      <c r="H7" s="50"/>
      <c r="I7" s="50"/>
      <c r="J7" s="50" t="s">
        <v>156</v>
      </c>
      <c r="K7" s="50"/>
      <c r="L7" s="50"/>
    </row>
    <row r="8" spans="1:12" ht="21" customHeight="1" x14ac:dyDescent="0.25">
      <c r="B8" s="51">
        <f>SUM(tblActivities[Cost pool])</f>
        <v>1200000</v>
      </c>
      <c r="C8" s="51"/>
      <c r="D8" s="52">
        <f>IF(COUNT(tblProducts[ABC margin])=0,"",MIN(tblProducts[ABC margin]))</f>
        <v>0.0592946787317623</v>
      </c>
      <c r="E8" s="52"/>
      <c r="F8" s="52"/>
      <c r="G8" s="51">
        <f>COUNTIFS(tblProducts[ABC margin],"&lt;"&amp;TargetMargin)</f>
        <v>2</v>
      </c>
      <c r="H8" s="51"/>
      <c r="I8" s="51"/>
      <c r="J8" s="53" t="str">
        <f>IF(N(MAX($H$38:$H$45))&gt;0,INDEX($B$38:$B$45,MATCH(MAX($H$38:$H$45),$H$38:$H$45,0)),"None")</f>
        <v>CV-40 cryo valve</v>
      </c>
      <c r="K8" s="53"/>
      <c r="L8" s="53"/>
    </row>
    <row r="9" spans="1:12" ht="21" customHeight="1" x14ac:dyDescent="0.25">
      <c r="B9" s="51"/>
      <c r="C9" s="51"/>
      <c r="D9" s="52"/>
      <c r="E9" s="52"/>
      <c r="F9" s="52"/>
      <c r="G9" s="51"/>
      <c r="H9" s="51"/>
      <c r="I9" s="51"/>
      <c r="J9" s="53"/>
      <c r="K9" s="53"/>
      <c r="L9" s="53"/>
    </row>
    <row r="10" spans="1:12" x14ac:dyDescent="0.25">
      <c r="B10" s="54" t="s">
        <v>157</v>
      </c>
      <c r="C10" s="54"/>
      <c r="D10" s="55">
        <f>TargetMargin</f>
        <v>0.25</v>
      </c>
      <c r="E10" s="55"/>
      <c r="F10" s="55"/>
      <c r="G10" s="56">
        <f>0</f>
        <v>0</v>
      </c>
      <c r="H10" s="56"/>
      <c r="I10" s="56"/>
      <c r="J10" s="54" t="s">
        <v>158</v>
      </c>
      <c r="K10" s="54"/>
      <c r="L10" s="54"/>
    </row>
    <row r="11" spans="1:12" ht="18" customHeight="1" x14ac:dyDescent="0.25">
      <c r="B11" s="57"/>
      <c r="C11" s="57"/>
      <c r="D11" s="57" t="str">
        <f>IF(NOT(ISNUMBER(KpiMinMargin)),"No data",IF(KpiMinMargin&gt;=(TargetMargin),"On target",IF(KpiMinMargin&gt;=(TargetMargin)*(1-0.05),"Near target","Below target")))</f>
        <v>Below target</v>
      </c>
      <c r="E11" s="57"/>
      <c r="F11" s="57"/>
      <c r="G11" s="57" t="str">
        <f>IF(NOT(ISNUMBER(KpiBelow)),"No data",IF(KpiBelow&lt;=(0),"On target",IF(KpiBelow&lt;=(0)*(1+0),"Near target","Above target")))</f>
        <v>Above target</v>
      </c>
      <c r="H11" s="57"/>
      <c r="I11" s="57"/>
      <c r="J11" s="57"/>
      <c r="K11" s="57"/>
      <c r="L11" s="57"/>
    </row>
    <row r="30" spans="2:12" ht="18" customHeight="1" x14ac:dyDescent="0.25">
      <c r="B30" s="50" t="str">
        <f>"REVENUE ("&amp;Currency&amp;")"</f>
        <v>REVENUE (USD)</v>
      </c>
      <c r="C30" s="50"/>
      <c r="D30" s="50" t="s">
        <v>159</v>
      </c>
      <c r="E30" s="50"/>
      <c r="F30" s="50"/>
      <c r="G30" s="50" t="str">
        <f>"PLANTWIDE RATE ("&amp;Currency&amp;"/H)"</f>
        <v>PLANTWIDE RATE (USD/H)</v>
      </c>
      <c r="H30" s="50"/>
      <c r="I30" s="50"/>
      <c r="J30" s="50" t="str">
        <f>"UNUSED CAPACITY ("&amp;Currency&amp;")"</f>
        <v>UNUSED CAPACITY (USD)</v>
      </c>
      <c r="K30" s="50"/>
      <c r="L30" s="50"/>
    </row>
    <row r="31" spans="2:12" ht="21" customHeight="1" x14ac:dyDescent="0.25">
      <c r="B31" s="51">
        <f>SUMPRODUCT(tblProducts[Volume (units)],tblProducts[Price])</f>
        <v>6223000</v>
      </c>
      <c r="C31" s="51"/>
      <c r="D31" s="52">
        <f>IF((SUMPRODUCT(tblProducts[Volume (units)],tblProducts[Price]))=0,"",(SUMPRODUCT(tblProducts[Volume (units)],tblProducts[Price])-(SUMPRODUCT(tblProducts[Volume (units)],tblProducts[Material])+SUMPRODUCT(tblProducts[Volume (units)],tblProducts[Direct labour]))-SUM(tblActivities[Cost pool]))/(SUMPRODUCT(tblProducts[Volume (units)],tblProducts[Price])))</f>
        <v>0.315693395468424</v>
      </c>
      <c r="E31" s="52"/>
      <c r="F31" s="52"/>
      <c r="G31" s="58">
        <f>PlantRate</f>
        <v>49.4111833978424</v>
      </c>
      <c r="H31" s="58"/>
      <c r="I31" s="58"/>
      <c r="J31" s="51">
        <f>SUM(tblActivities[Unused capacity])</f>
        <v>71960</v>
      </c>
      <c r="K31" s="51"/>
      <c r="L31" s="51"/>
    </row>
    <row r="32" spans="2:12" ht="21" customHeight="1" x14ac:dyDescent="0.25">
      <c r="B32" s="51"/>
      <c r="C32" s="51"/>
      <c r="D32" s="52"/>
      <c r="E32" s="52"/>
      <c r="F32" s="52"/>
      <c r="G32" s="58"/>
      <c r="H32" s="58"/>
      <c r="I32" s="58"/>
      <c r="J32" s="51"/>
      <c r="K32" s="51"/>
      <c r="L32" s="51"/>
    </row>
    <row r="33" spans="2:12" x14ac:dyDescent="0.25">
      <c r="B33" s="54" t="s">
        <v>160</v>
      </c>
      <c r="C33" s="54"/>
      <c r="D33" s="55">
        <f>TargetMargin</f>
        <v>0.25</v>
      </c>
      <c r="E33" s="55"/>
      <c r="F33" s="55"/>
      <c r="G33" s="54" t="s">
        <v>161</v>
      </c>
      <c r="H33" s="54"/>
      <c r="I33" s="54"/>
      <c r="J33" s="54" t="s">
        <v>162</v>
      </c>
      <c r="K33" s="54"/>
      <c r="L33" s="54"/>
    </row>
    <row r="34" spans="2:12" ht="18" customHeight="1" x14ac:dyDescent="0.25">
      <c r="B34" s="57"/>
      <c r="C34" s="57"/>
      <c r="D34" s="57" t="str">
        <f>IF(NOT(ISNUMBER(KpiPlantMargin)),"No data",IF(KpiPlantMargin&gt;=(TargetMargin),"On target",IF(KpiPlantMargin&gt;=(TargetMargin)*(1-0.05),"Near target","Below target")))</f>
        <v>On target</v>
      </c>
      <c r="E34" s="57"/>
      <c r="F34" s="57"/>
      <c r="G34" s="57"/>
      <c r="H34" s="57"/>
      <c r="I34" s="57"/>
      <c r="J34" s="57"/>
      <c r="K34" s="57"/>
      <c r="L34" s="57"/>
    </row>
    <row r="36" spans="2:12" x14ac:dyDescent="0.25">
      <c r="B36" s="40" t="s">
        <v>163</v>
      </c>
      <c r="C36" s="40"/>
      <c r="D36" s="40"/>
      <c r="E36" s="40"/>
      <c r="F36" s="40"/>
      <c r="G36" s="40"/>
      <c r="H36" s="40"/>
      <c r="I36" s="40"/>
      <c r="J36" s="40"/>
      <c r="K36" s="40"/>
      <c r="L36" s="40"/>
    </row>
    <row r="37" spans="2:12" ht="45.5" customHeight="1" x14ac:dyDescent="0.25">
      <c r="B37" s="59" t="s">
        <v>116</v>
      </c>
      <c r="C37" s="32" t="s">
        <v>117</v>
      </c>
      <c r="D37" s="32" t="s">
        <v>164</v>
      </c>
      <c r="E37" s="32" t="s">
        <v>165</v>
      </c>
      <c r="F37" s="32" t="s">
        <v>126</v>
      </c>
      <c r="G37" s="32" t="s">
        <v>127</v>
      </c>
      <c r="H37" s="32" t="s">
        <v>128</v>
      </c>
      <c r="I37" s="32" t="s">
        <v>129</v>
      </c>
      <c r="J37" s="32" t="s">
        <v>130</v>
      </c>
      <c r="K37" s="32" t="s">
        <v>166</v>
      </c>
      <c r="L37" s="32"/>
    </row>
    <row r="38" spans="2:12" x14ac:dyDescent="0.25">
      <c r="B38" s="60" t="str">
        <f>IFERROR(INDEX(tblProducts[Product],1)&amp;"","")</f>
        <v>BV-25 ball valve</v>
      </c>
      <c r="C38" s="36">
        <f>IF($B$38="","",IFERROR(INDEX(tblProducts[Volume (units)],MATCH($B$38,tblProducts[Product],0)),""))</f>
        <v>42000</v>
      </c>
      <c r="D38" s="36">
        <f>IF($B$38="","",SUMIFS(tblUsage[Assigned cost],tblUsage[Product],$B$38))</f>
        <v>179715.137106553</v>
      </c>
      <c r="E38" s="36">
        <f>IF($B$38="","",IF(OR($C$38="",N(PlantRate)=0),"",SUMIFS(tblProducts[Traditional overhead],tblProducts[Product],$B$38)*$C$38))</f>
        <v>332043.152433501</v>
      </c>
      <c r="F38" s="35">
        <f>IF($B$38="","",IFERROR(INDEX(tblProducts[ABC unit cost],MATCH($B$38,tblProducts[Product],0)),""))</f>
        <v>22.5789318358703</v>
      </c>
      <c r="G38" s="35">
        <f>IF($B$38="","",IFERROR(INDEX(tblProducts[Traditional unit cost],MATCH($B$38,tblProducts[Product],0)),""))</f>
        <v>26.2057893436548</v>
      </c>
      <c r="H38" s="43">
        <f>IF($B$38="","",IFERROR(INDEX(tblProducts[ABC vs traditional],MATCH($B$38,tblProducts[Product],0)),""))</f>
        <v>-0.138399094193385</v>
      </c>
      <c r="I38" s="37">
        <f>IF($B$38="","",IFERROR(INDEX(tblProducts[ABC margin],MATCH($B$38,tblProducts[Product],0)),""))</f>
        <v>0.405817583266571</v>
      </c>
      <c r="J38" s="37">
        <f>IF($B$38="","",IFERROR(INDEX(tblProducts[Traditional margin],MATCH($B$38,tblProducts[Product],0)),""))</f>
        <v>0.310373964640664</v>
      </c>
      <c r="K38" s="44" t="str">
        <f>IF($B$38="","",IF(NOT(ISNUMBER($I$38)),"",IF($I$38&gt;=TargetMargin,"On target",IF($I$38&gt;=TargetMargin*0.95,"Near target","Below target"))))</f>
        <v>On target</v>
      </c>
      <c r="L38" s="44"/>
    </row>
    <row r="39" spans="2:12" x14ac:dyDescent="0.25">
      <c r="B39" s="60" t="str">
        <f>IFERROR(INDEX(tblProducts[Product],2)&amp;"","")</f>
        <v>BV-50 ball valve</v>
      </c>
      <c r="C39" s="36">
        <f>IF($B$39="","",IFERROR(INDEX(tblProducts[Volume (units)],MATCH($B$39,tblProducts[Product],0)),""))</f>
        <v>18000</v>
      </c>
      <c r="D39" s="36">
        <f>IF($B$39="","",SUMIFS(tblUsage[Assigned cost],tblUsage[Product],$B$39))</f>
        <v>141205.990406254</v>
      </c>
      <c r="E39" s="36">
        <f>IF($B$39="","",IF(OR($C$39="",N(PlantRate)=0),"",SUMIFS(tblProducts[Traditional overhead],tblProducts[Product],$B$39)*$C$39))</f>
        <v>222350.325290291</v>
      </c>
      <c r="F39" s="35">
        <f>IF($B$39="","",IFERROR(INDEX(tblProducts[ABC unit cost],MATCH($B$39,tblProducts[Product],0)),""))</f>
        <v>38.7447772447919</v>
      </c>
      <c r="G39" s="35">
        <f>IF($B$39="","",IFERROR(INDEX(tblProducts[Traditional unit cost],MATCH($B$39,tblProducts[Product],0)),""))</f>
        <v>43.2527958494606</v>
      </c>
      <c r="H39" s="43">
        <f>IF($B$39="","",IFERROR(INDEX(tblProducts[ABC vs traditional],MATCH($B$39,tblProducts[Product],0)),""))</f>
        <v>-0.104224906532254</v>
      </c>
      <c r="I39" s="37">
        <f>IF($B$39="","",IFERROR(INDEX(tblProducts[ABC margin],MATCH($B$39,tblProducts[Product],0)),""))</f>
        <v>0.394612855550126</v>
      </c>
      <c r="J39" s="37">
        <f>IF($B$39="","",IFERROR(INDEX(tblProducts[Traditional margin],MATCH($B$39,tblProducts[Product],0)),""))</f>
        <v>0.324175064852178</v>
      </c>
      <c r="K39" s="44" t="str">
        <f>IF($B$39="","",IF(NOT(ISNUMBER($I$39)),"",IF($I$39&gt;=TargetMargin,"On target",IF($I$39&gt;=TargetMargin*0.95,"Near target","Below target"))))</f>
        <v>On target</v>
      </c>
      <c r="L39" s="44"/>
    </row>
    <row r="40" spans="2:12" x14ac:dyDescent="0.25">
      <c r="B40" s="60" t="str">
        <f>IFERROR(INDEX(tblProducts[Product],3)&amp;"","")</f>
        <v>BV-80 ball valve</v>
      </c>
      <c r="C40" s="36">
        <f>IF($B$40="","",IFERROR(INDEX(tblProducts[Volume (units)],MATCH($B$40,tblProducts[Product],0)),""))</f>
        <v>7500</v>
      </c>
      <c r="D40" s="36">
        <f>IF($B$40="","",SUMIFS(tblUsage[Assigned cost],tblUsage[Product],$B$40))</f>
        <v>117245.730558604</v>
      </c>
      <c r="E40" s="36">
        <f>IF($B$40="","",IF(OR($C$40="",N(PlantRate)=0),"",SUMIFS(tblProducts[Traditional overhead],tblProducts[Product],$B$40)*$C$40))</f>
        <v>163056.90521288</v>
      </c>
      <c r="F40" s="35">
        <f>IF($B$40="","",IFERROR(INDEX(tblProducts[ABC unit cost],MATCH($B$40,tblProducts[Product],0)),""))</f>
        <v>73.8327640744806</v>
      </c>
      <c r="G40" s="35">
        <f>IF($B$40="","",IFERROR(INDEX(tblProducts[Traditional unit cost],MATCH($B$40,tblProducts[Product],0)),""))</f>
        <v>79.9409206950507</v>
      </c>
      <c r="H40" s="43">
        <f>IF($B$40="","",IFERROR(INDEX(tblProducts[ABC vs traditional],MATCH($B$40,tblProducts[Product],0)),""))</f>
        <v>-0.07640838468537</v>
      </c>
      <c r="I40" s="37">
        <f>IF($B$40="","",IFERROR(INDEX(tblProducts[ABC margin],MATCH($B$40,tblProducts[Product],0)),""))</f>
        <v>0.3742986095383</v>
      </c>
      <c r="J40" s="37">
        <f>IF($B$40="","",IFERROR(INDEX(tblProducts[Traditional margin],MATCH($B$40,tblProducts[Product],0)),""))</f>
        <v>0.322534570380927</v>
      </c>
      <c r="K40" s="44" t="str">
        <f>IF($B$40="","",IF(NOT(ISNUMBER($I$40)),"",IF($I$40&gt;=TargetMargin,"On target",IF($I$40&gt;=TargetMargin*0.95,"Near target","Below target"))))</f>
        <v>On target</v>
      </c>
      <c r="L40" s="44"/>
    </row>
    <row r="41" spans="2:12" x14ac:dyDescent="0.25">
      <c r="B41" s="60" t="str">
        <f>IFERROR(INDEX(tblProducts[Product],4)&amp;"","")</f>
        <v>CK-50 check valve</v>
      </c>
      <c r="C41" s="36">
        <f>IF($B$41="","",IFERROR(INDEX(tblProducts[Volume (units)],MATCH($B$41,tblProducts[Product],0)),""))</f>
        <v>11000</v>
      </c>
      <c r="D41" s="36">
        <f>IF($B$41="","",SUMIFS(tblUsage[Assigned cost],tblUsage[Product],$B$41))</f>
        <v>80734.7902468269</v>
      </c>
      <c r="E41" s="36">
        <f>IF($B$41="","",IF(OR($C$41="",N(PlantRate)=0),"",SUMIFS(tblProducts[Traditional overhead],tblProducts[Product],$B$41)*$C$41))</f>
        <v>103269.373301491</v>
      </c>
      <c r="F41" s="35">
        <f>IF($B$41="","",IFERROR(INDEX(tblProducts[ABC unit cost],MATCH($B$41,tblProducts[Product],0)),""))</f>
        <v>29.8395263860752</v>
      </c>
      <c r="G41" s="35">
        <f>IF($B$41="","",IFERROR(INDEX(tblProducts[Traditional unit cost],MATCH($B$41,tblProducts[Product],0)),""))</f>
        <v>31.8881248455901</v>
      </c>
      <c r="H41" s="43">
        <f>IF($B$41="","",IFERROR(INDEX(tblProducts[ABC vs traditional],MATCH($B$41,tblProducts[Product],0)),""))</f>
        <v>-0.0642433027791596</v>
      </c>
      <c r="I41" s="37">
        <f>IF($B$41="","",IFERROR(INDEX(tblProducts[ABC margin],MATCH($B$41,tblProducts[Product],0)),""))</f>
        <v>0.351314643780975</v>
      </c>
      <c r="J41" s="37">
        <f>IF($B$41="","",IFERROR(INDEX(tblProducts[Traditional margin],MATCH($B$41,tblProducts[Product],0)),""))</f>
        <v>0.306779894661086</v>
      </c>
      <c r="K41" s="44" t="str">
        <f>IF($B$41="","",IF(NOT(ISNUMBER($I$41)),"",IF($I$41&gt;=TargetMargin,"On target",IF($I$41&gt;=TargetMargin*0.95,"Near target","Below target"))))</f>
        <v>On target</v>
      </c>
      <c r="L41" s="44"/>
    </row>
    <row r="42" spans="2:12" x14ac:dyDescent="0.25">
      <c r="B42" s="60" t="str">
        <f>IFERROR(INDEX(tblProducts[Product],5)&amp;"","")</f>
        <v>GV-100 gate valve</v>
      </c>
      <c r="C42" s="36">
        <f>IF($B$42="","",IFERROR(INDEX(tblProducts[Volume (units)],MATCH($B$42,tblProducts[Product],0)),""))</f>
        <v>3200</v>
      </c>
      <c r="D42" s="36">
        <f>IF($B$42="","",SUMIFS(tblUsage[Assigned cost],tblUsage[Product],$B$42))</f>
        <v>139708.634195104</v>
      </c>
      <c r="E42" s="36">
        <f>IF($B$42="","",IF(OR($C$42="",N(PlantRate)=0),"",SUMIFS(tblProducts[Traditional overhead],tblProducts[Product],$B$42)*$C$42))</f>
        <v>148628.83966071</v>
      </c>
      <c r="F42" s="35">
        <f>IF($B$42="","",IFERROR(INDEX(tblProducts[ABC unit cost],MATCH($B$42,tblProducts[Product],0)),""))</f>
        <v>175.65894818597</v>
      </c>
      <c r="G42" s="35">
        <f>IF($B$42="","",IFERROR(INDEX(tblProducts[Traditional unit cost],MATCH($B$42,tblProducts[Product],0)),""))</f>
        <v>178.446512393972</v>
      </c>
      <c r="H42" s="43">
        <f>IF($B$42="","",IFERROR(INDEX(tblProducts[ABC vs traditional],MATCH($B$42,tblProducts[Product],0)),""))</f>
        <v>-0.0156212871330734</v>
      </c>
      <c r="I42" s="37">
        <f>IF($B$42="","",IFERROR(INDEX(tblProducts[ABC margin],MATCH($B$42,tblProducts[Product],0)),""))</f>
        <v>0.337136044581245</v>
      </c>
      <c r="J42" s="37">
        <f>IF($B$42="","",IFERROR(INDEX(tblProducts[Traditional margin],MATCH($B$42,tblProducts[Product],0)),""))</f>
        <v>0.32661693436237</v>
      </c>
      <c r="K42" s="44" t="str">
        <f>IF($B$42="","",IF(NOT(ISNUMBER($I$42)),"",IF($I$42&gt;=TargetMargin,"On target",IF($I$42&gt;=TargetMargin*0.95,"Near target","Below target"))))</f>
        <v>On target</v>
      </c>
      <c r="L42" s="44"/>
    </row>
    <row r="43" spans="2:12" x14ac:dyDescent="0.25">
      <c r="B43" s="60" t="str">
        <f>IFERROR(INDEX(tblProducts[Product],6)&amp;"","")</f>
        <v>AV-50 actuated valve</v>
      </c>
      <c r="C43" s="36">
        <f>IF($B$43="","",IFERROR(INDEX(tblProducts[Volume (units)],MATCH($B$43,tblProducts[Product],0)),""))</f>
        <v>1800</v>
      </c>
      <c r="D43" s="36">
        <f>IF($B$43="","",SUMIFS(tblUsage[Assigned cost],tblUsage[Product],$B$43))</f>
        <v>265840.527095959</v>
      </c>
      <c r="E43" s="36">
        <f>IF($B$43="","",IF(OR($C$43="",N(PlantRate)=0),"",SUMIFS(tblProducts[Traditional overhead],tblProducts[Product],$B$43)*$C$43))</f>
        <v>142304.208185786</v>
      </c>
      <c r="F43" s="35">
        <f>IF($B$43="","",IFERROR(INDEX(tblProducts[ABC unit cost],MATCH($B$43,tblProducts[Product],0)),""))</f>
        <v>385.689181719977</v>
      </c>
      <c r="G43" s="35">
        <f>IF($B$43="","",IFERROR(INDEX(tblProducts[Traditional unit cost],MATCH($B$43,tblProducts[Product],0)),""))</f>
        <v>317.057893436548</v>
      </c>
      <c r="H43" s="43">
        <f>IF($B$43="","",IFERROR(INDEX(tblProducts[ABC vs traditional],MATCH($B$43,tblProducts[Product],0)),""))</f>
        <v>0.216462954255907</v>
      </c>
      <c r="I43" s="37">
        <f>IF($B$43="","",IFERROR(INDEX(tblProducts[ABC margin],MATCH($B$43,tblProducts[Product],0)),""))</f>
        <v>0.0592946787317623</v>
      </c>
      <c r="J43" s="37">
        <f>IF($B$43="","",IFERROR(INDEX(tblProducts[Traditional margin],MATCH($B$43,tblProducts[Product],0)),""))</f>
        <v>0.226688064788908</v>
      </c>
      <c r="K43" s="44" t="str">
        <f>IF($B$43="","",IF(NOT(ISNUMBER($I$43)),"",IF($I$43&gt;=TargetMargin,"On target",IF($I$43&gt;=TargetMargin*0.95,"Near target","Below target"))))</f>
        <v>Below target</v>
      </c>
      <c r="L43" s="44"/>
    </row>
    <row r="44" spans="2:12" x14ac:dyDescent="0.25">
      <c r="B44" s="60" t="str">
        <f>IFERROR(INDEX(tblProducts[Product],7)&amp;"","")</f>
        <v>SK-01 spares kit</v>
      </c>
      <c r="C44" s="36">
        <f>IF($B$44="","",IFERROR(INDEX(tblProducts[Volume (units)],MATCH($B$44,tblProducts[Product],0)),""))</f>
        <v>9000</v>
      </c>
      <c r="D44" s="36">
        <f>IF($B$44="","",SUMIFS(tblUsage[Assigned cost],tblUsage[Product],$B$44))</f>
        <v>61589.1493890662</v>
      </c>
      <c r="E44" s="36">
        <f>IF($B$44="","",IF(OR($C$44="",N(PlantRate)=0),"",SUMIFS(tblProducts[Traditional overhead],tblProducts[Product],$B$44)*$C$44))</f>
        <v>44470.0650580581</v>
      </c>
      <c r="F44" s="35">
        <f>IF($B$44="","",IFERROR(INDEX(tblProducts[ABC unit cost],MATCH($B$44,tblProducts[Product],0)),""))</f>
        <v>16.2432388210074</v>
      </c>
      <c r="G44" s="35">
        <f>IF($B$44="","",IFERROR(INDEX(tblProducts[Traditional unit cost],MATCH($B$44,tblProducts[Product],0)),""))</f>
        <v>14.3411183397842</v>
      </c>
      <c r="H44" s="43">
        <f>IF($B$44="","",IFERROR(INDEX(tblProducts[ABC vs traditional],MATCH($B$44,tblProducts[Product],0)),""))</f>
        <v>0.132634041234174</v>
      </c>
      <c r="I44" s="37">
        <f>IF($B$44="","",IFERROR(INDEX(tblProducts[ABC margin],MATCH($B$44,tblProducts[Product],0)),""))</f>
        <v>0.261670962681484</v>
      </c>
      <c r="J44" s="37">
        <f>IF($B$44="","",IFERROR(INDEX(tblProducts[Traditional margin],MATCH($B$44,tblProducts[Product],0)),""))</f>
        <v>0.348130984555262</v>
      </c>
      <c r="K44" s="44" t="str">
        <f>IF($B$44="","",IF(NOT(ISNUMBER($I$44)),"",IF($I$44&gt;=TargetMargin,"On target",IF($I$44&gt;=TargetMargin*0.95,"Near target","Below target"))))</f>
        <v>On target</v>
      </c>
      <c r="L44" s="44"/>
    </row>
    <row r="45" spans="2:12" x14ac:dyDescent="0.25">
      <c r="B45" s="60" t="str">
        <f>IFERROR(INDEX(tblProducts[Product],8)&amp;"","")</f>
        <v>CV-40 cryo valve</v>
      </c>
      <c r="C45" s="36">
        <f>IF($B$45="","",IFERROR(INDEX(tblProducts[Volume (units)],MATCH($B$45,tblProducts[Product],0)),""))</f>
        <v>240</v>
      </c>
      <c r="D45" s="36">
        <f>IF($B$45="","",SUMIFS(tblUsage[Assigned cost],tblUsage[Product],$B$45))</f>
        <v>142000.041001632</v>
      </c>
      <c r="E45" s="36">
        <f>IF($B$45="","",IF(OR($C$45="",N(PlantRate)=0),"",SUMIFS(tblProducts[Traditional overhead],tblProducts[Product],$B$45)*$C$45))</f>
        <v>43877.130857284</v>
      </c>
      <c r="F45" s="35">
        <f>IF($B$45="","",IFERROR(INDEX(tblProducts[ABC unit cost],MATCH($B$45,tblProducts[Product],0)),""))</f>
        <v>1067.6668375068</v>
      </c>
      <c r="G45" s="35">
        <f>IF($B$45="","",IFERROR(INDEX(tblProducts[Traditional unit cost],MATCH($B$45,tblProducts[Product],0)),""))</f>
        <v>658.821378572017</v>
      </c>
      <c r="H45" s="43">
        <f>IF($B$45="","",IFERROR(INDEX(tblProducts[ABC vs traditional],MATCH($B$45,tblProducts[Product],0)),""))</f>
        <v>0.620571026126911</v>
      </c>
      <c r="I45" s="37">
        <f>IF($B$45="","",IFERROR(INDEX(tblProducts[ABC margin],MATCH($B$45,tblProducts[Product],0)),""))</f>
        <v>0.145866529994561</v>
      </c>
      <c r="J45" s="37">
        <f>IF($B$45="","",IFERROR(INDEX(tblProducts[Traditional margin],MATCH($B$45,tblProducts[Product],0)),""))</f>
        <v>0.472942897142387</v>
      </c>
      <c r="K45" s="44" t="str">
        <f>IF($B$45="","",IF(NOT(ISNUMBER($I$45)),"",IF($I$45&gt;=TargetMargin,"On target",IF($I$45&gt;=TargetMargin*0.95,"Near target","Below target"))))</f>
        <v>Below target</v>
      </c>
      <c r="L45" s="44"/>
    </row>
    <row r="47" spans="2:12" x14ac:dyDescent="0.25">
      <c r="B47" s="40" t="s">
        <v>167</v>
      </c>
      <c r="C47" s="40"/>
      <c r="D47" s="40"/>
      <c r="E47" s="40"/>
      <c r="F47" s="40"/>
      <c r="G47" s="40"/>
      <c r="H47" s="40"/>
      <c r="I47" s="40"/>
      <c r="J47" s="40"/>
      <c r="K47" s="40"/>
    </row>
    <row r="48" spans="2:12" ht="32" customHeight="1" x14ac:dyDescent="0.25">
      <c r="B48" s="59" t="s">
        <v>78</v>
      </c>
      <c r="C48" s="32" t="s">
        <v>79</v>
      </c>
      <c r="D48" s="32" t="s">
        <v>80</v>
      </c>
      <c r="E48" s="32"/>
      <c r="F48" s="32" t="s">
        <v>82</v>
      </c>
      <c r="G48" s="32" t="s">
        <v>81</v>
      </c>
      <c r="H48" s="32" t="s">
        <v>83</v>
      </c>
      <c r="I48" s="32" t="s">
        <v>84</v>
      </c>
      <c r="J48" s="32" t="s">
        <v>85</v>
      </c>
      <c r="K48" s="32" t="s">
        <v>86</v>
      </c>
    </row>
    <row r="49" spans="2:12" x14ac:dyDescent="0.25">
      <c r="B49" s="60" t="str">
        <f>IFERROR(INDEX(tblActivities[Activity],1)&amp;"","")</f>
        <v>Machine setups</v>
      </c>
      <c r="C49" s="36">
        <f>IF($B$49="","",IFERROR(INDEX(tblActivities[Cost pool],MATCH($B$49,tblActivities[Activity],0)),""))</f>
        <v>186000</v>
      </c>
      <c r="D49" s="47" t="str">
        <f>IF($B$49="","",IFERROR(INDEX(tblActivities[Cost driver],MATCH($B$49,tblActivities[Activity],0)),""))</f>
        <v>Setups</v>
      </c>
      <c r="E49" s="47"/>
      <c r="F49" s="36">
        <f>IF($B$49="","",IFERROR(INDEX(tblActivities[Driver volume],MATCH($B$49,tblActivities[Activity],0)),""))</f>
        <v>360</v>
      </c>
      <c r="G49" s="36">
        <f>IF($B$49="","",IFERROR(IF(INDEX(tblActivities[Practical capacity],MATCH($B$49,tblActivities[Activity],0))="","",INDEX(tblActivities[Practical capacity],MATCH($B$49,tblActivities[Activity],0))),""))</f>
        <v/>
      </c>
      <c r="H49" s="35">
        <f>IF($B$49="","",IFERROR(INDEX(tblActivities[Activity rate],MATCH($B$49,tblActivities[Activity],0)),""))</f>
        <v>516.666666666667</v>
      </c>
      <c r="I49" s="36">
        <f>IF($B$49="","",IFERROR(INDEX(tblActivities[Assigned to products],MATCH($B$49,tblActivities[Activity],0)),""))</f>
        <v>186000</v>
      </c>
      <c r="J49" s="36">
        <f>IF($B$49="","",IFERROR(INDEX(tblActivities[Unused capacity],MATCH($B$49,tblActivities[Activity],0)),""))</f>
        <v>0</v>
      </c>
      <c r="K49" s="37">
        <f>IF($B$49="","",IFERROR(INDEX(tblActivities[Share of overhead],MATCH($B$49,tblActivities[Activity],0)),""))</f>
        <v>0.155</v>
      </c>
    </row>
    <row r="50" spans="2:12" x14ac:dyDescent="0.25">
      <c r="B50" s="60" t="str">
        <f>IFERROR(INDEX(tblActivities[Activity],2)&amp;"","")</f>
        <v>Purchasing and receiving</v>
      </c>
      <c r="C50" s="36">
        <f>IF($B$50="","",IFERROR(INDEX(tblActivities[Cost pool],MATCH($B$50,tblActivities[Activity],0)),""))</f>
        <v>142000</v>
      </c>
      <c r="D50" s="47" t="str">
        <f>IF($B$50="","",IFERROR(INDEX(tblActivities[Cost driver],MATCH($B$50,tblActivities[Activity],0)),""))</f>
        <v>Purchase orders</v>
      </c>
      <c r="E50" s="47"/>
      <c r="F50" s="36">
        <f>IF($B$50="","",IFERROR(INDEX(tblActivities[Driver volume],MATCH($B$50,tblActivities[Activity],0)),""))</f>
        <v>1325</v>
      </c>
      <c r="G50" s="36">
        <f>IF($B$50="","",IFERROR(IF(INDEX(tblActivities[Practical capacity],MATCH($B$50,tblActivities[Activity],0))="","",INDEX(tblActivities[Practical capacity],MATCH($B$50,tblActivities[Activity],0))),""))</f>
        <v/>
      </c>
      <c r="H50" s="35">
        <f>IF($B$50="","",IFERROR(INDEX(tblActivities[Activity rate],MATCH($B$50,tblActivities[Activity],0)),""))</f>
        <v>107.169811320755</v>
      </c>
      <c r="I50" s="36">
        <f>IF($B$50="","",IFERROR(INDEX(tblActivities[Assigned to products],MATCH($B$50,tblActivities[Activity],0)),""))</f>
        <v>142000</v>
      </c>
      <c r="J50" s="36">
        <f>IF($B$50="","",IFERROR(INDEX(tblActivities[Unused capacity],MATCH($B$50,tblActivities[Activity],0)),""))</f>
        <v>0</v>
      </c>
      <c r="K50" s="37">
        <f>IF($B$50="","",IFERROR(INDEX(tblActivities[Share of overhead],MATCH($B$50,tblActivities[Activity],0)),""))</f>
        <v>0.118333333333333</v>
      </c>
    </row>
    <row r="51" spans="2:12" x14ac:dyDescent="0.25">
      <c r="B51" s="60" t="str">
        <f>IFERROR(INDEX(tblActivities[Activity],3)&amp;"","")</f>
        <v>Production scheduling</v>
      </c>
      <c r="C51" s="36">
        <f>IF($B$51="","",IFERROR(INDEX(tblActivities[Cost pool],MATCH($B$51,tblActivities[Activity],0)),""))</f>
        <v>96000</v>
      </c>
      <c r="D51" s="47" t="str">
        <f>IF($B$51="","",IFERROR(INDEX(tblActivities[Cost driver],MATCH($B$51,tblActivities[Activity],0)),""))</f>
        <v>Production orders</v>
      </c>
      <c r="E51" s="47"/>
      <c r="F51" s="36">
        <f>IF($B$51="","",IFERROR(INDEX(tblActivities[Driver volume],MATCH($B$51,tblActivities[Activity],0)),""))</f>
        <v>698</v>
      </c>
      <c r="G51" s="36">
        <f>IF($B$51="","",IFERROR(IF(INDEX(tblActivities[Practical capacity],MATCH($B$51,tblActivities[Activity],0))="","",INDEX(tblActivities[Practical capacity],MATCH($B$51,tblActivities[Activity],0))),""))</f>
        <v/>
      </c>
      <c r="H51" s="35">
        <f>IF($B$51="","",IFERROR(INDEX(tblActivities[Activity rate],MATCH($B$51,tblActivities[Activity],0)),""))</f>
        <v>137.535816618911</v>
      </c>
      <c r="I51" s="36">
        <f>IF($B$51="","",IFERROR(INDEX(tblActivities[Assigned to products],MATCH($B$51,tblActivities[Activity],0)),""))</f>
        <v>96000</v>
      </c>
      <c r="J51" s="36">
        <f>IF($B$51="","",IFERROR(INDEX(tblActivities[Unused capacity],MATCH($B$51,tblActivities[Activity],0)),""))</f>
        <v>0</v>
      </c>
      <c r="K51" s="37">
        <f>IF($B$51="","",IFERROR(INDEX(tblActivities[Share of overhead],MATCH($B$51,tblActivities[Activity],0)),""))</f>
        <v>0.08</v>
      </c>
    </row>
    <row r="52" spans="2:12" x14ac:dyDescent="0.25">
      <c r="B52" s="60" t="str">
        <f>IFERROR(INDEX(tblActivities[Activity],4)&amp;"","")</f>
        <v>Quality inspection</v>
      </c>
      <c r="C52" s="36">
        <f>IF($B$52="","",IFERROR(INDEX(tblActivities[Cost pool],MATCH($B$52,tblActivities[Activity],0)),""))</f>
        <v>128000</v>
      </c>
      <c r="D52" s="47" t="str">
        <f>IF($B$52="","",IFERROR(INDEX(tblActivities[Cost driver],MATCH($B$52,tblActivities[Activity],0)),""))</f>
        <v>Inspection hours</v>
      </c>
      <c r="E52" s="47"/>
      <c r="F52" s="36">
        <f>IF($B$52="","",IFERROR(INDEX(tblActivities[Driver volume],MATCH($B$52,tblActivities[Activity],0)),""))</f>
        <v>3800</v>
      </c>
      <c r="G52" s="36">
        <f>IF($B$52="","",IFERROR(IF(INDEX(tblActivities[Practical capacity],MATCH($B$52,tblActivities[Activity],0))="","",INDEX(tblActivities[Practical capacity],MATCH($B$52,tblActivities[Activity],0))),""))</f>
        <v>4000</v>
      </c>
      <c r="H52" s="35">
        <f>IF($B$52="","",IFERROR(INDEX(tblActivities[Activity rate],MATCH($B$52,tblActivities[Activity],0)),""))</f>
        <v>32</v>
      </c>
      <c r="I52" s="36">
        <f>IF($B$52="","",IFERROR(INDEX(tblActivities[Assigned to products],MATCH($B$52,tblActivities[Activity],0)),""))</f>
        <v>121600</v>
      </c>
      <c r="J52" s="36">
        <f>IF($B$52="","",IFERROR(INDEX(tblActivities[Unused capacity],MATCH($B$52,tblActivities[Activity],0)),""))</f>
        <v>6400</v>
      </c>
      <c r="K52" s="37">
        <f>IF($B$52="","",IFERROR(INDEX(tblActivities[Share of overhead],MATCH($B$52,tblActivities[Activity],0)),""))</f>
        <v>0.106666666666667</v>
      </c>
    </row>
    <row r="53" spans="2:12" x14ac:dyDescent="0.25">
      <c r="B53" s="60" t="str">
        <f>IFERROR(INDEX(tblActivities[Activity],5)&amp;"","")</f>
        <v>Engineering support</v>
      </c>
      <c r="C53" s="36">
        <f>IF($B$53="","",IFERROR(INDEX(tblActivities[Cost pool],MATCH($B$53,tblActivities[Activity],0)),""))</f>
        <v>154000</v>
      </c>
      <c r="D53" s="47" t="str">
        <f>IF($B$53="","",IFERROR(INDEX(tblActivities[Cost driver],MATCH($B$53,tblActivities[Activity],0)),""))</f>
        <v>Engineering hours</v>
      </c>
      <c r="E53" s="47"/>
      <c r="F53" s="36">
        <f>IF($B$53="","",IFERROR(INDEX(tblActivities[Driver volume],MATCH($B$53,tblActivities[Activity],0)),""))</f>
        <v>3720</v>
      </c>
      <c r="G53" s="36">
        <f>IF($B$53="","",IFERROR(IF(INDEX(tblActivities[Practical capacity],MATCH($B$53,tblActivities[Activity],0))="","",INDEX(tblActivities[Practical capacity],MATCH($B$53,tblActivities[Activity],0))),""))</f>
        <v/>
      </c>
      <c r="H53" s="35">
        <f>IF($B$53="","",IFERROR(INDEX(tblActivities[Activity rate],MATCH($B$53,tblActivities[Activity],0)),""))</f>
        <v>41.3978494623656</v>
      </c>
      <c r="I53" s="36">
        <f>IF($B$53="","",IFERROR(INDEX(tblActivities[Assigned to products],MATCH($B$53,tblActivities[Activity],0)),""))</f>
        <v>154000</v>
      </c>
      <c r="J53" s="36">
        <f>IF($B$53="","",IFERROR(INDEX(tblActivities[Unused capacity],MATCH($B$53,tblActivities[Activity],0)),""))</f>
        <v>0</v>
      </c>
      <c r="K53" s="37">
        <f>IF($B$53="","",IFERROR(INDEX(tblActivities[Share of overhead],MATCH($B$53,tblActivities[Activity],0)),""))</f>
        <v>0.128333333333333</v>
      </c>
    </row>
    <row r="54" spans="2:12" x14ac:dyDescent="0.25">
      <c r="B54" s="60" t="str">
        <f>IFERROR(INDEX(tblActivities[Activity],6)&amp;"","")</f>
        <v>Machining</v>
      </c>
      <c r="C54" s="36">
        <f>IF($B$54="","",IFERROR(INDEX(tblActivities[Cost pool],MATCH($B$54,tblActivities[Activity],0)),""))</f>
        <v>420000</v>
      </c>
      <c r="D54" s="47" t="str">
        <f>IF($B$54="","",IFERROR(INDEX(tblActivities[Cost driver],MATCH($B$54,tblActivities[Activity],0)),""))</f>
        <v>Machine hours</v>
      </c>
      <c r="E54" s="47"/>
      <c r="F54" s="36">
        <f>IF($B$54="","",IFERROR(INDEX(tblActivities[Driver volume],MATCH($B$54,tblActivities[Activity],0)),""))</f>
        <v>17722</v>
      </c>
      <c r="G54" s="36">
        <f>IF($B$54="","",IFERROR(IF(INDEX(tblActivities[Practical capacity],MATCH($B$54,tblActivities[Activity],0))="","",INDEX(tblActivities[Practical capacity],MATCH($B$54,tblActivities[Activity],0))),""))</f>
        <v>21000</v>
      </c>
      <c r="H54" s="35">
        <f>IF($B$54="","",IFERROR(INDEX(tblActivities[Activity rate],MATCH($B$54,tblActivities[Activity],0)),""))</f>
        <v>20</v>
      </c>
      <c r="I54" s="36">
        <f>IF($B$54="","",IFERROR(INDEX(tblActivities[Assigned to products],MATCH($B$54,tblActivities[Activity],0)),""))</f>
        <v>354440</v>
      </c>
      <c r="J54" s="36">
        <f>IF($B$54="","",IFERROR(INDEX(tblActivities[Unused capacity],MATCH($B$54,tblActivities[Activity],0)),""))</f>
        <v>65560</v>
      </c>
      <c r="K54" s="37">
        <f>IF($B$54="","",IFERROR(INDEX(tblActivities[Share of overhead],MATCH($B$54,tblActivities[Activity],0)),""))</f>
        <v>0.35</v>
      </c>
    </row>
    <row r="55" spans="2:12" x14ac:dyDescent="0.25">
      <c r="B55" s="60" t="str">
        <f>IFERROR(INDEX(tblActivities[Activity],7)&amp;"","")</f>
        <v>Orders and shipping</v>
      </c>
      <c r="C55" s="36">
        <f>IF($B$55="","",IFERROR(INDEX(tblActivities[Cost pool],MATCH($B$55,tblActivities[Activity],0)),""))</f>
        <v>74000</v>
      </c>
      <c r="D55" s="47" t="str">
        <f>IF($B$55="","",IFERROR(INDEX(tblActivities[Cost driver],MATCH($B$55,tblActivities[Activity],0)),""))</f>
        <v>Shipments</v>
      </c>
      <c r="E55" s="47"/>
      <c r="F55" s="36">
        <f>IF($B$55="","",IFERROR(INDEX(tblActivities[Driver volume],MATCH($B$55,tblActivities[Activity],0)),""))</f>
        <v>1820</v>
      </c>
      <c r="G55" s="36">
        <f>IF($B$55="","",IFERROR(IF(INDEX(tblActivities[Practical capacity],MATCH($B$55,tblActivities[Activity],0))="","",INDEX(tblActivities[Practical capacity],MATCH($B$55,tblActivities[Activity],0))),""))</f>
        <v/>
      </c>
      <c r="H55" s="35">
        <f>IF($B$55="","",IFERROR(INDEX(tblActivities[Activity rate],MATCH($B$55,tblActivities[Activity],0)),""))</f>
        <v>40.6593406593407</v>
      </c>
      <c r="I55" s="36">
        <f>IF($B$55="","",IFERROR(INDEX(tblActivities[Assigned to products],MATCH($B$55,tblActivities[Activity],0)),""))</f>
        <v>74000</v>
      </c>
      <c r="J55" s="36">
        <f>IF($B$55="","",IFERROR(INDEX(tblActivities[Unused capacity],MATCH($B$55,tblActivities[Activity],0)),""))</f>
        <v>0</v>
      </c>
      <c r="K55" s="37">
        <f>IF($B$55="","",IFERROR(INDEX(tblActivities[Share of overhead],MATCH($B$55,tblActivities[Activity],0)),""))</f>
        <v>0.0616666666666667</v>
      </c>
    </row>
    <row r="56" spans="2:12" x14ac:dyDescent="0.25">
      <c r="B56" s="60">
        <f>IFERROR(INDEX(tblActivities[Activity],8)&amp;"","")</f>
        <v/>
      </c>
      <c r="C56" s="36">
        <f>IF($B$56="","",IFERROR(INDEX(tblActivities[Cost pool],MATCH($B$56,tblActivities[Activity],0)),""))</f>
        <v/>
      </c>
      <c r="D56" s="47">
        <f>IF($B$56="","",IFERROR(INDEX(tblActivities[Cost driver],MATCH($B$56,tblActivities[Activity],0)),""))</f>
        <v/>
      </c>
      <c r="E56" s="47"/>
      <c r="F56" s="36">
        <f>IF($B$56="","",IFERROR(INDEX(tblActivities[Driver volume],MATCH($B$56,tblActivities[Activity],0)),""))</f>
        <v/>
      </c>
      <c r="G56" s="36">
        <f>IF($B$56="","",IFERROR(IF(INDEX(tblActivities[Practical capacity],MATCH($B$56,tblActivities[Activity],0))="","",INDEX(tblActivities[Practical capacity],MATCH($B$56,tblActivities[Activity],0))),""))</f>
        <v/>
      </c>
      <c r="H56" s="35">
        <f>IF($B$56="","",IFERROR(INDEX(tblActivities[Activity rate],MATCH($B$56,tblActivities[Activity],0)),""))</f>
        <v/>
      </c>
      <c r="I56" s="36">
        <f>IF($B$56="","",IFERROR(INDEX(tblActivities[Assigned to products],MATCH($B$56,tblActivities[Activity],0)),""))</f>
        <v/>
      </c>
      <c r="J56" s="36">
        <f>IF($B$56="","",IFERROR(INDEX(tblActivities[Unused capacity],MATCH($B$56,tblActivities[Activity],0)),""))</f>
        <v/>
      </c>
      <c r="K56" s="37">
        <f>IF($B$56="","",IFERROR(INDEX(tblActivities[Share of overhead],MATCH($B$56,tblActivities[Activity],0)),""))</f>
        <v/>
      </c>
    </row>
    <row r="58" spans="2:12" x14ac:dyDescent="0.25">
      <c r="B58" s="21" t="s">
        <v>168</v>
      </c>
      <c r="C58" s="21"/>
      <c r="D58" s="21"/>
      <c r="E58" s="21"/>
      <c r="F58" s="21"/>
      <c r="G58" s="21"/>
      <c r="H58" s="21"/>
      <c r="I58" s="21"/>
      <c r="J58" s="21"/>
      <c r="K58" s="21"/>
      <c r="L58" s="21"/>
    </row>
    <row r="59" spans="2:12" x14ac:dyDescent="0.25">
      <c r="B59" s="61">
        <f>IF(OR(COUNTA(tblProducts[Product])&gt;8,COUNTA(tblActivities[Activity])&gt;8),"Your lists are longer than the Dashboard blocks: some products or activities are not shown.","")</f>
        <v/>
      </c>
      <c r="C59" s="61"/>
      <c r="D59" s="61"/>
      <c r="E59" s="61"/>
      <c r="F59" s="61"/>
      <c r="G59" s="61"/>
      <c r="H59" s="61"/>
      <c r="I59" s="61"/>
      <c r="J59" s="61"/>
      <c r="K59" s="61"/>
      <c r="L59" s="61"/>
    </row>
    <row r="61" spans="2:12" ht="32" customHeight="1" x14ac:dyDescent="0.25">
      <c r="B61" s="59" t="s">
        <v>169</v>
      </c>
      <c r="C61" s="32" t="s">
        <v>170</v>
      </c>
    </row>
    <row r="62" spans="2:12" x14ac:dyDescent="0.25">
      <c r="B62" s="60" t="str">
        <f>IFERROR(INDEX(tblProducts[Product],1)&amp;"","")</f>
        <v>BV-25 ball valve</v>
      </c>
      <c r="C62" s="62">
        <f>TargetMargin</f>
        <v>0.25</v>
      </c>
    </row>
    <row r="63" spans="2:12" x14ac:dyDescent="0.25">
      <c r="B63" s="60" t="str">
        <f>IFERROR(INDEX(tblProducts[Product],2)&amp;"","")</f>
        <v>BV-50 ball valve</v>
      </c>
      <c r="C63" s="62">
        <f>TargetMargin</f>
        <v>0.25</v>
      </c>
    </row>
    <row r="64" spans="2:12" x14ac:dyDescent="0.25">
      <c r="B64" s="60" t="str">
        <f>IFERROR(INDEX(tblProducts[Product],3)&amp;"","")</f>
        <v>BV-80 ball valve</v>
      </c>
      <c r="C64" s="62">
        <f>TargetMargin</f>
        <v>0.25</v>
      </c>
    </row>
    <row r="65" spans="2:3" x14ac:dyDescent="0.25">
      <c r="B65" s="60" t="str">
        <f>IFERROR(INDEX(tblProducts[Product],4)&amp;"","")</f>
        <v>CK-50 check valve</v>
      </c>
      <c r="C65" s="62">
        <f>TargetMargin</f>
        <v>0.25</v>
      </c>
    </row>
    <row r="66" spans="2:3" x14ac:dyDescent="0.25">
      <c r="B66" s="60" t="str">
        <f>IFERROR(INDEX(tblProducts[Product],5)&amp;"","")</f>
        <v>GV-100 gate valve</v>
      </c>
      <c r="C66" s="62">
        <f>TargetMargin</f>
        <v>0.25</v>
      </c>
    </row>
    <row r="67" spans="2:3" x14ac:dyDescent="0.25">
      <c r="B67" s="60" t="str">
        <f>IFERROR(INDEX(tblProducts[Product],6)&amp;"","")</f>
        <v>AV-50 actuated valve</v>
      </c>
      <c r="C67" s="62">
        <f>TargetMargin</f>
        <v>0.25</v>
      </c>
    </row>
    <row r="68" spans="2:3" x14ac:dyDescent="0.25">
      <c r="B68" s="60" t="str">
        <f>IFERROR(INDEX(tblProducts[Product],7)&amp;"","")</f>
        <v>SK-01 spares kit</v>
      </c>
      <c r="C68" s="62">
        <f>TargetMargin</f>
        <v>0.25</v>
      </c>
    </row>
    <row r="69" spans="2:3" x14ac:dyDescent="0.25">
      <c r="B69" s="60" t="str">
        <f>IFERROR(INDEX(tblProducts[Product],8)&amp;"","")</f>
        <v>CV-40 cryo valve</v>
      </c>
      <c r="C69" s="62">
        <f>TargetMargin</f>
        <v>0.25</v>
      </c>
    </row>
  </sheetData>
  <sheetProtection sheet="1" formatColumns="0" formatRows="0"/>
  <mergeCells count="59">
    <mergeCell ref="A1:L1"/>
    <mergeCell ref="B2:J2"/>
    <mergeCell ref="K2:L2"/>
    <mergeCell ref="B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36:L36"/>
    <mergeCell ref="K37:L37"/>
    <mergeCell ref="K38:L38"/>
    <mergeCell ref="K39:L39"/>
    <mergeCell ref="K40:L40"/>
    <mergeCell ref="K41:L41"/>
    <mergeCell ref="K42:L42"/>
    <mergeCell ref="K43:L43"/>
    <mergeCell ref="K44:L44"/>
    <mergeCell ref="K45:L45"/>
    <mergeCell ref="B47:K47"/>
    <mergeCell ref="D48:E48"/>
    <mergeCell ref="D49:E49"/>
    <mergeCell ref="D50:E50"/>
    <mergeCell ref="D51:E51"/>
    <mergeCell ref="D52:E52"/>
    <mergeCell ref="D53:E53"/>
    <mergeCell ref="D54:E54"/>
    <mergeCell ref="D55:E55"/>
    <mergeCell ref="D56:E56"/>
    <mergeCell ref="B58:L58"/>
    <mergeCell ref="B59:L59"/>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4">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38:I45">
    <cfRule type="expression" dxfId="3" priority="61" stopIfTrue="1">
      <formula>AND(ISNUMBER(I38),I38&gt;=(TargetMargin))</formula>
    </cfRule>
    <cfRule type="expression" dxfId="4" priority="62" stopIfTrue="1">
      <formula>AND(ISNUMBER(I38),I38&gt;=(TargetMargin)*(1-0.05))</formula>
    </cfRule>
    <cfRule type="expression" dxfId="5" priority="63">
      <formula>ISNUMBER(I38)</formula>
    </cfRule>
  </conditionalFormatting>
  <conditionalFormatting sqref="K38:K45">
    <cfRule type="cellIs" dxfId="0" priority="64" operator="equal">
      <formula>"On target"</formula>
    </cfRule>
    <cfRule type="cellIs" dxfId="0" priority="65" operator="equal">
      <formula>"PASS"</formula>
    </cfRule>
    <cfRule type="cellIs" dxfId="0" priority="66" operator="equal">
      <formula>"OK"</formula>
    </cfRule>
    <cfRule type="cellIs" dxfId="0" priority="67" operator="equal">
      <formula>"Within limits"</formula>
    </cfRule>
    <cfRule type="cellIs" dxfId="0" priority="68" operator="equal">
      <formula>"Under capacity"</formula>
    </cfRule>
    <cfRule type="cellIs" dxfId="0" priority="69" operator="equal">
      <formula>"Complete"</formula>
    </cfRule>
    <cfRule type="cellIs" dxfId="0" priority="70" operator="equal">
      <formula>"Yes"</formula>
    </cfRule>
    <cfRule type="cellIs" dxfId="1" priority="71" operator="equal">
      <formula>"Near target"</formula>
    </cfRule>
    <cfRule type="cellIs" dxfId="1" priority="72" operator="equal">
      <formula>"Check"</formula>
    </cfRule>
    <cfRule type="cellIs" dxfId="1" priority="73" operator="equal">
      <formula>"Due soon"</formula>
    </cfRule>
    <cfRule type="cellIs" dxfId="1" priority="74" operator="equal">
      <formula>"Near capacity"</formula>
    </cfRule>
    <cfRule type="cellIs" dxfId="1" priority="75" operator="equal">
      <formula>"In progress"</formula>
    </cfRule>
    <cfRule type="cellIs" dxfId="1" priority="76" operator="equal">
      <formula>"Partial"</formula>
    </cfRule>
    <cfRule type="cellIs" dxfId="2" priority="77" operator="equal">
      <formula>"Below target"</formula>
    </cfRule>
    <cfRule type="cellIs" dxfId="2" priority="78" operator="equal">
      <formula>"Above target"</formula>
    </cfRule>
    <cfRule type="cellIs" dxfId="2" priority="79" operator="equal">
      <formula>"FAIL"</formula>
    </cfRule>
    <cfRule type="cellIs" dxfId="2" priority="80" operator="equal">
      <formula>"Over capacity"</formula>
    </cfRule>
    <cfRule type="cellIs" dxfId="2" priority="81" operator="equal">
      <formula>"Overdue"</formula>
    </cfRule>
    <cfRule type="cellIs" dxfId="2" priority="82" operator="equal">
      <formula>"Out of limits"</formula>
    </cfRule>
    <cfRule type="cellIs" dxfId="2" priority="83" operator="equal">
      <formula>"No"</formula>
    </cfRule>
  </conditionalFormatting>
  <conditionalFormatting sqref="K49:K56">
    <cfRule type="dataBar" priority="84">
      <dataBar>
        <cfvo type="num" val="0"/>
        <cfvo type="max"/>
        <color rgb="FFA8BDF0"/>
      </dataBar>
      <extLst>
        <ext xmlns:x14="http://schemas.microsoft.com/office/spreadsheetml/2009/9/main" uri="{B025F937-C7B1-47D3-B67F-A62EFF666E3E}">
          <x14:id>{DA7ABA51-AAAA-BBBB-0006-000000000001}</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Activity-Based Costing&amp;R&amp;8&amp;A</oddHeader>
    <oddFooter>&amp;L&amp;8mfgcalcs.com - free manufacturing templates&amp;R&amp;8Page &amp;P of &amp;N</oddFooter>
  </headerFooter>
  <rowBreaks count="2" manualBreakCount="2">
    <brk id="29" max="16383" man="1"/>
    <brk id="46"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K49:K56</xm:sqref>
        </x14:conditionalFormatting>
      </x14:conditionalFormattings>
    </ext>
  </extLst>
</worksheet>
</file>

<file path=xl/worksheets/sheet7.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30</v>
      </c>
      <c r="C2" s="2"/>
      <c r="D2" s="3" t="s">
        <v>2</v>
      </c>
    </row>
    <row r="3" spans="1:4" ht="6" customHeight="1"/>
    <row r="4" spans="1:4" ht="21" customHeight="1">
      <c r="B4" s="8" t="s">
        <v>171</v>
      </c>
      <c r="C4" s="8"/>
      <c r="D4" s="8"/>
    </row>
    <row r="5" spans="1:4" ht="5" customHeight="1"/>
    <row r="6" spans="1:4" ht="55.8" customHeight="1">
      <c r="B6" s="10" t="s">
        <v>172</v>
      </c>
      <c r="C6" s="10"/>
      <c r="D6" s="10"/>
    </row>
    <row r="8" spans="1:4" ht="21" customHeight="1">
      <c r="B8" s="8" t="s">
        <v>173</v>
      </c>
      <c r="C8" s="8"/>
      <c r="D8" s="8"/>
    </row>
    <row r="9" spans="1:4" ht="5" customHeight="1"/>
    <row r="10" spans="1:4" ht="20" customHeight="1">
      <c r="B10" s="59" t="s">
        <v>174</v>
      </c>
      <c r="C10" s="59" t="s">
        <v>175</v>
      </c>
      <c r="D10" s="32" t="s">
        <v>176</v>
      </c>
    </row>
    <row r="11" spans="1:4" ht="17.2" customHeight="1">
      <c r="B11" s="63" t="s">
        <v>82</v>
      </c>
      <c r="C11" s="64" t="s">
        <v>177</v>
      </c>
      <c r="D11" s="65" t="s">
        <v>90</v>
      </c>
    </row>
    <row r="12" spans="1:4" ht="30.4" customHeight="1">
      <c r="B12" s="63" t="s">
        <v>83</v>
      </c>
      <c r="C12" s="64" t="s">
        <v>178</v>
      </c>
      <c r="D12" s="65" t="s">
        <v>179</v>
      </c>
    </row>
    <row r="13" spans="1:4" ht="30.4" customHeight="1">
      <c r="B13" s="63" t="s">
        <v>152</v>
      </c>
      <c r="C13" s="64" t="s">
        <v>180</v>
      </c>
      <c r="D13" s="65" t="s">
        <v>181</v>
      </c>
    </row>
    <row r="14" spans="1:4" ht="30.4" customHeight="1">
      <c r="B14" s="63" t="s">
        <v>85</v>
      </c>
      <c r="C14" s="64" t="s">
        <v>182</v>
      </c>
      <c r="D14" s="65" t="s">
        <v>181</v>
      </c>
    </row>
    <row r="15" spans="1:4" ht="17.2" customHeight="1">
      <c r="B15" s="63" t="s">
        <v>183</v>
      </c>
      <c r="C15" s="64" t="s">
        <v>184</v>
      </c>
      <c r="D15" s="65" t="s">
        <v>185</v>
      </c>
    </row>
    <row r="16" spans="1:4" ht="17.2" customHeight="1">
      <c r="B16" s="63" t="s">
        <v>186</v>
      </c>
      <c r="C16" s="64" t="s">
        <v>187</v>
      </c>
      <c r="D16" s="65" t="s">
        <v>188</v>
      </c>
    </row>
    <row r="17" spans="2:4" ht="17.2" customHeight="1">
      <c r="B17" s="63" t="s">
        <v>189</v>
      </c>
      <c r="C17" s="64" t="s">
        <v>190</v>
      </c>
      <c r="D17" s="65" t="s">
        <v>185</v>
      </c>
    </row>
    <row r="18" spans="2:4" ht="17.2" customHeight="1">
      <c r="B18" s="63" t="s">
        <v>191</v>
      </c>
      <c r="C18" s="64" t="s">
        <v>192</v>
      </c>
      <c r="D18" s="65" t="s">
        <v>185</v>
      </c>
    </row>
    <row r="19" spans="2:4" ht="30.4" customHeight="1">
      <c r="B19" s="63" t="s">
        <v>128</v>
      </c>
      <c r="C19" s="64" t="s">
        <v>193</v>
      </c>
      <c r="D19" s="65" t="s">
        <v>194</v>
      </c>
    </row>
    <row r="20" spans="2:4" ht="30.4" customHeight="1">
      <c r="B20" s="63" t="s">
        <v>195</v>
      </c>
      <c r="C20" s="64" t="s">
        <v>196</v>
      </c>
      <c r="D20" s="65" t="s">
        <v>194</v>
      </c>
    </row>
    <row r="21" spans="2:4" ht="30.4" customHeight="1">
      <c r="B21" s="63" t="s">
        <v>197</v>
      </c>
      <c r="C21" s="64" t="s">
        <v>198</v>
      </c>
      <c r="D21" s="65" t="s">
        <v>194</v>
      </c>
    </row>
    <row r="23" spans="2:4" ht="21" customHeight="1">
      <c r="B23" s="8" t="s">
        <v>199</v>
      </c>
      <c r="C23" s="8"/>
      <c r="D23" s="8"/>
    </row>
    <row r="24" spans="2:4" ht="5" customHeight="1"/>
    <row r="25" spans="2:4" ht="16.2" customHeight="1">
      <c r="B25" s="26" t="s">
        <v>59</v>
      </c>
      <c r="C25" s="10" t="s">
        <v>200</v>
      </c>
      <c r="D25" s="10"/>
    </row>
    <row r="26" spans="2:4" ht="16.2" customHeight="1">
      <c r="B26" s="26" t="s">
        <v>59</v>
      </c>
      <c r="C26" s="10" t="s">
        <v>201</v>
      </c>
      <c r="D26" s="10"/>
    </row>
    <row r="27" spans="2:4" ht="29.4" customHeight="1">
      <c r="B27" s="26" t="s">
        <v>59</v>
      </c>
      <c r="C27" s="10" t="s">
        <v>202</v>
      </c>
      <c r="D27" s="10"/>
    </row>
    <row r="28" spans="2:4" ht="16.2" customHeight="1">
      <c r="B28" s="26" t="s">
        <v>59</v>
      </c>
      <c r="C28" s="10" t="s">
        <v>203</v>
      </c>
      <c r="D28" s="10"/>
    </row>
    <row r="30" spans="2:4" ht="21" customHeight="1">
      <c r="B30" s="8" t="s">
        <v>204</v>
      </c>
      <c r="C30" s="8"/>
      <c r="D30" s="8"/>
    </row>
    <row r="31" spans="2:4" ht="5" customHeight="1"/>
    <row r="32" spans="2:4" ht="29.4" customHeight="1">
      <c r="B32" s="26" t="s">
        <v>59</v>
      </c>
      <c r="C32" s="10" t="s">
        <v>205</v>
      </c>
      <c r="D32" s="10"/>
    </row>
    <row r="33" spans="2:4" ht="29.4" customHeight="1">
      <c r="B33" s="26" t="s">
        <v>59</v>
      </c>
      <c r="C33" s="10" t="s">
        <v>206</v>
      </c>
      <c r="D33" s="10"/>
    </row>
    <row r="34" spans="2:4" ht="16.2" customHeight="1">
      <c r="B34" s="26" t="s">
        <v>59</v>
      </c>
      <c r="C34" s="10" t="s">
        <v>207</v>
      </c>
      <c r="D34" s="10"/>
    </row>
    <row r="35" spans="2:4" ht="29.4" customHeight="1">
      <c r="B35" s="26" t="s">
        <v>59</v>
      </c>
      <c r="C35" s="10" t="s">
        <v>208</v>
      </c>
      <c r="D35" s="10"/>
    </row>
    <row r="37" spans="2:4" ht="21" customHeight="1">
      <c r="B37" s="8" t="s">
        <v>209</v>
      </c>
      <c r="C37" s="8"/>
      <c r="D37" s="8"/>
    </row>
    <row r="38" spans="2:4" ht="5" customHeight="1"/>
    <row r="39" spans="2:4" ht="82.2" customHeight="1">
      <c r="B39" s="10" t="s">
        <v>210</v>
      </c>
      <c r="C39" s="10"/>
      <c r="D39" s="10"/>
    </row>
    <row r="40" spans="2:4">
      <c r="B40" s="24" t="s">
        <v>211</v>
      </c>
      <c r="C40" s="24"/>
      <c r="D40" s="24"/>
    </row>
    <row r="42" spans="2:4" ht="21" customHeight="1">
      <c r="B42" s="8" t="s">
        <v>46</v>
      </c>
      <c r="C42" s="8"/>
      <c r="D42" s="8"/>
    </row>
    <row r="43" spans="2:4" ht="5" customHeight="1"/>
    <row r="44" spans="2:4" ht="42.6" customHeight="1">
      <c r="B44" s="10" t="s">
        <v>212</v>
      </c>
      <c r="C44" s="10"/>
      <c r="D44" s="10"/>
    </row>
    <row r="46" spans="2:4" ht="21" customHeight="1">
      <c r="B46" s="8" t="s">
        <v>213</v>
      </c>
      <c r="C46" s="8"/>
      <c r="D46" s="8"/>
    </row>
    <row r="47" spans="2:4" ht="5" customHeight="1"/>
    <row r="48" spans="2:4" ht="29.4" customHeight="1">
      <c r="B48" s="26" t="s">
        <v>59</v>
      </c>
      <c r="C48" s="10" t="s">
        <v>214</v>
      </c>
      <c r="D48" s="10"/>
    </row>
    <row r="49" spans="2:4" ht="29.4" customHeight="1">
      <c r="B49" s="26" t="s">
        <v>59</v>
      </c>
      <c r="C49" s="10" t="s">
        <v>215</v>
      </c>
      <c r="D49" s="10"/>
    </row>
    <row r="50" spans="2:4" ht="16.2" customHeight="1">
      <c r="B50" s="26" t="s">
        <v>59</v>
      </c>
      <c r="C50" s="10" t="s">
        <v>216</v>
      </c>
      <c r="D50" s="10"/>
    </row>
    <row r="51" spans="2:4">
      <c r="B51" s="21" t="s">
        <v>217</v>
      </c>
      <c r="C51" s="21"/>
      <c r="D51" s="21"/>
    </row>
    <row r="53" spans="2:4" ht="21" customHeight="1">
      <c r="B53" s="8" t="s">
        <v>218</v>
      </c>
      <c r="C53" s="8"/>
      <c r="D53" s="8"/>
    </row>
    <row r="54" spans="2:4" ht="5" customHeight="1"/>
    <row r="55" spans="2:4">
      <c r="B55" s="59" t="s">
        <v>54</v>
      </c>
      <c r="C55" s="59" t="s">
        <v>219</v>
      </c>
      <c r="D55" s="32" t="s">
        <v>220</v>
      </c>
    </row>
    <row r="56" spans="2:4" ht="16.2" customHeight="1">
      <c r="B56" s="66" t="s">
        <v>221</v>
      </c>
      <c r="C56" s="67" t="s">
        <v>222</v>
      </c>
      <c r="D56" s="68" t="s">
        <v>223</v>
      </c>
    </row>
    <row r="58" spans="2:4">
      <c r="B58" s="21" t="s">
        <v>65</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Activity-Based Costing&amp;R&amp;8&amp;A</oddHeader>
    <oddFooter>&amp;L&amp;8mfgcalcs.com - free manufacturing templates&amp;R&amp;8Page &amp;P of &amp;N</oddFooter>
  </headerFooter>
  <rowBreaks count="1" manualBreakCount="1">
    <brk id="29" max="16383" man="1"/>
  </rowBreaks>
</worksheet>
</file>

<file path=xl/worksheets/sheet8.xml><?xml version="1.0" encoding="utf-8"?>
<worksheet xmlns="http://schemas.openxmlformats.org/spreadsheetml/2006/main" xmlns:r="http://schemas.openxmlformats.org/officeDocument/2006/relationships">
  <sheetPr>
    <tabColor rgb="FF2C3440"/>
    <pageSetUpPr fitToPage="1"/>
  </sheetPr>
  <dimension ref="A1:S73"/>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32</v>
      </c>
      <c r="C2" s="2"/>
      <c r="D2" s="2"/>
      <c r="E2" s="2"/>
      <c r="F2" s="2"/>
      <c r="G2" s="2"/>
      <c r="H2" s="2"/>
      <c r="I2" s="2"/>
      <c r="J2" s="2"/>
      <c r="K2" s="2"/>
      <c r="L2" s="2"/>
      <c r="M2" s="2"/>
      <c r="N2" s="2"/>
      <c r="O2" s="2"/>
      <c r="P2" s="2"/>
      <c r="Q2" s="2"/>
      <c r="R2" s="2"/>
      <c r="S2" s="3" t="s">
        <v>2</v>
      </c>
    </row>
    <row r="3" spans="1:19" ht="6" customHeight="1"/>
    <row r="4" spans="1:19" ht="30" customHeight="1">
      <c r="B4" s="48" t="s">
        <v>224</v>
      </c>
      <c r="C4" s="48"/>
      <c r="D4" s="22" t="str">
        <f>IF(COUNTIF($K$11:$K$33,"PASS")=23,"PASS","FAIL")</f>
        <v>PASS</v>
      </c>
      <c r="E4" s="22"/>
      <c r="F4" s="23" t="str">
        <f>COUNTIF($K$11:$K$33,"PASS")&amp;" of 23 checks pass"</f>
        <v>23 of 23 checks pass</v>
      </c>
      <c r="G4" s="23"/>
      <c r="H4" s="23"/>
      <c r="I4" s="23"/>
      <c r="J4" s="23"/>
    </row>
    <row r="6" spans="1:19" ht="29.4" customHeight="1">
      <c r="B6" s="10" t="s">
        <v>225</v>
      </c>
      <c r="C6" s="10"/>
      <c r="D6" s="10"/>
      <c r="E6" s="10"/>
      <c r="F6" s="10"/>
      <c r="G6" s="10"/>
      <c r="H6" s="10"/>
      <c r="I6" s="10"/>
      <c r="J6" s="10"/>
      <c r="K6" s="10"/>
      <c r="L6" s="10"/>
    </row>
    <row r="8" spans="1:19" ht="21" customHeight="1">
      <c r="B8" s="8" t="s">
        <v>226</v>
      </c>
      <c r="C8" s="8"/>
      <c r="D8" s="8"/>
      <c r="E8" s="8"/>
      <c r="F8" s="8"/>
      <c r="G8" s="8"/>
      <c r="H8" s="8"/>
      <c r="I8" s="8"/>
      <c r="J8" s="8"/>
      <c r="K8" s="8"/>
      <c r="L8" s="8"/>
    </row>
    <row r="9" spans="1:19" ht="5" customHeight="1"/>
    <row r="10" spans="1:19" ht="30" customHeight="1">
      <c r="B10" s="32" t="s">
        <v>227</v>
      </c>
      <c r="C10" s="59" t="s">
        <v>87</v>
      </c>
      <c r="D10" s="59"/>
      <c r="E10" s="59"/>
      <c r="F10" s="59"/>
      <c r="G10" s="32" t="s">
        <v>228</v>
      </c>
      <c r="H10" s="32" t="s">
        <v>229</v>
      </c>
      <c r="I10" s="32" t="s">
        <v>230</v>
      </c>
      <c r="J10" s="32" t="s">
        <v>231</v>
      </c>
      <c r="K10" s="32" t="s">
        <v>232</v>
      </c>
    </row>
    <row r="11" spans="1:19" ht="16.2" customHeight="1">
      <c r="B11" s="69">
        <v>1</v>
      </c>
      <c r="C11" s="67" t="s">
        <v>233</v>
      </c>
      <c r="D11" s="67"/>
      <c r="E11" s="67"/>
      <c r="F11" s="67"/>
      <c r="G11" s="70">
        <v>30</v>
      </c>
      <c r="H11" s="35">
        <f>$G$45</f>
        <v>30</v>
      </c>
      <c r="I11" s="71">
        <f>IF(AND(ISNUMBER($G$11),ISNUMBER($H$11)),ABS($H$11-$G$11),"")</f>
        <v>0</v>
      </c>
      <c r="J11" s="72">
        <v>1E-09</v>
      </c>
      <c r="K11" s="44" t="str">
        <f>IF(AND(ISNUMBER($G$11),ISNUMBER($H$11)),IF(ABS($H$11-$G$11)&lt;=$J$11,"PASS","FAIL"),"FAIL")</f>
        <v>PASS</v>
      </c>
    </row>
    <row r="12" spans="1:19" ht="16.2" customHeight="1">
      <c r="B12" s="69">
        <v>2</v>
      </c>
      <c r="C12" s="67" t="s">
        <v>234</v>
      </c>
      <c r="D12" s="67"/>
      <c r="E12" s="67"/>
      <c r="F12" s="67"/>
      <c r="G12" s="73">
        <v>32640</v>
      </c>
      <c r="H12" s="36">
        <f>$I$45</f>
        <v>32640</v>
      </c>
      <c r="I12" s="71">
        <f>IF(AND(ISNUMBER($G$12),ISNUMBER($H$12)),ABS($H$12-$G$12),"")</f>
        <v>0</v>
      </c>
      <c r="J12" s="72">
        <v>1E-09</v>
      </c>
      <c r="K12" s="44" t="str">
        <f>IF(AND(ISNUMBER($G$12),ISNUMBER($H$12)),IF(ABS($H$12-$G$12)&lt;=$J$12,"PASS","FAIL"),"FAIL")</f>
        <v>PASS</v>
      </c>
    </row>
    <row r="13" spans="1:19" ht="16.2" customHeight="1">
      <c r="B13" s="69">
        <v>3</v>
      </c>
      <c r="C13" s="67" t="s">
        <v>235</v>
      </c>
      <c r="D13" s="67"/>
      <c r="E13" s="67"/>
      <c r="F13" s="67"/>
      <c r="G13" s="70">
        <v>1000</v>
      </c>
      <c r="H13" s="35">
        <f>$G$46</f>
        <v>1000</v>
      </c>
      <c r="I13" s="71">
        <f>IF(AND(ISNUMBER($G$13),ISNUMBER($H$13)),ABS($H$13-$G$13),"")</f>
        <v>0</v>
      </c>
      <c r="J13" s="72">
        <v>1E-09</v>
      </c>
      <c r="K13" s="44" t="str">
        <f>IF(AND(ISNUMBER($G$13),ISNUMBER($H$13)),IF(ABS($H$13-$G$13)&lt;=$J$13,"PASS","FAIL"),"FAIL")</f>
        <v>PASS</v>
      </c>
    </row>
    <row r="14" spans="1:19" ht="16.2" customHeight="1">
      <c r="B14" s="69">
        <v>4</v>
      </c>
      <c r="C14" s="67" t="s">
        <v>236</v>
      </c>
      <c r="D14" s="67"/>
      <c r="E14" s="67"/>
      <c r="F14" s="67"/>
      <c r="G14" s="66" t="s">
        <v>237</v>
      </c>
      <c r="H14" s="47" t="str">
        <f>$K$47</f>
        <v>No driver usage rows</v>
      </c>
      <c r="I14" s="47"/>
      <c r="J14" s="68" t="s">
        <v>238</v>
      </c>
      <c r="K14" s="44" t="str">
        <f>IF($H$14&amp;""=$G$14&amp;"","PASS","FAIL")</f>
        <v>PASS</v>
      </c>
    </row>
    <row r="15" spans="1:19" ht="16.2" customHeight="1">
      <c r="B15" s="69">
        <v>5</v>
      </c>
      <c r="C15" s="67" t="s">
        <v>239</v>
      </c>
      <c r="D15" s="67"/>
      <c r="E15" s="67"/>
      <c r="F15" s="67"/>
      <c r="G15" s="73">
        <v>10000</v>
      </c>
      <c r="H15" s="36">
        <f>$I$47</f>
        <v>10000</v>
      </c>
      <c r="I15" s="71">
        <f>IF(AND(ISNUMBER($G$15),ISNUMBER($H$15)),ABS($H$15-$G$15),"")</f>
        <v>0</v>
      </c>
      <c r="J15" s="72">
        <v>1E-09</v>
      </c>
      <c r="K15" s="44" t="str">
        <f>IF(AND(ISNUMBER($G$15),ISNUMBER($H$15)),IF(ABS($H$15-$G$15)&lt;=$J$15,"PASS","FAIL"),"FAIL")</f>
        <v>PASS</v>
      </c>
    </row>
    <row r="16" spans="1:19" ht="16.2" customHeight="1">
      <c r="B16" s="69">
        <v>6</v>
      </c>
      <c r="C16" s="67" t="s">
        <v>240</v>
      </c>
      <c r="D16" s="67"/>
      <c r="E16" s="67"/>
      <c r="F16" s="67"/>
      <c r="G16" s="70">
        <v>360</v>
      </c>
      <c r="H16" s="35">
        <f>$G$59</f>
        <v>360</v>
      </c>
      <c r="I16" s="71">
        <f>IF(AND(ISNUMBER($G$16),ISNUMBER($H$16)),ABS($H$16-$G$16),"")</f>
        <v>0</v>
      </c>
      <c r="J16" s="72">
        <v>1E-09</v>
      </c>
      <c r="K16" s="44" t="str">
        <f>IF(AND(ISNUMBER($G$16),ISNUMBER($H$16)),IF(ABS($H$16-$G$16)&lt;=$J$16,"PASS","FAIL"),"FAIL")</f>
        <v>PASS</v>
      </c>
    </row>
    <row r="17" spans="2:11" ht="16.2" customHeight="1">
      <c r="B17" s="69">
        <v>7</v>
      </c>
      <c r="C17" s="67" t="s">
        <v>241</v>
      </c>
      <c r="D17" s="67"/>
      <c r="E17" s="67"/>
      <c r="F17" s="67"/>
      <c r="G17" s="70">
        <v>146.8428781204112</v>
      </c>
      <c r="H17" s="35">
        <f>$E$73</f>
        <v>146.842878120411</v>
      </c>
      <c r="I17" s="71">
        <f>IF(AND(ISNUMBER($G$17),ISNUMBER($H$17)),ABS($H$17-$G$17),"")</f>
        <v>0</v>
      </c>
      <c r="J17" s="72">
        <v>1E-09</v>
      </c>
      <c r="K17" s="44" t="str">
        <f>IF(AND(ISNUMBER($G$17),ISNUMBER($H$17)),IF(ABS($H$17-$G$17)&lt;=$J$17,"PASS","FAIL"),"FAIL")</f>
        <v>PASS</v>
      </c>
    </row>
    <row r="18" spans="2:11" ht="16.2" customHeight="1">
      <c r="B18" s="69">
        <v>8</v>
      </c>
      <c r="C18" s="67" t="s">
        <v>242</v>
      </c>
      <c r="D18" s="67"/>
      <c r="E18" s="67"/>
      <c r="F18" s="67"/>
      <c r="G18" s="70">
        <v>53.6</v>
      </c>
      <c r="H18" s="35">
        <f>$J$52</f>
        <v>53.6</v>
      </c>
      <c r="I18" s="71">
        <f>IF(AND(ISNUMBER($G$18),ISNUMBER($H$18)),ABS($H$18-$G$18),"")</f>
        <v>0</v>
      </c>
      <c r="J18" s="72">
        <v>1E-09</v>
      </c>
      <c r="K18" s="44" t="str">
        <f>IF(AND(ISNUMBER($G$18),ISNUMBER($H$18)),IF(ABS($H$18-$G$18)&lt;=$J$18,"PASS","FAIL"),"FAIL")</f>
        <v>PASS</v>
      </c>
    </row>
    <row r="19" spans="2:11" ht="16.2" customHeight="1">
      <c r="B19" s="69">
        <v>9</v>
      </c>
      <c r="C19" s="67" t="s">
        <v>243</v>
      </c>
      <c r="D19" s="67"/>
      <c r="E19" s="67"/>
      <c r="F19" s="67"/>
      <c r="G19" s="70">
        <v>17.62114537444934</v>
      </c>
      <c r="H19" s="35">
        <f>$K$52</f>
        <v>17.6211453744493</v>
      </c>
      <c r="I19" s="71">
        <f>IF(AND(ISNUMBER($G$19),ISNUMBER($H$19)),ABS($H$19-$G$19),"")</f>
        <v>0</v>
      </c>
      <c r="J19" s="72">
        <v>1E-09</v>
      </c>
      <c r="K19" s="44" t="str">
        <f>IF(AND(ISNUMBER($G$19),ISNUMBER($H$19)),IF(ABS($H$19-$G$19)&lt;=$J$19,"PASS","FAIL"),"FAIL")</f>
        <v>PASS</v>
      </c>
    </row>
    <row r="20" spans="2:11" ht="16.2" customHeight="1">
      <c r="B20" s="69">
        <v>10</v>
      </c>
      <c r="C20" s="67" t="s">
        <v>244</v>
      </c>
      <c r="D20" s="67"/>
      <c r="E20" s="67"/>
      <c r="F20" s="67"/>
      <c r="G20" s="74">
        <v>-0.4319999999999999</v>
      </c>
      <c r="H20" s="75">
        <f>$O$52</f>
        <v>-0.432</v>
      </c>
      <c r="I20" s="71">
        <f>IF(AND(ISNUMBER($G$20),ISNUMBER($H$20)),ABS($H$20-$G$20),"")</f>
        <v>0</v>
      </c>
      <c r="J20" s="72">
        <v>1E-09</v>
      </c>
      <c r="K20" s="44" t="str">
        <f>IF(AND(ISNUMBER($G$20),ISNUMBER($H$20)),IF(ABS($H$20-$G$20)&lt;=$J$20,"PASS","FAIL"),"FAIL")</f>
        <v>PASS</v>
      </c>
    </row>
    <row r="21" spans="2:11" ht="16.2" customHeight="1">
      <c r="B21" s="69">
        <v>11</v>
      </c>
      <c r="C21" s="67" t="s">
        <v>245</v>
      </c>
      <c r="D21" s="67"/>
      <c r="E21" s="67"/>
      <c r="F21" s="67"/>
      <c r="G21" s="70">
        <v>64</v>
      </c>
      <c r="H21" s="35">
        <f>$J$53</f>
        <v>64</v>
      </c>
      <c r="I21" s="71">
        <f>IF(AND(ISNUMBER($G$21),ISNUMBER($H$21)),ABS($H$21-$G$21),"")</f>
        <v>0</v>
      </c>
      <c r="J21" s="72">
        <v>1E-09</v>
      </c>
      <c r="K21" s="44" t="str">
        <f>IF(AND(ISNUMBER($G$21),ISNUMBER($H$21)),IF(ABS($H$21-$G$21)&lt;=$J$21,"PASS","FAIL"),"FAIL")</f>
        <v>PASS</v>
      </c>
    </row>
    <row r="22" spans="2:11" ht="16.2" customHeight="1">
      <c r="B22" s="69">
        <v>12</v>
      </c>
      <c r="C22" s="67" t="s">
        <v>246</v>
      </c>
      <c r="D22" s="67"/>
      <c r="E22" s="67"/>
      <c r="F22" s="67"/>
      <c r="G22" s="70">
        <v>88.10572687224671</v>
      </c>
      <c r="H22" s="35">
        <f>$K$53</f>
        <v>88.1057268722467</v>
      </c>
      <c r="I22" s="71">
        <f>IF(AND(ISNUMBER($G$22),ISNUMBER($H$22)),ABS($H$22-$G$22),"")</f>
        <v>0</v>
      </c>
      <c r="J22" s="72">
        <v>1E-09</v>
      </c>
      <c r="K22" s="44" t="str">
        <f>IF(AND(ISNUMBER($G$22),ISNUMBER($H$22)),IF(ABS($H$22-$G$22)&lt;=$J$22,"PASS","FAIL"),"FAIL")</f>
        <v>PASS</v>
      </c>
    </row>
    <row r="23" spans="2:11" ht="16.2" customHeight="1">
      <c r="B23" s="69">
        <v>13</v>
      </c>
      <c r="C23" s="67" t="s">
        <v>247</v>
      </c>
      <c r="D23" s="67"/>
      <c r="E23" s="67"/>
      <c r="F23" s="67"/>
      <c r="G23" s="74">
        <v>0.008333333333333333</v>
      </c>
      <c r="H23" s="75">
        <f>$O$53</f>
        <v>0.00833333333333333</v>
      </c>
      <c r="I23" s="71">
        <f>IF(AND(ISNUMBER($G$23),ISNUMBER($H$23)),ABS($H$23-$G$23),"")</f>
        <v>0</v>
      </c>
      <c r="J23" s="72">
        <v>1E-09</v>
      </c>
      <c r="K23" s="44" t="str">
        <f>IF(AND(ISNUMBER($G$23),ISNUMBER($H$23)),IF(ABS($H$23-$G$23)&lt;=$J$23,"PASS","FAIL"),"FAIL")</f>
        <v>PASS</v>
      </c>
    </row>
    <row r="24" spans="2:11" ht="16.2" customHeight="1">
      <c r="B24" s="69">
        <v>14</v>
      </c>
      <c r="C24" s="67" t="s">
        <v>248</v>
      </c>
      <c r="D24" s="67"/>
      <c r="E24" s="67"/>
      <c r="F24" s="67"/>
      <c r="G24" s="70">
        <v>480</v>
      </c>
      <c r="H24" s="35">
        <f>$J$54</f>
        <v>480</v>
      </c>
      <c r="I24" s="71">
        <f>IF(AND(ISNUMBER($G$24),ISNUMBER($H$24)),ABS($H$24-$G$24),"")</f>
        <v>0</v>
      </c>
      <c r="J24" s="72">
        <v>1E-09</v>
      </c>
      <c r="K24" s="44" t="str">
        <f>IF(AND(ISNUMBER($G$24),ISNUMBER($H$24)),IF(ABS($H$24-$G$24)&lt;=$J$24,"PASS","FAIL"),"FAIL")</f>
        <v>PASS</v>
      </c>
    </row>
    <row r="25" spans="2:11" ht="16.2" customHeight="1">
      <c r="B25" s="69">
        <v>15</v>
      </c>
      <c r="C25" s="67" t="s">
        <v>249</v>
      </c>
      <c r="D25" s="67"/>
      <c r="E25" s="67"/>
      <c r="F25" s="67"/>
      <c r="G25" s="70">
        <v>440.5286343612335</v>
      </c>
      <c r="H25" s="35">
        <f>$K$54</f>
        <v>440.528634361234</v>
      </c>
      <c r="I25" s="71">
        <f>IF(AND(ISNUMBER($G$25),ISNUMBER($H$25)),ABS($H$25-$G$25),"")</f>
        <v>0</v>
      </c>
      <c r="J25" s="72">
        <v>1E-09</v>
      </c>
      <c r="K25" s="44" t="str">
        <f>IF(AND(ISNUMBER($G$25),ISNUMBER($H$25)),IF(ABS($H$25-$G$25)&lt;=$J$25,"PASS","FAIL"),"FAIL")</f>
        <v>PASS</v>
      </c>
    </row>
    <row r="26" spans="2:11" ht="16.2" customHeight="1">
      <c r="B26" s="69">
        <v>16</v>
      </c>
      <c r="C26" s="67" t="s">
        <v>250</v>
      </c>
      <c r="D26" s="67"/>
      <c r="E26" s="67"/>
      <c r="F26" s="67"/>
      <c r="G26" s="74">
        <v>0.04444444444444445</v>
      </c>
      <c r="H26" s="75">
        <f>$O$54</f>
        <v>0.0444444444444444</v>
      </c>
      <c r="I26" s="71">
        <f>IF(AND(ISNUMBER($G$26),ISNUMBER($H$26)),ABS($H$26-$G$26),"")</f>
        <v>0</v>
      </c>
      <c r="J26" s="72">
        <v>1E-09</v>
      </c>
      <c r="K26" s="44" t="str">
        <f>IF(AND(ISNUMBER($G$26),ISNUMBER($H$26)),IF(ABS($H$26-$G$26)&lt;=$J$26,"PASS","FAIL"),"FAIL")</f>
        <v>PASS</v>
      </c>
    </row>
    <row r="27" spans="2:11" ht="16.2" customHeight="1">
      <c r="B27" s="69">
        <v>17</v>
      </c>
      <c r="C27" s="67" t="s">
        <v>251</v>
      </c>
      <c r="D27" s="67"/>
      <c r="E27" s="67"/>
      <c r="F27" s="67"/>
      <c r="G27" s="74">
        <v>0.04810479974229565</v>
      </c>
      <c r="H27" s="75">
        <f>$N$54</f>
        <v>0.0481047997422956</v>
      </c>
      <c r="I27" s="71">
        <f>IF(AND(ISNUMBER($G$27),ISNUMBER($H$27)),ABS($H$27-$G$27),"")</f>
        <v>0</v>
      </c>
      <c r="J27" s="72">
        <v>1E-09</v>
      </c>
      <c r="K27" s="44" t="str">
        <f>IF(AND(ISNUMBER($G$27),ISNUMBER($H$27)),IF(ABS($H$27-$G$27)&lt;=$J$27,"PASS","FAIL"),"FAIL")</f>
        <v>PASS</v>
      </c>
    </row>
    <row r="28" spans="2:11" ht="16.2" customHeight="1">
      <c r="B28" s="69">
        <v>18</v>
      </c>
      <c r="C28" s="67" t="s">
        <v>252</v>
      </c>
      <c r="D28" s="67"/>
      <c r="E28" s="67"/>
      <c r="F28" s="67"/>
      <c r="G28" s="74">
        <v>-0.1925477239353891</v>
      </c>
      <c r="H28" s="75">
        <f>$P$53</f>
        <v>-0.192547723935389</v>
      </c>
      <c r="I28" s="71">
        <f>IF(AND(ISNUMBER($G$28),ISNUMBER($H$28)),ABS($H$28-$G$28),"")</f>
        <v>0</v>
      </c>
      <c r="J28" s="72">
        <v>1E-09</v>
      </c>
      <c r="K28" s="44" t="str">
        <f>IF(AND(ISNUMBER($G$28),ISNUMBER($H$28)),IF(ABS($H$28-$G$28)&lt;=$J$28,"PASS","FAIL"),"FAIL")</f>
        <v>PASS</v>
      </c>
    </row>
    <row r="29" spans="2:11" ht="16.2" customHeight="1">
      <c r="B29" s="69">
        <v>19</v>
      </c>
      <c r="C29" s="67" t="s">
        <v>253</v>
      </c>
      <c r="D29" s="67"/>
      <c r="E29" s="67"/>
      <c r="F29" s="67"/>
      <c r="G29" s="73">
        <v>200000</v>
      </c>
      <c r="H29" s="36">
        <f>SUM(tblVerifyActivities[Cost pool])</f>
        <v>200000</v>
      </c>
      <c r="I29" s="71">
        <f>IF(AND(ISNUMBER($G$29),ISNUMBER($H$29)),ABS($H$29-$G$29),"")</f>
        <v>0</v>
      </c>
      <c r="J29" s="72">
        <v>1E-09</v>
      </c>
      <c r="K29" s="44" t="str">
        <f>IF(AND(ISNUMBER($G$29),ISNUMBER($H$29)),IF(ABS($H$29-$G$29)&lt;=$J$29,"PASS","FAIL"),"FAIL")</f>
        <v>PASS</v>
      </c>
    </row>
    <row r="30" spans="2:11" ht="16.2" customHeight="1">
      <c r="B30" s="69">
        <v>20</v>
      </c>
      <c r="C30" s="67" t="s">
        <v>254</v>
      </c>
      <c r="D30" s="67"/>
      <c r="E30" s="67"/>
      <c r="F30" s="67"/>
      <c r="G30" s="73">
        <v>42640</v>
      </c>
      <c r="H30" s="36">
        <f>SUM(tblVerifyActivities[Unused capacity])</f>
        <v>42640</v>
      </c>
      <c r="I30" s="71">
        <f>IF(AND(ISNUMBER($G$30),ISNUMBER($H$30)),ABS($H$30-$G$30),"")</f>
        <v>0</v>
      </c>
      <c r="J30" s="72">
        <v>1E-06</v>
      </c>
      <c r="K30" s="44" t="str">
        <f>IF(AND(ISNUMBER($G$30),ISNUMBER($H$30)),IF(ABS($H$30-$G$30)&lt;=$J$30,"PASS","FAIL"),"FAIL")</f>
        <v>PASS</v>
      </c>
    </row>
    <row r="31" spans="2:11" ht="16.2" customHeight="1">
      <c r="B31" s="69">
        <v>21</v>
      </c>
      <c r="C31" s="67" t="s">
        <v>255</v>
      </c>
      <c r="D31" s="67"/>
      <c r="E31" s="67"/>
      <c r="F31" s="67"/>
      <c r="G31" s="74">
        <v>-0.4319999999999999</v>
      </c>
      <c r="H31" s="75">
        <f>IF(COUNT(tblVerifyProducts[ABC margin])=0,"",MIN(tblVerifyProducts[ABC margin]))</f>
        <v>-0.432</v>
      </c>
      <c r="I31" s="71">
        <f>IF(AND(ISNUMBER($G$31),ISNUMBER($H$31)),ABS($H$31-$G$31),"")</f>
        <v>0</v>
      </c>
      <c r="J31" s="72">
        <v>1E-09</v>
      </c>
      <c r="K31" s="44" t="str">
        <f>IF(AND(ISNUMBER($G$31),ISNUMBER($H$31)),IF(ABS($H$31-$G$31)&lt;=$J$31,"PASS","FAIL"),"FAIL")</f>
        <v>PASS</v>
      </c>
    </row>
    <row r="32" spans="2:11" ht="16.2" customHeight="1">
      <c r="B32" s="69">
        <v>22</v>
      </c>
      <c r="C32" s="67" t="s">
        <v>256</v>
      </c>
      <c r="D32" s="67"/>
      <c r="E32" s="67"/>
      <c r="F32" s="67"/>
      <c r="G32" s="73">
        <v>3</v>
      </c>
      <c r="H32" s="36">
        <f>COUNTIFS(tblVerifyProducts[ABC margin],"&lt;"&amp;$E$40)</f>
        <v>3</v>
      </c>
      <c r="I32" s="71">
        <f>IF(AND(ISNUMBER($G$32),ISNUMBER($H$32)),ABS($H$32-$G$32),"")</f>
        <v>0</v>
      </c>
      <c r="J32" s="72">
        <v>1E-09</v>
      </c>
      <c r="K32" s="44" t="str">
        <f>IF(AND(ISNUMBER($G$32),ISNUMBER($H$32)),IF(ABS($H$32-$G$32)&lt;=$J$32,"PASS","FAIL"),"FAIL")</f>
        <v>PASS</v>
      </c>
    </row>
    <row r="33" spans="2:12" ht="16.2" customHeight="1">
      <c r="B33" s="69">
        <v>23</v>
      </c>
      <c r="C33" s="67" t="s">
        <v>257</v>
      </c>
      <c r="D33" s="67"/>
      <c r="E33" s="67"/>
      <c r="F33" s="67"/>
      <c r="G33" s="74">
        <v>-0.1406896551724138</v>
      </c>
      <c r="H33" s="75">
        <f>IF((SUMPRODUCT(tblVerifyProducts[Volume (units)],tblVerifyProducts[Price]))=0,"",(SUMPRODUCT(tblVerifyProducts[Volume (units)],tblVerifyProducts[Price])-(SUMPRODUCT(tblVerifyProducts[Volume (units)],tblVerifyProducts[Material])+SUMPRODUCT(tblVerifyProducts[Volume (units)],tblVerifyProducts[Direct labour]))-SUM(tblVerifyActivities[Cost pool]))/(SUMPRODUCT(tblVerifyProducts[Volume (units)],tblVerifyProducts[Price])))</f>
        <v>-0.140689655172414</v>
      </c>
      <c r="I33" s="71">
        <f>IF(AND(ISNUMBER($G$33),ISNUMBER($H$33)),ABS($H$33-$G$33),"")</f>
        <v>0</v>
      </c>
      <c r="J33" s="72">
        <v>1E-09</v>
      </c>
      <c r="K33" s="44" t="str">
        <f>IF(AND(ISNUMBER($G$33),ISNUMBER($H$33)),IF(ABS($H$33-$G$33)&lt;=$J$33,"PASS","FAIL"),"FAIL")</f>
        <v>PASS</v>
      </c>
    </row>
    <row r="35" spans="2:12" ht="21" customHeight="1">
      <c r="B35" s="8" t="s">
        <v>258</v>
      </c>
      <c r="C35" s="8"/>
      <c r="D35" s="8"/>
      <c r="E35" s="8"/>
      <c r="F35" s="8"/>
      <c r="G35" s="8"/>
      <c r="H35" s="8"/>
      <c r="I35" s="8"/>
      <c r="J35" s="8"/>
      <c r="K35" s="8"/>
      <c r="L35" s="8"/>
    </row>
    <row r="36" spans="2:12" ht="5" customHeight="1"/>
    <row r="37" spans="2:12">
      <c r="B37" s="21" t="s">
        <v>259</v>
      </c>
      <c r="C37" s="21"/>
      <c r="D37" s="21"/>
      <c r="E37" s="21"/>
      <c r="F37" s="21"/>
      <c r="G37" s="21"/>
      <c r="H37" s="21"/>
      <c r="I37" s="21"/>
      <c r="J37" s="21"/>
      <c r="K37" s="21"/>
      <c r="L37" s="21"/>
    </row>
    <row r="38" spans="2:12">
      <c r="B38" s="40" t="s">
        <v>260</v>
      </c>
      <c r="C38" s="40"/>
      <c r="D38" s="40"/>
      <c r="E38" s="40"/>
      <c r="F38" s="40"/>
    </row>
    <row r="39" spans="2:12">
      <c r="B39" s="27" t="s">
        <v>74</v>
      </c>
      <c r="C39" s="27"/>
      <c r="D39" s="27"/>
      <c r="E39" s="66" t="s">
        <v>75</v>
      </c>
      <c r="F39" s="66"/>
    </row>
    <row r="40" spans="2:12">
      <c r="B40" s="27" t="s">
        <v>170</v>
      </c>
      <c r="C40" s="27"/>
      <c r="D40" s="27"/>
      <c r="E40" s="62">
        <v>0.25</v>
      </c>
      <c r="F40" s="7"/>
    </row>
    <row r="42" spans="2:12">
      <c r="B42" s="40" t="s">
        <v>261</v>
      </c>
      <c r="C42" s="40"/>
      <c r="D42" s="40"/>
      <c r="E42" s="40"/>
      <c r="F42" s="40"/>
      <c r="G42" s="40"/>
      <c r="H42" s="40"/>
      <c r="I42" s="40"/>
      <c r="J42" s="40"/>
      <c r="K42" s="40"/>
      <c r="L42" s="40"/>
    </row>
    <row r="43" spans="2:12" ht="14" customHeight="1">
      <c r="B43" s="31"/>
      <c r="C43" s="31" t="str">
        <f>Currency</f>
        <v>USD</v>
      </c>
      <c r="D43" s="31"/>
      <c r="E43" s="31" t="s">
        <v>90</v>
      </c>
      <c r="F43" s="31" t="s">
        <v>90</v>
      </c>
      <c r="G43" s="31" t="str">
        <f>Currency&amp;"/driver unit"</f>
        <v>USD/driver unit</v>
      </c>
      <c r="H43" s="31" t="str">
        <f>Currency</f>
        <v>USD</v>
      </c>
      <c r="I43" s="31" t="str">
        <f>Currency</f>
        <v>USD</v>
      </c>
      <c r="J43" s="31"/>
      <c r="K43" s="31"/>
      <c r="L43" s="31"/>
    </row>
    <row r="44" spans="2:12" ht="32" customHeight="1">
      <c r="B44" s="32" t="s">
        <v>78</v>
      </c>
      <c r="C44" s="32" t="s">
        <v>79</v>
      </c>
      <c r="D44" s="32" t="s">
        <v>80</v>
      </c>
      <c r="E44" s="32" t="s">
        <v>81</v>
      </c>
      <c r="F44" s="32" t="s">
        <v>82</v>
      </c>
      <c r="G44" s="32" t="s">
        <v>83</v>
      </c>
      <c r="H44" s="32" t="s">
        <v>84</v>
      </c>
      <c r="I44" s="32" t="s">
        <v>85</v>
      </c>
      <c r="J44" s="32" t="s">
        <v>86</v>
      </c>
      <c r="K44" s="32" t="s">
        <v>87</v>
      </c>
      <c r="L44" s="32" t="s">
        <v>88</v>
      </c>
    </row>
    <row r="45" spans="2:12">
      <c r="B45" s="66" t="s">
        <v>262</v>
      </c>
      <c r="C45" s="73">
        <v>150000</v>
      </c>
      <c r="D45" s="66" t="s">
        <v>263</v>
      </c>
      <c r="E45" s="73">
        <v>5000</v>
      </c>
      <c r="F45" s="34">
        <f>IF(tblVerifyActivities[[#This Row],[Activity]]="","",SUMIFS(tblVerifyUsage[Driver quantity],tblVerifyUsage[Activity],tblVerifyActivities[[#This Row],[Activity]]))</f>
        <v>3912</v>
      </c>
      <c r="G45" s="35">
        <f>IF(tblVerifyActivities[[#This Row],[Activity]]="","",IF(N(tblVerifyActivities[[#This Row],[Practical capacity]])&gt;0,tblVerifyActivities[[#This Row],[Cost pool]]/tblVerifyActivities[[#This Row],[Practical capacity]],IF(tblVerifyActivities[[#This Row],[Driver volume]]&gt;0,tblVerifyActivities[[#This Row],[Cost pool]]/tblVerifyActivities[[#This Row],[Driver volume]],"")))</f>
        <v>30</v>
      </c>
      <c r="H45" s="36">
        <f>IF(tblVerifyActivities[[#This Row],[Activity]]="","",IF(tblVerifyActivities[[#This Row],[Activity rate]]="",0,tblVerifyActivities[[#This Row],[Activity rate]]*tblVerifyActivities[[#This Row],[Driver volume]]))</f>
        <v>117360</v>
      </c>
      <c r="I45" s="36">
        <f>IF(tblVerifyActivities[[#This Row],[Activity]]="","",tblVerifyActivities[[#This Row],[Cost pool]]-tblVerifyActivities[[#This Row],[Assigned to products]])</f>
        <v>32640</v>
      </c>
      <c r="J45" s="37">
        <f>IF(tblVerifyActivities[[#This Row],[Activity]]="","",IF(SUM(tblVerifyActivities[Cost pool])=0,"",tblVerifyActivities[[#This Row],[Cost pool]]/SUM(tblVerifyActivities[Cost pool])))</f>
        <v>0.75</v>
      </c>
      <c r="K45" s="38" t="str">
        <f>IF(tblVerifyActivities[[#This Row],[Activity]]="","",IF(tblVerifyActivities[[#This Row],[Cost pool]]="","Missing cost pool",IF(tblVerifyActivities[[#This Row],[Cost driver]]="","Missing cost driver",IF(COUNTIFS(tblVerifyActivities[Activity],tblVerifyActivities[[#This Row],[Activity]])&gt;1,"Activity listed twice",IF(tblVerifyActivities[[#This Row],[Driver volume]]=0,"No driver usage rows",IF(AND(N(tblVerifyActivities[[#This Row],[Practical capacity]])&gt;0,tblVerifyActivities[[#This Row],[Driver volume]]&gt;tblVerifyActivities[[#This Row],[Practical capacity]]),"Use above practical capacity","OK"))))))</f>
        <v>OK</v>
      </c>
      <c r="L45" s="66"/>
    </row>
    <row r="46" spans="2:12">
      <c r="B46" s="66" t="s">
        <v>92</v>
      </c>
      <c r="C46" s="73">
        <v>40000</v>
      </c>
      <c r="D46" s="66" t="s">
        <v>92</v>
      </c>
      <c r="E46" s="73"/>
      <c r="F46" s="34">
        <f>IF(tblVerifyActivities[[#This Row],[Activity]]="","",SUMIFS(tblVerifyUsage[Driver quantity],tblVerifyUsage[Activity],tblVerifyActivities[[#This Row],[Activity]]))</f>
        <v>40</v>
      </c>
      <c r="G46" s="35">
        <f>IF(tblVerifyActivities[[#This Row],[Activity]]="","",IF(N(tblVerifyActivities[[#This Row],[Practical capacity]])&gt;0,tblVerifyActivities[[#This Row],[Cost pool]]/tblVerifyActivities[[#This Row],[Practical capacity]],IF(tblVerifyActivities[[#This Row],[Driver volume]]&gt;0,tblVerifyActivities[[#This Row],[Cost pool]]/tblVerifyActivities[[#This Row],[Driver volume]],"")))</f>
        <v>1000</v>
      </c>
      <c r="H46" s="36">
        <f>IF(tblVerifyActivities[[#This Row],[Activity]]="","",IF(tblVerifyActivities[[#This Row],[Activity rate]]="",0,tblVerifyActivities[[#This Row],[Activity rate]]*tblVerifyActivities[[#This Row],[Driver volume]]))</f>
        <v>40000</v>
      </c>
      <c r="I46" s="36">
        <f>IF(tblVerifyActivities[[#This Row],[Activity]]="","",tblVerifyActivities[[#This Row],[Cost pool]]-tblVerifyActivities[[#This Row],[Assigned to products]])</f>
        <v>0</v>
      </c>
      <c r="J46" s="37">
        <f>IF(tblVerifyActivities[[#This Row],[Activity]]="","",IF(SUM(tblVerifyActivities[Cost pool])=0,"",tblVerifyActivities[[#This Row],[Cost pool]]/SUM(tblVerifyActivities[Cost pool])))</f>
        <v>0.2</v>
      </c>
      <c r="K46" s="38" t="str">
        <f>IF(tblVerifyActivities[[#This Row],[Activity]]="","",IF(tblVerifyActivities[[#This Row],[Cost pool]]="","Missing cost pool",IF(tblVerifyActivities[[#This Row],[Cost driver]]="","Missing cost driver",IF(COUNTIFS(tblVerifyActivities[Activity],tblVerifyActivities[[#This Row],[Activity]])&gt;1,"Activity listed twice",IF(tblVerifyActivities[[#This Row],[Driver volume]]=0,"No driver usage rows",IF(AND(N(tblVerifyActivities[[#This Row],[Practical capacity]])&gt;0,tblVerifyActivities[[#This Row],[Driver volume]]&gt;tblVerifyActivities[[#This Row],[Practical capacity]]),"Use above practical capacity","OK"))))))</f>
        <v>OK</v>
      </c>
      <c r="L46" s="66"/>
    </row>
    <row r="47" spans="2:12">
      <c r="B47" s="66" t="s">
        <v>264</v>
      </c>
      <c r="C47" s="73">
        <v>10000</v>
      </c>
      <c r="D47" s="66" t="s">
        <v>265</v>
      </c>
      <c r="E47" s="73"/>
      <c r="F47" s="34">
        <f>IF(tblVerifyActivities[[#This Row],[Activity]]="","",SUMIFS(tblVerifyUsage[Driver quantity],tblVerifyUsage[Activity],tblVerifyActivities[[#This Row],[Activity]]))</f>
        <v>0</v>
      </c>
      <c r="G47" s="35">
        <f>IF(tblVerifyActivities[[#This Row],[Activity]]="","",IF(N(tblVerifyActivities[[#This Row],[Practical capacity]])&gt;0,tblVerifyActivities[[#This Row],[Cost pool]]/tblVerifyActivities[[#This Row],[Practical capacity]],IF(tblVerifyActivities[[#This Row],[Driver volume]]&gt;0,tblVerifyActivities[[#This Row],[Cost pool]]/tblVerifyActivities[[#This Row],[Driver volume]],"")))</f>
        <v/>
      </c>
      <c r="H47" s="36">
        <f>IF(tblVerifyActivities[[#This Row],[Activity]]="","",IF(tblVerifyActivities[[#This Row],[Activity rate]]="",0,tblVerifyActivities[[#This Row],[Activity rate]]*tblVerifyActivities[[#This Row],[Driver volume]]))</f>
        <v>0</v>
      </c>
      <c r="I47" s="36">
        <f>IF(tblVerifyActivities[[#This Row],[Activity]]="","",tblVerifyActivities[[#This Row],[Cost pool]]-tblVerifyActivities[[#This Row],[Assigned to products]])</f>
        <v>10000</v>
      </c>
      <c r="J47" s="37">
        <f>IF(tblVerifyActivities[[#This Row],[Activity]]="","",IF(SUM(tblVerifyActivities[Cost pool])=0,"",tblVerifyActivities[[#This Row],[Cost pool]]/SUM(tblVerifyActivities[Cost pool])))</f>
        <v>0.05</v>
      </c>
      <c r="K47" s="38" t="str">
        <f>IF(tblVerifyActivities[[#This Row],[Activity]]="","",IF(tblVerifyActivities[[#This Row],[Cost pool]]="","Missing cost pool",IF(tblVerifyActivities[[#This Row],[Cost driver]]="","Missing cost driver",IF(COUNTIFS(tblVerifyActivities[Activity],tblVerifyActivities[[#This Row],[Activity]])&gt;1,"Activity listed twice",IF(tblVerifyActivities[[#This Row],[Driver volume]]=0,"No driver usage rows",IF(AND(N(tblVerifyActivities[[#This Row],[Practical capacity]])&gt;0,tblVerifyActivities[[#This Row],[Driver volume]]&gt;tblVerifyActivities[[#This Row],[Practical capacity]]),"Use above practical capacity","OK"))))))</f>
        <v>No driver usage rows</v>
      </c>
      <c r="L47" s="66"/>
    </row>
    <row r="49" spans="2:19">
      <c r="B49" s="40" t="s">
        <v>266</v>
      </c>
      <c r="C49" s="40"/>
      <c r="D49" s="40"/>
      <c r="E49" s="40"/>
      <c r="F49" s="40"/>
      <c r="G49" s="40"/>
      <c r="H49" s="40"/>
      <c r="I49" s="40"/>
      <c r="J49" s="40"/>
      <c r="K49" s="40"/>
      <c r="L49" s="40"/>
    </row>
    <row r="50" spans="2:19" ht="14" customHeight="1">
      <c r="B50" s="31"/>
      <c r="C50" s="31"/>
      <c r="D50" s="31" t="str">
        <f>Currency&amp;"/unit"</f>
        <v>USD/unit</v>
      </c>
      <c r="E50" s="31" t="str">
        <f>Currency&amp;"/unit"</f>
        <v>USD/unit</v>
      </c>
      <c r="F50" s="31" t="str">
        <f>Currency&amp;"/unit"</f>
        <v>USD/unit</v>
      </c>
      <c r="G50" s="31"/>
      <c r="H50" s="31"/>
      <c r="I50" s="31" t="str">
        <f>Currency&amp;"/unit"</f>
        <v>USD/unit</v>
      </c>
      <c r="J50" s="31" t="str">
        <f>Currency&amp;"/unit"</f>
        <v>USD/unit</v>
      </c>
      <c r="K50" s="31" t="str">
        <f>Currency&amp;"/unit"</f>
        <v>USD/unit</v>
      </c>
      <c r="L50" s="31" t="str">
        <f>Currency&amp;"/unit"</f>
        <v>USD/unit</v>
      </c>
      <c r="M50" s="31" t="str">
        <f>Currency&amp;"/unit"</f>
        <v>USD/unit</v>
      </c>
      <c r="N50" s="31"/>
      <c r="O50" s="31"/>
      <c r="P50" s="31"/>
      <c r="Q50" s="31"/>
      <c r="R50" s="31"/>
      <c r="S50" s="31"/>
    </row>
    <row r="51" spans="2:19" ht="45.5" customHeight="1">
      <c r="B51" s="32" t="s">
        <v>116</v>
      </c>
      <c r="C51" s="32" t="s">
        <v>117</v>
      </c>
      <c r="D51" s="32" t="s">
        <v>118</v>
      </c>
      <c r="E51" s="32" t="s">
        <v>119</v>
      </c>
      <c r="F51" s="32" t="s">
        <v>120</v>
      </c>
      <c r="G51" s="32" t="s">
        <v>121</v>
      </c>
      <c r="H51" s="32" t="s">
        <v>122</v>
      </c>
      <c r="I51" s="32" t="s">
        <v>123</v>
      </c>
      <c r="J51" s="32" t="s">
        <v>124</v>
      </c>
      <c r="K51" s="32" t="s">
        <v>125</v>
      </c>
      <c r="L51" s="32" t="s">
        <v>126</v>
      </c>
      <c r="M51" s="32" t="s">
        <v>127</v>
      </c>
      <c r="N51" s="32" t="s">
        <v>128</v>
      </c>
      <c r="O51" s="32" t="s">
        <v>129</v>
      </c>
      <c r="P51" s="32" t="s">
        <v>130</v>
      </c>
      <c r="Q51" s="32" t="s">
        <v>131</v>
      </c>
      <c r="R51" s="32" t="s">
        <v>87</v>
      </c>
      <c r="S51" s="32" t="s">
        <v>88</v>
      </c>
    </row>
    <row r="52" spans="2:19">
      <c r="B52" s="66" t="s">
        <v>267</v>
      </c>
      <c r="C52" s="73">
        <v>100</v>
      </c>
      <c r="D52" s="70">
        <v>50</v>
      </c>
      <c r="E52" s="70">
        <v>12</v>
      </c>
      <c r="F52" s="70">
        <v>6</v>
      </c>
      <c r="G52" s="70">
        <v>0.12</v>
      </c>
      <c r="H52" s="70">
        <v>0.5</v>
      </c>
      <c r="I52" s="35">
        <f>IF(tblVerifyProducts[[#This Row],[Product]]="","",tblVerifyProducts[[#This Row],[Material]]+tblVerifyProducts[[#This Row],[Direct labour]])</f>
        <v>18</v>
      </c>
      <c r="J52" s="35">
        <f>IF(tblVerifyProducts[[#This Row],[Product]]="","",IF(N(tblVerifyProducts[[#This Row],[Volume (units)]])=0,"",SUMIFS(tblVerifyUsage[Assigned cost],tblVerifyUsage[Product],tblVerifyProducts[[#This Row],[Product]])/tblVerifyProducts[[#This Row],[Volume (units)]]))</f>
        <v>53.6</v>
      </c>
      <c r="K52" s="35">
        <f>IF(tblVerifyProducts[[#This Row],[Product]]="","",IF($E$73="","",IF($E$39="Machine hours",tblVerifyProducts[[#This Row],[Machine hours (h/unit)]],tblVerifyProducts[[#This Row],[Labour hours (h/unit)]])*$E$73))</f>
        <v>17.6211453744493</v>
      </c>
      <c r="L52" s="35">
        <f>IF(tblVerifyProducts[[#This Row],[Product]]="","",IF(tblVerifyProducts[[#This Row],[ABC overhead]]="","",tblVerifyProducts[[#This Row],[Direct cost]]+tblVerifyProducts[[#This Row],[ABC overhead]]))</f>
        <v>71.6</v>
      </c>
      <c r="M52" s="35">
        <f>IF(tblVerifyProducts[[#This Row],[Product]]="","",IF(tblVerifyProducts[[#This Row],[Traditional overhead]]="","",tblVerifyProducts[[#This Row],[Direct cost]]+tblVerifyProducts[[#This Row],[Traditional overhead]]))</f>
        <v>35.6211453744493</v>
      </c>
      <c r="N52" s="43">
        <f>IF(tblVerifyProducts[[#This Row],[Product]]="","",IF(OR(tblVerifyProducts[[#This Row],[ABC unit cost]]="",N(tblVerifyProducts[[#This Row],[Traditional unit cost]])=0),"",tblVerifyProducts[[#This Row],[ABC unit cost]]/tblVerifyProducts[[#This Row],[Traditional unit cost]]-1))</f>
        <v>1.01004204798417</v>
      </c>
      <c r="O52" s="37">
        <f>IF(tblVerifyProducts[[#This Row],[Product]]="","",IF(OR(N(tblVerifyProducts[[#This Row],[Price]])=0,tblVerifyProducts[[#This Row],[ABC unit cost]]=""),"",(tblVerifyProducts[[#This Row],[Price]]-tblVerifyProducts[[#This Row],[ABC unit cost]])/tblVerifyProducts[[#This Row],[Price]]))</f>
        <v>-0.432</v>
      </c>
      <c r="P52" s="37">
        <f>IF(tblVerifyProducts[[#This Row],[Product]]="","",IF(OR(N(tblVerifyProducts[[#This Row],[Price]])=0,tblVerifyProducts[[#This Row],[Traditional unit cost]]=""),"",(tblVerifyProducts[[#This Row],[Price]]-tblVerifyProducts[[#This Row],[Traditional unit cost]])/tblVerifyProducts[[#This Row],[Price]]))</f>
        <v>0.287577092511013</v>
      </c>
      <c r="Q52" s="44" t="str">
        <f>IF(NOT(ISNUMBER(tblVerifyProducts[[#This Row],[ABC margin]])),"",IF(tblVerifyProducts[[#This Row],[ABC margin]]&gt;=$E$40,"On target",IF(tblVerifyProducts[[#This Row],[ABC margin]]&gt;=$E$40*(1-0.05),"Near target","Below target")))</f>
        <v>Below target</v>
      </c>
      <c r="R52" s="38" t="str">
        <f>IF(tblVerifyProducts[[#This Row],[Product]]="","",IF(tblVerifyProducts[[#This Row],[Volume (units)]]="","Missing volume",IF(tblVerifyProducts[[#This Row],[Price]]="","Missing price",IF(COUNTIFS(tblVerifyProducts[Product],tblVerifyProducts[[#This Row],[Product]])&gt;1,"Product listed twice",IF(COUNTIFS(tblVerifyUsage[Product],tblVerifyProducts[[#This Row],[Product]])=0,"No driver usage rows",IF(AND($E$39="Machine hours",N(tblVerifyProducts[[#This Row],[Machine hours (h/unit)]])=0),"Missing machine hours",IF(AND($E$39&lt;&gt;"Machine hours",N(tblVerifyProducts[[#This Row],[Labour hours (h/unit)]])=0),"Missing labour hours","OK")))))))</f>
        <v>OK</v>
      </c>
      <c r="S52" s="66"/>
    </row>
    <row r="53" spans="2:19">
      <c r="B53" s="66" t="s">
        <v>268</v>
      </c>
      <c r="C53" s="73">
        <v>2000</v>
      </c>
      <c r="D53" s="70">
        <v>120</v>
      </c>
      <c r="E53" s="70">
        <v>40</v>
      </c>
      <c r="F53" s="70">
        <v>15</v>
      </c>
      <c r="G53" s="70">
        <v>0.6</v>
      </c>
      <c r="H53" s="70">
        <v>1.2</v>
      </c>
      <c r="I53" s="35">
        <f>IF(tblVerifyProducts[[#This Row],[Product]]="","",tblVerifyProducts[[#This Row],[Material]]+tblVerifyProducts[[#This Row],[Direct labour]])</f>
        <v>55</v>
      </c>
      <c r="J53" s="35">
        <f>IF(tblVerifyProducts[[#This Row],[Product]]="","",IF(N(tblVerifyProducts[[#This Row],[Volume (units)]])=0,"",SUMIFS(tblVerifyUsage[Assigned cost],tblVerifyUsage[Product],tblVerifyProducts[[#This Row],[Product]])/tblVerifyProducts[[#This Row],[Volume (units)]]))</f>
        <v>64</v>
      </c>
      <c r="K53" s="35">
        <f>IF(tblVerifyProducts[[#This Row],[Product]]="","",IF($E$73="","",IF($E$39="Machine hours",tblVerifyProducts[[#This Row],[Machine hours (h/unit)]],tblVerifyProducts[[#This Row],[Labour hours (h/unit)]])*$E$73))</f>
        <v>88.1057268722467</v>
      </c>
      <c r="L53" s="35">
        <f>IF(tblVerifyProducts[[#This Row],[Product]]="","",IF(tblVerifyProducts[[#This Row],[ABC overhead]]="","",tblVerifyProducts[[#This Row],[Direct cost]]+tblVerifyProducts[[#This Row],[ABC overhead]]))</f>
        <v>119</v>
      </c>
      <c r="M53" s="35">
        <f>IF(tblVerifyProducts[[#This Row],[Product]]="","",IF(tblVerifyProducts[[#This Row],[Traditional overhead]]="","",tblVerifyProducts[[#This Row],[Direct cost]]+tblVerifyProducts[[#This Row],[Traditional overhead]]))</f>
        <v>143.105726872247</v>
      </c>
      <c r="N53" s="43">
        <f>IF(tblVerifyProducts[[#This Row],[Product]]="","",IF(OR(tblVerifyProducts[[#This Row],[ABC unit cost]]="",N(tblVerifyProducts[[#This Row],[Traditional unit cost]])=0),"",tblVerifyProducts[[#This Row],[ABC unit cost]]/tblVerifyProducts[[#This Row],[Traditional unit cost]]-1))</f>
        <v>-0.168446975527166</v>
      </c>
      <c r="O53" s="37">
        <f>IF(tblVerifyProducts[[#This Row],[Product]]="","",IF(OR(N(tblVerifyProducts[[#This Row],[Price]])=0,tblVerifyProducts[[#This Row],[ABC unit cost]]=""),"",(tblVerifyProducts[[#This Row],[Price]]-tblVerifyProducts[[#This Row],[ABC unit cost]])/tblVerifyProducts[[#This Row],[Price]]))</f>
        <v>0.00833333333333333</v>
      </c>
      <c r="P53" s="37">
        <f>IF(tblVerifyProducts[[#This Row],[Product]]="","",IF(OR(N(tblVerifyProducts[[#This Row],[Price]])=0,tblVerifyProducts[[#This Row],[Traditional unit cost]]=""),"",(tblVerifyProducts[[#This Row],[Price]]-tblVerifyProducts[[#This Row],[Traditional unit cost]])/tblVerifyProducts[[#This Row],[Price]]))</f>
        <v>-0.192547723935389</v>
      </c>
      <c r="Q53" s="44" t="str">
        <f>IF(NOT(ISNUMBER(tblVerifyProducts[[#This Row],[ABC margin]])),"",IF(tblVerifyProducts[[#This Row],[ABC margin]]&gt;=$E$40,"On target",IF(tblVerifyProducts[[#This Row],[ABC margin]]&gt;=$E$40*(1-0.05),"Near target","Below target")))</f>
        <v>Below target</v>
      </c>
      <c r="R53" s="38" t="str">
        <f>IF(tblVerifyProducts[[#This Row],[Product]]="","",IF(tblVerifyProducts[[#This Row],[Volume (units)]]="","Missing volume",IF(tblVerifyProducts[[#This Row],[Price]]="","Missing price",IF(COUNTIFS(tblVerifyProducts[Product],tblVerifyProducts[[#This Row],[Product]])&gt;1,"Product listed twice",IF(COUNTIFS(tblVerifyUsage[Product],tblVerifyProducts[[#This Row],[Product]])=0,"No driver usage rows",IF(AND($E$39="Machine hours",N(tblVerifyProducts[[#This Row],[Machine hours (h/unit)]])=0),"Missing machine hours",IF(AND($E$39&lt;&gt;"Machine hours",N(tblVerifyProducts[[#This Row],[Labour hours (h/unit)]])=0),"Missing labour hours","OK")))))))</f>
        <v>OK</v>
      </c>
      <c r="S53" s="66"/>
    </row>
    <row r="54" spans="2:19">
      <c r="B54" s="66" t="s">
        <v>269</v>
      </c>
      <c r="C54" s="73">
        <v>50</v>
      </c>
      <c r="D54" s="70">
        <v>900</v>
      </c>
      <c r="E54" s="70">
        <v>300</v>
      </c>
      <c r="F54" s="70">
        <v>80</v>
      </c>
      <c r="G54" s="70">
        <v>3</v>
      </c>
      <c r="H54" s="70">
        <v>6</v>
      </c>
      <c r="I54" s="35">
        <f>IF(tblVerifyProducts[[#This Row],[Product]]="","",tblVerifyProducts[[#This Row],[Material]]+tblVerifyProducts[[#This Row],[Direct labour]])</f>
        <v>380</v>
      </c>
      <c r="J54" s="35">
        <f>IF(tblVerifyProducts[[#This Row],[Product]]="","",IF(N(tblVerifyProducts[[#This Row],[Volume (units)]])=0,"",SUMIFS(tblVerifyUsage[Assigned cost],tblVerifyUsage[Product],tblVerifyProducts[[#This Row],[Product]])/tblVerifyProducts[[#This Row],[Volume (units)]]))</f>
        <v>480</v>
      </c>
      <c r="K54" s="35">
        <f>IF(tblVerifyProducts[[#This Row],[Product]]="","",IF($E$73="","",IF($E$39="Machine hours",tblVerifyProducts[[#This Row],[Machine hours (h/unit)]],tblVerifyProducts[[#This Row],[Labour hours (h/unit)]])*$E$73))</f>
        <v>440.528634361234</v>
      </c>
      <c r="L54" s="35">
        <f>IF(tblVerifyProducts[[#This Row],[Product]]="","",IF(tblVerifyProducts[[#This Row],[ABC overhead]]="","",tblVerifyProducts[[#This Row],[Direct cost]]+tblVerifyProducts[[#This Row],[ABC overhead]]))</f>
        <v>860</v>
      </c>
      <c r="M54" s="35">
        <f>IF(tblVerifyProducts[[#This Row],[Product]]="","",IF(tblVerifyProducts[[#This Row],[Traditional overhead]]="","",tblVerifyProducts[[#This Row],[Direct cost]]+tblVerifyProducts[[#This Row],[Traditional overhead]]))</f>
        <v>820.528634361234</v>
      </c>
      <c r="N54" s="43">
        <f>IF(tblVerifyProducts[[#This Row],[Product]]="","",IF(OR(tblVerifyProducts[[#This Row],[ABC unit cost]]="",N(tblVerifyProducts[[#This Row],[Traditional unit cost]])=0),"",tblVerifyProducts[[#This Row],[ABC unit cost]]/tblVerifyProducts[[#This Row],[Traditional unit cost]]-1))</f>
        <v>0.0481047997422956</v>
      </c>
      <c r="O54" s="37">
        <f>IF(tblVerifyProducts[[#This Row],[Product]]="","",IF(OR(N(tblVerifyProducts[[#This Row],[Price]])=0,tblVerifyProducts[[#This Row],[ABC unit cost]]=""),"",(tblVerifyProducts[[#This Row],[Price]]-tblVerifyProducts[[#This Row],[ABC unit cost]])/tblVerifyProducts[[#This Row],[Price]]))</f>
        <v>0.0444444444444444</v>
      </c>
      <c r="P54" s="37">
        <f>IF(tblVerifyProducts[[#This Row],[Product]]="","",IF(OR(N(tblVerifyProducts[[#This Row],[Price]])=0,tblVerifyProducts[[#This Row],[Traditional unit cost]]=""),"",(tblVerifyProducts[[#This Row],[Price]]-tblVerifyProducts[[#This Row],[Traditional unit cost]])/tblVerifyProducts[[#This Row],[Price]]))</f>
        <v>0.0883015173764071</v>
      </c>
      <c r="Q54" s="44" t="str">
        <f>IF(NOT(ISNUMBER(tblVerifyProducts[[#This Row],[ABC margin]])),"",IF(tblVerifyProducts[[#This Row],[ABC margin]]&gt;=$E$40,"On target",IF(tblVerifyProducts[[#This Row],[ABC margin]]&gt;=$E$40*(1-0.05),"Near target","Below target")))</f>
        <v>Below target</v>
      </c>
      <c r="R54" s="38" t="str">
        <f>IF(tblVerifyProducts[[#This Row],[Product]]="","",IF(tblVerifyProducts[[#This Row],[Volume (units)]]="","Missing volume",IF(tblVerifyProducts[[#This Row],[Price]]="","Missing price",IF(COUNTIFS(tblVerifyProducts[Product],tblVerifyProducts[[#This Row],[Product]])&gt;1,"Product listed twice",IF(COUNTIFS(tblVerifyUsage[Product],tblVerifyProducts[[#This Row],[Product]])=0,"No driver usage rows",IF(AND($E$39="Machine hours",N(tblVerifyProducts[[#This Row],[Machine hours (h/unit)]])=0),"Missing machine hours",IF(AND($E$39&lt;&gt;"Machine hours",N(tblVerifyProducts[[#This Row],[Labour hours (h/unit)]])=0),"Missing labour hours","OK")))))))</f>
        <v>OK</v>
      </c>
      <c r="S54" s="66"/>
    </row>
    <row r="56" spans="2:19">
      <c r="B56" s="40" t="s">
        <v>270</v>
      </c>
      <c r="C56" s="40"/>
      <c r="D56" s="40"/>
      <c r="E56" s="40"/>
      <c r="F56" s="40"/>
      <c r="G56" s="40"/>
      <c r="H56" s="40"/>
      <c r="I56" s="40"/>
      <c r="J56" s="40"/>
      <c r="K56" s="40"/>
      <c r="L56" s="40"/>
    </row>
    <row r="57" spans="2:19" ht="14" customHeight="1">
      <c r="B57" s="31"/>
      <c r="C57" s="31"/>
      <c r="D57" s="31"/>
      <c r="E57" s="31"/>
      <c r="F57" s="31" t="str">
        <f>Currency&amp;"/driver unit"</f>
        <v>USD/driver unit</v>
      </c>
      <c r="G57" s="31" t="str">
        <f>Currency</f>
        <v>USD</v>
      </c>
      <c r="H57" s="31"/>
      <c r="I57" s="31"/>
    </row>
    <row r="58" spans="2:19" ht="32" customHeight="1">
      <c r="B58" s="32" t="s">
        <v>116</v>
      </c>
      <c r="C58" s="32" t="s">
        <v>78</v>
      </c>
      <c r="D58" s="32" t="s">
        <v>151</v>
      </c>
      <c r="E58" s="32" t="s">
        <v>80</v>
      </c>
      <c r="F58" s="32" t="s">
        <v>83</v>
      </c>
      <c r="G58" s="32" t="s">
        <v>152</v>
      </c>
      <c r="H58" s="32" t="s">
        <v>87</v>
      </c>
      <c r="I58" s="32" t="s">
        <v>88</v>
      </c>
    </row>
    <row r="59" spans="2:19">
      <c r="B59" s="66" t="s">
        <v>267</v>
      </c>
      <c r="C59" s="66" t="s">
        <v>262</v>
      </c>
      <c r="D59" s="76">
        <v>12</v>
      </c>
      <c r="E59" s="47" t="str">
        <f>IF(tblVerifyUsage[[#This Row],[Product]]="","",IFERROR(INDEX(tblVerifyActivities[Cost driver],MATCH(tblVerifyUsage[[#This Row],[Activity]],tblVerifyActivities[Activity],0))&amp;"",""))</f>
        <v>Hours</v>
      </c>
      <c r="F59" s="35">
        <f>IF(tblVerifyUsage[[#This Row],[Product]]="","",IFERROR(INDEX(tblVerifyActivities[Activity rate],MATCH(tblVerifyUsage[[#This Row],[Activity]],tblVerifyActivities[Activity],0)),""))</f>
        <v>30</v>
      </c>
      <c r="G59" s="36">
        <f>IF(tblVerifyUsage[[#This Row],[Product]]="","",IF(OR(tblVerifyUsage[[#This Row],[Activity rate]]="",tblVerifyUsage[[#This Row],[Driver quantity]]=""),"",tblVerifyUsage[[#This Row],[Driver quantity]]*tblVerifyUsage[[#This Row],[Activity rate]]))</f>
        <v>360</v>
      </c>
      <c r="H59" s="38" t="str">
        <f>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f>
        <v>OK</v>
      </c>
      <c r="I59" s="66"/>
    </row>
    <row r="60" spans="2:19">
      <c r="B60" s="66" t="s">
        <v>268</v>
      </c>
      <c r="C60" s="66" t="s">
        <v>262</v>
      </c>
      <c r="D60" s="76">
        <v>3600</v>
      </c>
      <c r="E60" s="47" t="str">
        <f>IF(tblVerifyUsage[[#This Row],[Product]]="","",IFERROR(INDEX(tblVerifyActivities[Cost driver],MATCH(tblVerifyUsage[[#This Row],[Activity]],tblVerifyActivities[Activity],0))&amp;"",""))</f>
        <v>Hours</v>
      </c>
      <c r="F60" s="35">
        <f>IF(tblVerifyUsage[[#This Row],[Product]]="","",IFERROR(INDEX(tblVerifyActivities[Activity rate],MATCH(tblVerifyUsage[[#This Row],[Activity]],tblVerifyActivities[Activity],0)),""))</f>
        <v>30</v>
      </c>
      <c r="G60" s="36">
        <f>IF(tblVerifyUsage[[#This Row],[Product]]="","",IF(OR(tblVerifyUsage[[#This Row],[Activity rate]]="",tblVerifyUsage[[#This Row],[Driver quantity]]=""),"",tblVerifyUsage[[#This Row],[Driver quantity]]*tblVerifyUsage[[#This Row],[Activity rate]]))</f>
        <v>108000</v>
      </c>
      <c r="H60" s="38" t="str">
        <f>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f>
        <v>OK</v>
      </c>
      <c r="I60" s="66"/>
    </row>
    <row r="61" spans="2:19">
      <c r="B61" s="66" t="s">
        <v>269</v>
      </c>
      <c r="C61" s="66" t="s">
        <v>262</v>
      </c>
      <c r="D61" s="76">
        <v>300</v>
      </c>
      <c r="E61" s="47" t="str">
        <f>IF(tblVerifyUsage[[#This Row],[Product]]="","",IFERROR(INDEX(tblVerifyActivities[Cost driver],MATCH(tblVerifyUsage[[#This Row],[Activity]],tblVerifyActivities[Activity],0))&amp;"",""))</f>
        <v>Hours</v>
      </c>
      <c r="F61" s="35">
        <f>IF(tblVerifyUsage[[#This Row],[Product]]="","",IFERROR(INDEX(tblVerifyActivities[Activity rate],MATCH(tblVerifyUsage[[#This Row],[Activity]],tblVerifyActivities[Activity],0)),""))</f>
        <v>30</v>
      </c>
      <c r="G61" s="36">
        <f>IF(tblVerifyUsage[[#This Row],[Product]]="","",IF(OR(tblVerifyUsage[[#This Row],[Activity rate]]="",tblVerifyUsage[[#This Row],[Driver quantity]]=""),"",tblVerifyUsage[[#This Row],[Driver quantity]]*tblVerifyUsage[[#This Row],[Activity rate]]))</f>
        <v>9000</v>
      </c>
      <c r="H61" s="38" t="str">
        <f>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f>
        <v>OK</v>
      </c>
      <c r="I61" s="66"/>
    </row>
    <row r="62" spans="2:19">
      <c r="B62" s="66" t="s">
        <v>267</v>
      </c>
      <c r="C62" s="66" t="s">
        <v>92</v>
      </c>
      <c r="D62" s="76">
        <v>5</v>
      </c>
      <c r="E62" s="47" t="str">
        <f>IF(tblVerifyUsage[[#This Row],[Product]]="","",IFERROR(INDEX(tblVerifyActivities[Cost driver],MATCH(tblVerifyUsage[[#This Row],[Activity]],tblVerifyActivities[Activity],0))&amp;"",""))</f>
        <v>Setups</v>
      </c>
      <c r="F62" s="35">
        <f>IF(tblVerifyUsage[[#This Row],[Product]]="","",IFERROR(INDEX(tblVerifyActivities[Activity rate],MATCH(tblVerifyUsage[[#This Row],[Activity]],tblVerifyActivities[Activity],0)),""))</f>
        <v>1000</v>
      </c>
      <c r="G62" s="36">
        <f>IF(tblVerifyUsage[[#This Row],[Product]]="","",IF(OR(tblVerifyUsage[[#This Row],[Activity rate]]="",tblVerifyUsage[[#This Row],[Driver quantity]]=""),"",tblVerifyUsage[[#This Row],[Driver quantity]]*tblVerifyUsage[[#This Row],[Activity rate]]))</f>
        <v>5000</v>
      </c>
      <c r="H62" s="38" t="str">
        <f>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f>
        <v>OK</v>
      </c>
      <c r="I62" s="66"/>
    </row>
    <row r="63" spans="2:19">
      <c r="B63" s="66" t="s">
        <v>268</v>
      </c>
      <c r="C63" s="66" t="s">
        <v>92</v>
      </c>
      <c r="D63" s="76">
        <v>20</v>
      </c>
      <c r="E63" s="47" t="str">
        <f>IF(tblVerifyUsage[[#This Row],[Product]]="","",IFERROR(INDEX(tblVerifyActivities[Cost driver],MATCH(tblVerifyUsage[[#This Row],[Activity]],tblVerifyActivities[Activity],0))&amp;"",""))</f>
        <v>Setups</v>
      </c>
      <c r="F63" s="35">
        <f>IF(tblVerifyUsage[[#This Row],[Product]]="","",IFERROR(INDEX(tblVerifyActivities[Activity rate],MATCH(tblVerifyUsage[[#This Row],[Activity]],tblVerifyActivities[Activity],0)),""))</f>
        <v>1000</v>
      </c>
      <c r="G63" s="36">
        <f>IF(tblVerifyUsage[[#This Row],[Product]]="","",IF(OR(tblVerifyUsage[[#This Row],[Activity rate]]="",tblVerifyUsage[[#This Row],[Driver quantity]]=""),"",tblVerifyUsage[[#This Row],[Driver quantity]]*tblVerifyUsage[[#This Row],[Activity rate]]))</f>
        <v>20000</v>
      </c>
      <c r="H63" s="38" t="str">
        <f>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f>
        <v>OK</v>
      </c>
      <c r="I63" s="66"/>
    </row>
    <row r="64" spans="2:19">
      <c r="B64" s="66" t="s">
        <v>269</v>
      </c>
      <c r="C64" s="66" t="s">
        <v>92</v>
      </c>
      <c r="D64" s="76">
        <v>15</v>
      </c>
      <c r="E64" s="47" t="str">
        <f>IF(tblVerifyUsage[[#This Row],[Product]]="","",IFERROR(INDEX(tblVerifyActivities[Cost driver],MATCH(tblVerifyUsage[[#This Row],[Activity]],tblVerifyActivities[Activity],0))&amp;"",""))</f>
        <v>Setups</v>
      </c>
      <c r="F64" s="35">
        <f>IF(tblVerifyUsage[[#This Row],[Product]]="","",IFERROR(INDEX(tblVerifyActivities[Activity rate],MATCH(tblVerifyUsage[[#This Row],[Activity]],tblVerifyActivities[Activity],0)),""))</f>
        <v>1000</v>
      </c>
      <c r="G64" s="36">
        <f>IF(tblVerifyUsage[[#This Row],[Product]]="","",IF(OR(tblVerifyUsage[[#This Row],[Activity rate]]="",tblVerifyUsage[[#This Row],[Driver quantity]]=""),"",tblVerifyUsage[[#This Row],[Driver quantity]]*tblVerifyUsage[[#This Row],[Activity rate]]))</f>
        <v>15000</v>
      </c>
      <c r="H64" s="38" t="str">
        <f>IF(tblVerifyUsage[[#This Row],[Product]]="","",IF(tblVerifyUsage[[#This Row],[Activity]]="","Missing activity",IF(tblVerifyUsage[[#This Row],[Driver quantity]]="","Missing driver quantity",IF(COUNTIFS(tblVerifyProducts[Product],tblVerifyUsage[[#This Row],[Product]])=0,"Product not on Products sheet",IF(COUNTIFS(tblVerifyActivities[Activity],tblVerifyUsage[[#This Row],[Activity]])=0,"Activity not on Activities sheet",IF(COUNTIFS(tblVerifyUsage[Product],tblVerifyUsage[[#This Row],[Product]],tblVerifyUsage[Activity],tblVerifyUsage[[#This Row],[Activity]])&gt;1,"Same product and activity twice","OK"))))))</f>
        <v>OK</v>
      </c>
      <c r="I64" s="66"/>
    </row>
    <row r="66" spans="2:12">
      <c r="B66" s="40" t="s">
        <v>271</v>
      </c>
      <c r="C66" s="40"/>
      <c r="D66" s="40"/>
      <c r="E66" s="40"/>
      <c r="F66" s="40"/>
      <c r="G66" s="40"/>
      <c r="H66" s="40"/>
      <c r="I66" s="40"/>
      <c r="J66" s="40"/>
      <c r="K66" s="40"/>
      <c r="L66" s="40"/>
    </row>
    <row r="67" spans="2:12">
      <c r="B67" s="17" t="s">
        <v>113</v>
      </c>
      <c r="C67" s="17"/>
      <c r="D67" s="17"/>
      <c r="E67" s="41">
        <f>SUM(tblVerifyActivities[Cost pool])</f>
        <v>200000</v>
      </c>
      <c r="F67" s="7" t="str">
        <f>Currency</f>
        <v>USD</v>
      </c>
    </row>
    <row r="68" spans="2:12">
      <c r="B68" s="27" t="s">
        <v>114</v>
      </c>
      <c r="C68" s="27"/>
      <c r="D68" s="27"/>
      <c r="E68" s="36">
        <f>SUM(tblVerifyActivities[Assigned to products])</f>
        <v>157360</v>
      </c>
      <c r="F68" s="7" t="str">
        <f>Currency</f>
        <v>USD</v>
      </c>
    </row>
    <row r="69" spans="2:12">
      <c r="B69" s="27" t="s">
        <v>115</v>
      </c>
      <c r="C69" s="27"/>
      <c r="D69" s="27"/>
      <c r="E69" s="36">
        <f>SUM(tblVerifyActivities[Unused capacity])</f>
        <v>42640</v>
      </c>
      <c r="F69" s="7" t="str">
        <f>Currency</f>
        <v>USD</v>
      </c>
    </row>
    <row r="71" spans="2:12">
      <c r="B71" s="40" t="s">
        <v>272</v>
      </c>
      <c r="C71" s="40"/>
      <c r="D71" s="40"/>
      <c r="E71" s="40"/>
      <c r="F71" s="40"/>
      <c r="G71" s="40"/>
      <c r="H71" s="40"/>
      <c r="I71" s="40"/>
      <c r="J71" s="40"/>
      <c r="K71" s="40"/>
      <c r="L71" s="40"/>
    </row>
    <row r="72" spans="2:12">
      <c r="B72" s="27" t="s">
        <v>148</v>
      </c>
      <c r="C72" s="27"/>
      <c r="D72" s="27"/>
      <c r="E72" s="34">
        <f>IF($E$39="Machine hours",SUMPRODUCT(tblVerifyProducts[Volume (units)],tblVerifyProducts[Machine hours (h/unit)]),SUMPRODUCT(tblVerifyProducts[Volume (units)],tblVerifyProducts[Labour hours (h/unit)]))</f>
        <v>1362</v>
      </c>
      <c r="F72" s="7" t="s">
        <v>149</v>
      </c>
    </row>
    <row r="73" spans="2:12">
      <c r="B73" s="17" t="s">
        <v>150</v>
      </c>
      <c r="C73" s="17"/>
      <c r="D73" s="17"/>
      <c r="E73" s="45">
        <f>IF(N($E$72)=0,"",$E$67/$E$72)</f>
        <v>146.842878120411</v>
      </c>
      <c r="F73" s="7" t="str">
        <f>Currency&amp;"/h"</f>
        <v>USD/h</v>
      </c>
    </row>
  </sheetData>
  <sheetProtection sheet="1" formatColumns="0" formatRows="0"/>
  <mergeCells count="47">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E39:F39"/>
    <mergeCell ref="B40:D40"/>
    <mergeCell ref="B42:L42"/>
    <mergeCell ref="B49:L49"/>
    <mergeCell ref="B56:L56"/>
    <mergeCell ref="B66:L66"/>
    <mergeCell ref="B67:D67"/>
    <mergeCell ref="B68:D68"/>
    <mergeCell ref="B69:D69"/>
    <mergeCell ref="B71:L71"/>
    <mergeCell ref="B72:D72"/>
    <mergeCell ref="B73:D7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59:H64">
    <cfRule type="expression" dxfId="3" priority="45">
      <formula>$H59="OK"</formula>
    </cfRule>
    <cfRule type="expression" dxfId="1" priority="46">
      <formula>AND($H59&lt;&gt;"",$H59&lt;&gt;"OK")</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45:K47">
    <cfRule type="expression" dxfId="3" priority="41">
      <formula>$K45="OK"</formula>
    </cfRule>
    <cfRule type="expression" dxfId="1" priority="42">
      <formula>AND($K45&lt;&gt;"",$K45&lt;&gt;"OK")</formula>
    </cfRule>
  </conditionalFormatting>
  <conditionalFormatting sqref="R52:R54">
    <cfRule type="expression" dxfId="3" priority="43">
      <formula>$R52="OK"</formula>
    </cfRule>
    <cfRule type="expression" dxfId="1" priority="44">
      <formula>AND($R52&lt;&gt;"",$R52&lt;&gt;"OK")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Activity-Based Costing&amp;R&amp;8&amp;A</oddHeader>
    <oddFooter>&amp;L&amp;8mfgcalcs.com - free manufacturing templates&amp;R&amp;8Page &amp;P of &amp;N</oddFooter>
  </headerFooter>
  <rowBreaks count="1" manualBreakCount="1">
    <brk id="41"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32</vt:i4>
      </vt:variant>
    </vt:vector>
  </HeadingPairs>
  <TitlesOfParts>
    <vt:vector size="40" baseType="lpstr">
      <vt:lpstr>Start Here</vt:lpstr>
      <vt:lpstr>Setup</vt:lpstr>
      <vt:lpstr>Activities</vt:lpstr>
      <vt:lpstr>Products</vt:lpstr>
      <vt:lpstr>Driver Usage</vt:lpstr>
      <vt:lpstr>Dashboard</vt:lpstr>
      <vt:lpstr>Method</vt:lpstr>
      <vt:lpstr>Verify</vt:lpstr>
      <vt:lpstr>BasisTotal</vt:lpstr>
      <vt:lpstr>Currency</vt:lpstr>
      <vt:lpstr>KpiBelow</vt:lpstr>
      <vt:lpstr>KpiMinMargin</vt:lpstr>
      <vt:lpstr>KpiPlantMargin</vt:lpstr>
      <vt:lpstr>KpiPlantRate</vt:lpstr>
      <vt:lpstr>KpiPool</vt:lpstr>
      <vt:lpstr>KpiRevenue</vt:lpstr>
      <vt:lpstr>KpiUnused</vt:lpstr>
      <vt:lpstr>KpiWorst</vt:lpstr>
      <vt:lpstr>Period</vt:lpstr>
      <vt:lpstr>PlantName</vt:lpstr>
      <vt:lpstr>PlantRate</vt:lpstr>
      <vt:lpstr>Activities!Print_Area</vt:lpstr>
      <vt:lpstr>Dashboard!Print_Area</vt:lpstr>
      <vt:lpstr>'Driver Usage'!Print_Area</vt:lpstr>
      <vt:lpstr>Method!Print_Area</vt:lpstr>
      <vt:lpstr>Products!Print_Area</vt:lpstr>
      <vt:lpstr>Setup!Print_Area</vt:lpstr>
      <vt:lpstr>'Start Here'!Print_Area</vt:lpstr>
      <vt:lpstr>Verify!Print_Area</vt:lpstr>
      <vt:lpstr>Activities!Print_Titles</vt:lpstr>
      <vt:lpstr>'Driver Usage'!Print_Titles</vt:lpstr>
      <vt:lpstr>Method!Print_Titles</vt:lpstr>
      <vt:lpstr>Products!Print_Titles</vt:lpstr>
      <vt:lpstr>SelfCheck</vt:lpstr>
      <vt:lpstr>SelfCheckSummary</vt:lpstr>
      <vt:lpstr>TargetMargin</vt:lpstr>
      <vt:lpstr>TotalAssigned</vt:lpstr>
      <vt:lpstr>TotalPool</vt:lpstr>
      <vt:lpstr>TotalUnused</vt:lpstr>
      <vt:lpstr>TradBasis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Activity-Based Costing - free Excel template from MFG Calcs</dc:title>
  <dc:subject>Assign overhead to products by the activities they use, compare it with a single plantwide rate, and see which products are really profitable.</dc:subject>
  <dc:creator>MFG Calcs</dc:creator>
  <cp:keywords>activity-based costing, ABC, overhead allocation, cost drivers, activity rate, product profitability, practical capacity, unused capacity</cp:keywords>
  <dc:description>https://www.mfgcalcs.com/templates/activity-based-costing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activity-based-costing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https://www.mfgcalcs.com/templates/activity-based-costing</vt:lpwstr>
  </property>
  <property fmtid="{D5CDD505-2E9C-101B-9397-08002B2CF9AE}" pid="7" name="Template sheet roles">
    <vt:lpwstr>Start Here=start;Setup=setup;Activities=work;Products=work;Driver Usage=work;Dashboard=dashboard;Method=method;Verify=verify</vt:lpwstr>
  </property>
</Properties>
</file>