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Routes" sheetId="3" r:id="rId3"/>
    <sheet name="Dashboard" sheetId="4" r:id="rId4"/>
    <sheet name="Method" sheetId="5" r:id="rId5"/>
    <sheet name="Verify" sheetId="6" r:id="rId6"/>
  </sheets>
  <definedNames>
    <definedName name="Availability">Setup!$C$8</definedName>
    <definedName name="AvailMin">Dashboard!$D$30</definedName>
    <definedName name="DedicatedFleet">Dashboard!$D$35</definedName>
    <definedName name="FleetUtil">Dashboard!$D$37</definedName>
    <definedName name="KpiMin">Dashboard!$G$7</definedName>
    <definedName name="KpiPeak">Dashboard!$D$7</definedName>
    <definedName name="KpiPlanned">Dashboard!$B$7</definedName>
    <definedName name="KpiUtil">Dashboard!$J$7</definedName>
    <definedName name="MinFleet">Dashboard!$D$32</definedName>
    <definedName name="PeakFactor">Setup!$C$14</definedName>
    <definedName name="PeakFleet">Dashboard!$D$34</definedName>
    <definedName name="PlanLimit">Setup!$C$13</definedName>
    <definedName name="PlannedFleet">Dashboard!$D$33</definedName>
    <definedName name="_xlnm.Print_Area" localSheetId="3">Dashboard!$A$1:$L$54</definedName>
    <definedName name="_xlnm.Print_Area" localSheetId="4">Method!$A$1:$D$57</definedName>
    <definedName name="_xlnm.Print_Area" localSheetId="2">Routes!$A$1:$N$13</definedName>
    <definedName name="_xlnm.Print_Area" localSheetId="1">Setup!$A$1:$E$16</definedName>
    <definedName name="_xlnm.Print_Area" localSheetId="0">'Start Here'!$A$1:$F$55</definedName>
    <definedName name="_xlnm.Print_Area" localSheetId="5">Verify!$A$1:$N$47</definedName>
    <definedName name="_xlnm.Print_Titles" localSheetId="4">Method!$1:$2</definedName>
    <definedName name="_xlnm.Print_Titles" localSheetId="2">Routes!$1:$5</definedName>
    <definedName name="ScheduledMin">Setup!$C$7</definedName>
    <definedName name="SelfCheck">Verify!$D$4</definedName>
    <definedName name="SelfCheckSummary">Verify!$F$4</definedName>
    <definedName name="SharedSaves">Dashboard!$D$36</definedName>
    <definedName name="SiteName">Setup!$C$6</definedName>
    <definedName name="Success">Setup!$C$9</definedName>
    <definedName name="TotalVmin">Dashboard!$D$31</definedName>
  </definedNames>
  <calcPr calcId="124519" fullCalcOnLoad="1"/>
</workbook>
</file>

<file path=xl/sharedStrings.xml><?xml version="1.0" encoding="utf-8"?>
<sst xmlns="http://schemas.openxmlformats.org/spreadsheetml/2006/main" count="360" uniqueCount="229">
  <si>
    <t>AMR Fleet Sizing</t>
  </si>
  <si>
    <t>Read this first: what the workbook does and how to use it.</t>
  </si>
  <si>
    <t>mfgcalcs.com</t>
  </si>
  <si>
    <t>Size an AMR or AGV fleet from your routes: loads per shift, loads per trip and trip cycle time give the vehicles each route needs and the fleet the plant needs, on average and in the peak hour.</t>
  </si>
  <si>
    <t>For: Industrial and manufacturing engineers, intralogistics and automation project leads, and plant managers comparing AMR or AGV fleet quotes.</t>
  </si>
  <si>
    <t>Version 1.0.0  ·  updated 25 October 2026</t>
  </si>
  <si>
    <t>Quick start</t>
  </si>
  <si>
    <t>1.</t>
  </si>
  <si>
    <t>On Setup, type the site name, the minutes each vehicle is scheduled per shift, fleet availability, mission success rate, your planning utilisation limit and the peak-hour factor.</t>
  </si>
  <si>
    <t>2.</t>
  </si>
  <si>
    <t>On Routes, add one row per route or mission type: loads per shift, loads carried per trip and the measured cycle time of one complete trip.</t>
  </si>
  <si>
    <t>3.</t>
  </si>
  <si>
    <t>Fix anything the Check column names.</t>
  </si>
  <si>
    <t>4.</t>
  </si>
  <si>
    <t>Open the Dashboard: the planned fleet, the minimum and peak-hour fleets, each route's share of the work, and the fleet as demand grows.</t>
  </si>
  <si>
    <t>What is in this workbook</t>
  </si>
  <si>
    <t>Start Here</t>
  </si>
  <si>
    <t>Setup</t>
  </si>
  <si>
    <t>Site name, the shift each vehicle is scheduled for, fleet availability and mission success, and your planning limits.</t>
  </si>
  <si>
    <t>Routes</t>
  </si>
  <si>
    <t>One row per route or mission type: loads, trip size and cycle time give the vehicle time each route takes.</t>
  </si>
  <si>
    <t>Dashboard</t>
  </si>
  <si>
    <t>How many vehicles the routes need: planned, minimum and peak-hour fleets, and where the vehicle time goes.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</si>
  <si>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</si>
  <si>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</si>
  <si>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</si>
  <si>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</si>
  <si>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</si>
  <si>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</si>
  <si>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</si>
  <si>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</si>
  <si>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</si>
  <si>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</si>
  <si>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</si>
  <si>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</si>
  <si>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</si>
  <si>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</si>
  <si>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</si>
  <si>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</si>
  <si>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</si>
  <si>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</si>
  <si>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</si>
  <si>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</si>
  <si>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AGV Fleet Size Calculator on mfgcalcs.com</t>
  </si>
  <si>
    <t>Latest version</t>
  </si>
  <si>
    <t>mfgcalcs.com/templates/amr-fleet-sizing</t>
  </si>
  <si>
    <t>More free templates</t>
  </si>
  <si>
    <t>mfgcalcs.com/templates</t>
  </si>
  <si>
    <t>Version</t>
  </si>
  <si>
    <t>1.0.0 (updated 25 October 2026)</t>
  </si>
  <si>
    <t>About the example data</t>
  </si>
  <si>
    <t>Every number already in this workbook is example data for Brightwater Appliances, a fictional business invented for this template, so the dashboard and charts show something meaningful on day one. It sizes eight material-movement routes of a fictional dishwasher plant on one 7.5-hour shift, with loads and cycle times invented for the example.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</si>
  <si>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</si>
  <si>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</si>
  <si>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</si>
  <si>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</si>
  <si>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</si>
  <si>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</si>
  <si>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</si>
  <si>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</si>
  <si>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Site and shift</t>
  </si>
  <si>
    <t>Site or project</t>
  </si>
  <si>
    <t>Brightwater Appliances (example)</t>
  </si>
  <si>
    <t>Scheduled minutes per vehicle per shift</t>
  </si>
  <si>
    <t>min</t>
  </si>
  <si>
    <t>Fleet availability</t>
  </si>
  <si>
    <t>%</t>
  </si>
  <si>
    <t>Mission success rate</t>
  </si>
  <si>
    <t>Planning limits</t>
  </si>
  <si>
    <t>Planning utilisation limit</t>
  </si>
  <si>
    <t>Peak-hour factor</t>
  </si>
  <si>
    <t>x average</t>
  </si>
  <si>
    <t>The limit and the peak factor are your planning choices, not industry figures. Cycle times are measured per route on the Routes sheet: one complete trip including pick-up, travel, drop-off and the return or reposition.</t>
  </si>
  <si>
    <t>Route</t>
  </si>
  <si>
    <t>From</t>
  </si>
  <si>
    <t>To</t>
  </si>
  <si>
    <t>Loads per shift</t>
  </si>
  <si>
    <t>Loads per trip</t>
  </si>
  <si>
    <t>Cycle time (min)</t>
  </si>
  <si>
    <t>Trips per shift</t>
  </si>
  <si>
    <t>Vehicle minutes</t>
  </si>
  <si>
    <t>Vehicles</t>
  </si>
  <si>
    <t>Dedicated vehicles</t>
  </si>
  <si>
    <t>Share of work</t>
  </si>
  <si>
    <t>Check</t>
  </si>
  <si>
    <t>Notes</t>
  </si>
  <si>
    <t>Example data for Brightwater Appliances (fictional; loads and cycle times are invented). Replace it with your own: select the example rows, right-click, Delete &gt; Table Rows. Yellow = you type; blue = calculated; Check names any problem.</t>
  </si>
  <si>
    <t>R1 Receiving to racking</t>
  </si>
  <si>
    <t>Dock 2</t>
  </si>
  <si>
    <t>Rack aisle A</t>
  </si>
  <si>
    <t/>
  </si>
  <si>
    <t>R2 Stores to line 1</t>
  </si>
  <si>
    <t>Line 1 supermarket</t>
  </si>
  <si>
    <t>R3 Stores to line 2</t>
  </si>
  <si>
    <t>Rack aisle B</t>
  </si>
  <si>
    <t>Line 2 supermarket</t>
  </si>
  <si>
    <t>Longest trip: crosses the main aisle twice</t>
  </si>
  <si>
    <t>R4 Kitting to assembly</t>
  </si>
  <si>
    <t>Kitting area</t>
  </si>
  <si>
    <t>Assembly cell 3</t>
  </si>
  <si>
    <t>R5 Assembly to test</t>
  </si>
  <si>
    <t>End-of-line test</t>
  </si>
  <si>
    <t>R6 Test to packing</t>
  </si>
  <si>
    <t>Packing</t>
  </si>
  <si>
    <t>R7 Packing to shipping</t>
  </si>
  <si>
    <t>Shipping lane 4</t>
  </si>
  <si>
    <t>R8 Empty tote return</t>
  </si>
  <si>
    <t>Lines 1 and 2</t>
  </si>
  <si>
    <t>Tote wash</t>
  </si>
  <si>
    <t>Stacks of six empty totes</t>
  </si>
  <si>
    <t>PLANNED FLEET</t>
  </si>
  <si>
    <t>PEAK-HOUR FLEET</t>
  </si>
  <si>
    <t>MINIMUM FLEET</t>
  </si>
  <si>
    <t>PLANNED FLEET UTILISATION</t>
  </si>
  <si>
    <t>Every vehicle busy all available time</t>
  </si>
  <si>
    <t>Available minutes per vehicle</t>
  </si>
  <si>
    <t>Fleet as demand grows</t>
  </si>
  <si>
    <t>Vehicle minutes needed per shift</t>
  </si>
  <si>
    <t>Loads vs today</t>
  </si>
  <si>
    <t>Planned fleet</t>
  </si>
  <si>
    <t>Peak-hour fleet</t>
  </si>
  <si>
    <t>Minimum shared fleet (100% busy)</t>
  </si>
  <si>
    <t>vehicles</t>
  </si>
  <si>
    <t>Planned fleet at your limit</t>
  </si>
  <si>
    <t>Fleet the peak hour needs</t>
  </si>
  <si>
    <t>Fleet with dedicated routes</t>
  </si>
  <si>
    <t>Vehicles saved by sharing</t>
  </si>
  <si>
    <t>Planned fleet utilisation</t>
  </si>
  <si>
    <t>Every route (the first 10 rows of Routes)</t>
  </si>
  <si>
    <t>Row</t>
  </si>
  <si>
    <t>Loads/shift</t>
  </si>
  <si>
    <t>Trips/shift</t>
  </si>
  <si>
    <t>Vehicle min</t>
  </si>
  <si>
    <t>Dedicated</t>
  </si>
  <si>
    <t>Share</t>
  </si>
  <si>
    <t>1</t>
  </si>
  <si>
    <t>2</t>
  </si>
  <si>
    <t>3</t>
  </si>
  <si>
    <t>4</t>
  </si>
  <si>
    <t>5</t>
  </si>
  <si>
    <t>6</t>
  </si>
  <si>
    <t>7</t>
  </si>
  <si>
    <t>8</t>
  </si>
  <si>
    <t>9</t>
  </si>
  <si>
    <t>10</t>
  </si>
  <si>
    <t>The route table shows the first 10 routes; the fleet sizes and tiles always use every row of Routes. A fleet estimate is not a traffic simulation: confirm the peak hour, charging and congestion with your supplier.</t>
  </si>
  <si>
    <t>What this workbook calculates</t>
  </si>
  <si>
    <t>Every route takes vehicle time: the trips it needs times the time one trip takes. Adding that time over all routes and dividing by the time one vehicle is available gives the fleet, as long as any vehicle can serve any route. This workbook works it out from each route's loads, trip size and measured cycle time, at the fleet's availability and mission success, then sizes the fleet four ways: with no slack, at your planning utilisation limit, for the peak hour, and as if every route had its own vehicles.</t>
  </si>
  <si>
    <t>Calculations</t>
  </si>
  <si>
    <t>Quantity</t>
  </si>
  <si>
    <t>How it is calculated</t>
  </si>
  <si>
    <t>Units</t>
  </si>
  <si>
    <t>Loads per shift / loads per trip / mission success rate (failed missions are attempted again).</t>
  </si>
  <si>
    <t>trips</t>
  </si>
  <si>
    <t>Trips per shift x cycle time of one complete trip.</t>
  </si>
  <si>
    <t>min/shift</t>
  </si>
  <si>
    <t>Scheduled minutes x fleet availability.</t>
  </si>
  <si>
    <t>Vehicles (per route)</t>
  </si>
  <si>
    <t>Vehicle minutes / available minutes per vehicle.</t>
  </si>
  <si>
    <t>Vehicles rounded up: the whole vehicles the route needs on its own.</t>
  </si>
  <si>
    <t>Minimum shared fleet</t>
  </si>
  <si>
    <t>All routes' vehicle minutes / available minutes, rounded up: every vehicle busy all the time it is available.
Excel: =ROUNDUP(ROUND(total / available, 9), 0)</t>
  </si>
  <si>
    <t>All routes' vehicle minutes / (available minutes x planning utilisation limit), rounded up.</t>
  </si>
  <si>
    <t>Average vehicle minutes per hour x peak-hour factor / (60 x availability), rounded up.</t>
  </si>
  <si>
    <t>All routes' vehicle minutes / (planned fleet x available minutes).</t>
  </si>
  <si>
    <t>The planned and peak-hour fleets with every route's loads scaled by 80% to 150%.</t>
  </si>
  <si>
    <t>Assumptions</t>
  </si>
  <si>
    <t>Any vehicle can serve any route (one vehicle type, shared dispatch); the dedicated fleet shows the other extreme.</t>
  </si>
  <si>
    <t>Cycle time is a complete trip, including loading and unloading, waiting at stations and the empty return or reposition.</t>
  </si>
  <si>
    <t>Availability already removes charging, maintenance and fault time; do not take charging out of the cycle time as well.</t>
  </si>
  <si>
    <t>Demand within the shift is level apart from the peak hour you describe with the peak factor.</t>
  </si>
  <si>
    <t>Limitations</t>
  </si>
  <si>
    <t>Averages, not a simulation: congestion, shared lifts and doors, and dispatch rules can need more vehicles than the arithmetic. Confirm with the supplier's simulation.</t>
  </si>
  <si>
    <t>Charging stations, chargers and battery swaps are not sized here; use the Charging Station Count calculator.</t>
  </si>
  <si>
    <t>Mixed fleets (tuggers, forklifts and AMRs) need one workbook per vehicle type, because cycle times and payloads differ.</t>
  </si>
  <si>
    <t>The Dashboard lists the first 10 routes; the fleet sizes always use every row.</t>
  </si>
  <si>
    <t>Agreement with the live calculator</t>
  </si>
  <si>
    <t>For one route, this workbook and the live AGV Fleet Size calculator agree: available minutes = scheduled minutes x availability; loads per vehicle = available minutes / cycle time x loads per trip x success; vehicles = loads / loads per vehicle, rounded up. That is the workbook's minimum shared fleet. The workbook adds many routes, the planning limit, the peak hour and demand growth. The build checks the calculator's own example (2 loads per 12-minute cycle, 480 minutes, 88%, 96%, 240 loads: 4 AGVs) and every example route through its engine.</t>
  </si>
  <si>
    <t>Open the AGV Fleet Size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</si>
  <si>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</si>
  <si>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</si>
  <si>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Vis, I. F. A., Design and control of automated guided vehicle systems: A literature review, European Journal of Operational Research 170 (2006) (fleet sizing from loaded and empty travel time).</t>
  </si>
  <si>
    <t>Egbelu, P. J., The use of non-simulation approaches in estimating vehicle requirements in an automated guided vehicle based transport system, Material Flow 4 (1987).</t>
  </si>
  <si>
    <t>MFG Calcs AGV Fleet Size calculator (agv-fleet-size): the same formula for one route.</t>
  </si>
  <si>
    <t>Standards are cited by name so you can look them up; no copyrighted standard text or tables are reproduced. Statistical constants used are public.</t>
  </si>
  <si>
    <t>Version history</t>
  </si>
  <si>
    <t>Change</t>
  </si>
  <si>
    <t>Date</t>
  </si>
  <si>
    <t>1.0.0</t>
  </si>
  <si>
    <t>First release.</t>
  </si>
  <si>
    <t>25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</si>
  <si>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</si>
  <si>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</si>
  <si>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</si>
  <si>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</si>
  <si>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</si>
  <si>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</si>
  <si>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</si>
  <si>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</si>
  <si>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</si>
  <si>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Route 1 (calculator example): trips per shift</t>
  </si>
  <si>
    <t>Route 1: vehicle minutes</t>
  </si>
  <si>
    <t>Route 1: vehicles</t>
  </si>
  <si>
    <t>Route 1: dedicated vehicles (calculator: 4 AGVs)</t>
  </si>
  <si>
    <t>Route 2: dedicated vehicles</t>
  </si>
  <si>
    <t>Route 3: Check flags the oversized trip</t>
  </si>
  <si>
    <t>Trip carries more than the shift</t>
  </si>
  <si>
    <t>exact</t>
  </si>
  <si>
    <t>All routes: minimum shared fleet</t>
  </si>
  <si>
    <t>All routes: planned fleet at 80%</t>
  </si>
  <si>
    <t>All routes: peak-hour fleet at 1.5x</t>
  </si>
  <si>
    <t>All routes: fleet with dedicated routes</t>
  </si>
  <si>
    <t>All routes: planned fleet utilisation</t>
  </si>
  <si>
    <t>Fixed test inputs</t>
  </si>
  <si>
    <t>White cells are fixed test inputs; blue cells are the workbook's formulas evaluated on them.</t>
  </si>
  <si>
    <t>Parameters</t>
  </si>
  <si>
    <t>Scheduled minutes</t>
  </si>
  <si>
    <t>Availability</t>
  </si>
  <si>
    <t>Mission success</t>
  </si>
  <si>
    <t>Planning limit</t>
  </si>
  <si>
    <t>Test table: Routes</t>
  </si>
  <si>
    <t>T-CALC</t>
  </si>
  <si>
    <t>A</t>
  </si>
  <si>
    <t>B</t>
  </si>
  <si>
    <t>T-2</t>
  </si>
  <si>
    <t>C</t>
  </si>
  <si>
    <t>T-3</t>
  </si>
  <si>
    <t>D</t>
  </si>
  <si>
    <t>Test inputs and formulas</t>
  </si>
</sst>
</file>

<file path=xl/styles.xml><?xml version="1.0" encoding="utf-8"?>
<styleSheet xmlns="http://schemas.openxmlformats.org/spreadsheetml/2006/main">
  <numFmts count="8">
    <numFmt numFmtId="164" formatCode="#,##0"/>
    <numFmt numFmtId="165" formatCode="0.0%"/>
    <numFmt numFmtId="166" formatCode="#,##0.00"/>
    <numFmt numFmtId="167" formatCode="#,##0.0"/>
    <numFmt numFmtId="168" formatCode="&quot;Limit &quot;0.0%"/>
    <numFmt numFmtId="169" formatCode="0%"/>
    <numFmt numFmtId="170" formatCode="#,##0.000"/>
    <numFmt numFmtId="171"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sz val="9"/>
      <color rgb="FF8A4A06"/>
      <name val="Calibri"/>
      <family val="2"/>
      <scheme val="minor"/>
    </font>
    <font>
      <b/>
      <sz val="10"/>
      <color rgb="FFFFFFFF"/>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
      <b/>
      <sz val="10"/>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0">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7" borderId="2" xfId="0" applyFont="1" applyFill="1" applyBorder="1" applyAlignment="1">
      <alignment vertical="center" wrapText="1"/>
    </xf>
    <xf numFmtId="0" fontId="18" fillId="2" borderId="5" xfId="0" applyFont="1" applyFill="1" applyBorder="1" applyAlignment="1">
      <alignment horizontal="center" vertical="center" wrapText="1"/>
    </xf>
    <xf numFmtId="167" fontId="10" fillId="3" borderId="2" xfId="0" applyNumberFormat="1" applyFont="1" applyFill="1" applyBorder="1" applyAlignment="1" applyProtection="1">
      <alignment vertical="center"/>
      <protection locked="0"/>
    </xf>
    <xf numFmtId="167"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0" fontId="19" fillId="4" borderId="3" xfId="0" applyFont="1" applyFill="1" applyBorder="1" applyAlignment="1">
      <alignment vertical="center"/>
    </xf>
    <xf numFmtId="0" fontId="20" fillId="0" borderId="0" xfId="0" applyFont="1" applyAlignment="1">
      <alignment vertical="center"/>
    </xf>
    <xf numFmtId="0" fontId="21"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65" fontId="4" fillId="9" borderId="7" xfId="0" applyNumberFormat="1" applyFont="1" applyFill="1" applyBorder="1" applyAlignment="1">
      <alignment horizontal="left" vertical="center"/>
    </xf>
    <xf numFmtId="0" fontId="22" fillId="9" borderId="7" xfId="0" applyFont="1" applyFill="1" applyBorder="1" applyAlignment="1">
      <alignment vertical="center"/>
    </xf>
    <xf numFmtId="168" fontId="22" fillId="9" borderId="7" xfId="0" applyNumberFormat="1" applyFont="1" applyFill="1" applyBorder="1" applyAlignment="1">
      <alignment horizontal="left" vertical="center"/>
    </xf>
    <xf numFmtId="0" fontId="21" fillId="9" borderId="8" xfId="0" applyFont="1" applyFill="1" applyBorder="1" applyAlignment="1">
      <alignment vertical="center"/>
    </xf>
    <xf numFmtId="0" fontId="23" fillId="0" borderId="0" xfId="0" applyFont="1" applyAlignment="1">
      <alignment vertical="center"/>
    </xf>
    <xf numFmtId="0" fontId="18" fillId="2" borderId="5" xfId="0" applyFont="1" applyFill="1" applyBorder="1" applyAlignment="1">
      <alignment horizontal="left" vertical="center" wrapText="1"/>
    </xf>
    <xf numFmtId="169" fontId="9" fillId="0" borderId="9" xfId="0" applyNumberFormat="1" applyFont="1" applyBorder="1" applyAlignment="1">
      <alignment vertical="center"/>
    </xf>
    <xf numFmtId="164" fontId="9" fillId="4" borderId="3" xfId="0" applyNumberFormat="1" applyFont="1" applyFill="1" applyBorder="1" applyAlignment="1">
      <alignment vertical="center"/>
    </xf>
    <xf numFmtId="0" fontId="9" fillId="0" borderId="9" xfId="0" applyFont="1" applyBorder="1" applyAlignment="1">
      <alignment vertical="center"/>
    </xf>
    <xf numFmtId="0" fontId="10" fillId="4" borderId="3" xfId="0" applyFont="1" applyFill="1" applyBorder="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4" fontId="9" fillId="0" borderId="9" xfId="0" applyNumberFormat="1" applyFont="1" applyBorder="1" applyAlignment="1">
      <alignment horizontal="center" vertical="center"/>
    </xf>
    <xf numFmtId="170" fontId="10" fillId="0" borderId="9" xfId="0" applyNumberFormat="1" applyFont="1" applyBorder="1" applyAlignment="1">
      <alignment vertical="center"/>
    </xf>
    <xf numFmtId="170" fontId="10" fillId="4" borderId="3" xfId="0" applyNumberFormat="1" applyFont="1" applyFill="1" applyBorder="1" applyAlignment="1">
      <alignment vertical="center"/>
    </xf>
    <xf numFmtId="171" fontId="10" fillId="4" borderId="3" xfId="0" applyNumberFormat="1" applyFont="1" applyFill="1" applyBorder="1" applyAlignment="1">
      <alignment vertical="center"/>
    </xf>
    <xf numFmtId="171" fontId="10" fillId="0" borderId="9" xfId="0" applyNumberFormat="1" applyFont="1" applyBorder="1" applyAlignment="1">
      <alignment vertical="center"/>
    </xf>
    <xf numFmtId="0" fontId="10" fillId="4" borderId="3" xfId="0" applyFont="1" applyFill="1" applyBorder="1" applyAlignment="1">
      <alignment horizontal="center" vertical="center"/>
    </xf>
    <xf numFmtId="166" fontId="10" fillId="0" borderId="9" xfId="0" applyNumberFormat="1" applyFont="1" applyBorder="1" applyAlignment="1">
      <alignment vertical="center"/>
    </xf>
    <xf numFmtId="164" fontId="10" fillId="0" borderId="9" xfId="0" applyNumberFormat="1" applyFont="1" applyBorder="1" applyAlignment="1">
      <alignment vertical="center"/>
    </xf>
    <xf numFmtId="165" fontId="10" fillId="0" borderId="9" xfId="0" applyNumberFormat="1" applyFont="1" applyBorder="1" applyAlignment="1">
      <alignment vertical="center"/>
    </xf>
    <xf numFmtId="167"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Vehicles of work by route</a:t>
            </a:r>
          </a:p>
        </c:rich>
      </c:tx>
      <c:layout/>
    </c:title>
    <c:plotArea>
      <c:layout/>
      <c:barChart>
        <c:barDir val="bar"/>
        <c:grouping val="clustered"/>
        <c:ser>
          <c:idx val="0"/>
          <c:order val="0"/>
          <c:tx>
            <c:v>Vehicles</c:v>
          </c:tx>
          <c:spPr>
            <a:solidFill>
              <a:srgbClr val="3B64D8"/>
            </a:solidFill>
            <a:ln w="9525">
              <a:solidFill>
                <a:srgbClr val="FFFFFF"/>
              </a:solidFill>
            </a:ln>
          </c:spPr>
          <c:dLbls>
            <c:numFmt formatCode="0.0" sourceLinked="0"/>
            <c:txPr>
              <a:bodyPr/>
              <a:lstStyle/>
              <a:p>
                <a:pPr>
                  <a:defRPr sz="800" b="1" baseline="0">
                    <a:solidFill>
                      <a:srgbClr val="FFFFFF"/>
                    </a:solidFill>
                    <a:latin typeface="Calibri"/>
                  </a:defRPr>
                </a:pPr>
                <a:endParaRPr lang="en-US"/>
              </a:p>
            </c:txPr>
            <c:dLblPos val="inBase"/>
            <c:showVal val="1"/>
          </c:dLbls>
          <c:cat>
            <c:strRef>
              <c:f>Dashboard!$C$43:$C$52</c:f>
              <c:strCache>
                <c:ptCount val="10"/>
                <c:pt idx="0">
                  <c:v>R1 Receiving to racking</c:v>
                </c:pt>
                <c:pt idx="1">
                  <c:v>R2 Stores to line 1</c:v>
                </c:pt>
                <c:pt idx="2">
                  <c:v>R3 Stores to line 2</c:v>
                </c:pt>
                <c:pt idx="3">
                  <c:v>R4 Kitting to assembly</c:v>
                </c:pt>
                <c:pt idx="4">
                  <c:v>R5 Assembly to test</c:v>
                </c:pt>
                <c:pt idx="5">
                  <c:v>R6 Test to packing</c:v>
                </c:pt>
                <c:pt idx="6">
                  <c:v>R7 Packing to shipping</c:v>
                </c:pt>
                <c:pt idx="7">
                  <c:v>R8 Empty tote return</c:v>
                </c:pt>
                <c:pt idx="8">
                  <c:v/>
                </c:pt>
                <c:pt idx="9">
                  <c:v/>
                </c:pt>
              </c:strCache>
            </c:strRef>
          </c:cat>
          <c:val>
            <c:numRef>
              <c:f>Dashboard!$I$43:$I$52</c:f>
              <c:numCache>
                <c:formatCode>General</c:formatCode>
                <c:ptCount val="10"/>
                <c:pt idx="0">
                  <c:v>1.49936868686869</c:v>
                </c:pt>
                <c:pt idx="1">
                  <c:v>1.38888888888889</c:v>
                </c:pt>
                <c:pt idx="2">
                  <c:v>1.42045454545455</c:v>
                </c:pt>
                <c:pt idx="3">
                  <c:v>0.841750841750842</c:v>
                </c:pt>
                <c:pt idx="4">
                  <c:v>0.598432239057239</c:v>
                </c:pt>
                <c:pt idx="5">
                  <c:v>0.460332491582492</c:v>
                </c:pt>
                <c:pt idx="6">
                  <c:v>0.690498737373737</c:v>
                </c:pt>
                <c:pt idx="7">
                  <c:v>0.394570707070707</c:v>
                </c:pt>
                <c:pt idx="8">
                  <c:v>0</c:v>
                </c:pt>
                <c:pt idx="9">
                  <c:v>0</c:v>
                </c:pt>
              </c:numCache>
            </c:numRef>
          </c:val>
        </c:ser>
        <c:ser>
          <c:idx val="1"/>
          <c:order val="1"/>
          <c:tx>
            <c:v>Dedicated vehicles</c:v>
          </c:tx>
          <c:spPr>
            <a:solidFill>
              <a:srgbClr val="E8702A"/>
            </a:solidFill>
            <a:ln w="9525">
              <a:solidFill>
                <a:srgbClr val="FFFFFF"/>
              </a:solidFill>
            </a:ln>
          </c:spPr>
          <c:cat>
            <c:strRef>
              <c:f>Dashboard!$C$43:$C$52</c:f>
              <c:strCache>
                <c:ptCount val="10"/>
                <c:pt idx="0">
                  <c:v>R1 Receiving to racking</c:v>
                </c:pt>
                <c:pt idx="1">
                  <c:v>R2 Stores to line 1</c:v>
                </c:pt>
                <c:pt idx="2">
                  <c:v>R3 Stores to line 2</c:v>
                </c:pt>
                <c:pt idx="3">
                  <c:v>R4 Kitting to assembly</c:v>
                </c:pt>
                <c:pt idx="4">
                  <c:v>R5 Assembly to test</c:v>
                </c:pt>
                <c:pt idx="5">
                  <c:v>R6 Test to packing</c:v>
                </c:pt>
                <c:pt idx="6">
                  <c:v>R7 Packing to shipping</c:v>
                </c:pt>
                <c:pt idx="7">
                  <c:v>R8 Empty tote return</c:v>
                </c:pt>
                <c:pt idx="8">
                  <c:v/>
                </c:pt>
                <c:pt idx="9">
                  <c:v/>
                </c:pt>
              </c:strCache>
            </c:strRef>
          </c:cat>
          <c:val>
            <c:numRef>
              <c:f>Dashboard!$J$43:$J$52</c:f>
              <c:numCache>
                <c:formatCode>General</c:formatCode>
                <c:ptCount val="10"/>
                <c:pt idx="0">
                  <c:v>2</c:v>
                </c:pt>
                <c:pt idx="1">
                  <c:v>2</c:v>
                </c:pt>
                <c:pt idx="2">
                  <c:v>2</c:v>
                </c:pt>
                <c:pt idx="3">
                  <c:v>1</c:v>
                </c:pt>
                <c:pt idx="4">
                  <c:v>1</c:v>
                </c:pt>
                <c:pt idx="5">
                  <c:v>1</c:v>
                </c:pt>
                <c:pt idx="6">
                  <c:v>1</c:v>
                </c:pt>
                <c:pt idx="7">
                  <c:v>1</c:v>
                </c:pt>
                <c:pt idx="8">
                  <c:v>0</c:v>
                </c:pt>
                <c:pt idx="9">
                  <c:v>0</c:v>
                </c:pt>
              </c:numCache>
            </c:numRef>
          </c:val>
        </c:ser>
        <c:gapWidth val="60"/>
        <c:overlap val="-1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Fleet as demand grows</a:t>
            </a:r>
          </a:p>
        </c:rich>
      </c:tx>
      <c:layout/>
    </c:title>
    <c:plotArea>
      <c:layout/>
      <c:barChart>
        <c:barDir val="col"/>
        <c:grouping val="clustered"/>
        <c:ser>
          <c:idx val="0"/>
          <c:order val="0"/>
          <c:tx>
            <c:v>Planned fleet</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Dashboard!$G$32:$G$39</c:f>
              <c:numCache>
                <c:formatCode>General</c:formatCode>
                <c:ptCount val="8"/>
                <c:pt idx="0">
                  <c:v>0.8</c:v>
                </c:pt>
                <c:pt idx="1">
                  <c:v>0.9</c:v>
                </c:pt>
                <c:pt idx="2">
                  <c:v>1</c:v>
                </c:pt>
                <c:pt idx="3">
                  <c:v>1.1</c:v>
                </c:pt>
                <c:pt idx="4">
                  <c:v>1.2</c:v>
                </c:pt>
                <c:pt idx="5">
                  <c:v>1.3</c:v>
                </c:pt>
                <c:pt idx="6">
                  <c:v>1.4</c:v>
                </c:pt>
                <c:pt idx="7">
                  <c:v>1.5</c:v>
                </c:pt>
              </c:numCache>
            </c:numRef>
          </c:cat>
          <c:val>
            <c:numRef>
              <c:f>Dashboard!$I$32:$I$39</c:f>
              <c:numCache>
                <c:formatCode>General</c:formatCode>
                <c:ptCount val="8"/>
                <c:pt idx="0">
                  <c:v>7</c:v>
                </c:pt>
                <c:pt idx="1">
                  <c:v>8</c:v>
                </c:pt>
                <c:pt idx="2">
                  <c:v>9</c:v>
                </c:pt>
                <c:pt idx="3">
                  <c:v>10</c:v>
                </c:pt>
                <c:pt idx="4">
                  <c:v>11</c:v>
                </c:pt>
                <c:pt idx="5">
                  <c:v>12</c:v>
                </c:pt>
                <c:pt idx="6">
                  <c:v>13</c:v>
                </c:pt>
                <c:pt idx="7">
                  <c:v>13</c:v>
                </c:pt>
              </c:numCache>
            </c:numRef>
          </c:val>
        </c:ser>
        <c:ser>
          <c:idx val="1"/>
          <c:order val="1"/>
          <c:tx>
            <c:v>Peak-hour fleet</c:v>
          </c:tx>
          <c:spPr>
            <a:solidFill>
              <a:srgbClr val="E8702A"/>
            </a:solidFill>
            <a:ln w="9525">
              <a:solidFill>
                <a:srgbClr val="FFFFFF"/>
              </a:solidFill>
            </a:ln>
          </c:spPr>
          <c:cat>
            <c:numRef>
              <c:f>Dashboard!$G$32:$G$39</c:f>
              <c:numCache>
                <c:formatCode>General</c:formatCode>
                <c:ptCount val="8"/>
                <c:pt idx="0">
                  <c:v>0.8</c:v>
                </c:pt>
                <c:pt idx="1">
                  <c:v>0.9</c:v>
                </c:pt>
                <c:pt idx="2">
                  <c:v>1</c:v>
                </c:pt>
                <c:pt idx="3">
                  <c:v>1.1</c:v>
                </c:pt>
                <c:pt idx="4">
                  <c:v>1.2</c:v>
                </c:pt>
                <c:pt idx="5">
                  <c:v>1.3</c:v>
                </c:pt>
                <c:pt idx="6">
                  <c:v>1.4</c:v>
                </c:pt>
                <c:pt idx="7">
                  <c:v>1.5</c:v>
                </c:pt>
              </c:numCache>
            </c:numRef>
          </c:cat>
          <c:val>
            <c:numRef>
              <c:f>Dashboard!$J$32:$J$39</c:f>
              <c:numCache>
                <c:formatCode>General</c:formatCode>
                <c:ptCount val="8"/>
                <c:pt idx="0">
                  <c:v>8</c:v>
                </c:pt>
                <c:pt idx="1">
                  <c:v>9</c:v>
                </c:pt>
                <c:pt idx="2">
                  <c:v>10</c:v>
                </c:pt>
                <c:pt idx="3">
                  <c:v>11</c:v>
                </c:pt>
                <c:pt idx="4">
                  <c:v>12</c:v>
                </c:pt>
                <c:pt idx="5">
                  <c:v>13</c:v>
                </c:pt>
                <c:pt idx="6">
                  <c:v>14</c:v>
                </c:pt>
                <c:pt idx="7">
                  <c:v>15</c:v>
                </c:pt>
              </c:numCache>
            </c:numRef>
          </c:val>
        </c:ser>
        <c:gapWidth val="60"/>
        <c:overlap val="-10"/>
        <c:axId val="50020001"/>
        <c:axId val="50020002"/>
      </c:barChart>
      <c:catAx>
        <c:axId val="50020001"/>
        <c:scaling>
          <c:orientation val="minMax"/>
        </c:scaling>
        <c:axPos val="b"/>
        <c:numFmt formatCode="0%"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27</xdr:row>
      <xdr:rowOff>152400</xdr:rowOff>
    </xdr:to>
    <xdr:graphicFrame macro="">
      <xdr:nvGraphicFramePr>
        <xdr:cNvPr id="2" name="Chart 1" descr="Bar chart of each route's work in vehicles (a fraction) beside the whole vehicles it would need with a dedicated flee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27</xdr:row>
      <xdr:rowOff>152400</xdr:rowOff>
    </xdr:to>
    <xdr:graphicFrame macro="">
      <xdr:nvGraphicFramePr>
        <xdr:cNvPr id="3" name="Chart 2" descr="Column chart of the planned fleet and the peak-hour fleet at 80% to 150% of today's load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Routes" displayName="tblRoutes" ref="B5:N13" totalsRowShown="0">
  <autoFilter ref="B5:N13"/>
  <tableColumns count="13">
    <tableColumn id="1" name="Route"/>
    <tableColumn id="2" name="From"/>
    <tableColumn id="3" name="To"/>
    <tableColumn id="4" name="Loads per shift"/>
    <tableColumn id="5" name="Loads per trip"/>
    <tableColumn id="6" name="Cycle time (min)"/>
    <tableColumn id="7" name="Trips per shift">
      <calculatedColumnFormula>IF(tblRoutes[[#This Row],[Route]]="","",IF(AND(tblRoutes[[#This Row],[Loads per trip]]&gt;0,Success&gt;0),tblRoutes[[#This Row],[Loads per shift]]/tblRoutes[[#This Row],[Loads per trip]]/Success,""))</calculatedColumnFormula>
    </tableColumn>
    <tableColumn id="8" name="Vehicle minutes">
      <calculatedColumnFormula>IF(tblRoutes[[#This Row],[Route]]="","",IF(ISNUMBER(tblRoutes[[#This Row],[Trips per shift]]),tblRoutes[[#This Row],[Trips per shift]]*tblRoutes[[#This Row],[Cycle time (min)]],""))</calculatedColumnFormula>
    </tableColumn>
    <tableColumn id="9" name="Vehicles">
      <calculatedColumnFormula>IF(tblRoutes[[#This Row],[Route]]="","",IF(AND(ISNUMBER(tblRoutes[[#This Row],[Vehicle minutes]]),(ScheduledMin*Availability)&gt;0),tblRoutes[[#This Row],[Vehicle minutes]]/(ScheduledMin*Availability),""))</calculatedColumnFormula>
    </tableColumn>
    <tableColumn id="10" name="Dedicated vehicles">
      <calculatedColumnFormula>IF(tblRoutes[[#This Row],[Route]]="","",IF(ISNUMBER(tblRoutes[[#This Row],[Vehicles]]),ROUNDUP(ROUND(tblRoutes[[#This Row],[Vehicles]],9),0),""))</calculatedColumnFormula>
    </tableColumn>
    <tableColumn id="11" name="Share of work">
      <calculatedColumnFormula>IF(tblRoutes[[#This Row],[Route]]="","",IF(AND(ISNUMBER(tblRoutes[[#This Row],[Vehicle minutes]]),SUM(tblRoutes[Vehicle minutes])&gt;0),tblRoutes[[#This Row],[Vehicle minutes]]/SUM(tblRoutes[Vehicle minutes]),""))</calculatedColumnFormula>
    </tableColumn>
    <tableColumn id="12" name="Check">
      <calculatedColumnFormula>IF(tblRoutes[[#This Row],[Route]]="","",IF(tblRoutes[[#This Row],[Route]]="","Missing route",IF(tblRoutes[[#This Row],[Loads per shift]]="","Missing loads per shift",IF(tblRoutes[[#This Row],[Loads per trip]]="","Missing loads per trip",IF(tblRoutes[[#This Row],[Cycle time (min)]]="","Missing cycle time",IF(COUNTIF(tblRoutes[Route],tblRoutes[[#This Row],[Route]])&gt;1,"Route listed twice",IF(tblRoutes[[#This Row],[Loads per trip]]&gt;tblRoutes[[#This Row],[Loads per shift]],"Trip carries more than the shift","OK")))))))</calculatedColumnFormula>
    </tableColumn>
    <tableColumn id="13" name="Notes"/>
  </tableColumns>
  <tableStyleInfo name="TableStyleLight1" showFirstColumn="0" showLastColumn="0" showRowStripes="0" showColumnStripes="0"/>
</table>
</file>

<file path=xl/tables/table2.xml><?xml version="1.0" encoding="utf-8"?>
<table xmlns="http://schemas.openxmlformats.org/spreadsheetml/2006/main" id="2" name="tblVerifyRoutes" displayName="tblVerifyRoutes" ref="B34:N37" totalsRowShown="0">
  <tableColumns count="13">
    <tableColumn id="1" name="Route"/>
    <tableColumn id="2" name="From"/>
    <tableColumn id="3" name="To"/>
    <tableColumn id="4" name="Loads per shift"/>
    <tableColumn id="5" name="Loads per trip"/>
    <tableColumn id="6" name="Cycle time (min)"/>
    <tableColumn id="7" name="Trips per shift">
      <calculatedColumnFormula>IF(tblVerifyRoutes[[#This Row],[Route]]="","",IF(AND(tblVerifyRoutes[[#This Row],[Loads per trip]]&gt;0,$E$29&gt;0),tblVerifyRoutes[[#This Row],[Loads per shift]]/tblVerifyRoutes[[#This Row],[Loads per trip]]/$E$29,""))</calculatedColumnFormula>
    </tableColumn>
    <tableColumn id="8" name="Vehicle minutes">
      <calculatedColumnFormula>IF(tblVerifyRoutes[[#This Row],[Route]]="","",IF(ISNUMBER(tblVerifyRoutes[[#This Row],[Trips per shift]]),tblVerifyRoutes[[#This Row],[Trips per shift]]*tblVerifyRoutes[[#This Row],[Cycle time (min)]],""))</calculatedColumnFormula>
    </tableColumn>
    <tableColumn id="9" name="Vehicles">
      <calculatedColumnFormula>IF(tblVerifyRoutes[[#This Row],[Route]]="","",IF(AND(ISNUMBER(tblVerifyRoutes[[#This Row],[Vehicle minutes]]),($E$27*$E$28)&gt;0),tblVerifyRoutes[[#This Row],[Vehicle minutes]]/($E$27*$E$28),""))</calculatedColumnFormula>
    </tableColumn>
    <tableColumn id="10" name="Dedicated vehicles">
      <calculatedColumnFormula>IF(tblVerifyRoutes[[#This Row],[Route]]="","",IF(ISNUMBER(tblVerifyRoutes[[#This Row],[Vehicles]]),ROUNDUP(ROUND(tblVerifyRoutes[[#This Row],[Vehicles]],9),0),""))</calculatedColumnFormula>
    </tableColumn>
    <tableColumn id="11" name="Share of work">
      <calculatedColumnFormula>IF(tblVerifyRoutes[[#This Row],[Route]]="","",IF(AND(ISNUMBER(tblVerifyRoutes[[#This Row],[Vehicle minutes]]),SUM(tblVerifyRoutes[Vehicle minutes])&gt;0),tblVerifyRoutes[[#This Row],[Vehicle minutes]]/SUM(tblVerifyRoutes[Vehicle minutes]),""))</calculatedColumnFormula>
    </tableColumn>
    <tableColumn id="12" name="Check">
      <calculatedColumnFormula>IF(tblVerifyRoutes[[#This Row],[Route]]="","",IF(tblVerifyRoutes[[#This Row],[Route]]="","Missing route",IF(tblVerifyRoutes[[#This Row],[Loads per shift]]="","Missing loads per shift",IF(tblVerifyRoutes[[#This Row],[Loads per trip]]="","Missing loads per trip",IF(tblVerifyRoutes[[#This Row],[Cycle time (min)]]="","Missing cycle time",IF(COUNTIF(tblVerifyRoutes[Route],tblVerifyRoutes[[#This Row],[Route]])&gt;1,"Route listed twice",IF(tblVerifyRoutes[[#This Row],[Loads per trip]]&gt;tblVerifyRoutes[[#This Row],[Loads per shift]],"Trip carries more than the shift","OK")))))))</calculatedColumnFormula>
    </tableColumn>
    <tableColumn id="13"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mr-fleet-sizing" TargetMode="External"/><Relationship Id="rId2" Type="http://schemas.openxmlformats.org/officeDocument/2006/relationships/hyperlink" Target="https://www.mfgcalcs.com/calculators/amr-agv-intralogistics-automation/agv-fleet-size?utm_source=mfgcalcs-template&amp;utm_medium=xlsx&amp;utm_campaign=amr-fleet-sizing" TargetMode="External"/><Relationship Id="rId3" Type="http://schemas.openxmlformats.org/officeDocument/2006/relationships/hyperlink" Target="https://www.mfgcalcs.com/templates/amr-fleet-sizing?utm_source=mfgcalcs-template&amp;utm_medium=xlsx&amp;utm_campaign=amr-fleet-sizing" TargetMode="External"/><Relationship Id="rId4" Type="http://schemas.openxmlformats.org/officeDocument/2006/relationships/hyperlink" Target="https://www.mfgcalcs.com/templates?utm_source=mfgcalcs-template&amp;utm_medium=xlsx&amp;utm_campaign=amr-fleet-sizing"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mr-fleet-sizin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mr-fleet-sizing" TargetMode="External"/><Relationship Id="rId2"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mr-fleet-sizing"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mr-fleet-sizing" TargetMode="External"/><Relationship Id="rId2" Type="http://schemas.openxmlformats.org/officeDocument/2006/relationships/hyperlink" Target="https://www.mfgcalcs.com/calculators/amr-agv-intralogistics-automation/agv-fleet-size?utm_source=mfgcalcs-template&amp;utm_medium=xlsx&amp;utm_campaign=amr-fleet-sizing"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mr-fleet-sizing" TargetMode="External"/><Relationship Id="rId2"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11 of 11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Routes!A1" tooltip="Go to Routes" display="Routes"/>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AMR Fleet Sizing&amp;R&amp;8&amp;A</oddHeader>
    <oddFooter>&amp;L&amp;8mfgcalcs.com - free manufacturing templates&amp;R&amp;8Page &amp;P of &amp;N</oddFooter>
  </headerFooter>
  <rowBreaks count="1" manualBreakCount="1">
    <brk id="32"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16"/>
  <sheetViews>
    <sheetView showGridLines="0" workbookViewId="0"/>
  </sheetViews>
  <sheetFormatPr defaultRowHeight="15"/>
  <cols>
    <col min="1" max="1" width="2.7109375" customWidth="1"/>
    <col min="2" max="2" width="38.7109375" customWidth="1"/>
    <col min="3" max="4" width="14.7109375" customWidth="1"/>
    <col min="5" max="5" width="44.7109375" customWidth="1"/>
  </cols>
  <sheetData>
    <row r="1" spans="1:5" ht="30" customHeight="1">
      <c r="A1" s="1" t="s">
        <v>0</v>
      </c>
      <c r="B1" s="1"/>
      <c r="C1" s="1"/>
      <c r="D1" s="1"/>
      <c r="E1" s="1"/>
    </row>
    <row r="2" spans="1:5" ht="32.4" customHeight="1">
      <c r="B2" s="2" t="s">
        <v>18</v>
      </c>
      <c r="C2" s="2"/>
      <c r="D2" s="2"/>
      <c r="E2" s="3" t="s">
        <v>2</v>
      </c>
    </row>
    <row r="3" spans="1:5" ht="6" customHeight="1"/>
    <row r="4" spans="1:5" ht="21" customHeight="1">
      <c r="B4" s="8" t="s">
        <v>60</v>
      </c>
      <c r="C4" s="8"/>
      <c r="D4" s="8"/>
      <c r="E4" s="8"/>
    </row>
    <row r="5" spans="1:5" ht="5" customHeight="1"/>
    <row r="6" spans="1:5">
      <c r="B6" s="27" t="s">
        <v>61</v>
      </c>
      <c r="C6" s="28" t="s">
        <v>62</v>
      </c>
      <c r="D6" s="28"/>
    </row>
    <row r="7" spans="1:5">
      <c r="B7" s="27" t="s">
        <v>63</v>
      </c>
      <c r="C7" s="29">
        <v>450</v>
      </c>
      <c r="D7" s="7" t="s">
        <v>64</v>
      </c>
    </row>
    <row r="8" spans="1:5">
      <c r="B8" s="27" t="s">
        <v>65</v>
      </c>
      <c r="C8" s="30">
        <v>0.88</v>
      </c>
      <c r="D8" s="7" t="s">
        <v>66</v>
      </c>
    </row>
    <row r="9" spans="1:5">
      <c r="B9" s="27" t="s">
        <v>67</v>
      </c>
      <c r="C9" s="30">
        <v>0.96</v>
      </c>
      <c r="D9" s="7" t="s">
        <v>66</v>
      </c>
    </row>
    <row r="11" spans="1:5" ht="21" customHeight="1">
      <c r="B11" s="8" t="s">
        <v>68</v>
      </c>
      <c r="C11" s="8"/>
      <c r="D11" s="8"/>
      <c r="E11" s="8"/>
    </row>
    <row r="12" spans="1:5" ht="5" customHeight="1"/>
    <row r="13" spans="1:5">
      <c r="B13" s="27" t="s">
        <v>69</v>
      </c>
      <c r="C13" s="30">
        <v>0.85</v>
      </c>
      <c r="D13" s="7" t="s">
        <v>66</v>
      </c>
    </row>
    <row r="14" spans="1:5">
      <c r="B14" s="27" t="s">
        <v>70</v>
      </c>
      <c r="C14" s="31">
        <v>1.3</v>
      </c>
      <c r="D14" s="7" t="s">
        <v>71</v>
      </c>
    </row>
    <row r="16" spans="1:5" ht="35.4" customHeight="1">
      <c r="B16" s="25" t="s">
        <v>72</v>
      </c>
      <c r="C16" s="25"/>
      <c r="D16" s="25"/>
      <c r="E16" s="25"/>
    </row>
  </sheetData>
  <mergeCells count="6">
    <mergeCell ref="A1:E1"/>
    <mergeCell ref="B2:D2"/>
    <mergeCell ref="B4:E4"/>
    <mergeCell ref="C6:D6"/>
    <mergeCell ref="B11:E11"/>
    <mergeCell ref="B16:E16"/>
  </mergeCells>
  <dataValidations count="6">
    <dataValidation type="textLength" allowBlank="1" showInputMessage="1" showErrorMessage="1" errorTitle="Check this entry" error="Text up to 80 characters." promptTitle="Site or project" prompt="Shown on the Dashboard. Text up to 80 characters." sqref="C6">
      <formula1>0</formula1>
      <formula2>80</formula2>
    </dataValidation>
    <dataValidation type="decimal" allowBlank="1" showInputMessage="1" showErrorMessage="1" errorTitle="Check this entry" error="Enter a number from 1 to 1,440." promptTitle="Scheduled minutes per vehicle..." prompt="Minutes each vehicle is scheduled to work in the shift (7.5 hours = 450). Enter a number from 1 to 1,440." sqref="C7">
      <formula1>1</formula1>
      <formula2>1440</formula2>
    </dataValidation>
    <dataValidation type="decimal" allowBlank="1" showInputMessage="1" showErrorMessage="1" errorTitle="Check this entry" error="Enter a percentage from 1% to 100% (type 85% or 0.85)." promptTitle="Fleet availability" prompt="Available vehicle minutes / scheduled minutes, after charging, maintenance and faults that take a vehicle out of service. Use your supplier's measured figure or your own. Enter a percentage from 1% to 100% (type 85% or 0.85)." sqref="C8">
      <formula1>0.01</formula1>
      <formula2>1</formula2>
    </dataValidation>
    <dataValidation type="decimal" allowBlank="1" showInputMessage="1" showErrorMessage="1" errorTitle="Check this entry" error="Enter a percentage from 1% to 100% (type 85% or 0.85)." promptTitle="Mission success rate" prompt="Missions completed / missions attempted. Failed missions are run again, so they cost vehicle time. Enter a percentage from 1% to 100% (type 85% or 0.85)." sqref="C9">
      <formula1>0.01</formula1>
      <formula2>1</formula2>
    </dataValidation>
    <dataValidation type="decimal" allowBlank="1" showInputMessage="1" showErrorMessage="1" errorTitle="Check this entry" error="Enter a percentage from 10% to 100% (type 85% or 0.85)." promptTitle="Planning utilisation limit" prompt="The share of available time you plan the fleet to be busy. 100% sizes the fleet with no slack, as the AGV Fleet Size calculator does; lower leaves room for traffic, queues and variation. Enter a percentage from 10% to 100% (type 85% or 0.85)." sqref="C13">
      <formula1>0.1</formula1>
      <formula2>1</formula2>
    </dataValidation>
    <dataValidation type="decimal" allowBlank="1" showInputMessage="1" showErrorMessage="1" errorTitle="Check this entry" error="Enter a number from 1 to 5." promptTitle="Peak-hour factor" prompt="Busiest hour's loads / the shift's average hourly loads, from your own movement data. 1 = level demand. Enter a number from 1 to 5." sqref="C14">
      <formula1>1</formula1>
      <formula2>5</formula2>
    </dataValidation>
  </dataValidations>
  <hyperlinks>
    <hyperlink ref="E2" r:id="rId1" tooltip="Free manufacturing calculators and templates"/>
  </hyperlinks>
  <pageMargins left="0.4" right="0.4" top="0.7" bottom="0.65" header="0.3" footer="0.3"/>
  <pageSetup fitToHeight="0" orientation="landscape"/>
  <headerFooter>
    <oddHeader>&amp;L&amp;8MFG Calcs - AMR Fleet Sizing&amp;R&amp;8&amp;A</oddHeader>
    <oddFooter>&amp;L&amp;8mfgcalcs.com - free manufacturing templates&amp;R&amp;8Page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N13"/>
  <sheetViews>
    <sheetView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1" max="1" width="2.7109375" customWidth="1"/>
    <col min="2" max="2" width="22.7109375" customWidth="1"/>
    <col min="3" max="3" width="15.7109375" customWidth="1"/>
    <col min="4" max="4" width="16.7109375" customWidth="1"/>
    <col min="5" max="5" width="9.28515625" customWidth="1"/>
    <col min="6" max="6" width="8.28515625" customWidth="1"/>
    <col min="7" max="8" width="8.7109375" customWidth="1"/>
    <col min="9" max="9" width="9.7109375" customWidth="1"/>
    <col min="10" max="10" width="8.7109375" customWidth="1"/>
    <col min="11" max="11" width="9.7109375" customWidth="1"/>
    <col min="12" max="12" width="8.7109375" customWidth="1"/>
    <col min="13" max="13" width="22.7109375" customWidth="1"/>
    <col min="14" max="14" width="26.7109375" customWidth="1"/>
  </cols>
  <sheetData>
    <row r="1" spans="1:14" ht="30" customHeight="1" x14ac:dyDescent="0.25">
      <c r="A1" s="1" t="s">
        <v>0</v>
      </c>
      <c r="B1" s="1"/>
      <c r="C1" s="1"/>
      <c r="D1" s="1"/>
      <c r="E1" s="1"/>
      <c r="F1" s="1"/>
      <c r="G1" s="1"/>
      <c r="H1" s="1"/>
      <c r="I1" s="1"/>
      <c r="J1" s="1"/>
      <c r="K1" s="1"/>
      <c r="L1" s="1"/>
      <c r="M1" s="1"/>
      <c r="N1" s="1"/>
    </row>
    <row r="2" spans="1:14" ht="21" customHeight="1" x14ac:dyDescent="0.25">
      <c r="B2" s="2" t="s">
        <v>20</v>
      </c>
      <c r="C2" s="2"/>
      <c r="D2" s="2"/>
      <c r="E2" s="2"/>
      <c r="F2" s="2"/>
      <c r="G2" s="2"/>
      <c r="H2" s="2"/>
      <c r="I2" s="2"/>
      <c r="J2" s="2"/>
      <c r="K2" s="2"/>
      <c r="L2" s="2"/>
      <c r="M2" s="2"/>
      <c r="N2" s="3" t="s">
        <v>2</v>
      </c>
    </row>
    <row r="3" spans="1:14" ht="6" customHeight="1" x14ac:dyDescent="0.25"/>
    <row r="4" spans="1:14" ht="29.76" customHeight="1" x14ac:dyDescent="0.25">
      <c r="B4" s="32" t="s">
        <v>86</v>
      </c>
      <c r="C4" s="32"/>
      <c r="D4" s="32"/>
      <c r="E4" s="32"/>
      <c r="F4" s="32"/>
      <c r="G4" s="32"/>
      <c r="H4" s="32"/>
      <c r="I4" s="32"/>
      <c r="J4" s="32"/>
      <c r="K4" s="32"/>
      <c r="L4" s="32"/>
      <c r="M4" s="32"/>
      <c r="N4" s="32"/>
    </row>
    <row r="5" spans="1:14" ht="32" customHeight="1" x14ac:dyDescent="0.25">
      <c r="B5" s="33" t="s">
        <v>73</v>
      </c>
      <c r="C5" s="33" t="s">
        <v>74</v>
      </c>
      <c r="D5" s="33" t="s">
        <v>75</v>
      </c>
      <c r="E5" s="33" t="s">
        <v>76</v>
      </c>
      <c r="F5" s="33" t="s">
        <v>77</v>
      </c>
      <c r="G5" s="33" t="s">
        <v>78</v>
      </c>
      <c r="H5" s="33" t="s">
        <v>79</v>
      </c>
      <c r="I5" s="33" t="s">
        <v>80</v>
      </c>
      <c r="J5" s="33" t="s">
        <v>81</v>
      </c>
      <c r="K5" s="33" t="s">
        <v>82</v>
      </c>
      <c r="L5" s="33" t="s">
        <v>83</v>
      </c>
      <c r="M5" s="33" t="s">
        <v>84</v>
      </c>
      <c r="N5" s="33" t="s">
        <v>85</v>
      </c>
    </row>
    <row r="6" spans="1:14" x14ac:dyDescent="0.25">
      <c r="B6" s="28" t="s">
        <v>87</v>
      </c>
      <c r="C6" s="28" t="s">
        <v>88</v>
      </c>
      <c r="D6" s="28" t="s">
        <v>89</v>
      </c>
      <c r="E6" s="29">
        <v>60</v>
      </c>
      <c r="F6" s="29">
        <v>1</v>
      </c>
      <c r="G6" s="34">
        <v>9.5</v>
      </c>
      <c r="H6" s="35">
        <f>IF(tblRoutes[[#This Row],[Route]]="","",IF(AND(tblRoutes[[#This Row],[Loads per trip]]&gt;0,Success&gt;0),tblRoutes[[#This Row],[Loads per shift]]/tblRoutes[[#This Row],[Loads per trip]]/Success,""))</f>
        <v>62.5</v>
      </c>
      <c r="I6" s="35">
        <f>IF(tblRoutes[[#This Row],[Route]]="","",IF(ISNUMBER(tblRoutes[[#This Row],[Trips per shift]]),tblRoutes[[#This Row],[Trips per shift]]*tblRoutes[[#This Row],[Cycle time (min)]],""))</f>
        <v>593.75</v>
      </c>
      <c r="J6" s="36">
        <f>IF(tblRoutes[[#This Row],[Route]]="","",IF(AND(ISNUMBER(tblRoutes[[#This Row],[Vehicle minutes]]),(ScheduledMin*Availability)&gt;0),tblRoutes[[#This Row],[Vehicle minutes]]/(ScheduledMin*Availability),""))</f>
        <v>1.49936868686869</v>
      </c>
      <c r="K6" s="37">
        <f>IF(tblRoutes[[#This Row],[Route]]="","",IF(ISNUMBER(tblRoutes[[#This Row],[Vehicles]]),ROUNDUP(ROUND(tblRoutes[[#This Row],[Vehicles]],9),0),""))</f>
        <v>2</v>
      </c>
      <c r="L6" s="38">
        <f>IF(tblRoutes[[#This Row],[Route]]="","",IF(AND(ISNUMBER(tblRoutes[[#This Row],[Vehicle minutes]]),SUM(tblRoutes[Vehicle minutes])&gt;0),tblRoutes[[#This Row],[Vehicle minutes]]/SUM(tblRoutes[Vehicle minutes]),""))</f>
        <v>0.205553552109629</v>
      </c>
      <c r="M6" s="39" t="str">
        <f>IF(tblRoutes[[#This Row],[Route]]="","",IF(tblRoutes[[#This Row],[Route]]="","Missing route",IF(tblRoutes[[#This Row],[Loads per shift]]="","Missing loads per shift",IF(tblRoutes[[#This Row],[Loads per trip]]="","Missing loads per trip",IF(tblRoutes[[#This Row],[Cycle time (min)]]="","Missing cycle time",IF(COUNTIF(tblRoutes[Route],tblRoutes[[#This Row],[Route]])&gt;1,"Route listed twice",IF(tblRoutes[[#This Row],[Loads per trip]]&gt;tblRoutes[[#This Row],[Loads per shift]],"Trip carries more than the shift","OK")))))))</f>
        <v>OK</v>
      </c>
      <c r="N6" s="28" t="s">
        <v>90</v>
      </c>
    </row>
    <row r="7" spans="1:14" x14ac:dyDescent="0.25">
      <c r="B7" s="28" t="s">
        <v>91</v>
      </c>
      <c r="C7" s="28" t="s">
        <v>89</v>
      </c>
      <c r="D7" s="28" t="s">
        <v>92</v>
      </c>
      <c r="E7" s="29">
        <v>96</v>
      </c>
      <c r="F7" s="29">
        <v>2</v>
      </c>
      <c r="G7" s="34">
        <v>11</v>
      </c>
      <c r="H7" s="35">
        <f>IF(tblRoutes[[#This Row],[Route]]="","",IF(AND(tblRoutes[[#This Row],[Loads per trip]]&gt;0,Success&gt;0),tblRoutes[[#This Row],[Loads per shift]]/tblRoutes[[#This Row],[Loads per trip]]/Success,""))</f>
        <v>50</v>
      </c>
      <c r="I7" s="35">
        <f>IF(tblRoutes[[#This Row],[Route]]="","",IF(ISNUMBER(tblRoutes[[#This Row],[Trips per shift]]),tblRoutes[[#This Row],[Trips per shift]]*tblRoutes[[#This Row],[Cycle time (min)]],""))</f>
        <v>550</v>
      </c>
      <c r="J7" s="36">
        <f>IF(tblRoutes[[#This Row],[Route]]="","",IF(AND(ISNUMBER(tblRoutes[[#This Row],[Vehicle minutes]]),(ScheduledMin*Availability)&gt;0),tblRoutes[[#This Row],[Vehicle minutes]]/(ScheduledMin*Availability),""))</f>
        <v>1.38888888888889</v>
      </c>
      <c r="K7" s="37">
        <f>IF(tblRoutes[[#This Row],[Route]]="","",IF(ISNUMBER(tblRoutes[[#This Row],[Vehicles]]),ROUNDUP(ROUND(tblRoutes[[#This Row],[Vehicles]],9),0),""))</f>
        <v>2</v>
      </c>
      <c r="L7" s="38">
        <f>IF(tblRoutes[[#This Row],[Route]]="","",IF(AND(ISNUMBER(tblRoutes[[#This Row],[Vehicle minutes]]),SUM(tblRoutes[Vehicle minutes])&gt;0),tblRoutes[[#This Row],[Vehicle minutes]]/SUM(tblRoutes[Vehicle minutes]),""))</f>
        <v>0.190407500901551</v>
      </c>
      <c r="M7" s="39" t="str">
        <f>IF(tblRoutes[[#This Row],[Route]]="","",IF(tblRoutes[[#This Row],[Route]]="","Missing route",IF(tblRoutes[[#This Row],[Loads per shift]]="","Missing loads per shift",IF(tblRoutes[[#This Row],[Loads per trip]]="","Missing loads per trip",IF(tblRoutes[[#This Row],[Cycle time (min)]]="","Missing cycle time",IF(COUNTIF(tblRoutes[Route],tblRoutes[[#This Row],[Route]])&gt;1,"Route listed twice",IF(tblRoutes[[#This Row],[Loads per trip]]&gt;tblRoutes[[#This Row],[Loads per shift]],"Trip carries more than the shift","OK")))))))</f>
        <v>OK</v>
      </c>
      <c r="N7" s="28" t="s">
        <v>90</v>
      </c>
    </row>
    <row r="8" spans="1:14" x14ac:dyDescent="0.25">
      <c r="B8" s="28" t="s">
        <v>93</v>
      </c>
      <c r="C8" s="28" t="s">
        <v>94</v>
      </c>
      <c r="D8" s="28" t="s">
        <v>95</v>
      </c>
      <c r="E8" s="29">
        <v>80</v>
      </c>
      <c r="F8" s="29">
        <v>2</v>
      </c>
      <c r="G8" s="34">
        <v>13.5</v>
      </c>
      <c r="H8" s="35">
        <f>IF(tblRoutes[[#This Row],[Route]]="","",IF(AND(tblRoutes[[#This Row],[Loads per trip]]&gt;0,Success&gt;0),tblRoutes[[#This Row],[Loads per shift]]/tblRoutes[[#This Row],[Loads per trip]]/Success,""))</f>
        <v>41.6666666666667</v>
      </c>
      <c r="I8" s="35">
        <f>IF(tblRoutes[[#This Row],[Route]]="","",IF(ISNUMBER(tblRoutes[[#This Row],[Trips per shift]]),tblRoutes[[#This Row],[Trips per shift]]*tblRoutes[[#This Row],[Cycle time (min)]],""))</f>
        <v>562.5</v>
      </c>
      <c r="J8" s="36">
        <f>IF(tblRoutes[[#This Row],[Route]]="","",IF(AND(ISNUMBER(tblRoutes[[#This Row],[Vehicle minutes]]),(ScheduledMin*Availability)&gt;0),tblRoutes[[#This Row],[Vehicle minutes]]/(ScheduledMin*Availability),""))</f>
        <v>1.42045454545455</v>
      </c>
      <c r="K8" s="37">
        <f>IF(tblRoutes[[#This Row],[Route]]="","",IF(ISNUMBER(tblRoutes[[#This Row],[Vehicles]]),ROUNDUP(ROUND(tblRoutes[[#This Row],[Vehicles]],9),0),""))</f>
        <v>2</v>
      </c>
      <c r="L8" s="38">
        <f>IF(tblRoutes[[#This Row],[Route]]="","",IF(AND(ISNUMBER(tblRoutes[[#This Row],[Vehicle minutes]]),SUM(tblRoutes[Vehicle minutes])&gt;0),tblRoutes[[#This Row],[Vehicle minutes]]/SUM(tblRoutes[Vehicle minutes]),""))</f>
        <v>0.194734944103859</v>
      </c>
      <c r="M8" s="39" t="str">
        <f>IF(tblRoutes[[#This Row],[Route]]="","",IF(tblRoutes[[#This Row],[Route]]="","Missing route",IF(tblRoutes[[#This Row],[Loads per shift]]="","Missing loads per shift",IF(tblRoutes[[#This Row],[Loads per trip]]="","Missing loads per trip",IF(tblRoutes[[#This Row],[Cycle time (min)]]="","Missing cycle time",IF(COUNTIF(tblRoutes[Route],tblRoutes[[#This Row],[Route]])&gt;1,"Route listed twice",IF(tblRoutes[[#This Row],[Loads per trip]]&gt;tblRoutes[[#This Row],[Loads per shift]],"Trip carries more than the shift","OK")))))))</f>
        <v>OK</v>
      </c>
      <c r="N8" s="28" t="s">
        <v>96</v>
      </c>
    </row>
    <row r="9" spans="1:14" x14ac:dyDescent="0.25">
      <c r="B9" s="28" t="s">
        <v>97</v>
      </c>
      <c r="C9" s="28" t="s">
        <v>98</v>
      </c>
      <c r="D9" s="28" t="s">
        <v>99</v>
      </c>
      <c r="E9" s="29">
        <v>120</v>
      </c>
      <c r="F9" s="29">
        <v>3</v>
      </c>
      <c r="G9" s="34">
        <v>8</v>
      </c>
      <c r="H9" s="35">
        <f>IF(tblRoutes[[#This Row],[Route]]="","",IF(AND(tblRoutes[[#This Row],[Loads per trip]]&gt;0,Success&gt;0),tblRoutes[[#This Row],[Loads per shift]]/tblRoutes[[#This Row],[Loads per trip]]/Success,""))</f>
        <v>41.6666666666667</v>
      </c>
      <c r="I9" s="35">
        <f>IF(tblRoutes[[#This Row],[Route]]="","",IF(ISNUMBER(tblRoutes[[#This Row],[Trips per shift]]),tblRoutes[[#This Row],[Trips per shift]]*tblRoutes[[#This Row],[Cycle time (min)]],""))</f>
        <v>333.333333333333</v>
      </c>
      <c r="J9" s="36">
        <f>IF(tblRoutes[[#This Row],[Route]]="","",IF(AND(ISNUMBER(tblRoutes[[#This Row],[Vehicle minutes]]),(ScheduledMin*Availability)&gt;0),tblRoutes[[#This Row],[Vehicle minutes]]/(ScheduledMin*Availability),""))</f>
        <v>0.841750841750842</v>
      </c>
      <c r="K9" s="37">
        <f>IF(tblRoutes[[#This Row],[Route]]="","",IF(ISNUMBER(tblRoutes[[#This Row],[Vehicles]]),ROUNDUP(ROUND(tblRoutes[[#This Row],[Vehicles]],9),0),""))</f>
        <v>1</v>
      </c>
      <c r="L9" s="38">
        <f>IF(tblRoutes[[#This Row],[Route]]="","",IF(AND(ISNUMBER(tblRoutes[[#This Row],[Vehicle minutes]]),SUM(tblRoutes[Vehicle minutes])&gt;0),tblRoutes[[#This Row],[Vehicle minutes]]/SUM(tblRoutes[Vehicle minutes]),""))</f>
        <v>0.115398485394879</v>
      </c>
      <c r="M9" s="39" t="str">
        <f>IF(tblRoutes[[#This Row],[Route]]="","",IF(tblRoutes[[#This Row],[Route]]="","Missing route",IF(tblRoutes[[#This Row],[Loads per shift]]="","Missing loads per shift",IF(tblRoutes[[#This Row],[Loads per trip]]="","Missing loads per trip",IF(tblRoutes[[#This Row],[Cycle time (min)]]="","Missing cycle time",IF(COUNTIF(tblRoutes[Route],tblRoutes[[#This Row],[Route]])&gt;1,"Route listed twice",IF(tblRoutes[[#This Row],[Loads per trip]]&gt;tblRoutes[[#This Row],[Loads per shift]],"Trip carries more than the shift","OK")))))))</f>
        <v>OK</v>
      </c>
      <c r="N9" s="28" t="s">
        <v>90</v>
      </c>
    </row>
    <row r="10" spans="1:14" x14ac:dyDescent="0.25">
      <c r="B10" s="28" t="s">
        <v>100</v>
      </c>
      <c r="C10" s="28" t="s">
        <v>99</v>
      </c>
      <c r="D10" s="28" t="s">
        <v>101</v>
      </c>
      <c r="E10" s="29">
        <v>140</v>
      </c>
      <c r="F10" s="29">
        <v>4</v>
      </c>
      <c r="G10" s="34">
        <v>6.5</v>
      </c>
      <c r="H10" s="35">
        <f>IF(tblRoutes[[#This Row],[Route]]="","",IF(AND(tblRoutes[[#This Row],[Loads per trip]]&gt;0,Success&gt;0),tblRoutes[[#This Row],[Loads per shift]]/tblRoutes[[#This Row],[Loads per trip]]/Success,""))</f>
        <v>36.4583333333333</v>
      </c>
      <c r="I10" s="35">
        <f>IF(tblRoutes[[#This Row],[Route]]="","",IF(ISNUMBER(tblRoutes[[#This Row],[Trips per shift]]),tblRoutes[[#This Row],[Trips per shift]]*tblRoutes[[#This Row],[Cycle time (min)]],""))</f>
        <v>236.979166666667</v>
      </c>
      <c r="J10" s="36">
        <f>IF(tblRoutes[[#This Row],[Route]]="","",IF(AND(ISNUMBER(tblRoutes[[#This Row],[Vehicle minutes]]),(ScheduledMin*Availability)&gt;0),tblRoutes[[#This Row],[Vehicle minutes]]/(ScheduledMin*Availability),""))</f>
        <v>0.598432239057239</v>
      </c>
      <c r="K10" s="37">
        <f>IF(tblRoutes[[#This Row],[Route]]="","",IF(ISNUMBER(tblRoutes[[#This Row],[Vehicles]]),ROUNDUP(ROUND(tblRoutes[[#This Row],[Vehicles]],9),0),""))</f>
        <v>1</v>
      </c>
      <c r="L10" s="38">
        <f>IF(tblRoutes[[#This Row],[Route]]="","",IF(AND(ISNUMBER(tblRoutes[[#This Row],[Vehicle minutes]]),SUM(tblRoutes[Vehicle minutes])&gt;0),tblRoutes[[#This Row],[Vehicle minutes]]/SUM(tblRoutes[Vehicle minutes]),""))</f>
        <v>0.0820411107104219</v>
      </c>
      <c r="M10" s="39" t="str">
        <f>IF(tblRoutes[[#This Row],[Route]]="","",IF(tblRoutes[[#This Row],[Route]]="","Missing route",IF(tblRoutes[[#This Row],[Loads per shift]]="","Missing loads per shift",IF(tblRoutes[[#This Row],[Loads per trip]]="","Missing loads per trip",IF(tblRoutes[[#This Row],[Cycle time (min)]]="","Missing cycle time",IF(COUNTIF(tblRoutes[Route],tblRoutes[[#This Row],[Route]])&gt;1,"Route listed twice",IF(tblRoutes[[#This Row],[Loads per trip]]&gt;tblRoutes[[#This Row],[Loads per shift]],"Trip carries more than the shift","OK")))))))</f>
        <v>OK</v>
      </c>
      <c r="N10" s="28" t="s">
        <v>90</v>
      </c>
    </row>
    <row r="11" spans="1:14" x14ac:dyDescent="0.25">
      <c r="B11" s="28" t="s">
        <v>102</v>
      </c>
      <c r="C11" s="28" t="s">
        <v>101</v>
      </c>
      <c r="D11" s="28" t="s">
        <v>103</v>
      </c>
      <c r="E11" s="29">
        <v>140</v>
      </c>
      <c r="F11" s="29">
        <v>4</v>
      </c>
      <c r="G11" s="34">
        <v>5</v>
      </c>
      <c r="H11" s="35">
        <f>IF(tblRoutes[[#This Row],[Route]]="","",IF(AND(tblRoutes[[#This Row],[Loads per trip]]&gt;0,Success&gt;0),tblRoutes[[#This Row],[Loads per shift]]/tblRoutes[[#This Row],[Loads per trip]]/Success,""))</f>
        <v>36.4583333333333</v>
      </c>
      <c r="I11" s="35">
        <f>IF(tblRoutes[[#This Row],[Route]]="","",IF(ISNUMBER(tblRoutes[[#This Row],[Trips per shift]]),tblRoutes[[#This Row],[Trips per shift]]*tblRoutes[[#This Row],[Cycle time (min)]],""))</f>
        <v>182.291666666667</v>
      </c>
      <c r="J11" s="36">
        <f>IF(tblRoutes[[#This Row],[Route]]="","",IF(AND(ISNUMBER(tblRoutes[[#This Row],[Vehicle minutes]]),(ScheduledMin*Availability)&gt;0),tblRoutes[[#This Row],[Vehicle minutes]]/(ScheduledMin*Availability),""))</f>
        <v>0.460332491582492</v>
      </c>
      <c r="K11" s="37">
        <f>IF(tblRoutes[[#This Row],[Route]]="","",IF(ISNUMBER(tblRoutes[[#This Row],[Vehicles]]),ROUNDUP(ROUND(tblRoutes[[#This Row],[Vehicles]],9),0),""))</f>
        <v>1</v>
      </c>
      <c r="L11" s="38">
        <f>IF(tblRoutes[[#This Row],[Route]]="","",IF(AND(ISNUMBER(tblRoutes[[#This Row],[Vehicle minutes]]),SUM(tblRoutes[Vehicle minutes])&gt;0),tblRoutes[[#This Row],[Vehicle minutes]]/SUM(tblRoutes[Vehicle minutes]),""))</f>
        <v>0.0631085467003246</v>
      </c>
      <c r="M11" s="39" t="str">
        <f>IF(tblRoutes[[#This Row],[Route]]="","",IF(tblRoutes[[#This Row],[Route]]="","Missing route",IF(tblRoutes[[#This Row],[Loads per shift]]="","Missing loads per shift",IF(tblRoutes[[#This Row],[Loads per trip]]="","Missing loads per trip",IF(tblRoutes[[#This Row],[Cycle time (min)]]="","Missing cycle time",IF(COUNTIF(tblRoutes[Route],tblRoutes[[#This Row],[Route]])&gt;1,"Route listed twice",IF(tblRoutes[[#This Row],[Loads per trip]]&gt;tblRoutes[[#This Row],[Loads per shift]],"Trip carries more than the shift","OK")))))))</f>
        <v>OK</v>
      </c>
      <c r="N11" s="28" t="s">
        <v>90</v>
      </c>
    </row>
    <row r="12" spans="1:14" x14ac:dyDescent="0.25">
      <c r="B12" s="28" t="s">
        <v>104</v>
      </c>
      <c r="C12" s="28" t="s">
        <v>103</v>
      </c>
      <c r="D12" s="28" t="s">
        <v>105</v>
      </c>
      <c r="E12" s="29">
        <v>70</v>
      </c>
      <c r="F12" s="29">
        <v>2</v>
      </c>
      <c r="G12" s="34">
        <v>7.5</v>
      </c>
      <c r="H12" s="35">
        <f>IF(tblRoutes[[#This Row],[Route]]="","",IF(AND(tblRoutes[[#This Row],[Loads per trip]]&gt;0,Success&gt;0),tblRoutes[[#This Row],[Loads per shift]]/tblRoutes[[#This Row],[Loads per trip]]/Success,""))</f>
        <v>36.4583333333333</v>
      </c>
      <c r="I12" s="35">
        <f>IF(tblRoutes[[#This Row],[Route]]="","",IF(ISNUMBER(tblRoutes[[#This Row],[Trips per shift]]),tblRoutes[[#This Row],[Trips per shift]]*tblRoutes[[#This Row],[Cycle time (min)]],""))</f>
        <v>273.4375</v>
      </c>
      <c r="J12" s="36">
        <f>IF(tblRoutes[[#This Row],[Route]]="","",IF(AND(ISNUMBER(tblRoutes[[#This Row],[Vehicle minutes]]),(ScheduledMin*Availability)&gt;0),tblRoutes[[#This Row],[Vehicle minutes]]/(ScheduledMin*Availability),""))</f>
        <v>0.690498737373737</v>
      </c>
      <c r="K12" s="37">
        <f>IF(tblRoutes[[#This Row],[Route]]="","",IF(ISNUMBER(tblRoutes[[#This Row],[Vehicles]]),ROUNDUP(ROUND(tblRoutes[[#This Row],[Vehicles]],9),0),""))</f>
        <v>1</v>
      </c>
      <c r="L12" s="38">
        <f>IF(tblRoutes[[#This Row],[Route]]="","",IF(AND(ISNUMBER(tblRoutes[[#This Row],[Vehicle minutes]]),SUM(tblRoutes[Vehicle minutes])&gt;0),tblRoutes[[#This Row],[Vehicle minutes]]/SUM(tblRoutes[Vehicle minutes]),""))</f>
        <v>0.0946628200504868</v>
      </c>
      <c r="M12" s="39" t="str">
        <f>IF(tblRoutes[[#This Row],[Route]]="","",IF(tblRoutes[[#This Row],[Route]]="","Missing route",IF(tblRoutes[[#This Row],[Loads per shift]]="","Missing loads per shift",IF(tblRoutes[[#This Row],[Loads per trip]]="","Missing loads per trip",IF(tblRoutes[[#This Row],[Cycle time (min)]]="","Missing cycle time",IF(COUNTIF(tblRoutes[Route],tblRoutes[[#This Row],[Route]])&gt;1,"Route listed twice",IF(tblRoutes[[#This Row],[Loads per trip]]&gt;tblRoutes[[#This Row],[Loads per shift]],"Trip carries more than the shift","OK")))))))</f>
        <v>OK</v>
      </c>
      <c r="N12" s="28" t="s">
        <v>90</v>
      </c>
    </row>
    <row r="13" spans="1:14" x14ac:dyDescent="0.25">
      <c r="B13" s="28" t="s">
        <v>106</v>
      </c>
      <c r="C13" s="28" t="s">
        <v>107</v>
      </c>
      <c r="D13" s="28" t="s">
        <v>108</v>
      </c>
      <c r="E13" s="29">
        <v>90</v>
      </c>
      <c r="F13" s="29">
        <v>6</v>
      </c>
      <c r="G13" s="34">
        <v>10</v>
      </c>
      <c r="H13" s="35">
        <f>IF(tblRoutes[[#This Row],[Route]]="","",IF(AND(tblRoutes[[#This Row],[Loads per trip]]&gt;0,Success&gt;0),tblRoutes[[#This Row],[Loads per shift]]/tblRoutes[[#This Row],[Loads per trip]]/Success,""))</f>
        <v>15.625</v>
      </c>
      <c r="I13" s="35">
        <f>IF(tblRoutes[[#This Row],[Route]]="","",IF(ISNUMBER(tblRoutes[[#This Row],[Trips per shift]]),tblRoutes[[#This Row],[Trips per shift]]*tblRoutes[[#This Row],[Cycle time (min)]],""))</f>
        <v>156.25</v>
      </c>
      <c r="J13" s="36">
        <f>IF(tblRoutes[[#This Row],[Route]]="","",IF(AND(ISNUMBER(tblRoutes[[#This Row],[Vehicle minutes]]),(ScheduledMin*Availability)&gt;0),tblRoutes[[#This Row],[Vehicle minutes]]/(ScheduledMin*Availability),""))</f>
        <v>0.394570707070707</v>
      </c>
      <c r="K13" s="37">
        <f>IF(tblRoutes[[#This Row],[Route]]="","",IF(ISNUMBER(tblRoutes[[#This Row],[Vehicles]]),ROUNDUP(ROUND(tblRoutes[[#This Row],[Vehicles]],9),0),""))</f>
        <v>1</v>
      </c>
      <c r="L13" s="38">
        <f>IF(tblRoutes[[#This Row],[Route]]="","",IF(AND(ISNUMBER(tblRoutes[[#This Row],[Vehicle minutes]]),SUM(tblRoutes[Vehicle minutes])&gt;0),tblRoutes[[#This Row],[Vehicle minutes]]/SUM(tblRoutes[Vehicle minutes]),""))</f>
        <v>0.0540930400288496</v>
      </c>
      <c r="M13" s="39" t="str">
        <f>IF(tblRoutes[[#This Row],[Route]]="","",IF(tblRoutes[[#This Row],[Route]]="","Missing route",IF(tblRoutes[[#This Row],[Loads per shift]]="","Missing loads per shift",IF(tblRoutes[[#This Row],[Loads per trip]]="","Missing loads per trip",IF(tblRoutes[[#This Row],[Cycle time (min)]]="","Missing cycle time",IF(COUNTIF(tblRoutes[Route],tblRoutes[[#This Row],[Route]])&gt;1,"Route listed twice",IF(tblRoutes[[#This Row],[Loads per trip]]&gt;tblRoutes[[#This Row],[Loads per shift]],"Trip carries more than the shift","OK")))))))</f>
        <v>OK</v>
      </c>
      <c r="N13" s="28" t="s">
        <v>109</v>
      </c>
    </row>
  </sheetData>
  <mergeCells count="3">
    <mergeCell ref="A1:N1"/>
    <mergeCell ref="B2:M2"/>
    <mergeCell ref="B4:N4"/>
  </mergeCells>
  <conditionalFormatting sqref="L6:L513">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M6:M513">
    <cfRule type="expression" dxfId="3" priority="2">
      <formula>$M6="OK"</formula>
    </cfRule>
    <cfRule type="expression" dxfId="1" priority="3">
      <formula>AND($M6&lt;&gt;"",$M6&lt;&gt;"OK")</formula>
    </cfRule>
  </conditionalFormatting>
  <dataValidations count="7">
    <dataValidation type="textLength" allowBlank="1" showInputMessage="1" showErrorMessage="1" errorTitle="Check this entry" error="Text up to 60 characters." promptTitle="Route" prompt="Text up to 60 characters." sqref="B6:B513">
      <formula1>0</formula1>
      <formula2>60</formula2>
    </dataValidation>
    <dataValidation type="textLength" allowBlank="1" showInputMessage="1" showErrorMessage="1" errorTitle="Check this entry" error="Text up to 60 characters." promptTitle="From" prompt="Text up to 60 characters." sqref="C6:C513">
      <formula1>0</formula1>
      <formula2>60</formula2>
    </dataValidation>
    <dataValidation type="textLength" allowBlank="1" showInputMessage="1" showErrorMessage="1" errorTitle="Check this entry" error="Text up to 60 characters." promptTitle="To" prompt="Text up to 60 characters." sqref="D6:D513">
      <formula1>0</formula1>
      <formula2>60</formula2>
    </dataValidation>
    <dataValidation type="decimal" allowBlank="1" showInputMessage="1" showErrorMessage="1" errorTitle="Check this entry" error="Enter a number from 0 to 10,000,000." promptTitle="Loads per shift" prompt="Unit loads (totes, pallets, carts) the route must move in one shift. Enter a number from 0 to 10,000,000." sqref="E6:E513">
      <formula1>0</formula1>
      <formula2>10000000.0</formula2>
    </dataValidation>
    <dataValidation type="whole" allowBlank="1" showInputMessage="1" showErrorMessage="1" errorTitle="Check this entry" error="Enter a whole number from 1 to 1,000." promptTitle="Loads per trip" prompt="Loads one vehicle carries per trip. Enter a whole number from 1 to 1,000." sqref="F6:F513">
      <formula1>1</formula1>
      <formula2>1000</formula2>
    </dataValidation>
    <dataValidation type="decimal" allowBlank="1" showInputMessage="1" showErrorMessage="1" errorTitle="Check this entry" error="Enter a number from 0.01 to 1,440." promptTitle="Cycle time (min)" prompt="One complete trip: pick-up, loaded travel, drop-off and the return or reposition before the next mission, measured or from a route study. Enter a number from 0.01 to 1,440." sqref="G6:G513">
      <formula1>0.01</formula1>
      <formula2>1440</formula2>
    </dataValidation>
    <dataValidation type="textLength" allowBlank="1" showInputMessage="1" showErrorMessage="1" errorTitle="Check this entry" error="Text up to 255 characters." promptTitle="Notes" prompt="Text up to 255 characters." sqref="N6:N513">
      <formula1>0</formula1>
      <formula2>255</formula2>
    </dataValidation>
  </dataValidations>
  <hyperlinks>
    <hyperlink ref="N2" r:id="rId1" tooltip="Free manufacturing calculators and templates"/>
  </hyperlinks>
  <pageMargins left="0.4" right="0.4" top="0.7" bottom="0.65" header="0.3" footer="0.3"/>
  <pageSetup fitToHeight="0" orientation="landscape"/>
  <headerFooter>
    <oddHeader>&amp;L&amp;8MFG Calcs - AMR Fleet Sizing&amp;R&amp;8&amp;A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L6:L513</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54"/>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22</v>
      </c>
      <c r="C2" s="2"/>
      <c r="D2" s="2"/>
      <c r="E2" s="2"/>
      <c r="F2" s="2"/>
      <c r="G2" s="2"/>
      <c r="H2" s="2"/>
      <c r="I2" s="2"/>
      <c r="J2" s="2"/>
      <c r="K2" s="3" t="s">
        <v>2</v>
      </c>
      <c r="L2" s="3"/>
    </row>
    <row r="3" spans="1:12" ht="6" customHeight="1"/>
    <row r="4" spans="1:12">
      <c r="B4" s="40" t="str">
        <f>SiteName&amp;": "&amp;COUNTA(tblRoutes[Route])&amp;" routes, "&amp;TEXT(ScheduledMin,"0")&amp;" scheduled minutes per vehicle, "&amp;TEXT(Availability,"0%")&amp;" availability, "&amp;TEXT(Success,"0%")&amp;" mission success."</f>
        <v>Brightwater Appliances (example): 8 routes, 450 scheduled minutes per vehicle, 88% availability, 96% mission success.</v>
      </c>
      <c r="C4" s="40"/>
      <c r="D4" s="40"/>
      <c r="E4" s="40"/>
      <c r="F4" s="40"/>
      <c r="G4" s="40"/>
      <c r="H4" s="40"/>
      <c r="I4" s="40"/>
      <c r="J4" s="40"/>
      <c r="K4" s="40"/>
      <c r="L4" s="40"/>
    </row>
    <row r="6" spans="1:12" ht="18" customHeight="1">
      <c r="B6" s="41" t="s">
        <v>110</v>
      </c>
      <c r="C6" s="41"/>
      <c r="D6" s="41" t="s">
        <v>111</v>
      </c>
      <c r="E6" s="41"/>
      <c r="F6" s="41"/>
      <c r="G6" s="41" t="s">
        <v>112</v>
      </c>
      <c r="H6" s="41"/>
      <c r="I6" s="41"/>
      <c r="J6" s="41" t="s">
        <v>113</v>
      </c>
      <c r="K6" s="41"/>
      <c r="L6" s="41"/>
    </row>
    <row r="7" spans="1:12" ht="21" customHeight="1">
      <c r="B7" s="42">
        <f>PlannedFleet</f>
        <v>9</v>
      </c>
      <c r="C7" s="42"/>
      <c r="D7" s="42">
        <f>PeakFleet</f>
        <v>10</v>
      </c>
      <c r="E7" s="42"/>
      <c r="F7" s="42"/>
      <c r="G7" s="42">
        <f>MinFleet</f>
        <v>8</v>
      </c>
      <c r="H7" s="42"/>
      <c r="I7" s="42"/>
      <c r="J7" s="43">
        <f>FleetUtil</f>
        <v>0.810477459783015</v>
      </c>
      <c r="K7" s="43"/>
      <c r="L7" s="43"/>
    </row>
    <row r="8" spans="1:12" ht="21" customHeight="1">
      <c r="B8" s="42"/>
      <c r="C8" s="42"/>
      <c r="D8" s="42"/>
      <c r="E8" s="42"/>
      <c r="F8" s="42"/>
      <c r="G8" s="42"/>
      <c r="H8" s="42"/>
      <c r="I8" s="42"/>
      <c r="J8" s="43"/>
      <c r="K8" s="43"/>
      <c r="L8" s="43"/>
    </row>
    <row r="9" spans="1:12">
      <c r="B9" s="44" t="str">
        <f>"At a "&amp;TEXT(PlanLimit,"0%")&amp;" utilisation limit"</f>
        <v>At a 85% utilisation limit</v>
      </c>
      <c r="C9" s="44"/>
      <c r="D9" s="44" t="str">
        <f>"At "&amp;TEXT(PeakFactor,"0.0#")&amp;" x the average hour"</f>
        <v>At 1.3 x the average hour</v>
      </c>
      <c r="E9" s="44"/>
      <c r="F9" s="44"/>
      <c r="G9" s="44" t="s">
        <v>114</v>
      </c>
      <c r="H9" s="44"/>
      <c r="I9" s="44"/>
      <c r="J9" s="45">
        <f>PlanLimit</f>
        <v>0.85</v>
      </c>
      <c r="K9" s="45"/>
      <c r="L9" s="45"/>
    </row>
    <row r="10" spans="1:12" ht="18" customHeight="1">
      <c r="B10" s="46"/>
      <c r="C10" s="46"/>
      <c r="D10" s="46"/>
      <c r="E10" s="46"/>
      <c r="F10" s="46"/>
      <c r="G10" s="46"/>
      <c r="H10" s="46"/>
      <c r="I10" s="46"/>
      <c r="J10" s="46" t="str">
        <f>IF(NOT(ISNUMBER(KpiUtil)),"No data",IF(KpiUtil&lt;=(PlanLimit),"On target",IF(KpiUtil&lt;=(PlanLimit)*(1+0.05),"Near target","Above target")))</f>
        <v>On target</v>
      </c>
      <c r="K10" s="46"/>
      <c r="L10" s="46"/>
    </row>
    <row r="30" spans="2:10">
      <c r="B30" s="27" t="s">
        <v>115</v>
      </c>
      <c r="C30" s="27"/>
      <c r="D30" s="35">
        <f>(ScheduledMin*Availability)</f>
        <v>396</v>
      </c>
      <c r="E30" s="7" t="s">
        <v>64</v>
      </c>
      <c r="G30" s="47" t="s">
        <v>116</v>
      </c>
      <c r="H30" s="47"/>
      <c r="I30" s="47"/>
      <c r="J30" s="47"/>
    </row>
    <row r="31" spans="2:10" ht="32" customHeight="1">
      <c r="B31" s="27" t="s">
        <v>117</v>
      </c>
      <c r="C31" s="27"/>
      <c r="D31" s="35">
        <f>SUM(tblRoutes[Vehicle minutes])</f>
        <v>2888.54166666667</v>
      </c>
      <c r="E31" s="7" t="s">
        <v>64</v>
      </c>
      <c r="G31" s="48" t="s">
        <v>118</v>
      </c>
      <c r="H31" s="33" t="s">
        <v>80</v>
      </c>
      <c r="I31" s="33" t="s">
        <v>119</v>
      </c>
      <c r="J31" s="33" t="s">
        <v>120</v>
      </c>
    </row>
    <row r="32" spans="2:10">
      <c r="B32" s="27" t="s">
        <v>121</v>
      </c>
      <c r="C32" s="27"/>
      <c r="D32" s="37">
        <f>IF((ScheduledMin*Availability)&gt;0,ROUNDUP(ROUND(TotalVmin/(ScheduledMin*Availability),9),0),"")</f>
        <v>8</v>
      </c>
      <c r="E32" s="7" t="s">
        <v>122</v>
      </c>
      <c r="G32" s="49">
        <v>0.8</v>
      </c>
      <c r="H32" s="37">
        <f>$G$32*TotalVmin</f>
        <v>2310.83333333333</v>
      </c>
      <c r="I32" s="37">
        <f>IF(AND((ScheduledMin*Availability)&gt;0,PlanLimit&gt;0),ROUNDUP(ROUND($G$32*TotalVmin/((ScheduledMin*Availability)*PlanLimit),9),0),"")</f>
        <v>7</v>
      </c>
      <c r="J32" s="37">
        <f>IF(AND(ScheduledMin&gt;0,Availability&gt;0),ROUNDUP(ROUND($G$32*TotalVmin/(ScheduledMin/60)*PeakFactor/(60*Availability),9),0),"")</f>
        <v>8</v>
      </c>
    </row>
    <row r="33" spans="2:11">
      <c r="B33" s="17" t="s">
        <v>123</v>
      </c>
      <c r="C33" s="17"/>
      <c r="D33" s="50">
        <f>IF(AND((ScheduledMin*Availability)&gt;0,PlanLimit&gt;0),ROUNDUP(ROUND(TotalVmin/((ScheduledMin*Availability)*PlanLimit),9),0),"")</f>
        <v>9</v>
      </c>
      <c r="E33" s="7" t="s">
        <v>122</v>
      </c>
      <c r="G33" s="49">
        <f>$G$32+0.1</f>
        <v>0.9</v>
      </c>
      <c r="H33" s="37">
        <f>$G$33*TotalVmin</f>
        <v>2599.6875</v>
      </c>
      <c r="I33" s="37">
        <f>IF(AND((ScheduledMin*Availability)&gt;0,PlanLimit&gt;0),ROUNDUP(ROUND($G$33*TotalVmin/((ScheduledMin*Availability)*PlanLimit),9),0),"")</f>
        <v>8</v>
      </c>
      <c r="J33" s="37">
        <f>IF(AND(ScheduledMin&gt;0,Availability&gt;0),ROUNDUP(ROUND($G$33*TotalVmin/(ScheduledMin/60)*PeakFactor/(60*Availability),9),0),"")</f>
        <v>9</v>
      </c>
    </row>
    <row r="34" spans="2:11">
      <c r="B34" s="17" t="s">
        <v>124</v>
      </c>
      <c r="C34" s="17"/>
      <c r="D34" s="50">
        <f>IF(AND(ScheduledMin&gt;0,Availability&gt;0),ROUNDUP(ROUND(TotalVmin/(ScheduledMin/60)*PeakFactor/(60*Availability),9),0),"")</f>
        <v>10</v>
      </c>
      <c r="E34" s="7" t="s">
        <v>122</v>
      </c>
      <c r="G34" s="49">
        <f>$G$33+0.1</f>
        <v>1</v>
      </c>
      <c r="H34" s="37">
        <f>$G$34*TotalVmin</f>
        <v>2888.54166666667</v>
      </c>
      <c r="I34" s="37">
        <f>IF(AND((ScheduledMin*Availability)&gt;0,PlanLimit&gt;0),ROUNDUP(ROUND($G$34*TotalVmin/((ScheduledMin*Availability)*PlanLimit),9),0),"")</f>
        <v>9</v>
      </c>
      <c r="J34" s="37">
        <f>IF(AND(ScheduledMin&gt;0,Availability&gt;0),ROUNDUP(ROUND($G$34*TotalVmin/(ScheduledMin/60)*PeakFactor/(60*Availability),9),0),"")</f>
        <v>10</v>
      </c>
    </row>
    <row r="35" spans="2:11">
      <c r="B35" s="27" t="s">
        <v>125</v>
      </c>
      <c r="C35" s="27"/>
      <c r="D35" s="37">
        <f>SUM(tblRoutes[Dedicated vehicles])</f>
        <v>11</v>
      </c>
      <c r="E35" s="7" t="s">
        <v>122</v>
      </c>
      <c r="G35" s="49">
        <f>$G$34+0.1</f>
        <v>1.1</v>
      </c>
      <c r="H35" s="37">
        <f>$G$35*TotalVmin</f>
        <v>3177.39583333333</v>
      </c>
      <c r="I35" s="37">
        <f>IF(AND((ScheduledMin*Availability)&gt;0,PlanLimit&gt;0),ROUNDUP(ROUND($G$35*TotalVmin/((ScheduledMin*Availability)*PlanLimit),9),0),"")</f>
        <v>10</v>
      </c>
      <c r="J35" s="37">
        <f>IF(AND(ScheduledMin&gt;0,Availability&gt;0),ROUNDUP(ROUND($G$35*TotalVmin/(ScheduledMin/60)*PeakFactor/(60*Availability),9),0),"")</f>
        <v>11</v>
      </c>
    </row>
    <row r="36" spans="2:11">
      <c r="B36" s="27" t="s">
        <v>126</v>
      </c>
      <c r="C36" s="27"/>
      <c r="D36" s="37">
        <f>IF(N(PlannedFleet)=0,"",DedicatedFleet-PlannedFleet)</f>
        <v>2</v>
      </c>
      <c r="E36" s="7" t="s">
        <v>122</v>
      </c>
      <c r="G36" s="49">
        <f>$G$35+0.1</f>
        <v>1.2</v>
      </c>
      <c r="H36" s="37">
        <f>$G$36*TotalVmin</f>
        <v>3466.25</v>
      </c>
      <c r="I36" s="37">
        <f>IF(AND((ScheduledMin*Availability)&gt;0,PlanLimit&gt;0),ROUNDUP(ROUND($G$36*TotalVmin/((ScheduledMin*Availability)*PlanLimit),9),0),"")</f>
        <v>11</v>
      </c>
      <c r="J36" s="37">
        <f>IF(AND(ScheduledMin&gt;0,Availability&gt;0),ROUNDUP(ROUND($G$36*TotalVmin/(ScheduledMin/60)*PeakFactor/(60*Availability),9),0),"")</f>
        <v>12</v>
      </c>
    </row>
    <row r="37" spans="2:11">
      <c r="B37" s="27" t="s">
        <v>127</v>
      </c>
      <c r="C37" s="27"/>
      <c r="D37" s="38">
        <f>IF(N(PlannedFleet)=0,"",TotalVmin/(PlannedFleet*(ScheduledMin*Availability)))</f>
        <v>0.810477459783015</v>
      </c>
      <c r="E37" s="7"/>
      <c r="G37" s="49">
        <f>$G$36+0.1</f>
        <v>1.3</v>
      </c>
      <c r="H37" s="37">
        <f>$G$37*TotalVmin</f>
        <v>3755.10416666667</v>
      </c>
      <c r="I37" s="37">
        <f>IF(AND((ScheduledMin*Availability)&gt;0,PlanLimit&gt;0),ROUNDUP(ROUND($G$37*TotalVmin/((ScheduledMin*Availability)*PlanLimit),9),0),"")</f>
        <v>12</v>
      </c>
      <c r="J37" s="37">
        <f>IF(AND(ScheduledMin&gt;0,Availability&gt;0),ROUNDUP(ROUND($G$37*TotalVmin/(ScheduledMin/60)*PeakFactor/(60*Availability),9),0),"")</f>
        <v>13</v>
      </c>
    </row>
    <row r="38" spans="2:11">
      <c r="G38" s="49">
        <f>$G$37+0.1</f>
        <v>1.4</v>
      </c>
      <c r="H38" s="37">
        <f>$G$38*TotalVmin</f>
        <v>4043.95833333334</v>
      </c>
      <c r="I38" s="37">
        <f>IF(AND((ScheduledMin*Availability)&gt;0,PlanLimit&gt;0),ROUNDUP(ROUND($G$38*TotalVmin/((ScheduledMin*Availability)*PlanLimit),9),0),"")</f>
        <v>13</v>
      </c>
      <c r="J38" s="37">
        <f>IF(AND(ScheduledMin&gt;0,Availability&gt;0),ROUNDUP(ROUND($G$38*TotalVmin/(ScheduledMin/60)*PeakFactor/(60*Availability),9),0),"")</f>
        <v>14</v>
      </c>
    </row>
    <row r="39" spans="2:11">
      <c r="G39" s="49">
        <f>$G$38+0.1</f>
        <v>1.5</v>
      </c>
      <c r="H39" s="37">
        <f>$G$39*TotalVmin</f>
        <v>4332.8125</v>
      </c>
      <c r="I39" s="37">
        <f>IF(AND((ScheduledMin*Availability)&gt;0,PlanLimit&gt;0),ROUNDUP(ROUND($G$39*TotalVmin/((ScheduledMin*Availability)*PlanLimit),9),0),"")</f>
        <v>13</v>
      </c>
      <c r="J39" s="37">
        <f>IF(AND(ScheduledMin&gt;0,Availability&gt;0),ROUNDUP(ROUND($G$39*TotalVmin/(ScheduledMin/60)*PeakFactor/(60*Availability),9),0),"")</f>
        <v>15</v>
      </c>
    </row>
    <row r="41" spans="2:11">
      <c r="B41" s="47" t="s">
        <v>128</v>
      </c>
      <c r="C41" s="47"/>
      <c r="D41" s="47"/>
      <c r="E41" s="47"/>
      <c r="F41" s="47"/>
      <c r="G41" s="47"/>
      <c r="H41" s="47"/>
      <c r="I41" s="47"/>
      <c r="J41" s="47"/>
      <c r="K41" s="47"/>
    </row>
    <row r="42" spans="2:11" ht="20" customHeight="1">
      <c r="B42" s="48" t="s">
        <v>129</v>
      </c>
      <c r="C42" s="33" t="s">
        <v>73</v>
      </c>
      <c r="D42" s="33"/>
      <c r="E42" s="33"/>
      <c r="F42" s="33" t="s">
        <v>130</v>
      </c>
      <c r="G42" s="33" t="s">
        <v>131</v>
      </c>
      <c r="H42" s="33" t="s">
        <v>132</v>
      </c>
      <c r="I42" s="33" t="s">
        <v>81</v>
      </c>
      <c r="J42" s="33" t="s">
        <v>133</v>
      </c>
      <c r="K42" s="33" t="s">
        <v>134</v>
      </c>
    </row>
    <row r="43" spans="2:11">
      <c r="B43" s="51" t="s">
        <v>135</v>
      </c>
      <c r="C43" s="52" t="str">
        <f>IFERROR(INDEX(tblRoutes[Route],1),"")</f>
        <v>R1 Receiving to racking</v>
      </c>
      <c r="D43" s="52"/>
      <c r="E43" s="52"/>
      <c r="F43" s="37">
        <f>IFERROR(INDEX(tblRoutes[Loads per shift],1),"")</f>
        <v>60</v>
      </c>
      <c r="G43" s="35">
        <f>IFERROR(INDEX(tblRoutes[Trips per shift],1),"")</f>
        <v>62.5</v>
      </c>
      <c r="H43" s="37">
        <f>IFERROR(INDEX(tblRoutes[Vehicle minutes],1),"")</f>
        <v>593.75</v>
      </c>
      <c r="I43" s="36">
        <f>IFERROR(INDEX(tblRoutes[Vehicles],1),"")</f>
        <v>1.49936868686869</v>
      </c>
      <c r="J43" s="37">
        <f>IFERROR(INDEX(tblRoutes[Dedicated vehicles],1),"")</f>
        <v>2</v>
      </c>
      <c r="K43" s="38">
        <f>IFERROR(INDEX(tblRoutes[Share of work],1),"")</f>
        <v>0.205553552109629</v>
      </c>
    </row>
    <row r="44" spans="2:11">
      <c r="B44" s="51" t="s">
        <v>136</v>
      </c>
      <c r="C44" s="52" t="str">
        <f>IFERROR(INDEX(tblRoutes[Route],2),"")</f>
        <v>R2 Stores to line 1</v>
      </c>
      <c r="D44" s="52"/>
      <c r="E44" s="52"/>
      <c r="F44" s="37">
        <f>IFERROR(INDEX(tblRoutes[Loads per shift],2),"")</f>
        <v>96</v>
      </c>
      <c r="G44" s="35">
        <f>IFERROR(INDEX(tblRoutes[Trips per shift],2),"")</f>
        <v>50</v>
      </c>
      <c r="H44" s="37">
        <f>IFERROR(INDEX(tblRoutes[Vehicle minutes],2),"")</f>
        <v>550</v>
      </c>
      <c r="I44" s="36">
        <f>IFERROR(INDEX(tblRoutes[Vehicles],2),"")</f>
        <v>1.38888888888889</v>
      </c>
      <c r="J44" s="37">
        <f>IFERROR(INDEX(tblRoutes[Dedicated vehicles],2),"")</f>
        <v>2</v>
      </c>
      <c r="K44" s="38">
        <f>IFERROR(INDEX(tblRoutes[Share of work],2),"")</f>
        <v>0.190407500901551</v>
      </c>
    </row>
    <row r="45" spans="2:11">
      <c r="B45" s="51" t="s">
        <v>137</v>
      </c>
      <c r="C45" s="52" t="str">
        <f>IFERROR(INDEX(tblRoutes[Route],3),"")</f>
        <v>R3 Stores to line 2</v>
      </c>
      <c r="D45" s="52"/>
      <c r="E45" s="52"/>
      <c r="F45" s="37">
        <f>IFERROR(INDEX(tblRoutes[Loads per shift],3),"")</f>
        <v>80</v>
      </c>
      <c r="G45" s="35">
        <f>IFERROR(INDEX(tblRoutes[Trips per shift],3),"")</f>
        <v>41.6666666666667</v>
      </c>
      <c r="H45" s="37">
        <f>IFERROR(INDEX(tblRoutes[Vehicle minutes],3),"")</f>
        <v>562.5</v>
      </c>
      <c r="I45" s="36">
        <f>IFERROR(INDEX(tblRoutes[Vehicles],3),"")</f>
        <v>1.42045454545455</v>
      </c>
      <c r="J45" s="37">
        <f>IFERROR(INDEX(tblRoutes[Dedicated vehicles],3),"")</f>
        <v>2</v>
      </c>
      <c r="K45" s="38">
        <f>IFERROR(INDEX(tblRoutes[Share of work],3),"")</f>
        <v>0.194734944103859</v>
      </c>
    </row>
    <row r="46" spans="2:11">
      <c r="B46" s="51" t="s">
        <v>138</v>
      </c>
      <c r="C46" s="52" t="str">
        <f>IFERROR(INDEX(tblRoutes[Route],4),"")</f>
        <v>R4 Kitting to assembly</v>
      </c>
      <c r="D46" s="52"/>
      <c r="E46" s="52"/>
      <c r="F46" s="37">
        <f>IFERROR(INDEX(tblRoutes[Loads per shift],4),"")</f>
        <v>120</v>
      </c>
      <c r="G46" s="35">
        <f>IFERROR(INDEX(tblRoutes[Trips per shift],4),"")</f>
        <v>41.6666666666667</v>
      </c>
      <c r="H46" s="37">
        <f>IFERROR(INDEX(tblRoutes[Vehicle minutes],4),"")</f>
        <v>333.333333333333</v>
      </c>
      <c r="I46" s="36">
        <f>IFERROR(INDEX(tblRoutes[Vehicles],4),"")</f>
        <v>0.841750841750842</v>
      </c>
      <c r="J46" s="37">
        <f>IFERROR(INDEX(tblRoutes[Dedicated vehicles],4),"")</f>
        <v>1</v>
      </c>
      <c r="K46" s="38">
        <f>IFERROR(INDEX(tblRoutes[Share of work],4),"")</f>
        <v>0.115398485394879</v>
      </c>
    </row>
    <row r="47" spans="2:11">
      <c r="B47" s="51" t="s">
        <v>139</v>
      </c>
      <c r="C47" s="52" t="str">
        <f>IFERROR(INDEX(tblRoutes[Route],5),"")</f>
        <v>R5 Assembly to test</v>
      </c>
      <c r="D47" s="52"/>
      <c r="E47" s="52"/>
      <c r="F47" s="37">
        <f>IFERROR(INDEX(tblRoutes[Loads per shift],5),"")</f>
        <v>140</v>
      </c>
      <c r="G47" s="35">
        <f>IFERROR(INDEX(tblRoutes[Trips per shift],5),"")</f>
        <v>36.4583333333333</v>
      </c>
      <c r="H47" s="37">
        <f>IFERROR(INDEX(tblRoutes[Vehicle minutes],5),"")</f>
        <v>236.979166666667</v>
      </c>
      <c r="I47" s="36">
        <f>IFERROR(INDEX(tblRoutes[Vehicles],5),"")</f>
        <v>0.598432239057239</v>
      </c>
      <c r="J47" s="37">
        <f>IFERROR(INDEX(tblRoutes[Dedicated vehicles],5),"")</f>
        <v>1</v>
      </c>
      <c r="K47" s="38">
        <f>IFERROR(INDEX(tblRoutes[Share of work],5),"")</f>
        <v>0.0820411107104219</v>
      </c>
    </row>
    <row r="48" spans="2:11">
      <c r="B48" s="51" t="s">
        <v>140</v>
      </c>
      <c r="C48" s="52" t="str">
        <f>IFERROR(INDEX(tblRoutes[Route],6),"")</f>
        <v>R6 Test to packing</v>
      </c>
      <c r="D48" s="52"/>
      <c r="E48" s="52"/>
      <c r="F48" s="37">
        <f>IFERROR(INDEX(tblRoutes[Loads per shift],6),"")</f>
        <v>140</v>
      </c>
      <c r="G48" s="35">
        <f>IFERROR(INDEX(tblRoutes[Trips per shift],6),"")</f>
        <v>36.4583333333333</v>
      </c>
      <c r="H48" s="37">
        <f>IFERROR(INDEX(tblRoutes[Vehicle minutes],6),"")</f>
        <v>182.291666666667</v>
      </c>
      <c r="I48" s="36">
        <f>IFERROR(INDEX(tblRoutes[Vehicles],6),"")</f>
        <v>0.460332491582492</v>
      </c>
      <c r="J48" s="37">
        <f>IFERROR(INDEX(tblRoutes[Dedicated vehicles],6),"")</f>
        <v>1</v>
      </c>
      <c r="K48" s="38">
        <f>IFERROR(INDEX(tblRoutes[Share of work],6),"")</f>
        <v>0.0631085467003246</v>
      </c>
    </row>
    <row r="49" spans="2:12">
      <c r="B49" s="51" t="s">
        <v>141</v>
      </c>
      <c r="C49" s="52" t="str">
        <f>IFERROR(INDEX(tblRoutes[Route],7),"")</f>
        <v>R7 Packing to shipping</v>
      </c>
      <c r="D49" s="52"/>
      <c r="E49" s="52"/>
      <c r="F49" s="37">
        <f>IFERROR(INDEX(tblRoutes[Loads per shift],7),"")</f>
        <v>70</v>
      </c>
      <c r="G49" s="35">
        <f>IFERROR(INDEX(tblRoutes[Trips per shift],7),"")</f>
        <v>36.4583333333333</v>
      </c>
      <c r="H49" s="37">
        <f>IFERROR(INDEX(tblRoutes[Vehicle minutes],7),"")</f>
        <v>273.4375</v>
      </c>
      <c r="I49" s="36">
        <f>IFERROR(INDEX(tblRoutes[Vehicles],7),"")</f>
        <v>0.690498737373737</v>
      </c>
      <c r="J49" s="37">
        <f>IFERROR(INDEX(tblRoutes[Dedicated vehicles],7),"")</f>
        <v>1</v>
      </c>
      <c r="K49" s="38">
        <f>IFERROR(INDEX(tblRoutes[Share of work],7),"")</f>
        <v>0.0946628200504868</v>
      </c>
    </row>
    <row r="50" spans="2:12">
      <c r="B50" s="51" t="s">
        <v>142</v>
      </c>
      <c r="C50" s="52" t="str">
        <f>IFERROR(INDEX(tblRoutes[Route],8),"")</f>
        <v>R8 Empty tote return</v>
      </c>
      <c r="D50" s="52"/>
      <c r="E50" s="52"/>
      <c r="F50" s="37">
        <f>IFERROR(INDEX(tblRoutes[Loads per shift],8),"")</f>
        <v>90</v>
      </c>
      <c r="G50" s="35">
        <f>IFERROR(INDEX(tblRoutes[Trips per shift],8),"")</f>
        <v>15.625</v>
      </c>
      <c r="H50" s="37">
        <f>IFERROR(INDEX(tblRoutes[Vehicle minutes],8),"")</f>
        <v>156.25</v>
      </c>
      <c r="I50" s="36">
        <f>IFERROR(INDEX(tblRoutes[Vehicles],8),"")</f>
        <v>0.394570707070707</v>
      </c>
      <c r="J50" s="37">
        <f>IFERROR(INDEX(tblRoutes[Dedicated vehicles],8),"")</f>
        <v>1</v>
      </c>
      <c r="K50" s="38">
        <f>IFERROR(INDEX(tblRoutes[Share of work],8),"")</f>
        <v>0.0540930400288496</v>
      </c>
    </row>
    <row r="51" spans="2:12">
      <c r="B51" s="51" t="s">
        <v>143</v>
      </c>
      <c r="C51" s="52">
        <f>IFERROR(INDEX(tblRoutes[Route],9),"")</f>
        <v/>
      </c>
      <c r="D51" s="52"/>
      <c r="E51" s="52"/>
      <c r="F51" s="37">
        <f>IFERROR(INDEX(tblRoutes[Loads per shift],9),"")</f>
        <v/>
      </c>
      <c r="G51" s="35">
        <f>IFERROR(INDEX(tblRoutes[Trips per shift],9),"")</f>
        <v/>
      </c>
      <c r="H51" s="37">
        <f>IFERROR(INDEX(tblRoutes[Vehicle minutes],9),"")</f>
        <v/>
      </c>
      <c r="I51" s="36">
        <f>IFERROR(INDEX(tblRoutes[Vehicles],9),"")</f>
        <v/>
      </c>
      <c r="J51" s="37">
        <f>IFERROR(INDEX(tblRoutes[Dedicated vehicles],9),"")</f>
        <v/>
      </c>
      <c r="K51" s="38">
        <f>IFERROR(INDEX(tblRoutes[Share of work],9),"")</f>
        <v/>
      </c>
    </row>
    <row r="52" spans="2:12">
      <c r="B52" s="51" t="s">
        <v>144</v>
      </c>
      <c r="C52" s="52">
        <f>IFERROR(INDEX(tblRoutes[Route],10),"")</f>
        <v/>
      </c>
      <c r="D52" s="52"/>
      <c r="E52" s="52"/>
      <c r="F52" s="37">
        <f>IFERROR(INDEX(tblRoutes[Loads per shift],10),"")</f>
        <v/>
      </c>
      <c r="G52" s="35">
        <f>IFERROR(INDEX(tblRoutes[Trips per shift],10),"")</f>
        <v/>
      </c>
      <c r="H52" s="37">
        <f>IFERROR(INDEX(tblRoutes[Vehicle minutes],10),"")</f>
        <v/>
      </c>
      <c r="I52" s="36">
        <f>IFERROR(INDEX(tblRoutes[Vehicles],10),"")</f>
        <v/>
      </c>
      <c r="J52" s="37">
        <f>IFERROR(INDEX(tblRoutes[Dedicated vehicles],10),"")</f>
        <v/>
      </c>
      <c r="K52" s="38">
        <f>IFERROR(INDEX(tblRoutes[Share of work],10),"")</f>
        <v/>
      </c>
    </row>
    <row r="53" spans="2:12" ht="8" customHeight="1"/>
    <row r="54" spans="2:12" ht="26.76" customHeight="1">
      <c r="B54" s="21" t="s">
        <v>145</v>
      </c>
      <c r="C54" s="21"/>
      <c r="D54" s="21"/>
      <c r="E54" s="21"/>
      <c r="F54" s="21"/>
      <c r="G54" s="21"/>
      <c r="H54" s="21"/>
      <c r="I54" s="21"/>
      <c r="J54" s="21"/>
      <c r="K54" s="21"/>
      <c r="L54" s="21"/>
    </row>
  </sheetData>
  <sheetProtection sheet="1" formatColumns="0" formatRows="0"/>
  <mergeCells count="42">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30:C30"/>
    <mergeCell ref="B31:C31"/>
    <mergeCell ref="B32:C32"/>
    <mergeCell ref="B33:C33"/>
    <mergeCell ref="B34:C34"/>
    <mergeCell ref="B35:C35"/>
    <mergeCell ref="B36:C36"/>
    <mergeCell ref="B37:C37"/>
    <mergeCell ref="G30:J30"/>
    <mergeCell ref="B41:K41"/>
    <mergeCell ref="C42:E42"/>
    <mergeCell ref="C43:E43"/>
    <mergeCell ref="C44:E44"/>
    <mergeCell ref="C45:E45"/>
    <mergeCell ref="C46:E46"/>
    <mergeCell ref="C47:E47"/>
    <mergeCell ref="C48:E48"/>
    <mergeCell ref="C49:E49"/>
    <mergeCell ref="C50:E50"/>
    <mergeCell ref="C51:E51"/>
    <mergeCell ref="C52:E52"/>
    <mergeCell ref="B54:L54"/>
  </mergeCells>
  <conditionalFormatting sqref="J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AMR Fleet Sizing&amp;R&amp;8&amp;A</oddHeader>
    <oddFooter>&amp;L&amp;8mfgcalcs.com - free manufacturing templates&amp;R&amp;8Page &amp;P of &amp;N</oddFooter>
  </headerFooter>
  <rowBreaks count="1" manualBreakCount="1">
    <brk id="29"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7"/>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146</v>
      </c>
      <c r="C4" s="8"/>
      <c r="D4" s="8"/>
    </row>
    <row r="5" spans="1:4" ht="5" customHeight="1"/>
    <row r="6" spans="1:4" ht="55.8" customHeight="1">
      <c r="B6" s="10" t="s">
        <v>147</v>
      </c>
      <c r="C6" s="10"/>
      <c r="D6" s="10"/>
    </row>
    <row r="8" spans="1:4" ht="21" customHeight="1">
      <c r="B8" s="8" t="s">
        <v>148</v>
      </c>
      <c r="C8" s="8"/>
      <c r="D8" s="8"/>
    </row>
    <row r="9" spans="1:4" ht="5" customHeight="1"/>
    <row r="10" spans="1:4" ht="20" customHeight="1">
      <c r="B10" s="48" t="s">
        <v>149</v>
      </c>
      <c r="C10" s="48" t="s">
        <v>150</v>
      </c>
      <c r="D10" s="33" t="s">
        <v>151</v>
      </c>
    </row>
    <row r="11" spans="1:4" ht="30.4" customHeight="1">
      <c r="B11" s="53" t="s">
        <v>79</v>
      </c>
      <c r="C11" s="54" t="s">
        <v>152</v>
      </c>
      <c r="D11" s="55" t="s">
        <v>153</v>
      </c>
    </row>
    <row r="12" spans="1:4" ht="17.2" customHeight="1">
      <c r="B12" s="53" t="s">
        <v>80</v>
      </c>
      <c r="C12" s="54" t="s">
        <v>154</v>
      </c>
      <c r="D12" s="55" t="s">
        <v>155</v>
      </c>
    </row>
    <row r="13" spans="1:4" ht="17.2" customHeight="1">
      <c r="B13" s="53" t="s">
        <v>115</v>
      </c>
      <c r="C13" s="54" t="s">
        <v>156</v>
      </c>
      <c r="D13" s="55" t="s">
        <v>155</v>
      </c>
    </row>
    <row r="14" spans="1:4" ht="17.2" customHeight="1">
      <c r="B14" s="53" t="s">
        <v>157</v>
      </c>
      <c r="C14" s="54" t="s">
        <v>158</v>
      </c>
      <c r="D14" s="55" t="s">
        <v>122</v>
      </c>
    </row>
    <row r="15" spans="1:4" ht="17.2" customHeight="1">
      <c r="B15" s="53" t="s">
        <v>82</v>
      </c>
      <c r="C15" s="54" t="s">
        <v>159</v>
      </c>
      <c r="D15" s="55" t="s">
        <v>122</v>
      </c>
    </row>
    <row r="16" spans="1:4" ht="43.6" customHeight="1">
      <c r="B16" s="53" t="s">
        <v>160</v>
      </c>
      <c r="C16" s="54" t="s">
        <v>161</v>
      </c>
      <c r="D16" s="55" t="s">
        <v>122</v>
      </c>
    </row>
    <row r="17" spans="2:4" ht="30.4" customHeight="1">
      <c r="B17" s="53" t="s">
        <v>119</v>
      </c>
      <c r="C17" s="54" t="s">
        <v>162</v>
      </c>
      <c r="D17" s="55" t="s">
        <v>122</v>
      </c>
    </row>
    <row r="18" spans="2:4" ht="30.4" customHeight="1">
      <c r="B18" s="53" t="s">
        <v>120</v>
      </c>
      <c r="C18" s="54" t="s">
        <v>163</v>
      </c>
      <c r="D18" s="55" t="s">
        <v>122</v>
      </c>
    </row>
    <row r="19" spans="2:4" ht="17.2" customHeight="1">
      <c r="B19" s="53" t="s">
        <v>127</v>
      </c>
      <c r="C19" s="54" t="s">
        <v>164</v>
      </c>
      <c r="D19" s="55" t="s">
        <v>66</v>
      </c>
    </row>
    <row r="20" spans="2:4" ht="17.2" customHeight="1">
      <c r="B20" s="53" t="s">
        <v>116</v>
      </c>
      <c r="C20" s="54" t="s">
        <v>165</v>
      </c>
      <c r="D20" s="55" t="s">
        <v>122</v>
      </c>
    </row>
    <row r="22" spans="2:4" ht="21" customHeight="1">
      <c r="B22" s="8" t="s">
        <v>166</v>
      </c>
      <c r="C22" s="8"/>
      <c r="D22" s="8"/>
    </row>
    <row r="23" spans="2:4" ht="5" customHeight="1"/>
    <row r="24" spans="2:4" ht="29.4" customHeight="1">
      <c r="B24" s="26" t="s">
        <v>53</v>
      </c>
      <c r="C24" s="10" t="s">
        <v>167</v>
      </c>
      <c r="D24" s="10"/>
    </row>
    <row r="25" spans="2:4" ht="29.4" customHeight="1">
      <c r="B25" s="26" t="s">
        <v>53</v>
      </c>
      <c r="C25" s="10" t="s">
        <v>168</v>
      </c>
      <c r="D25" s="10"/>
    </row>
    <row r="26" spans="2:4" ht="29.4" customHeight="1">
      <c r="B26" s="26" t="s">
        <v>53</v>
      </c>
      <c r="C26" s="10" t="s">
        <v>169</v>
      </c>
      <c r="D26" s="10"/>
    </row>
    <row r="27" spans="2:4" ht="16.2" customHeight="1">
      <c r="B27" s="26" t="s">
        <v>53</v>
      </c>
      <c r="C27" s="10" t="s">
        <v>170</v>
      </c>
      <c r="D27" s="10"/>
    </row>
    <row r="29" spans="2:4" ht="21" customHeight="1">
      <c r="B29" s="8" t="s">
        <v>171</v>
      </c>
      <c r="C29" s="8"/>
      <c r="D29" s="8"/>
    </row>
    <row r="30" spans="2:4" ht="5" customHeight="1"/>
    <row r="31" spans="2:4" ht="29.4" customHeight="1">
      <c r="B31" s="26" t="s">
        <v>53</v>
      </c>
      <c r="C31" s="10" t="s">
        <v>172</v>
      </c>
      <c r="D31" s="10"/>
    </row>
    <row r="32" spans="2:4" ht="29.4" customHeight="1">
      <c r="B32" s="26" t="s">
        <v>53</v>
      </c>
      <c r="C32" s="10" t="s">
        <v>173</v>
      </c>
      <c r="D32" s="10"/>
    </row>
    <row r="33" spans="2:4" ht="29.4" customHeight="1">
      <c r="B33" s="26" t="s">
        <v>53</v>
      </c>
      <c r="C33" s="10" t="s">
        <v>174</v>
      </c>
      <c r="D33" s="10"/>
    </row>
    <row r="34" spans="2:4" ht="16.2" customHeight="1">
      <c r="B34" s="26" t="s">
        <v>53</v>
      </c>
      <c r="C34" s="10" t="s">
        <v>175</v>
      </c>
      <c r="D34" s="10"/>
    </row>
    <row r="36" spans="2:4" ht="21" customHeight="1">
      <c r="B36" s="8" t="s">
        <v>176</v>
      </c>
      <c r="C36" s="8"/>
      <c r="D36" s="8"/>
    </row>
    <row r="37" spans="2:4" ht="5" customHeight="1"/>
    <row r="38" spans="2:4" ht="55.8" customHeight="1">
      <c r="B38" s="10" t="s">
        <v>177</v>
      </c>
      <c r="C38" s="10"/>
      <c r="D38" s="10"/>
    </row>
    <row r="39" spans="2:4">
      <c r="B39" s="24" t="s">
        <v>178</v>
      </c>
      <c r="C39" s="24"/>
      <c r="D39" s="24"/>
    </row>
    <row r="41" spans="2:4" ht="21" customHeight="1">
      <c r="B41" s="8" t="s">
        <v>40</v>
      </c>
      <c r="C41" s="8"/>
      <c r="D41" s="8"/>
    </row>
    <row r="42" spans="2:4" ht="5" customHeight="1"/>
    <row r="43" spans="2:4" ht="42.6" customHeight="1">
      <c r="B43" s="10" t="s">
        <v>179</v>
      </c>
      <c r="C43" s="10"/>
      <c r="D43" s="10"/>
    </row>
    <row r="45" spans="2:4" ht="21" customHeight="1">
      <c r="B45" s="8" t="s">
        <v>180</v>
      </c>
      <c r="C45" s="8"/>
      <c r="D45" s="8"/>
    </row>
    <row r="46" spans="2:4" ht="5" customHeight="1"/>
    <row r="47" spans="2:4" ht="29.4" customHeight="1">
      <c r="B47" s="26" t="s">
        <v>53</v>
      </c>
      <c r="C47" s="10" t="s">
        <v>181</v>
      </c>
      <c r="D47" s="10"/>
    </row>
    <row r="48" spans="2:4" ht="29.4" customHeight="1">
      <c r="B48" s="26" t="s">
        <v>53</v>
      </c>
      <c r="C48" s="10" t="s">
        <v>182</v>
      </c>
      <c r="D48" s="10"/>
    </row>
    <row r="49" spans="2:4" ht="16.2" customHeight="1">
      <c r="B49" s="26" t="s">
        <v>53</v>
      </c>
      <c r="C49" s="10" t="s">
        <v>183</v>
      </c>
      <c r="D49" s="10"/>
    </row>
    <row r="50" spans="2:4">
      <c r="B50" s="21" t="s">
        <v>184</v>
      </c>
      <c r="C50" s="21"/>
      <c r="D50" s="21"/>
    </row>
    <row r="52" spans="2:4" ht="21" customHeight="1">
      <c r="B52" s="8" t="s">
        <v>185</v>
      </c>
      <c r="C52" s="8"/>
      <c r="D52" s="8"/>
    </row>
    <row r="53" spans="2:4" ht="5" customHeight="1"/>
    <row r="54" spans="2:4">
      <c r="B54" s="48" t="s">
        <v>48</v>
      </c>
      <c r="C54" s="48" t="s">
        <v>186</v>
      </c>
      <c r="D54" s="33" t="s">
        <v>187</v>
      </c>
    </row>
    <row r="55" spans="2:4" ht="16.2" customHeight="1">
      <c r="B55" s="56" t="s">
        <v>188</v>
      </c>
      <c r="C55" s="57" t="s">
        <v>189</v>
      </c>
      <c r="D55" s="58" t="s">
        <v>190</v>
      </c>
    </row>
    <row r="57" spans="2:4">
      <c r="B57" s="21" t="s">
        <v>59</v>
      </c>
      <c r="C57" s="21"/>
      <c r="D57" s="21"/>
    </row>
  </sheetData>
  <sheetProtection sheet="1" formatColumns="0" formatRows="0"/>
  <mergeCells count="27">
    <mergeCell ref="A1:D1"/>
    <mergeCell ref="B2:C2"/>
    <mergeCell ref="B4:D4"/>
    <mergeCell ref="B6:D6"/>
    <mergeCell ref="B8:D8"/>
    <mergeCell ref="B22:D22"/>
    <mergeCell ref="C24:D24"/>
    <mergeCell ref="C25:D25"/>
    <mergeCell ref="C26:D26"/>
    <mergeCell ref="C27:D27"/>
    <mergeCell ref="B29:D29"/>
    <mergeCell ref="C31:D31"/>
    <mergeCell ref="C32:D32"/>
    <mergeCell ref="C33:D33"/>
    <mergeCell ref="C34:D34"/>
    <mergeCell ref="B36:D36"/>
    <mergeCell ref="B38:D38"/>
    <mergeCell ref="B39:D39"/>
    <mergeCell ref="B41:D41"/>
    <mergeCell ref="B43:D43"/>
    <mergeCell ref="B45:D45"/>
    <mergeCell ref="C47:D47"/>
    <mergeCell ref="C48:D48"/>
    <mergeCell ref="C49:D49"/>
    <mergeCell ref="B50:D50"/>
    <mergeCell ref="B52:D52"/>
    <mergeCell ref="B57:D57"/>
  </mergeCells>
  <hyperlinks>
    <hyperlink ref="D2" r:id="rId1" tooltip="Free manufacturing calculators and templates"/>
    <hyperlink ref="B39" r:id="rId2"/>
  </hyperlinks>
  <printOptions horizontalCentered="1"/>
  <pageMargins left="0.4" right="0.4" top="0.7" bottom="0.65" header="0.3" footer="0.3"/>
  <pageSetup fitToHeight="0" orientation="portrait"/>
  <headerFooter>
    <oddHeader>&amp;L&amp;8MFG Calcs - AMR Fleet Sizing&amp;R&amp;8&amp;A</oddHeader>
    <oddFooter>&amp;L&amp;8mfgcalcs.com - free manufacturing templates&amp;R&amp;8Page &amp;P of &amp;N</oddFooter>
  </headerFooter>
  <rowBreaks count="1" manualBreakCount="1">
    <brk id="28"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N47"/>
  <sheetViews>
    <sheetView showGridLines="0" workbookViewId="0"/>
  </sheetViews>
  <sheetFormatPr defaultRowHeight="15"/>
  <cols>
    <col min="1" max="1" width="2.7109375" customWidth="1"/>
    <col min="2" max="19" width="12.7109375" customWidth="1"/>
  </cols>
  <sheetData>
    <row r="1" spans="1:14" ht="30" customHeight="1">
      <c r="A1" s="1" t="s">
        <v>0</v>
      </c>
      <c r="B1" s="1"/>
      <c r="C1" s="1"/>
      <c r="D1" s="1"/>
      <c r="E1" s="1"/>
      <c r="F1" s="1"/>
      <c r="G1" s="1"/>
      <c r="H1" s="1"/>
      <c r="I1" s="1"/>
      <c r="J1" s="1"/>
      <c r="K1" s="1"/>
      <c r="L1" s="1"/>
      <c r="M1" s="1"/>
      <c r="N1" s="1"/>
    </row>
    <row r="2" spans="1:14" ht="21" customHeight="1">
      <c r="B2" s="2" t="s">
        <v>26</v>
      </c>
      <c r="C2" s="2"/>
      <c r="D2" s="2"/>
      <c r="E2" s="2"/>
      <c r="F2" s="2"/>
      <c r="G2" s="2"/>
      <c r="H2" s="2"/>
      <c r="I2" s="2"/>
      <c r="J2" s="2"/>
      <c r="K2" s="2"/>
      <c r="L2" s="2"/>
      <c r="M2" s="2"/>
      <c r="N2" s="3" t="s">
        <v>2</v>
      </c>
    </row>
    <row r="3" spans="1:14" ht="6" customHeight="1"/>
    <row r="4" spans="1:14" ht="30" customHeight="1">
      <c r="B4" s="59" t="s">
        <v>191</v>
      </c>
      <c r="C4" s="59"/>
      <c r="D4" s="22" t="str">
        <f>IF(COUNTIF($K$11:$K$21,"PASS")=11,"PASS","FAIL")</f>
        <v>PASS</v>
      </c>
      <c r="E4" s="22"/>
      <c r="F4" s="23" t="str">
        <f>COUNTIF($K$11:$K$21,"PASS")&amp;" of 11 checks pass"</f>
        <v>11 of 11 checks pass</v>
      </c>
      <c r="G4" s="23"/>
      <c r="H4" s="23"/>
      <c r="I4" s="23"/>
      <c r="J4" s="23"/>
    </row>
    <row r="6" spans="1:14" ht="29.4" customHeight="1">
      <c r="B6" s="10" t="s">
        <v>192</v>
      </c>
      <c r="C6" s="10"/>
      <c r="D6" s="10"/>
      <c r="E6" s="10"/>
      <c r="F6" s="10"/>
      <c r="G6" s="10"/>
      <c r="H6" s="10"/>
      <c r="I6" s="10"/>
      <c r="J6" s="10"/>
      <c r="K6" s="10"/>
      <c r="L6" s="10"/>
    </row>
    <row r="8" spans="1:14" ht="21" customHeight="1">
      <c r="B8" s="8" t="s">
        <v>193</v>
      </c>
      <c r="C8" s="8"/>
      <c r="D8" s="8"/>
      <c r="E8" s="8"/>
      <c r="F8" s="8"/>
      <c r="G8" s="8"/>
      <c r="H8" s="8"/>
      <c r="I8" s="8"/>
      <c r="J8" s="8"/>
      <c r="K8" s="8"/>
      <c r="L8" s="8"/>
    </row>
    <row r="9" spans="1:14" ht="5" customHeight="1"/>
    <row r="10" spans="1:14" ht="30" customHeight="1">
      <c r="B10" s="33" t="s">
        <v>194</v>
      </c>
      <c r="C10" s="48" t="s">
        <v>84</v>
      </c>
      <c r="D10" s="48"/>
      <c r="E10" s="48"/>
      <c r="F10" s="48"/>
      <c r="G10" s="33" t="s">
        <v>195</v>
      </c>
      <c r="H10" s="33" t="s">
        <v>196</v>
      </c>
      <c r="I10" s="33" t="s">
        <v>197</v>
      </c>
      <c r="J10" s="33" t="s">
        <v>198</v>
      </c>
      <c r="K10" s="33" t="s">
        <v>199</v>
      </c>
    </row>
    <row r="11" spans="1:14" ht="16.2" customHeight="1">
      <c r="B11" s="60">
        <v>1</v>
      </c>
      <c r="C11" s="57" t="s">
        <v>200</v>
      </c>
      <c r="D11" s="57"/>
      <c r="E11" s="57"/>
      <c r="F11" s="57"/>
      <c r="G11" s="61">
        <v>125</v>
      </c>
      <c r="H11" s="62">
        <f>$H$35</f>
        <v>125</v>
      </c>
      <c r="I11" s="63">
        <f>IF(AND(ISNUMBER($G$11),ISNUMBER($H$11)),ABS($H$11-$G$11),"")</f>
        <v>0</v>
      </c>
      <c r="J11" s="64">
        <v>1E-09</v>
      </c>
      <c r="K11" s="65" t="str">
        <f>IF(AND(ISNUMBER($G$11),ISNUMBER($H$11)),IF(ABS($H$11-$G$11)&lt;=$J$11,"PASS","FAIL"),"FAIL")</f>
        <v>PASS</v>
      </c>
    </row>
    <row r="12" spans="1:14" ht="16.2" customHeight="1">
      <c r="B12" s="60">
        <v>2</v>
      </c>
      <c r="C12" s="57" t="s">
        <v>201</v>
      </c>
      <c r="D12" s="57"/>
      <c r="E12" s="57"/>
      <c r="F12" s="57"/>
      <c r="G12" s="66">
        <v>1500</v>
      </c>
      <c r="H12" s="36">
        <f>$I$35</f>
        <v>1500</v>
      </c>
      <c r="I12" s="63">
        <f>IF(AND(ISNUMBER($G$12),ISNUMBER($H$12)),ABS($H$12-$G$12),"")</f>
        <v>0</v>
      </c>
      <c r="J12" s="64">
        <v>1E-09</v>
      </c>
      <c r="K12" s="65" t="str">
        <f>IF(AND(ISNUMBER($G$12),ISNUMBER($H$12)),IF(ABS($H$12-$G$12)&lt;=$J$12,"PASS","FAIL"),"FAIL")</f>
        <v>PASS</v>
      </c>
    </row>
    <row r="13" spans="1:14" ht="16.2" customHeight="1">
      <c r="B13" s="60">
        <v>3</v>
      </c>
      <c r="C13" s="57" t="s">
        <v>202</v>
      </c>
      <c r="D13" s="57"/>
      <c r="E13" s="57"/>
      <c r="F13" s="57"/>
      <c r="G13" s="61">
        <v>3.551136363636364</v>
      </c>
      <c r="H13" s="62">
        <f>$J$35</f>
        <v>3.55113636363636</v>
      </c>
      <c r="I13" s="63">
        <f>IF(AND(ISNUMBER($G$13),ISNUMBER($H$13)),ABS($H$13-$G$13),"")</f>
        <v>0</v>
      </c>
      <c r="J13" s="64">
        <v>1E-09</v>
      </c>
      <c r="K13" s="65" t="str">
        <f>IF(AND(ISNUMBER($G$13),ISNUMBER($H$13)),IF(ABS($H$13-$G$13)&lt;=$J$13,"PASS","FAIL"),"FAIL")</f>
        <v>PASS</v>
      </c>
    </row>
    <row r="14" spans="1:14" ht="16.2" customHeight="1">
      <c r="B14" s="60">
        <v>4</v>
      </c>
      <c r="C14" s="57" t="s">
        <v>203</v>
      </c>
      <c r="D14" s="57"/>
      <c r="E14" s="57"/>
      <c r="F14" s="57"/>
      <c r="G14" s="67">
        <v>4</v>
      </c>
      <c r="H14" s="37">
        <f>$K$35</f>
        <v>4</v>
      </c>
      <c r="I14" s="63">
        <f>IF(AND(ISNUMBER($G$14),ISNUMBER($H$14)),ABS($H$14-$G$14),"")</f>
        <v>0</v>
      </c>
      <c r="J14" s="64">
        <v>1E-09</v>
      </c>
      <c r="K14" s="65" t="str">
        <f>IF(AND(ISNUMBER($G$14),ISNUMBER($H$14)),IF(ABS($H$14-$G$14)&lt;=$J$14,"PASS","FAIL"),"FAIL")</f>
        <v>PASS</v>
      </c>
    </row>
    <row r="15" spans="1:14" ht="16.2" customHeight="1">
      <c r="B15" s="60">
        <v>5</v>
      </c>
      <c r="C15" s="57" t="s">
        <v>204</v>
      </c>
      <c r="D15" s="57"/>
      <c r="E15" s="57"/>
      <c r="F15" s="57"/>
      <c r="G15" s="67">
        <v>1</v>
      </c>
      <c r="H15" s="37">
        <f>$K$36</f>
        <v>1</v>
      </c>
      <c r="I15" s="63">
        <f>IF(AND(ISNUMBER($G$15),ISNUMBER($H$15)),ABS($H$15-$G$15),"")</f>
        <v>0</v>
      </c>
      <c r="J15" s="64">
        <v>1E-09</v>
      </c>
      <c r="K15" s="65" t="str">
        <f>IF(AND(ISNUMBER($G$15),ISNUMBER($H$15)),IF(ABS($H$15-$G$15)&lt;=$J$15,"PASS","FAIL"),"FAIL")</f>
        <v>PASS</v>
      </c>
    </row>
    <row r="16" spans="1:14" ht="16.2" customHeight="1">
      <c r="B16" s="60">
        <v>6</v>
      </c>
      <c r="C16" s="57" t="s">
        <v>205</v>
      </c>
      <c r="D16" s="57"/>
      <c r="E16" s="57"/>
      <c r="F16" s="57"/>
      <c r="G16" s="56" t="s">
        <v>206</v>
      </c>
      <c r="H16" s="52" t="str">
        <f>$M$37</f>
        <v>Trip carries more than the shift</v>
      </c>
      <c r="I16" s="52"/>
      <c r="J16" s="58" t="s">
        <v>207</v>
      </c>
      <c r="K16" s="65" t="str">
        <f>IF($H$16&amp;""=$G$16&amp;"","PASS","FAIL")</f>
        <v>PASS</v>
      </c>
    </row>
    <row r="17" spans="2:12" ht="16.2" customHeight="1">
      <c r="B17" s="60">
        <v>7</v>
      </c>
      <c r="C17" s="57" t="s">
        <v>208</v>
      </c>
      <c r="D17" s="57"/>
      <c r="E17" s="57"/>
      <c r="F17" s="57"/>
      <c r="G17" s="67">
        <v>5</v>
      </c>
      <c r="H17" s="37">
        <f>IF(($E$27*$E$28)&gt;0,ROUNDUP(ROUND($E$41/($E$27*$E$28),9),0),"")</f>
        <v>5</v>
      </c>
      <c r="I17" s="63">
        <f>IF(AND(ISNUMBER($G$17),ISNUMBER($H$17)),ABS($H$17-$G$17),"")</f>
        <v>0</v>
      </c>
      <c r="J17" s="64">
        <v>1E-09</v>
      </c>
      <c r="K17" s="65" t="str">
        <f>IF(AND(ISNUMBER($G$17),ISNUMBER($H$17)),IF(ABS($H$17-$G$17)&lt;=$J$17,"PASS","FAIL"),"FAIL")</f>
        <v>PASS</v>
      </c>
    </row>
    <row r="18" spans="2:12" ht="16.2" customHeight="1">
      <c r="B18" s="60">
        <v>8</v>
      </c>
      <c r="C18" s="57" t="s">
        <v>209</v>
      </c>
      <c r="D18" s="57"/>
      <c r="E18" s="57"/>
      <c r="F18" s="57"/>
      <c r="G18" s="67">
        <v>6</v>
      </c>
      <c r="H18" s="37">
        <f>IF(AND(($E$27*$E$28)&gt;0,$E$30&gt;0),ROUNDUP(ROUND($E$41/(($E$27*$E$28)*$E$30),9),0),"")</f>
        <v>6</v>
      </c>
      <c r="I18" s="63">
        <f>IF(AND(ISNUMBER($G$18),ISNUMBER($H$18)),ABS($H$18-$G$18),"")</f>
        <v>0</v>
      </c>
      <c r="J18" s="64">
        <v>1E-09</v>
      </c>
      <c r="K18" s="65" t="str">
        <f>IF(AND(ISNUMBER($G$18),ISNUMBER($H$18)),IF(ABS($H$18-$G$18)&lt;=$J$18,"PASS","FAIL"),"FAIL")</f>
        <v>PASS</v>
      </c>
    </row>
    <row r="19" spans="2:12" ht="16.2" customHeight="1">
      <c r="B19" s="60">
        <v>9</v>
      </c>
      <c r="C19" s="57" t="s">
        <v>210</v>
      </c>
      <c r="D19" s="57"/>
      <c r="E19" s="57"/>
      <c r="F19" s="57"/>
      <c r="G19" s="67">
        <v>7</v>
      </c>
      <c r="H19" s="37">
        <f>IF(AND($E$27&gt;0,$E$28&gt;0),ROUNDUP(ROUND($E$41/($E$27/60)*$E$31/(60*$E$28),9),0),"")</f>
        <v>7</v>
      </c>
      <c r="I19" s="63">
        <f>IF(AND(ISNUMBER($G$19),ISNUMBER($H$19)),ABS($H$19-$G$19),"")</f>
        <v>0</v>
      </c>
      <c r="J19" s="64">
        <v>1E-09</v>
      </c>
      <c r="K19" s="65" t="str">
        <f>IF(AND(ISNUMBER($G$19),ISNUMBER($H$19)),IF(ABS($H$19-$G$19)&lt;=$J$19,"PASS","FAIL"),"FAIL")</f>
        <v>PASS</v>
      </c>
    </row>
    <row r="20" spans="2:12" ht="16.2" customHeight="1">
      <c r="B20" s="60">
        <v>10</v>
      </c>
      <c r="C20" s="57" t="s">
        <v>211</v>
      </c>
      <c r="D20" s="57"/>
      <c r="E20" s="57"/>
      <c r="F20" s="57"/>
      <c r="G20" s="67">
        <v>6</v>
      </c>
      <c r="H20" s="37">
        <f>SUM(tblVerifyRoutes[Dedicated vehicles])</f>
        <v>6</v>
      </c>
      <c r="I20" s="63">
        <f>IF(AND(ISNUMBER($G$20),ISNUMBER($H$20)),ABS($H$20-$G$20),"")</f>
        <v>0</v>
      </c>
      <c r="J20" s="64">
        <v>1E-09</v>
      </c>
      <c r="K20" s="65" t="str">
        <f>IF(AND(ISNUMBER($G$20),ISNUMBER($H$20)),IF(ABS($H$20-$G$20)&lt;=$J$20,"PASS","FAIL"),"FAIL")</f>
        <v>PASS</v>
      </c>
    </row>
    <row r="21" spans="2:12" ht="16.2" customHeight="1">
      <c r="B21" s="60">
        <v>11</v>
      </c>
      <c r="C21" s="57" t="s">
        <v>212</v>
      </c>
      <c r="D21" s="57"/>
      <c r="E21" s="57"/>
      <c r="F21" s="57"/>
      <c r="G21" s="68">
        <v>0.6892657039141415</v>
      </c>
      <c r="H21" s="38">
        <f>IF(N($E$43)=0,"",$E$41/($E$43*($E$27*$E$28)))</f>
        <v>0.689265703914142</v>
      </c>
      <c r="I21" s="63">
        <f>IF(AND(ISNUMBER($G$21),ISNUMBER($H$21)),ABS($H$21-$G$21),"")</f>
        <v>0</v>
      </c>
      <c r="J21" s="64">
        <v>1E-09</v>
      </c>
      <c r="K21" s="65" t="str">
        <f>IF(AND(ISNUMBER($G$21),ISNUMBER($H$21)),IF(ABS($H$21-$G$21)&lt;=$J$21,"PASS","FAIL"),"FAIL")</f>
        <v>PASS</v>
      </c>
    </row>
    <row r="23" spans="2:12" ht="21" customHeight="1">
      <c r="B23" s="8" t="s">
        <v>213</v>
      </c>
      <c r="C23" s="8"/>
      <c r="D23" s="8"/>
      <c r="E23" s="8"/>
      <c r="F23" s="8"/>
      <c r="G23" s="8"/>
      <c r="H23" s="8"/>
      <c r="I23" s="8"/>
      <c r="J23" s="8"/>
      <c r="K23" s="8"/>
      <c r="L23" s="8"/>
    </row>
    <row r="24" spans="2:12" ht="5" customHeight="1"/>
    <row r="25" spans="2:12">
      <c r="B25" s="21" t="s">
        <v>214</v>
      </c>
      <c r="C25" s="21"/>
      <c r="D25" s="21"/>
      <c r="E25" s="21"/>
      <c r="F25" s="21"/>
      <c r="G25" s="21"/>
      <c r="H25" s="21"/>
      <c r="I25" s="21"/>
      <c r="J25" s="21"/>
      <c r="K25" s="21"/>
      <c r="L25" s="21"/>
    </row>
    <row r="26" spans="2:12">
      <c r="B26" s="47" t="s">
        <v>215</v>
      </c>
      <c r="C26" s="47"/>
      <c r="D26" s="47"/>
      <c r="E26" s="47"/>
      <c r="F26" s="47"/>
    </row>
    <row r="27" spans="2:12">
      <c r="B27" s="27" t="s">
        <v>216</v>
      </c>
      <c r="C27" s="27"/>
      <c r="D27" s="27"/>
      <c r="E27" s="67">
        <v>480</v>
      </c>
      <c r="F27" s="7"/>
    </row>
    <row r="28" spans="2:12">
      <c r="B28" s="27" t="s">
        <v>217</v>
      </c>
      <c r="C28" s="27"/>
      <c r="D28" s="27"/>
      <c r="E28" s="68">
        <v>0.88</v>
      </c>
      <c r="F28" s="7"/>
    </row>
    <row r="29" spans="2:12">
      <c r="B29" s="27" t="s">
        <v>218</v>
      </c>
      <c r="C29" s="27"/>
      <c r="D29" s="27"/>
      <c r="E29" s="68">
        <v>0.96</v>
      </c>
      <c r="F29" s="7"/>
    </row>
    <row r="30" spans="2:12">
      <c r="B30" s="27" t="s">
        <v>219</v>
      </c>
      <c r="C30" s="27"/>
      <c r="D30" s="27"/>
      <c r="E30" s="68">
        <v>0.8</v>
      </c>
      <c r="F30" s="7"/>
    </row>
    <row r="31" spans="2:12">
      <c r="B31" s="27" t="s">
        <v>70</v>
      </c>
      <c r="C31" s="27"/>
      <c r="D31" s="27"/>
      <c r="E31" s="66">
        <v>1.5</v>
      </c>
      <c r="F31" s="7"/>
    </row>
    <row r="33" spans="2:14">
      <c r="B33" s="47" t="s">
        <v>220</v>
      </c>
      <c r="C33" s="47"/>
      <c r="D33" s="47"/>
      <c r="E33" s="47"/>
      <c r="F33" s="47"/>
      <c r="G33" s="47"/>
      <c r="H33" s="47"/>
      <c r="I33" s="47"/>
      <c r="J33" s="47"/>
      <c r="K33" s="47"/>
      <c r="L33" s="47"/>
    </row>
    <row r="34" spans="2:14" ht="32" customHeight="1">
      <c r="B34" s="33" t="s">
        <v>73</v>
      </c>
      <c r="C34" s="33" t="s">
        <v>74</v>
      </c>
      <c r="D34" s="33" t="s">
        <v>75</v>
      </c>
      <c r="E34" s="33" t="s">
        <v>76</v>
      </c>
      <c r="F34" s="33" t="s">
        <v>77</v>
      </c>
      <c r="G34" s="33" t="s">
        <v>78</v>
      </c>
      <c r="H34" s="33" t="s">
        <v>79</v>
      </c>
      <c r="I34" s="33" t="s">
        <v>80</v>
      </c>
      <c r="J34" s="33" t="s">
        <v>81</v>
      </c>
      <c r="K34" s="33" t="s">
        <v>82</v>
      </c>
      <c r="L34" s="33" t="s">
        <v>83</v>
      </c>
      <c r="M34" s="33" t="s">
        <v>84</v>
      </c>
      <c r="N34" s="33" t="s">
        <v>85</v>
      </c>
    </row>
    <row r="35" spans="2:14">
      <c r="B35" s="56" t="s">
        <v>221</v>
      </c>
      <c r="C35" s="56" t="s">
        <v>222</v>
      </c>
      <c r="D35" s="56" t="s">
        <v>223</v>
      </c>
      <c r="E35" s="67">
        <v>240</v>
      </c>
      <c r="F35" s="67">
        <v>2</v>
      </c>
      <c r="G35" s="69">
        <v>12</v>
      </c>
      <c r="H35" s="35">
        <f>IF(tblVerifyRoutes[[#This Row],[Route]]="","",IF(AND(tblVerifyRoutes[[#This Row],[Loads per trip]]&gt;0,$E$29&gt;0),tblVerifyRoutes[[#This Row],[Loads per shift]]/tblVerifyRoutes[[#This Row],[Loads per trip]]/$E$29,""))</f>
        <v>125</v>
      </c>
      <c r="I35" s="35">
        <f>IF(tblVerifyRoutes[[#This Row],[Route]]="","",IF(ISNUMBER(tblVerifyRoutes[[#This Row],[Trips per shift]]),tblVerifyRoutes[[#This Row],[Trips per shift]]*tblVerifyRoutes[[#This Row],[Cycle time (min)]],""))</f>
        <v>1500</v>
      </c>
      <c r="J35" s="36">
        <f>IF(tblVerifyRoutes[[#This Row],[Route]]="","",IF(AND(ISNUMBER(tblVerifyRoutes[[#This Row],[Vehicle minutes]]),($E$27*$E$28)&gt;0),tblVerifyRoutes[[#This Row],[Vehicle minutes]]/($E$27*$E$28),""))</f>
        <v>3.55113636363636</v>
      </c>
      <c r="K35" s="37">
        <f>IF(tblVerifyRoutes[[#This Row],[Route]]="","",IF(ISNUMBER(tblVerifyRoutes[[#This Row],[Vehicles]]),ROUNDUP(ROUND(tblVerifyRoutes[[#This Row],[Vehicles]],9),0),""))</f>
        <v>4</v>
      </c>
      <c r="L35" s="38">
        <f>IF(tblVerifyRoutes[[#This Row],[Route]]="","",IF(AND(ISNUMBER(tblVerifyRoutes[[#This Row],[Vehicle minutes]]),SUM(tblVerifyRoutes[Vehicle minutes])&gt;0),tblVerifyRoutes[[#This Row],[Vehicle minutes]]/SUM(tblVerifyRoutes[Vehicle minutes]),""))</f>
        <v>0.858676207513417</v>
      </c>
      <c r="M35" s="39" t="str">
        <f>IF(tblVerifyRoutes[[#This Row],[Route]]="","",IF(tblVerifyRoutes[[#This Row],[Route]]="","Missing route",IF(tblVerifyRoutes[[#This Row],[Loads per shift]]="","Missing loads per shift",IF(tblVerifyRoutes[[#This Row],[Loads per trip]]="","Missing loads per trip",IF(tblVerifyRoutes[[#This Row],[Cycle time (min)]]="","Missing cycle time",IF(COUNTIF(tblVerifyRoutes[Route],tblVerifyRoutes[[#This Row],[Route]])&gt;1,"Route listed twice",IF(tblVerifyRoutes[[#This Row],[Loads per trip]]&gt;tblVerifyRoutes[[#This Row],[Loads per shift]],"Trip carries more than the shift","OK")))))))</f>
        <v>OK</v>
      </c>
      <c r="N35" s="56" t="s">
        <v>90</v>
      </c>
    </row>
    <row r="36" spans="2:14">
      <c r="B36" s="56" t="s">
        <v>224</v>
      </c>
      <c r="C36" s="56" t="s">
        <v>223</v>
      </c>
      <c r="D36" s="56" t="s">
        <v>225</v>
      </c>
      <c r="E36" s="67">
        <v>100</v>
      </c>
      <c r="F36" s="67">
        <v>4</v>
      </c>
      <c r="G36" s="69">
        <v>9</v>
      </c>
      <c r="H36" s="35">
        <f>IF(tblVerifyRoutes[[#This Row],[Route]]="","",IF(AND(tblVerifyRoutes[[#This Row],[Loads per trip]]&gt;0,$E$29&gt;0),tblVerifyRoutes[[#This Row],[Loads per shift]]/tblVerifyRoutes[[#This Row],[Loads per trip]]/$E$29,""))</f>
        <v>26.0416666666667</v>
      </c>
      <c r="I36" s="35">
        <f>IF(tblVerifyRoutes[[#This Row],[Route]]="","",IF(ISNUMBER(tblVerifyRoutes[[#This Row],[Trips per shift]]),tblVerifyRoutes[[#This Row],[Trips per shift]]*tblVerifyRoutes[[#This Row],[Cycle time (min)]],""))</f>
        <v>234.375</v>
      </c>
      <c r="J36" s="36">
        <f>IF(tblVerifyRoutes[[#This Row],[Route]]="","",IF(AND(ISNUMBER(tblVerifyRoutes[[#This Row],[Vehicle minutes]]),($E$27*$E$28)&gt;0),tblVerifyRoutes[[#This Row],[Vehicle minutes]]/($E$27*$E$28),""))</f>
        <v>0.554865056818182</v>
      </c>
      <c r="K36" s="37">
        <f>IF(tblVerifyRoutes[[#This Row],[Route]]="","",IF(ISNUMBER(tblVerifyRoutes[[#This Row],[Vehicles]]),ROUNDUP(ROUND(tblVerifyRoutes[[#This Row],[Vehicles]],9),0),""))</f>
        <v>1</v>
      </c>
      <c r="L36" s="38">
        <f>IF(tblVerifyRoutes[[#This Row],[Route]]="","",IF(AND(ISNUMBER(tblVerifyRoutes[[#This Row],[Vehicle minutes]]),SUM(tblVerifyRoutes[Vehicle minutes])&gt;0),tblVerifyRoutes[[#This Row],[Vehicle minutes]]/SUM(tblVerifyRoutes[Vehicle minutes]),""))</f>
        <v>0.134168157423971</v>
      </c>
      <c r="M36" s="39" t="str">
        <f>IF(tblVerifyRoutes[[#This Row],[Route]]="","",IF(tblVerifyRoutes[[#This Row],[Route]]="","Missing route",IF(tblVerifyRoutes[[#This Row],[Loads per shift]]="","Missing loads per shift",IF(tblVerifyRoutes[[#This Row],[Loads per trip]]="","Missing loads per trip",IF(tblVerifyRoutes[[#This Row],[Cycle time (min)]]="","Missing cycle time",IF(COUNTIF(tblVerifyRoutes[Route],tblVerifyRoutes[[#This Row],[Route]])&gt;1,"Route listed twice",IF(tblVerifyRoutes[[#This Row],[Loads per trip]]&gt;tblVerifyRoutes[[#This Row],[Loads per shift]],"Trip carries more than the shift","OK")))))))</f>
        <v>OK</v>
      </c>
      <c r="N36" s="56" t="s">
        <v>90</v>
      </c>
    </row>
    <row r="37" spans="2:14">
      <c r="B37" s="56" t="s">
        <v>226</v>
      </c>
      <c r="C37" s="56" t="s">
        <v>225</v>
      </c>
      <c r="D37" s="56" t="s">
        <v>227</v>
      </c>
      <c r="E37" s="67">
        <v>3</v>
      </c>
      <c r="F37" s="67">
        <v>5</v>
      </c>
      <c r="G37" s="69">
        <v>20</v>
      </c>
      <c r="H37" s="35">
        <f>IF(tblVerifyRoutes[[#This Row],[Route]]="","",IF(AND(tblVerifyRoutes[[#This Row],[Loads per trip]]&gt;0,$E$29&gt;0),tblVerifyRoutes[[#This Row],[Loads per shift]]/tblVerifyRoutes[[#This Row],[Loads per trip]]/$E$29,""))</f>
        <v>0.625</v>
      </c>
      <c r="I37" s="35">
        <f>IF(tblVerifyRoutes[[#This Row],[Route]]="","",IF(ISNUMBER(tblVerifyRoutes[[#This Row],[Trips per shift]]),tblVerifyRoutes[[#This Row],[Trips per shift]]*tblVerifyRoutes[[#This Row],[Cycle time (min)]],""))</f>
        <v>12.5</v>
      </c>
      <c r="J37" s="36">
        <f>IF(tblVerifyRoutes[[#This Row],[Route]]="","",IF(AND(ISNUMBER(tblVerifyRoutes[[#This Row],[Vehicle minutes]]),($E$27*$E$28)&gt;0),tblVerifyRoutes[[#This Row],[Vehicle minutes]]/($E$27*$E$28),""))</f>
        <v>0.029592803030303</v>
      </c>
      <c r="K37" s="37">
        <f>IF(tblVerifyRoutes[[#This Row],[Route]]="","",IF(ISNUMBER(tblVerifyRoutes[[#This Row],[Vehicles]]),ROUNDUP(ROUND(tblVerifyRoutes[[#This Row],[Vehicles]],9),0),""))</f>
        <v>1</v>
      </c>
      <c r="L37" s="38">
        <f>IF(tblVerifyRoutes[[#This Row],[Route]]="","",IF(AND(ISNUMBER(tblVerifyRoutes[[#This Row],[Vehicle minutes]]),SUM(tblVerifyRoutes[Vehicle minutes])&gt;0),tblVerifyRoutes[[#This Row],[Vehicle minutes]]/SUM(tblVerifyRoutes[Vehicle minutes]),""))</f>
        <v>0.00715563506261181</v>
      </c>
      <c r="M37" s="39" t="str">
        <f>IF(tblVerifyRoutes[[#This Row],[Route]]="","",IF(tblVerifyRoutes[[#This Row],[Route]]="","Missing route",IF(tblVerifyRoutes[[#This Row],[Loads per shift]]="","Missing loads per shift",IF(tblVerifyRoutes[[#This Row],[Loads per trip]]="","Missing loads per trip",IF(tblVerifyRoutes[[#This Row],[Cycle time (min)]]="","Missing cycle time",IF(COUNTIF(tblVerifyRoutes[Route],tblVerifyRoutes[[#This Row],[Route]])&gt;1,"Route listed twice",IF(tblVerifyRoutes[[#This Row],[Loads per trip]]&gt;tblVerifyRoutes[[#This Row],[Loads per shift]],"Trip carries more than the shift","OK")))))))</f>
        <v>Trip carries more than the shift</v>
      </c>
      <c r="N37" s="56" t="s">
        <v>90</v>
      </c>
    </row>
    <row r="39" spans="2:14">
      <c r="B39" s="47" t="s">
        <v>228</v>
      </c>
      <c r="C39" s="47"/>
      <c r="D39" s="47"/>
      <c r="E39" s="47"/>
      <c r="F39" s="47"/>
      <c r="G39" s="47"/>
      <c r="H39" s="47"/>
      <c r="I39" s="47"/>
      <c r="J39" s="47"/>
      <c r="K39" s="47"/>
      <c r="L39" s="47"/>
    </row>
    <row r="40" spans="2:14">
      <c r="B40" s="27" t="s">
        <v>115</v>
      </c>
      <c r="C40" s="27"/>
      <c r="D40" s="27"/>
      <c r="E40" s="35">
        <f>($E$27*$E$28)</f>
        <v>422.4</v>
      </c>
      <c r="F40" s="7" t="s">
        <v>64</v>
      </c>
    </row>
    <row r="41" spans="2:14">
      <c r="B41" s="27" t="s">
        <v>117</v>
      </c>
      <c r="C41" s="27"/>
      <c r="D41" s="27"/>
      <c r="E41" s="35">
        <f>SUM(tblVerifyRoutes[Vehicle minutes])</f>
        <v>1746.875</v>
      </c>
      <c r="F41" s="7" t="s">
        <v>64</v>
      </c>
    </row>
    <row r="42" spans="2:14">
      <c r="B42" s="27" t="s">
        <v>121</v>
      </c>
      <c r="C42" s="27"/>
      <c r="D42" s="27"/>
      <c r="E42" s="37">
        <f>IF(($E$27*$E$28)&gt;0,ROUNDUP(ROUND($E$41/($E$27*$E$28),9),0),"")</f>
        <v>5</v>
      </c>
      <c r="F42" s="7" t="s">
        <v>122</v>
      </c>
    </row>
    <row r="43" spans="2:14">
      <c r="B43" s="17" t="s">
        <v>123</v>
      </c>
      <c r="C43" s="17"/>
      <c r="D43" s="17"/>
      <c r="E43" s="50">
        <f>IF(AND(($E$27*$E$28)&gt;0,$E$30&gt;0),ROUNDUP(ROUND($E$41/(($E$27*$E$28)*$E$30),9),0),"")</f>
        <v>6</v>
      </c>
      <c r="F43" s="7" t="s">
        <v>122</v>
      </c>
    </row>
    <row r="44" spans="2:14">
      <c r="B44" s="17" t="s">
        <v>124</v>
      </c>
      <c r="C44" s="17"/>
      <c r="D44" s="17"/>
      <c r="E44" s="50">
        <f>IF(AND($E$27&gt;0,$E$28&gt;0),ROUNDUP(ROUND($E$41/($E$27/60)*$E$31/(60*$E$28),9),0),"")</f>
        <v>7</v>
      </c>
      <c r="F44" s="7" t="s">
        <v>122</v>
      </c>
    </row>
    <row r="45" spans="2:14">
      <c r="B45" s="27" t="s">
        <v>125</v>
      </c>
      <c r="C45" s="27"/>
      <c r="D45" s="27"/>
      <c r="E45" s="37">
        <f>SUM(tblVerifyRoutes[Dedicated vehicles])</f>
        <v>6</v>
      </c>
      <c r="F45" s="7" t="s">
        <v>122</v>
      </c>
    </row>
    <row r="46" spans="2:14">
      <c r="B46" s="27" t="s">
        <v>126</v>
      </c>
      <c r="C46" s="27"/>
      <c r="D46" s="27"/>
      <c r="E46" s="37">
        <f>IF(N($E$43)=0,"",$E$45-$E$43)</f>
        <v>0</v>
      </c>
      <c r="F46" s="7" t="s">
        <v>122</v>
      </c>
    </row>
    <row r="47" spans="2:14">
      <c r="B47" s="27" t="s">
        <v>127</v>
      </c>
      <c r="C47" s="27"/>
      <c r="D47" s="27"/>
      <c r="E47" s="38">
        <f>IF(N($E$43)=0,"",$E$41/($E$43*($E$27*$E$28)))</f>
        <v>0.689265703914142</v>
      </c>
      <c r="F47" s="7"/>
    </row>
  </sheetData>
  <sheetProtection sheet="1" formatColumns="0" formatRows="0"/>
  <mergeCells count="37">
    <mergeCell ref="A1:N1"/>
    <mergeCell ref="B2:M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B23:L23"/>
    <mergeCell ref="B25:L25"/>
    <mergeCell ref="B26:F26"/>
    <mergeCell ref="B27:D27"/>
    <mergeCell ref="B28:D28"/>
    <mergeCell ref="B29:D29"/>
    <mergeCell ref="B30:D30"/>
    <mergeCell ref="B31:D31"/>
    <mergeCell ref="B33:L33"/>
    <mergeCell ref="B39:L39"/>
    <mergeCell ref="B40:D40"/>
    <mergeCell ref="B41:D41"/>
    <mergeCell ref="B42:D42"/>
    <mergeCell ref="B43:D43"/>
    <mergeCell ref="B44:D44"/>
    <mergeCell ref="B45:D45"/>
    <mergeCell ref="B46:D46"/>
    <mergeCell ref="B47:D47"/>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M35:M37">
    <cfRule type="expression" dxfId="3" priority="41">
      <formula>$M35="OK"</formula>
    </cfRule>
    <cfRule type="expression" dxfId="1" priority="42">
      <formula>AND($M35&lt;&gt;"",$M35&lt;&gt;"OK")</formula>
    </cfRule>
  </conditionalFormatting>
  <hyperlinks>
    <hyperlink ref="N2" r:id="rId1" tooltip="Free manufacturing calculators and templates"/>
  </hyperlinks>
  <printOptions horizontalCentered="1"/>
  <pageMargins left="0.4" right="0.4" top="0.7" bottom="0.65" header="0.3" footer="0.3"/>
  <pageSetup fitToHeight="0" orientation="landscape"/>
  <headerFooter>
    <oddHeader>&amp;L&amp;8MFG Calcs - AMR Fleet Sizing&amp;R&amp;8&amp;A</oddHeader>
    <oddFooter>&amp;L&amp;8mfgcalcs.com - free manufacturing templates&amp;R&amp;8Page &amp;P of &amp;N</oddFooter>
  </headerFooter>
  <rowBreaks count="1" manualBreakCount="1">
    <brk id="32" max="16383"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28</vt:i4>
      </vt:variant>
    </vt:vector>
  </HeadingPairs>
  <TitlesOfParts>
    <vt:vector size="34" baseType="lpstr">
      <vt:lpstr>Start Here</vt:lpstr>
      <vt:lpstr>Setup</vt:lpstr>
      <vt:lpstr>Routes</vt:lpstr>
      <vt:lpstr>Dashboard</vt:lpstr>
      <vt:lpstr>Method</vt:lpstr>
      <vt:lpstr>Verify</vt:lpstr>
      <vt:lpstr>Availability</vt:lpstr>
      <vt:lpstr>AvailMin</vt:lpstr>
      <vt:lpstr>DedicatedFleet</vt:lpstr>
      <vt:lpstr>FleetUtil</vt:lpstr>
      <vt:lpstr>KpiMin</vt:lpstr>
      <vt:lpstr>KpiPeak</vt:lpstr>
      <vt:lpstr>KpiPlanned</vt:lpstr>
      <vt:lpstr>KpiUtil</vt:lpstr>
      <vt:lpstr>MinFleet</vt:lpstr>
      <vt:lpstr>PeakFactor</vt:lpstr>
      <vt:lpstr>PeakFleet</vt:lpstr>
      <vt:lpstr>PlanLimit</vt:lpstr>
      <vt:lpstr>PlannedFleet</vt:lpstr>
      <vt:lpstr>Dashboard!Print_Area</vt:lpstr>
      <vt:lpstr>Method!Print_Area</vt:lpstr>
      <vt:lpstr>Routes!Print_Area</vt:lpstr>
      <vt:lpstr>Setup!Print_Area</vt:lpstr>
      <vt:lpstr>'Start Here'!Print_Area</vt:lpstr>
      <vt:lpstr>Verify!Print_Area</vt:lpstr>
      <vt:lpstr>Method!Print_Titles</vt:lpstr>
      <vt:lpstr>Routes!Print_Titles</vt:lpstr>
      <vt:lpstr>ScheduledMin</vt:lpstr>
      <vt:lpstr>SelfCheck</vt:lpstr>
      <vt:lpstr>SelfCheckSummary</vt:lpstr>
      <vt:lpstr>SharedSaves</vt:lpstr>
      <vt:lpstr>SiteName</vt:lpstr>
      <vt:lpstr>Success</vt:lpstr>
      <vt:lpstr>TotalVmin</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AMR Fleet Sizing - free Excel template from MFG Calcs</dc:title>
  <dc:subject>Size an AMR or AGV fleet from your routes: loads per shift, loads per trip and trip cycle time give the vehicles each route needs and the fleet the plant needs, on average and in the peak hour.</dc:subject>
  <dc:creator>MFG Calcs</dc:creator>
  <cp:keywords>AMR fleet sizing, AGV fleet size, how many AMRs, autonomous mobile robot, intralogistics, material transport, vehicle minutes, fleet utilization</cp:keywords>
  <dc:description>https://www.mfgcalcs.com/templates/amr-fleet-sizing - version 1.0.0, updated 2026-10-25. Free from MFG Calcs - keep this credit when you share it.</dc:description>
  <cp:lastModifiedBy>MFG Calcs</cp:lastModifiedBy>
  <dcterms:created xsi:type="dcterms:W3CDTF">2026-10-25T12:00:00Z</dcterms:created>
  <dcterms:modified xsi:type="dcterms:W3CDTF">2026-10-25T12:00:00Z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amr-fleet-sizing</vt:lpwstr>
  </property>
  <property fmtid="{D5CDD505-2E9C-101B-9397-08002B2CF9AE}" pid="3" name="Template version">
    <vt:lpwstr>1.0.0</vt:lpwstr>
  </property>
  <property fmtid="{D5CDD505-2E9C-101B-9397-08002B2CF9AE}" pid="4" name="Template updated">
    <vt:lpwstr>2026-10-25</vt:lpwstr>
  </property>
  <property fmtid="{D5CDD505-2E9C-101B-9397-08002B2CF9AE}" pid="5" name="Template layout">
    <vt:lpwstr>log</vt:lpwstr>
  </property>
  <property fmtid="{D5CDD505-2E9C-101B-9397-08002B2CF9AE}" pid="6" name="Template URL">
    <vt:lpwstr>https://www.mfgcalcs.com/templates/amr-fleet-sizing</vt:lpwstr>
  </property>
  <property fmtid="{D5CDD505-2E9C-101B-9397-08002B2CF9AE}" pid="7" name="Template sheet roles">
    <vt:lpwstr>Start Here=start;Setup=setup;Routes=work;Dashboard=dashboard;Method=method;Verify=verify</vt:lpwstr>
  </property>
</Properties>
</file>