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Plan" sheetId="3" r:id="rId3"/>
    <sheet name="Dashboard" sheetId="4" r:id="rId4"/>
    <sheet name="Method" sheetId="5" r:id="rId5"/>
    <sheet name="Verify" sheetId="6" r:id="rId6"/>
  </sheets>
  <definedNames>
    <definedName name="AsOf">Setup!$C$11</definedName>
    <definedName name="Currency">Setup!$C$8</definedName>
    <definedName name="CustomerName">Setup!$C$7</definedName>
    <definedName name="DueSoonDays">Setup!$C$12</definedName>
    <definedName name="Expedite">Setup!$C$19</definedName>
    <definedName name="KpiBehind">Dashboard!$G$29</definedName>
    <definedName name="KpiCost">Dashboard!$J$7</definedName>
    <definedName name="KpiDaysToSop">Dashboard!$J$29</definedName>
    <definedName name="KpiDone">Dashboard!$B$7</definedName>
    <definedName name="KpiOverdue">Dashboard!$D$7</definedName>
    <definedName name="KpiSlip">Dashboard!$G$7</definedName>
    <definedName name="KpiSlipped">Dashboard!$D$29</definedName>
    <definedName name="KpiSopFinish">Dashboard!$B$29</definedName>
    <definedName name="MarginWeek">Setup!$C$17</definedName>
    <definedName name="Owners">tblOwners[Owner]</definedName>
    <definedName name="Phases">tblPhases[Phase]</definedName>
    <definedName name="PlanStart">Setup!$C$9</definedName>
    <definedName name="_xlnm.Print_Area" localSheetId="3">Dashboard!$A$1:$M$74</definedName>
    <definedName name="_xlnm.Print_Area" localSheetId="4">Method!$A$1:$D$59</definedName>
    <definedName name="_xlnm.Print_Area" localSheetId="2">Plan!$A$1:$V$33</definedName>
    <definedName name="_xlnm.Print_Area" localSheetId="1">Setup!$A$1:$E$42</definedName>
    <definedName name="_xlnm.Print_Area" localSheetId="0">'Start Here'!$A$1:$F$56</definedName>
    <definedName name="_xlnm.Print_Area" localSheetId="5">Verify!$A$1:$V$59</definedName>
    <definedName name="_xlnm.Print_Titles" localSheetId="4">Method!$1:$2</definedName>
    <definedName name="_xlnm.Print_Titles" localSheetId="2">Plan!$1:$5</definedName>
    <definedName name="ProgramName">Setup!$C$6</definedName>
    <definedName name="SelfCheck">Verify!$D$4</definedName>
    <definedName name="SelfCheckSummary">Verify!$F$4</definedName>
    <definedName name="SOPDate">Setup!$C$10</definedName>
    <definedName name="Tolerance">Setup!$C$13</definedName>
    <definedName name="Unrecoverable">Setup!$C$18</definedName>
  </definedNames>
  <calcPr calcId="124519" fullCalcOnLoad="1"/>
</workbook>
</file>

<file path=xl/sharedStrings.xml><?xml version="1.0" encoding="utf-8"?>
<sst xmlns="http://schemas.openxmlformats.org/spreadsheetml/2006/main" count="567" uniqueCount="298">
  <si>
    <t>APQP Timeline</t>
  </si>
  <si>
    <t>Read this first: what the workbook does and how to use it.</t>
  </si>
  <si>
    <t>mfgcalcs.com</t>
  </si>
  <si>
    <t>Plan an APQP launch in five phases, track progress against plan and see when start of production is really forecast and what a slip would cost.</t>
  </si>
  <si>
    <t>For: Program and launch managers, APQP leads, quality and manufacturing engineers at automotive, medical device and other suppliers launching new parts.</t>
  </si>
  <si>
    <t>Version 1.0.0  ·  updated 15 October 2026</t>
  </si>
  <si>
    <t>Quick start</t>
  </si>
  <si>
    <t>1.</t>
  </si>
  <si>
    <t>On Setup, type the program, the plan start, the customer's SOP date and the status date, then the delay-cost figures and your phase and owner lists.</t>
  </si>
  <si>
    <t>2.</t>
  </si>
  <si>
    <t>On Plan, list every task or deliverable with phase, owner, start, duration, its predecessor and whether it is needed for SOP; copy the approved end dates into Baseline end.</t>
  </si>
  <si>
    <t>3.</t>
  </si>
  <si>
    <t>Each week, update Complete (%) for each task and move the status date forward.</t>
  </si>
  <si>
    <t>4.</t>
  </si>
  <si>
    <t>Read Status and Check: Overdue and Below target tasks need action; when Check says a task starts before its predecessor ends, re-plan its start.</t>
  </si>
  <si>
    <t>5.</t>
  </si>
  <si>
    <t>Open the Dashboard for progress against plan, the phase and task Gantt charts and the forecast SOP slip.</t>
  </si>
  <si>
    <t>What is in this workbook</t>
  </si>
  <si>
    <t>Start Here</t>
  </si>
  <si>
    <t>Setup</t>
  </si>
  <si>
    <t>Program, plan start, SOP and status dates, progress tolerance, delay-cost figures, and the phase and owner lists.</t>
  </si>
  <si>
    <t>Plan</t>
  </si>
  <si>
    <t>One row per task or deliverable: dates, progress and predecessor. Forecast, slip and status are calculated.</t>
  </si>
  <si>
    <t>Dashboard</t>
  </si>
  <si>
    <t>Progress against plan, overdue and behind-plan tasks, the phase and task Gantt charts and the forecast SOP.</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</si>
  <si>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</si>
  <si>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</si>
  <si>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</si>
  <si>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</si>
  <si>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</si>
  <si>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</si>
  <si>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</si>
  <si>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</si>
  <si>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</si>
  <si>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</si>
  <si>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</si>
  <si>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</si>
  <si>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</si>
  <si>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</si>
  <si>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</si>
  <si>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</si>
  <si>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</si>
  <si>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</si>
  <si>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</si>
  <si>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</si>
  <si>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Launch Delay Cost Calculator on mfgcalcs.com</t>
  </si>
  <si>
    <t>Latest version</t>
  </si>
  <si>
    <t>mfgcalcs.com/templates/apqp-timeline</t>
  </si>
  <si>
    <t>More free templates</t>
  </si>
  <si>
    <t>mfgcalcs.com/templates</t>
  </si>
  <si>
    <t>Version</t>
  </si>
  <si>
    <t>1.0.0 (updated 15 October 2026)</t>
  </si>
  <si>
    <t>About the example data</t>
  </si>
  <si>
    <t>Every number already in this workbook is example data for Ardent Plastics, a fictional business invented for this template, so the dashboard and charts show something meaningful on day one. It covers the launch of a sensor housing for a vehicle program from 2 March 2026 to SOP on 14 December 2026, status date 9 October 2026.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</si>
  <si>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</si>
  <si>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</si>
  <si>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</si>
  <si>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</si>
  <si>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</si>
  <si>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</si>
  <si>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</si>
  <si>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</si>
  <si>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Phase</t>
  </si>
  <si>
    <t>Description</t>
  </si>
  <si>
    <t>Owner</t>
  </si>
  <si>
    <t>Notes</t>
  </si>
  <si>
    <t>Program and dates</t>
  </si>
  <si>
    <t>Program or part</t>
  </si>
  <si>
    <t>SH-40 sensor housing (example)</t>
  </si>
  <si>
    <t>Customer</t>
  </si>
  <si>
    <t>Northline Motors (example)</t>
  </si>
  <si>
    <t>Currency label</t>
  </si>
  <si>
    <t>USD</t>
  </si>
  <si>
    <t>Plan start (kickoff)</t>
  </si>
  <si>
    <t>Start of production (SOP)</t>
  </si>
  <si>
    <t>Status date (as of)</t>
  </si>
  <si>
    <t>Due soon window</t>
  </si>
  <si>
    <t>days</t>
  </si>
  <si>
    <t>Progress tolerance</t>
  </si>
  <si>
    <t>Cost of a late SOP (estimates you set)</t>
  </si>
  <si>
    <t>Margin lost per week of slip</t>
  </si>
  <si>
    <t>Unrecoverable share</t>
  </si>
  <si>
    <t>Expedite and rework cost</t>
  </si>
  <si>
    <t>Cost figures are your estimates; nothing here assumes an industry figure. The delay cost is a planning estimate: forecast slip in weeks x margin per week x unrecoverable share + expedite cost.</t>
  </si>
  <si>
    <t>Lists that feed the dropdowns</t>
  </si>
  <si>
    <t>Edit, add or remove rows; the Plan dropdowns read these lists. The five phases follow the APQP structure (AIAG APQP reference manual); rename them to your own launch process if you use another (for example a medical device design-transfer plan). Keep names unique.</t>
  </si>
  <si>
    <t>Phases</t>
  </si>
  <si>
    <t>1 Plan and define</t>
  </si>
  <si>
    <t>Voice of the customer, design goals, preliminary BOM, process flow and special characteristics</t>
  </si>
  <si>
    <t>2 Product design</t>
  </si>
  <si>
    <t>Design FMEA, DFM/DFA, drawings, prototypes and design verification</t>
  </si>
  <si>
    <t>3 Process design</t>
  </si>
  <si>
    <t>Tooling, process flow, PFMEA, pre-launch control plan, instructions, MSA plan</t>
  </si>
  <si>
    <t>4 Validation</t>
  </si>
  <si>
    <t>Trials, significant production run, MSA, capability, validation testing, PPAP</t>
  </si>
  <si>
    <t>5 Launch and feedback</t>
  </si>
  <si>
    <t>Safe launch, reduced variation, lessons learned</t>
  </si>
  <si>
    <t>Owners</t>
  </si>
  <si>
    <t>Program</t>
  </si>
  <si>
    <t>Program manager</t>
  </si>
  <si>
    <t>Product eng.</t>
  </si>
  <si>
    <t>Product design engineering</t>
  </si>
  <si>
    <t>Process eng.</t>
  </si>
  <si>
    <t>Manufacturing engineering</t>
  </si>
  <si>
    <t>Quality</t>
  </si>
  <si>
    <t>Quality engineering and metrology</t>
  </si>
  <si>
    <t>Tooling</t>
  </si>
  <si>
    <t>Mould design, build and trials</t>
  </si>
  <si>
    <t>Production</t>
  </si>
  <si>
    <t>Moulding and assembly</t>
  </si>
  <si>
    <t>Purchasing</t>
  </si>
  <si>
    <t>Material, components and packaging</t>
  </si>
  <si>
    <t>No.</t>
  </si>
  <si>
    <t>Task or deliverable</t>
  </si>
  <si>
    <t>Predecessor</t>
  </si>
  <si>
    <t>Baseline end</t>
  </si>
  <si>
    <t>Start</t>
  </si>
  <si>
    <t>Duration (days)</t>
  </si>
  <si>
    <t>Complete</t>
  </si>
  <si>
    <t>Needed for SOP</t>
  </si>
  <si>
    <t>End</t>
  </si>
  <si>
    <t>Offset (days)</t>
  </si>
  <si>
    <t>Planned (days)</t>
  </si>
  <si>
    <t>Done (days)</t>
  </si>
  <si>
    <t>Remaining (days)</t>
  </si>
  <si>
    <t>Forecast end</t>
  </si>
  <si>
    <t>Slip (days)</t>
  </si>
  <si>
    <t>SOP finish</t>
  </si>
  <si>
    <t>Status</t>
  </si>
  <si>
    <t>Check</t>
  </si>
  <si>
    <t>Example data for Ardent Plastics (fictional). Replace it with your own: select the example rows, right-click, Delete &gt; Table Rows. Yellow = you type; blue = calculated; Check names any problem. Dates are calendar days; progress and forecasts are measured to the status date on Setup.</t>
  </si>
  <si>
    <t>Kickoff and customer requirements</t>
  </si>
  <si>
    <t>Yes</t>
  </si>
  <si>
    <t/>
  </si>
  <si>
    <t>Design goals and reliability targets</t>
  </si>
  <si>
    <t>Preliminary BOM and process flow</t>
  </si>
  <si>
    <t>Preliminary special characteristics</t>
  </si>
  <si>
    <t>Gate 1: program approval</t>
  </si>
  <si>
    <t>Design FMEA</t>
  </si>
  <si>
    <t>DFM and DFA review</t>
  </si>
  <si>
    <t>Drawing and specification release</t>
  </si>
  <si>
    <t>Prototype build and control plan</t>
  </si>
  <si>
    <t>Design verification testing</t>
  </si>
  <si>
    <t>Gate 2: design freeze</t>
  </si>
  <si>
    <t>Mould design and build</t>
  </si>
  <si>
    <t>Steel delivered late; finished 3 weeks behind the baseline</t>
  </si>
  <si>
    <t>Process flow diagram</t>
  </si>
  <si>
    <t>Process FMEA</t>
  </si>
  <si>
    <t>Pre-launch control plan</t>
  </si>
  <si>
    <t>Work and inspection instructions</t>
  </si>
  <si>
    <t>MSA plan and gauges</t>
  </si>
  <si>
    <t>Checking fixture still at the gauge maker</t>
  </si>
  <si>
    <t>Packaging specification</t>
  </si>
  <si>
    <t>Returnable tray waiting for customer approval</t>
  </si>
  <si>
    <t>Gate 3: process readiness</t>
  </si>
  <si>
    <t>Held after the mould build</t>
  </si>
  <si>
    <t>Mould trials and first shots</t>
  </si>
  <si>
    <t>Cavity 2 venting fix after trial 2</t>
  </si>
  <si>
    <t>Significant production run</t>
  </si>
  <si>
    <t>Re-planned 31 Aug</t>
  </si>
  <si>
    <t>MSA studies</t>
  </si>
  <si>
    <t>Preliminary process capability</t>
  </si>
  <si>
    <t>Production validation testing</t>
  </si>
  <si>
    <t>Lab slot moved to 26 Oct</t>
  </si>
  <si>
    <t>PPAP submission and approval</t>
  </si>
  <si>
    <t>Gate 4: launch sign-off</t>
  </si>
  <si>
    <t>Customer told 2 Oct</t>
  </si>
  <si>
    <t>Safe-launch containment</t>
  </si>
  <si>
    <t>No</t>
  </si>
  <si>
    <t>Runs after SOP</t>
  </si>
  <si>
    <t>Lessons learned and closure</t>
  </si>
  <si>
    <t>WORK COMPLETE</t>
  </si>
  <si>
    <t>OVERDUE TASKS</t>
  </si>
  <si>
    <t>SOP FORECAST SLIP (WEEKS)</t>
  </si>
  <si>
    <t>Weeks x margin x unrecoverable + expedite</t>
  </si>
  <si>
    <t>FORECAST FINISH, SOP TASKS</t>
  </si>
  <si>
    <t>TASKS LATER THAN BASELINE</t>
  </si>
  <si>
    <t>TASKS BELOW TARGET</t>
  </si>
  <si>
    <t>DAYS TO SOP</t>
  </si>
  <si>
    <t>Latest forecast end of tasks needed for SOP</t>
  </si>
  <si>
    <t>Forecast end after the baseline end</t>
  </si>
  <si>
    <t>Done days trail plan beyond the tolerance</t>
  </si>
  <si>
    <t>From the status date</t>
  </si>
  <si>
    <t>By phase (span from the earliest start to the latest planned end)</t>
  </si>
  <si>
    <t>Tasks</t>
  </si>
  <si>
    <t>Done</t>
  </si>
  <si>
    <t>Overdue</t>
  </si>
  <si>
    <t>Below target</t>
  </si>
  <si>
    <t>Later than baseline</t>
  </si>
  <si>
    <t>Done span (days)</t>
  </si>
  <si>
    <t>Remaining span (days)</t>
  </si>
  <si>
    <t>The phase block shows the 5 phases of the Setup list. If you add phases, extend the block (see Method). The task Gantt plots the example rows' range: if you add tasks below them, extend the chart's data range (right-click the chart, Select Data).</t>
  </si>
  <si>
    <t>What this workbook calculates</t>
  </si>
  <si>
    <t>Advanced product quality planning (APQP) runs a launch in phases, from planning to validated production. This workbook keeps one row per task or deliverable with a planned start, a duration in calendar days, the share done at the status date, the baseline end the approved plan promised and an optional predecessor. It compares work done with the work the plan expected by the status date, forecasts each task's end from its own progress, measures slip against the baseline and reads the latest forecast end of the tasks needed for SOP against the customer's SOP date. The status date is typed on Setup, so the file never changes by itself.</t>
  </si>
  <si>
    <t>Calculations</t>
  </si>
  <si>
    <t>Quantity</t>
  </si>
  <si>
    <t>How it is calculated</t>
  </si>
  <si>
    <t>Units</t>
  </si>
  <si>
    <t>Start + duration - 1 (calendar days, the start day counts).</t>
  </si>
  <si>
    <t>date</t>
  </si>
  <si>
    <t>Offset</t>
  </si>
  <si>
    <t>Start - plan start: the invisible part of each Gantt bar.</t>
  </si>
  <si>
    <t>Planned days</t>
  </si>
  <si>
    <t>MIN(duration, MAX(0, status date - start + 1)): days that should be done by the status date.</t>
  </si>
  <si>
    <t>Done, remaining</t>
  </si>
  <si>
    <t>Done = duration x complete; remaining = duration - done.</t>
  </si>
  <si>
    <t>Complete: the end. Started: the later of the end and status date + remaining days (rounded up). Not started: the later of the start and the day after the status date, + duration - 1.</t>
  </si>
  <si>
    <t>Slip</t>
  </si>
  <si>
    <t>Forecast end - baseline end (- end when no baseline is typed). Positive = later than promised.</t>
  </si>
  <si>
    <t>Complete; Overdue when the status date is after the end; Below target when done days &lt; planned days - tolerance x duration; Due soon when the end is within the window; otherwise OK.</t>
  </si>
  <si>
    <t>-</t>
  </si>
  <si>
    <t>Predecessor check</t>
  </si>
  <si>
    <t>Check reads 'Starts before its predecessor ends' when a task not started is planned to start on or before its predecessor's forecast end.</t>
  </si>
  <si>
    <t>Work complete, plan</t>
  </si>
  <si>
    <t>Sum of done days / sum of durations; plan = sum of planned days / sum of durations (duration-weighted).</t>
  </si>
  <si>
    <t>%</t>
  </si>
  <si>
    <t>SOP forecast slip</t>
  </si>
  <si>
    <t>MAX(0, latest forecast end of tasks needed for SOP - SOP date) / 7.</t>
  </si>
  <si>
    <t>weeks</t>
  </si>
  <si>
    <t>Cost of the slip (est.)</t>
  </si>
  <si>
    <t>Slip weeks x margin per week x unrecoverable share + expedite cost, when the slip is above zero (the Launch Delay Cost calculator's formula).</t>
  </si>
  <si>
    <t>currency</t>
  </si>
  <si>
    <t>Phase start, end, spans</t>
  </si>
  <si>
    <t>Earliest task start and latest planned end in the phase (SUMPRODUCT with MIN/MAX); the Gantt splits the span by the phase's done share.</t>
  </si>
  <si>
    <t>date, days</t>
  </si>
  <si>
    <t>Assumptions</t>
  </si>
  <si>
    <t>Durations are calendar days. If you plan in working days, convert them or allow for weekends in the duration.</t>
  </si>
  <si>
    <t>Complete (%) is an honest estimate of work done, not time spent. The forecast assumes the remaining work runs at the planned rate from the day after the status date.</t>
  </si>
  <si>
    <t>A forecast reads the task's own progress only. A late predecessor does not move its successors by itself: Check flags the successor, and you re-plan its start. (Carrying forecasts down a chain automatically needs a column that reads itself, which Excel reports as a circular reference.)</t>
  </si>
  <si>
    <t>One finish-to-start predecessor per task. Tasks with several predecessors: name the one expected to finish last.</t>
  </si>
  <si>
    <t>Limitations</t>
  </si>
  <si>
    <t>This is a status and forecast tool, not a resource-levelled schedule: it does not know that two tasks share one engineer.</t>
  </si>
  <si>
    <t>The cost of a slip is an estimate from your own figures, not an accounting number.</t>
  </si>
  <si>
    <t>The phase block has fixed rows (a warning appears when the list grows); the task Gantt reads the example rows' range and needs extending if you add rows below them.</t>
  </si>
  <si>
    <t>The phases and task names are a starting point written for this template; the AIAG APQP manual's checklists and forms are not reproduced.</t>
  </si>
  <si>
    <t>Agreement with the live calculator</t>
  </si>
  <si>
    <t>The cost tile uses the Launch Delay Cost calculator's formula: total = delay weeks x margin lost per week x unrecoverable share + expedite and rework cost; per week = total / weeks. With the calculator's default example (6 weeks, 18,000 per week, 70%, 12,000) both give 87,600 and 14,600 per week; the template's reference is checked against the engine on every build. One intended difference: the workbook counts the expedite cost only when the forecast slip is above zero, so an on-time plan shows 0.</t>
  </si>
  <si>
    <t>Open the Launch Delay Cost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</si>
  <si>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</si>
  <si>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</si>
  <si>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AIAG, Advanced Product Quality Planning and Control Plan (APQP), 3rd edition, 2024 (phase structure by reference).</t>
  </si>
  <si>
    <t>IATF 16949:2016, clause 8.3 Design and development of products and services (referenced, not reproduced).</t>
  </si>
  <si>
    <t>MFG Calcs Launch Delay Cost calculator: delay weeks x margin per week x unrecoverable share + expedite and rework cost.</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</si>
  <si>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</si>
  <si>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</si>
  <si>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</si>
  <si>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</si>
  <si>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</si>
  <si>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</si>
  <si>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</si>
  <si>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</si>
  <si>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</si>
  <si>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</si>
  <si>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Expected (reference)</t>
  </si>
  <si>
    <t>Workbook result</t>
  </si>
  <si>
    <t>Difference</t>
  </si>
  <si>
    <t>Tolerance</t>
  </si>
  <si>
    <t>Result</t>
  </si>
  <si>
    <t>Task 2: end</t>
  </si>
  <si>
    <t>Task 2: planned days</t>
  </si>
  <si>
    <t>Task 2: forecast end (15 days left after the status date)</t>
  </si>
  <si>
    <t>Task 2: slip against the baseline</t>
  </si>
  <si>
    <t>Task 2: status</t>
  </si>
  <si>
    <t>exact</t>
  </si>
  <si>
    <t>Task 3: future task, forecast = end</t>
  </si>
  <si>
    <t>Task 4: no baseline, slip against the end</t>
  </si>
  <si>
    <t>Task 5: below target</t>
  </si>
  <si>
    <t>Task 6: start passed, forecast from the day after the status date</t>
  </si>
  <si>
    <t>Task 6: status</t>
  </si>
  <si>
    <t>Task 3: Check OK (starts after its predecessor's forecast end)</t>
  </si>
  <si>
    <t>OK</t>
  </si>
  <si>
    <t>Task 7: Check reports the predecessor</t>
  </si>
  <si>
    <t>Starts before its predecessor ends</t>
  </si>
  <si>
    <t>Work complete (Dashboard formula)</t>
  </si>
  <si>
    <t>Planned complete (Dashboard formula)</t>
  </si>
  <si>
    <t>Overdue tasks (Dashboard formula)</t>
  </si>
  <si>
    <t>Tasks later than baseline (Dashboard formula)</t>
  </si>
  <si>
    <t>Forecast finish of SOP tasks (Dashboard formula)</t>
  </si>
  <si>
    <t>SOP slip, weeks</t>
  </si>
  <si>
    <t>Cost of the slip: calculator example, 6 weeks</t>
  </si>
  <si>
    <t>Fixed test inputs</t>
  </si>
  <si>
    <t>White cells are fixed test inputs; blue cells are the workbook's formulas evaluated on them.</t>
  </si>
  <si>
    <t>Parameters</t>
  </si>
  <si>
    <t>Plan start</t>
  </si>
  <si>
    <t>SOP</t>
  </si>
  <si>
    <t>Status date</t>
  </si>
  <si>
    <t>Due soon window (days)</t>
  </si>
  <si>
    <t>Margin per week (calculator example)</t>
  </si>
  <si>
    <t>Expedite cost</t>
  </si>
  <si>
    <t>Test table: Phases</t>
  </si>
  <si>
    <t>Test table: Tasks</t>
  </si>
  <si>
    <t>Task 1</t>
  </si>
  <si>
    <t>Task 2</t>
  </si>
  <si>
    <t>Task 3</t>
  </si>
  <si>
    <t>Task 4</t>
  </si>
  <si>
    <t>Task 5</t>
  </si>
  <si>
    <t>Task 6</t>
  </si>
  <si>
    <t>Task 7</t>
  </si>
</sst>
</file>

<file path=xl/styles.xml><?xml version="1.0" encoding="utf-8"?>
<styleSheet xmlns="http://schemas.openxmlformats.org/spreadsheetml/2006/main">
  <numFmts count="12">
    <numFmt numFmtId="164" formatCode="d mmm yyyy"/>
    <numFmt numFmtId="165" formatCode="#,##0"/>
    <numFmt numFmtId="166" formatCode="0%"/>
    <numFmt numFmtId="167" formatCode="#,##0.00"/>
    <numFmt numFmtId="168" formatCode="#,##0.0"/>
    <numFmt numFmtId="169" formatCode="+#,##0;-#,##0;0"/>
    <numFmt numFmtId="170" formatCode="0.0%"/>
    <numFmt numFmtId="171" formatCode="&quot;Plan &quot;0.0%"/>
    <numFmt numFmtId="172" formatCode="&quot;Limit &quot;#,##0"/>
    <numFmt numFmtId="173" formatCode="&quot;Limit &quot;#,##0.0"/>
    <numFmt numFmtId="174" formatCode="d mmm"/>
    <numFmt numFmtId="175" formatCode="0.0E+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i/>
      <sz val="9"/>
      <color rgb="FF6B728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7">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7" borderId="2" xfId="0" applyFont="1" applyFill="1" applyBorder="1" applyAlignment="1">
      <alignment vertical="center" wrapText="1"/>
    </xf>
    <xf numFmtId="0" fontId="10" fillId="3" borderId="2" xfId="0" applyFont="1" applyFill="1" applyBorder="1" applyAlignment="1" applyProtection="1">
      <alignment vertical="top" wrapText="1"/>
      <protection locked="0"/>
    </xf>
    <xf numFmtId="164" fontId="10"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169"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20" fillId="4" borderId="3" xfId="0" applyFont="1" applyFill="1" applyBorder="1" applyAlignment="1">
      <alignment vertical="center"/>
    </xf>
    <xf numFmtId="0" fontId="21" fillId="0" borderId="0" xfId="0" applyFont="1" applyAlignment="1">
      <alignment vertical="center"/>
    </xf>
    <xf numFmtId="0" fontId="22" fillId="9" borderId="6" xfId="0" applyFont="1" applyFill="1" applyBorder="1" applyAlignment="1">
      <alignment vertical="center" wrapText="1"/>
    </xf>
    <xf numFmtId="170" fontId="4" fillId="9" borderId="7" xfId="0" applyNumberFormat="1" applyFont="1" applyFill="1" applyBorder="1" applyAlignment="1">
      <alignment horizontal="left" vertical="center"/>
    </xf>
    <xf numFmtId="165" fontId="4" fillId="9" borderId="7" xfId="0" applyNumberFormat="1" applyFont="1" applyFill="1" applyBorder="1" applyAlignment="1">
      <alignment horizontal="left" vertical="center"/>
    </xf>
    <xf numFmtId="168" fontId="4" fillId="9" borderId="7" xfId="0" applyNumberFormat="1" applyFont="1" applyFill="1" applyBorder="1" applyAlignment="1">
      <alignment horizontal="left" vertical="center"/>
    </xf>
    <xf numFmtId="171" fontId="23" fillId="9" borderId="7" xfId="0" applyNumberFormat="1" applyFont="1" applyFill="1" applyBorder="1" applyAlignment="1">
      <alignment horizontal="left" vertical="center"/>
    </xf>
    <xf numFmtId="172" fontId="23" fillId="9" borderId="7" xfId="0" applyNumberFormat="1" applyFont="1" applyFill="1" applyBorder="1" applyAlignment="1">
      <alignment horizontal="left" vertical="center"/>
    </xf>
    <xf numFmtId="173" fontId="23" fillId="9" borderId="7" xfId="0" applyNumberFormat="1" applyFont="1" applyFill="1" applyBorder="1" applyAlignment="1">
      <alignment horizontal="left" vertical="center"/>
    </xf>
    <xf numFmtId="0" fontId="23" fillId="9" borderId="7" xfId="0" applyFont="1" applyFill="1" applyBorder="1" applyAlignment="1">
      <alignment vertical="center"/>
    </xf>
    <xf numFmtId="0" fontId="22" fillId="9" borderId="8" xfId="0" applyFont="1" applyFill="1" applyBorder="1" applyAlignment="1">
      <alignment vertical="center"/>
    </xf>
    <xf numFmtId="164" fontId="15" fillId="9" borderId="7" xfId="0" applyNumberFormat="1" applyFont="1" applyFill="1" applyBorder="1" applyAlignment="1">
      <alignment horizontal="left" vertical="center"/>
    </xf>
    <xf numFmtId="0" fontId="18" fillId="2" borderId="5" xfId="0" applyFont="1" applyFill="1" applyBorder="1" applyAlignment="1">
      <alignment horizontal="left" vertical="center" wrapText="1"/>
    </xf>
    <xf numFmtId="0" fontId="9" fillId="0" borderId="9" xfId="0" applyFont="1" applyBorder="1" applyAlignment="1">
      <alignment vertical="center"/>
    </xf>
    <xf numFmtId="174" fontId="10" fillId="4" borderId="3" xfId="0" applyNumberFormat="1" applyFont="1" applyFill="1" applyBorder="1" applyAlignment="1">
      <alignment vertical="center"/>
    </xf>
    <xf numFmtId="166" fontId="10" fillId="4" borderId="3"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5" fontId="9" fillId="0" borderId="9" xfId="0" applyNumberFormat="1" applyFont="1" applyBorder="1" applyAlignment="1">
      <alignment horizontal="center" vertical="center"/>
    </xf>
    <xf numFmtId="164" fontId="10" fillId="0" borderId="9" xfId="0" applyNumberFormat="1" applyFont="1" applyBorder="1" applyAlignment="1">
      <alignment vertical="center"/>
    </xf>
    <xf numFmtId="175" fontId="10" fillId="4" borderId="3" xfId="0" applyNumberFormat="1" applyFont="1" applyFill="1" applyBorder="1" applyAlignment="1">
      <alignment vertical="center"/>
    </xf>
    <xf numFmtId="175" fontId="10" fillId="0" borderId="9" xfId="0" applyNumberFormat="1" applyFont="1" applyBorder="1" applyAlignment="1">
      <alignment vertical="center"/>
    </xf>
    <xf numFmtId="165" fontId="10" fillId="0" borderId="9" xfId="0" applyNumberFormat="1" applyFont="1" applyBorder="1" applyAlignment="1">
      <alignment vertical="center"/>
    </xf>
    <xf numFmtId="0" fontId="10" fillId="4" borderId="3" xfId="0" applyFont="1" applyFill="1" applyBorder="1" applyAlignment="1">
      <alignment vertical="center"/>
    </xf>
    <xf numFmtId="170" fontId="10" fillId="0" borderId="9" xfId="0" applyNumberFormat="1" applyFont="1" applyBorder="1" applyAlignment="1">
      <alignment vertical="center"/>
    </xf>
    <xf numFmtId="170" fontId="10" fillId="4" borderId="3" xfId="0" applyNumberFormat="1" applyFont="1" applyFill="1" applyBorder="1" applyAlignment="1">
      <alignment vertical="center"/>
    </xf>
    <xf numFmtId="167" fontId="10" fillId="0" borderId="9" xfId="0" applyNumberFormat="1" applyFont="1" applyBorder="1" applyAlignment="1">
      <alignment vertical="center"/>
    </xf>
    <xf numFmtId="167" fontId="10" fillId="4" borderId="3" xfId="0" applyNumberFormat="1" applyFont="1" applyFill="1" applyBorder="1" applyAlignment="1">
      <alignment vertical="center"/>
    </xf>
    <xf numFmtId="166"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Phases from plan start</a:t>
            </a:r>
          </a:p>
        </c:rich>
      </c:tx>
      <c:layout/>
    </c:title>
    <c:plotArea>
      <c:layout/>
      <c:barChart>
        <c:barDir val="bar"/>
        <c:grouping val="stacked"/>
        <c:ser>
          <c:idx val="0"/>
          <c:order val="0"/>
          <c:tx>
            <c:v> </c:v>
          </c:tx>
          <c:spPr>
            <a:noFill/>
            <a:ln>
              <a:noFill/>
            </a:ln>
          </c:spPr>
          <c:cat>
            <c:strRef>
              <c:f>Dashboard!$B$36:$B$40</c:f>
              <c:strCache>
                <c:ptCount val="5"/>
                <c:pt idx="0">
                  <c:v>1 Plan and define</c:v>
                </c:pt>
                <c:pt idx="1">
                  <c:v>2 Product design</c:v>
                </c:pt>
                <c:pt idx="2">
                  <c:v>3 Process design</c:v>
                </c:pt>
                <c:pt idx="3">
                  <c:v>4 Validation</c:v>
                </c:pt>
                <c:pt idx="4">
                  <c:v>5 Launch and feedback</c:v>
                </c:pt>
              </c:strCache>
            </c:strRef>
          </c:cat>
          <c:val>
            <c:numRef>
              <c:f>Dashboard!$K$36:$K$40</c:f>
              <c:numCache>
                <c:formatCode>General</c:formatCode>
                <c:ptCount val="5"/>
                <c:pt idx="0">
                  <c:v>0</c:v>
                </c:pt>
                <c:pt idx="1">
                  <c:v>36</c:v>
                </c:pt>
                <c:pt idx="2">
                  <c:v>84</c:v>
                </c:pt>
                <c:pt idx="3">
                  <c:v>190</c:v>
                </c:pt>
                <c:pt idx="4">
                  <c:v>295</c:v>
                </c:pt>
              </c:numCache>
            </c:numRef>
          </c:val>
        </c:ser>
        <c:ser>
          <c:idx val="1"/>
          <c:order val="1"/>
          <c:tx>
            <c:v>Done</c:v>
          </c:tx>
          <c:spPr>
            <a:solidFill>
              <a:srgbClr val="1BA37A"/>
            </a:solidFill>
            <a:ln w="9525">
              <a:solidFill>
                <a:srgbClr val="FFFFFF"/>
              </a:solidFill>
            </a:ln>
          </c:spPr>
          <c:cat>
            <c:strRef>
              <c:f>Dashboard!$B$36:$B$40</c:f>
              <c:strCache>
                <c:ptCount val="5"/>
                <c:pt idx="0">
                  <c:v>1 Plan and define</c:v>
                </c:pt>
                <c:pt idx="1">
                  <c:v>2 Product design</c:v>
                </c:pt>
                <c:pt idx="2">
                  <c:v>3 Process design</c:v>
                </c:pt>
                <c:pt idx="3">
                  <c:v>4 Validation</c:v>
                </c:pt>
                <c:pt idx="4">
                  <c:v>5 Launch and feedback</c:v>
                </c:pt>
              </c:strCache>
            </c:strRef>
          </c:cat>
          <c:val>
            <c:numRef>
              <c:f>Dashboard!$L$36:$L$40</c:f>
              <c:numCache>
                <c:formatCode>General</c:formatCode>
                <c:ptCount val="5"/>
                <c:pt idx="0">
                  <c:v>36</c:v>
                </c:pt>
                <c:pt idx="1">
                  <c:v>98</c:v>
                </c:pt>
                <c:pt idx="2">
                  <c:v>133.467181467181</c:v>
                </c:pt>
                <c:pt idx="3">
                  <c:v>13.695652173913</c:v>
                </c:pt>
                <c:pt idx="4">
                  <c:v>0</c:v>
                </c:pt>
              </c:numCache>
            </c:numRef>
          </c:val>
        </c:ser>
        <c:ser>
          <c:idx val="2"/>
          <c:order val="2"/>
          <c:tx>
            <c:v>Remaining</c:v>
          </c:tx>
          <c:spPr>
            <a:solidFill>
              <a:srgbClr val="3B64D8"/>
            </a:solidFill>
            <a:ln w="9525">
              <a:solidFill>
                <a:srgbClr val="FFFFFF"/>
              </a:solidFill>
            </a:ln>
          </c:spPr>
          <c:cat>
            <c:strRef>
              <c:f>Dashboard!$B$36:$B$40</c:f>
              <c:strCache>
                <c:ptCount val="5"/>
                <c:pt idx="0">
                  <c:v>1 Plan and define</c:v>
                </c:pt>
                <c:pt idx="1">
                  <c:v>2 Product design</c:v>
                </c:pt>
                <c:pt idx="2">
                  <c:v>3 Process design</c:v>
                </c:pt>
                <c:pt idx="3">
                  <c:v>4 Validation</c:v>
                </c:pt>
                <c:pt idx="4">
                  <c:v>5 Launch and feedback</c:v>
                </c:pt>
              </c:strCache>
            </c:strRef>
          </c:cat>
          <c:val>
            <c:numRef>
              <c:f>Dashboard!$M$36:$M$40</c:f>
              <c:numCache>
                <c:formatCode>General</c:formatCode>
                <c:ptCount val="5"/>
                <c:pt idx="0">
                  <c:v>0</c:v>
                </c:pt>
                <c:pt idx="1">
                  <c:v>0</c:v>
                </c:pt>
                <c:pt idx="2">
                  <c:v>15.5328185328185</c:v>
                </c:pt>
                <c:pt idx="3">
                  <c:v>91.304347826087</c:v>
                </c:pt>
                <c:pt idx="4">
                  <c:v>72</c:v>
                </c:pt>
              </c:numCache>
            </c:numRef>
          </c:val>
        </c:ser>
        <c:gapWidth val="40"/>
        <c:overlap val="100"/>
        <c:axId val="50010001"/>
        <c:axId val="50010002"/>
      </c:barChart>
      <c:catAx>
        <c:axId val="5001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t"/>
        <c:majorGridlines>
          <c:spPr>
            <a:ln w="9525">
              <a:solidFill>
                <a:srgbClr val="E6E9EE"/>
              </a:solidFill>
            </a:ln>
          </c:spPr>
        </c:majorGridlines>
        <c:title>
          <c:tx>
            <c:rich>
              <a:bodyPr/>
              <a:lstStyle/>
              <a:p>
                <a:pPr>
                  <a:defRPr sz="900" b="0" baseline="0">
                    <a:solidFill>
                      <a:srgbClr val="4A5361"/>
                    </a:solidFill>
                    <a:latin typeface="Calibri"/>
                  </a:defRPr>
                </a:pPr>
                <a:r>
                  <a:rPr lang="en-US" sz="900" b="0" baseline="0">
                    <a:solidFill>
                      <a:srgbClr val="4A5361"/>
                    </a:solidFill>
                    <a:latin typeface="Calibri"/>
                  </a:rPr>
                  <a:t>Days from plan start</a:t>
                </a:r>
              </a:p>
            </c:rich>
          </c:tx>
          <c:layout/>
        </c:title>
        <c:numFmt formatCode="0" sourceLinked="0"/>
        <c:majorTickMark val="none"/>
        <c:minorTickMark val="none"/>
        <c:tickLblPos val="high"/>
        <c:spPr>
          <a:ln>
            <a:noFill/>
          </a:ln>
        </c:spPr>
        <c:txPr>
          <a:bodyPr/>
          <a:lstStyle/>
          <a:p>
            <a:pPr>
              <a:defRPr sz="900" baseline="0">
                <a:solidFill>
                  <a:srgbClr val="4A5361"/>
                </a:solidFill>
                <a:latin typeface="Calibri"/>
              </a:defRPr>
            </a:pPr>
            <a:endParaRPr lang="en-US"/>
          </a:p>
        </c:txPr>
        <c:crossAx val="50010001"/>
        <c:crosses val="max"/>
        <c:crossBetween val="between"/>
      </c:valAx>
      <c:spPr>
        <a:solidFill>
          <a:srgbClr val="FFFFFF"/>
        </a:solidFill>
        <a:ln>
          <a:noFill/>
        </a:ln>
      </c:spPr>
    </c:plotArea>
    <c:legend>
      <c:legendPos val="b"/>
      <c:legendEntry>
        <c:idx val="0"/>
        <c:delete val="1"/>
      </c:legendEntry>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Progress by phase: done and plan</a:t>
            </a:r>
          </a:p>
        </c:rich>
      </c:tx>
      <c:layout/>
    </c:title>
    <c:plotArea>
      <c:layout/>
      <c:barChart>
        <c:barDir val="col"/>
        <c:grouping val="clustered"/>
        <c:ser>
          <c:idx val="0"/>
          <c:order val="0"/>
          <c:tx>
            <c:v>Done</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Dashboard!$B$36:$B$40</c:f>
              <c:strCache>
                <c:ptCount val="5"/>
                <c:pt idx="0">
                  <c:v>1 Plan and define</c:v>
                </c:pt>
                <c:pt idx="1">
                  <c:v>2 Product design</c:v>
                </c:pt>
                <c:pt idx="2">
                  <c:v>3 Process design</c:v>
                </c:pt>
                <c:pt idx="3">
                  <c:v>4 Validation</c:v>
                </c:pt>
                <c:pt idx="4">
                  <c:v>5 Launch and feedback</c:v>
                </c:pt>
              </c:strCache>
            </c:strRef>
          </c:cat>
          <c:val>
            <c:numRef>
              <c:f>Dashboard!$F$36:$F$40</c:f>
              <c:numCache>
                <c:formatCode>General</c:formatCode>
                <c:ptCount val="5"/>
                <c:pt idx="0">
                  <c:v>1</c:v>
                </c:pt>
                <c:pt idx="1">
                  <c:v>1</c:v>
                </c:pt>
                <c:pt idx="2">
                  <c:v>0.895752895752896</c:v>
                </c:pt>
                <c:pt idx="3">
                  <c:v>0.130434782608696</c:v>
                </c:pt>
                <c:pt idx="4">
                  <c:v>0</c:v>
                </c:pt>
              </c:numCache>
            </c:numRef>
          </c:val>
        </c:ser>
        <c:ser>
          <c:idx val="1"/>
          <c:order val="1"/>
          <c:tx>
            <c:v>Plan at the status date</c:v>
          </c:tx>
          <c:spPr>
            <a:solidFill>
              <a:srgbClr val="9AA5B4"/>
            </a:solidFill>
            <a:ln w="9525">
              <a:solidFill>
                <a:srgbClr val="FFFFFF"/>
              </a:solidFill>
            </a:ln>
          </c:spPr>
          <c:cat>
            <c:strRef>
              <c:f>Dashboard!$B$36:$B$40</c:f>
              <c:strCache>
                <c:ptCount val="5"/>
                <c:pt idx="0">
                  <c:v>1 Plan and define</c:v>
                </c:pt>
                <c:pt idx="1">
                  <c:v>2 Product design</c:v>
                </c:pt>
                <c:pt idx="2">
                  <c:v>3 Process design</c:v>
                </c:pt>
                <c:pt idx="3">
                  <c:v>4 Validation</c:v>
                </c:pt>
                <c:pt idx="4">
                  <c:v>5 Launch and feedback</c:v>
                </c:pt>
              </c:strCache>
            </c:strRef>
          </c:cat>
          <c:val>
            <c:numRef>
              <c:f>Dashboard!$G$36:$G$40</c:f>
              <c:numCache>
                <c:formatCode>General</c:formatCode>
                <c:ptCount val="5"/>
                <c:pt idx="0">
                  <c:v>1</c:v>
                </c:pt>
                <c:pt idx="1">
                  <c:v>1</c:v>
                </c:pt>
                <c:pt idx="2">
                  <c:v>0.957528957528958</c:v>
                </c:pt>
                <c:pt idx="3">
                  <c:v>0.217391304347826</c:v>
                </c:pt>
                <c:pt idx="4">
                  <c:v>0</c:v>
                </c:pt>
              </c:numCache>
            </c:numRef>
          </c:val>
        </c:ser>
        <c:gapWidth val="60"/>
        <c:overlap val="-10"/>
        <c:axId val="50020001"/>
        <c:axId val="50020002"/>
      </c:bar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ax val="1"/>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Task plan from plan start</a:t>
            </a:r>
          </a:p>
        </c:rich>
      </c:tx>
      <c:layout/>
    </c:title>
    <c:plotArea>
      <c:layout/>
      <c:barChart>
        <c:barDir val="bar"/>
        <c:grouping val="stacked"/>
        <c:ser>
          <c:idx val="0"/>
          <c:order val="0"/>
          <c:tx>
            <c:v> </c:v>
          </c:tx>
          <c:spPr>
            <a:noFill/>
            <a:ln>
              <a:noFill/>
            </a:ln>
          </c:spPr>
          <c:cat>
            <c:strRef>
              <c:f>Plan!$D$6:$D$33</c:f>
              <c:strCache>
                <c:ptCount val="28"/>
                <c:pt idx="0">
                  <c:v>Kickoff and customer requirements</c:v>
                </c:pt>
                <c:pt idx="1">
                  <c:v>Design goals and reliability targets</c:v>
                </c:pt>
                <c:pt idx="2">
                  <c:v>Preliminary BOM and process flow</c:v>
                </c:pt>
                <c:pt idx="3">
                  <c:v>Preliminary special characteristics</c:v>
                </c:pt>
                <c:pt idx="4">
                  <c:v>Gate 1: program approval</c:v>
                </c:pt>
                <c:pt idx="5">
                  <c:v>Design FMEA</c:v>
                </c:pt>
                <c:pt idx="6">
                  <c:v>DFM and DFA review</c:v>
                </c:pt>
                <c:pt idx="7">
                  <c:v>Drawing and specification release</c:v>
                </c:pt>
                <c:pt idx="8">
                  <c:v>Prototype build and control plan</c:v>
                </c:pt>
                <c:pt idx="9">
                  <c:v>Design verification testing</c:v>
                </c:pt>
                <c:pt idx="10">
                  <c:v>Gate 2: design freeze</c:v>
                </c:pt>
                <c:pt idx="11">
                  <c:v>Mould design and build</c:v>
                </c:pt>
                <c:pt idx="12">
                  <c:v>Process flow diagram</c:v>
                </c:pt>
                <c:pt idx="13">
                  <c:v>Process FMEA</c:v>
                </c:pt>
                <c:pt idx="14">
                  <c:v>Pre-launch control plan</c:v>
                </c:pt>
                <c:pt idx="15">
                  <c:v>Work and inspection instructions</c:v>
                </c:pt>
                <c:pt idx="16">
                  <c:v>MSA plan and gauges</c:v>
                </c:pt>
                <c:pt idx="17">
                  <c:v>Packaging specification</c:v>
                </c:pt>
                <c:pt idx="18">
                  <c:v>Gate 3: process readiness</c:v>
                </c:pt>
                <c:pt idx="19">
                  <c:v>Mould trials and first shots</c:v>
                </c:pt>
                <c:pt idx="20">
                  <c:v>Significant production run</c:v>
                </c:pt>
                <c:pt idx="21">
                  <c:v>MSA studies</c:v>
                </c:pt>
                <c:pt idx="22">
                  <c:v>Preliminary process capability</c:v>
                </c:pt>
                <c:pt idx="23">
                  <c:v>Production validation testing</c:v>
                </c:pt>
                <c:pt idx="24">
                  <c:v>PPAP submission and approval</c:v>
                </c:pt>
                <c:pt idx="25">
                  <c:v>Gate 4: launch sign-off</c:v>
                </c:pt>
                <c:pt idx="26">
                  <c:v>Safe-launch containment</c:v>
                </c:pt>
                <c:pt idx="27">
                  <c:v>Lessons learned and closure</c:v>
                </c:pt>
              </c:strCache>
            </c:strRef>
          </c:cat>
          <c:val>
            <c:numRef>
              <c:f>Plan!$M$6:$M$33</c:f>
              <c:numCache>
                <c:formatCode>General</c:formatCode>
                <c:ptCount val="28"/>
                <c:pt idx="0">
                  <c:v>0</c:v>
                </c:pt>
                <c:pt idx="1">
                  <c:v>7</c:v>
                </c:pt>
                <c:pt idx="2">
                  <c:v>7</c:v>
                </c:pt>
                <c:pt idx="3">
                  <c:v>21</c:v>
                </c:pt>
                <c:pt idx="4">
                  <c:v>35</c:v>
                </c:pt>
                <c:pt idx="5">
                  <c:v>36</c:v>
                </c:pt>
                <c:pt idx="6">
                  <c:v>42</c:v>
                </c:pt>
                <c:pt idx="7">
                  <c:v>56</c:v>
                </c:pt>
                <c:pt idx="8">
                  <c:v>81</c:v>
                </c:pt>
                <c:pt idx="9">
                  <c:v>101</c:v>
                </c:pt>
                <c:pt idx="10">
                  <c:v>133</c:v>
                </c:pt>
                <c:pt idx="11">
                  <c:v>84</c:v>
                </c:pt>
                <c:pt idx="12">
                  <c:v>91</c:v>
                </c:pt>
                <c:pt idx="13">
                  <c:v>101</c:v>
                </c:pt>
                <c:pt idx="14">
                  <c:v>121</c:v>
                </c:pt>
                <c:pt idx="15">
                  <c:v>136</c:v>
                </c:pt>
                <c:pt idx="16">
                  <c:v>154</c:v>
                </c:pt>
                <c:pt idx="17">
                  <c:v>203</c:v>
                </c:pt>
                <c:pt idx="18">
                  <c:v>189</c:v>
                </c:pt>
                <c:pt idx="19">
                  <c:v>190</c:v>
                </c:pt>
                <c:pt idx="20">
                  <c:v>232</c:v>
                </c:pt>
                <c:pt idx="21">
                  <c:v>238</c:v>
                </c:pt>
                <c:pt idx="22">
                  <c:v>238</c:v>
                </c:pt>
                <c:pt idx="23">
                  <c:v>238</c:v>
                </c:pt>
                <c:pt idx="24">
                  <c:v>273</c:v>
                </c:pt>
                <c:pt idx="25">
                  <c:v>294</c:v>
                </c:pt>
                <c:pt idx="26">
                  <c:v>295</c:v>
                </c:pt>
                <c:pt idx="27">
                  <c:v>357</c:v>
                </c:pt>
              </c:numCache>
            </c:numRef>
          </c:val>
        </c:ser>
        <c:ser>
          <c:idx val="1"/>
          <c:order val="1"/>
          <c:tx>
            <c:v>Done</c:v>
          </c:tx>
          <c:spPr>
            <a:solidFill>
              <a:srgbClr val="1BA37A"/>
            </a:solidFill>
            <a:ln w="9525">
              <a:solidFill>
                <a:srgbClr val="FFFFFF"/>
              </a:solidFill>
            </a:ln>
          </c:spPr>
          <c:cat>
            <c:strRef>
              <c:f>Plan!$D$6:$D$33</c:f>
              <c:strCache>
                <c:ptCount val="28"/>
                <c:pt idx="0">
                  <c:v>Kickoff and customer requirements</c:v>
                </c:pt>
                <c:pt idx="1">
                  <c:v>Design goals and reliability targets</c:v>
                </c:pt>
                <c:pt idx="2">
                  <c:v>Preliminary BOM and process flow</c:v>
                </c:pt>
                <c:pt idx="3">
                  <c:v>Preliminary special characteristics</c:v>
                </c:pt>
                <c:pt idx="4">
                  <c:v>Gate 1: program approval</c:v>
                </c:pt>
                <c:pt idx="5">
                  <c:v>Design FMEA</c:v>
                </c:pt>
                <c:pt idx="6">
                  <c:v>DFM and DFA review</c:v>
                </c:pt>
                <c:pt idx="7">
                  <c:v>Drawing and specification release</c:v>
                </c:pt>
                <c:pt idx="8">
                  <c:v>Prototype build and control plan</c:v>
                </c:pt>
                <c:pt idx="9">
                  <c:v>Design verification testing</c:v>
                </c:pt>
                <c:pt idx="10">
                  <c:v>Gate 2: design freeze</c:v>
                </c:pt>
                <c:pt idx="11">
                  <c:v>Mould design and build</c:v>
                </c:pt>
                <c:pt idx="12">
                  <c:v>Process flow diagram</c:v>
                </c:pt>
                <c:pt idx="13">
                  <c:v>Process FMEA</c:v>
                </c:pt>
                <c:pt idx="14">
                  <c:v>Pre-launch control plan</c:v>
                </c:pt>
                <c:pt idx="15">
                  <c:v>Work and inspection instructions</c:v>
                </c:pt>
                <c:pt idx="16">
                  <c:v>MSA plan and gauges</c:v>
                </c:pt>
                <c:pt idx="17">
                  <c:v>Packaging specification</c:v>
                </c:pt>
                <c:pt idx="18">
                  <c:v>Gate 3: process readiness</c:v>
                </c:pt>
                <c:pt idx="19">
                  <c:v>Mould trials and first shots</c:v>
                </c:pt>
                <c:pt idx="20">
                  <c:v>Significant production run</c:v>
                </c:pt>
                <c:pt idx="21">
                  <c:v>MSA studies</c:v>
                </c:pt>
                <c:pt idx="22">
                  <c:v>Preliminary process capability</c:v>
                </c:pt>
                <c:pt idx="23">
                  <c:v>Production validation testing</c:v>
                </c:pt>
                <c:pt idx="24">
                  <c:v>PPAP submission and approval</c:v>
                </c:pt>
                <c:pt idx="25">
                  <c:v>Gate 4: launch sign-off</c:v>
                </c:pt>
                <c:pt idx="26">
                  <c:v>Safe-launch containment</c:v>
                </c:pt>
                <c:pt idx="27">
                  <c:v>Lessons learned and closure</c:v>
                </c:pt>
              </c:strCache>
            </c:strRef>
          </c:cat>
          <c:val>
            <c:numRef>
              <c:f>Plan!$O$6:$O$33</c:f>
              <c:numCache>
                <c:formatCode>General</c:formatCode>
                <c:ptCount val="28"/>
                <c:pt idx="0">
                  <c:v>5</c:v>
                </c:pt>
                <c:pt idx="1">
                  <c:v>10</c:v>
                </c:pt>
                <c:pt idx="2">
                  <c:v>12</c:v>
                </c:pt>
                <c:pt idx="3">
                  <c:v>10</c:v>
                </c:pt>
                <c:pt idx="4">
                  <c:v>1</c:v>
                </c:pt>
                <c:pt idx="5">
                  <c:v>20</c:v>
                </c:pt>
                <c:pt idx="6">
                  <c:v>10</c:v>
                </c:pt>
                <c:pt idx="7">
                  <c:v>25</c:v>
                </c:pt>
                <c:pt idx="8">
                  <c:v>20</c:v>
                </c:pt>
                <c:pt idx="9">
                  <c:v>30</c:v>
                </c:pt>
                <c:pt idx="10">
                  <c:v>1</c:v>
                </c:pt>
                <c:pt idx="11">
                  <c:v>103</c:v>
                </c:pt>
                <c:pt idx="12">
                  <c:v>10</c:v>
                </c:pt>
                <c:pt idx="13">
                  <c:v>20</c:v>
                </c:pt>
                <c:pt idx="14">
                  <c:v>15</c:v>
                </c:pt>
                <c:pt idx="15">
                  <c:v>20</c:v>
                </c:pt>
                <c:pt idx="16">
                  <c:v>51</c:v>
                </c:pt>
                <c:pt idx="17">
                  <c:v>12</c:v>
                </c:pt>
                <c:pt idx="18">
                  <c:v>1</c:v>
                </c:pt>
                <c:pt idx="19">
                  <c:v>15</c:v>
                </c:pt>
                <c:pt idx="20">
                  <c:v>0</c:v>
                </c:pt>
                <c:pt idx="21">
                  <c:v>0</c:v>
                </c:pt>
                <c:pt idx="22">
                  <c:v>0</c:v>
                </c:pt>
                <c:pt idx="23">
                  <c:v>0</c:v>
                </c:pt>
                <c:pt idx="24">
                  <c:v>0</c:v>
                </c:pt>
                <c:pt idx="25">
                  <c:v>0</c:v>
                </c:pt>
                <c:pt idx="26">
                  <c:v>0</c:v>
                </c:pt>
                <c:pt idx="27">
                  <c:v>0</c:v>
                </c:pt>
              </c:numCache>
            </c:numRef>
          </c:val>
        </c:ser>
        <c:ser>
          <c:idx val="2"/>
          <c:order val="2"/>
          <c:tx>
            <c:v>Remaining</c:v>
          </c:tx>
          <c:spPr>
            <a:solidFill>
              <a:srgbClr val="3B64D8"/>
            </a:solidFill>
            <a:ln w="9525">
              <a:solidFill>
                <a:srgbClr val="FFFFFF"/>
              </a:solidFill>
            </a:ln>
          </c:spPr>
          <c:cat>
            <c:strRef>
              <c:f>Plan!$D$6:$D$33</c:f>
              <c:strCache>
                <c:ptCount val="28"/>
                <c:pt idx="0">
                  <c:v>Kickoff and customer requirements</c:v>
                </c:pt>
                <c:pt idx="1">
                  <c:v>Design goals and reliability targets</c:v>
                </c:pt>
                <c:pt idx="2">
                  <c:v>Preliminary BOM and process flow</c:v>
                </c:pt>
                <c:pt idx="3">
                  <c:v>Preliminary special characteristics</c:v>
                </c:pt>
                <c:pt idx="4">
                  <c:v>Gate 1: program approval</c:v>
                </c:pt>
                <c:pt idx="5">
                  <c:v>Design FMEA</c:v>
                </c:pt>
                <c:pt idx="6">
                  <c:v>DFM and DFA review</c:v>
                </c:pt>
                <c:pt idx="7">
                  <c:v>Drawing and specification release</c:v>
                </c:pt>
                <c:pt idx="8">
                  <c:v>Prototype build and control plan</c:v>
                </c:pt>
                <c:pt idx="9">
                  <c:v>Design verification testing</c:v>
                </c:pt>
                <c:pt idx="10">
                  <c:v>Gate 2: design freeze</c:v>
                </c:pt>
                <c:pt idx="11">
                  <c:v>Mould design and build</c:v>
                </c:pt>
                <c:pt idx="12">
                  <c:v>Process flow diagram</c:v>
                </c:pt>
                <c:pt idx="13">
                  <c:v>Process FMEA</c:v>
                </c:pt>
                <c:pt idx="14">
                  <c:v>Pre-launch control plan</c:v>
                </c:pt>
                <c:pt idx="15">
                  <c:v>Work and inspection instructions</c:v>
                </c:pt>
                <c:pt idx="16">
                  <c:v>MSA plan and gauges</c:v>
                </c:pt>
                <c:pt idx="17">
                  <c:v>Packaging specification</c:v>
                </c:pt>
                <c:pt idx="18">
                  <c:v>Gate 3: process readiness</c:v>
                </c:pt>
                <c:pt idx="19">
                  <c:v>Mould trials and first shots</c:v>
                </c:pt>
                <c:pt idx="20">
                  <c:v>Significant production run</c:v>
                </c:pt>
                <c:pt idx="21">
                  <c:v>MSA studies</c:v>
                </c:pt>
                <c:pt idx="22">
                  <c:v>Preliminary process capability</c:v>
                </c:pt>
                <c:pt idx="23">
                  <c:v>Production validation testing</c:v>
                </c:pt>
                <c:pt idx="24">
                  <c:v>PPAP submission and approval</c:v>
                </c:pt>
                <c:pt idx="25">
                  <c:v>Gate 4: launch sign-off</c:v>
                </c:pt>
                <c:pt idx="26">
                  <c:v>Safe-launch containment</c:v>
                </c:pt>
                <c:pt idx="27">
                  <c:v>Lessons learned and closure</c:v>
                </c:pt>
              </c:strCache>
            </c:strRef>
          </c:cat>
          <c:val>
            <c:numRef>
              <c:f>Plan!$P$6:$P$33</c:f>
              <c:numCache>
                <c:formatCode>General</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9</c:v>
                </c:pt>
                <c:pt idx="17">
                  <c:v>18</c:v>
                </c:pt>
                <c:pt idx="18">
                  <c:v>0</c:v>
                </c:pt>
                <c:pt idx="19">
                  <c:v>10</c:v>
                </c:pt>
                <c:pt idx="20">
                  <c:v>5</c:v>
                </c:pt>
                <c:pt idx="21">
                  <c:v>15</c:v>
                </c:pt>
                <c:pt idx="22">
                  <c:v>15</c:v>
                </c:pt>
                <c:pt idx="23">
                  <c:v>35</c:v>
                </c:pt>
                <c:pt idx="24">
                  <c:v>19</c:v>
                </c:pt>
                <c:pt idx="25">
                  <c:v>1</c:v>
                </c:pt>
                <c:pt idx="26">
                  <c:v>60</c:v>
                </c:pt>
                <c:pt idx="27">
                  <c:v>10</c:v>
                </c:pt>
              </c:numCache>
            </c:numRef>
          </c:val>
        </c:ser>
        <c:gapWidth val="40"/>
        <c:overlap val="100"/>
        <c:axId val="50030001"/>
        <c:axId val="50030002"/>
      </c:barChart>
      <c:catAx>
        <c:axId val="5003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in val="0"/>
        </c:scaling>
        <c:axPos val="t"/>
        <c:majorGridlines>
          <c:spPr>
            <a:ln w="9525">
              <a:solidFill>
                <a:srgbClr val="E6E9EE"/>
              </a:solidFill>
            </a:ln>
          </c:spPr>
        </c:majorGridlines>
        <c:title>
          <c:tx>
            <c:rich>
              <a:bodyPr/>
              <a:lstStyle/>
              <a:p>
                <a:pPr>
                  <a:defRPr sz="900" b="0" baseline="0">
                    <a:solidFill>
                      <a:srgbClr val="4A5361"/>
                    </a:solidFill>
                    <a:latin typeface="Calibri"/>
                  </a:defRPr>
                </a:pPr>
                <a:r>
                  <a:rPr lang="en-US" sz="900" b="0" baseline="0">
                    <a:solidFill>
                      <a:srgbClr val="4A5361"/>
                    </a:solidFill>
                    <a:latin typeface="Calibri"/>
                  </a:rPr>
                  <a:t>Days from plan start</a:t>
                </a:r>
              </a:p>
            </c:rich>
          </c:tx>
          <c:layout/>
        </c:title>
        <c:numFmt formatCode="0" sourceLinked="0"/>
        <c:majorTickMark val="none"/>
        <c:minorTickMark val="none"/>
        <c:tickLblPos val="high"/>
        <c:spPr>
          <a:ln>
            <a:noFill/>
          </a:ln>
        </c:spPr>
        <c:txPr>
          <a:bodyPr/>
          <a:lstStyle/>
          <a:p>
            <a:pPr>
              <a:defRPr sz="900" baseline="0">
                <a:solidFill>
                  <a:srgbClr val="4A5361"/>
                </a:solidFill>
                <a:latin typeface="Calibri"/>
              </a:defRPr>
            </a:pPr>
            <a:endParaRPr lang="en-US"/>
          </a:p>
        </c:txPr>
        <c:crossAx val="50030001"/>
        <c:crosses val="max"/>
        <c:crossBetween val="between"/>
      </c:valAx>
      <c:spPr>
        <a:solidFill>
          <a:srgbClr val="FFFFFF"/>
        </a:solidFill>
        <a:ln>
          <a:noFill/>
        </a:ln>
      </c:spPr>
    </c:plotArea>
    <c:legend>
      <c:legendPos val="b"/>
      <c:legendEntry>
        <c:idx val="0"/>
        <c:delete val="1"/>
      </c:legendEntry>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11</xdr:row>
      <xdr:rowOff>38100</xdr:rowOff>
    </xdr:from>
    <xdr:to>
      <xdr:col>5</xdr:col>
      <xdr:colOff>676275</xdr:colOff>
      <xdr:row>25</xdr:row>
      <xdr:rowOff>152400</xdr:rowOff>
    </xdr:to>
    <xdr:graphicFrame macro="">
      <xdr:nvGraphicFramePr>
        <xdr:cNvPr id="2" name="Chart 1" descr="Gantt chart of the five APQP phases, each bar from its earliest task start to its latest planned task end, split into the done share and the remaining shar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11</xdr:row>
      <xdr:rowOff>38100</xdr:rowOff>
    </xdr:from>
    <xdr:to>
      <xdr:col>11</xdr:col>
      <xdr:colOff>676275</xdr:colOff>
      <xdr:row>25</xdr:row>
      <xdr:rowOff>152400</xdr:rowOff>
    </xdr:to>
    <xdr:graphicFrame macro="">
      <xdr:nvGraphicFramePr>
        <xdr:cNvPr id="3" name="Chart 2" descr="Clustered column chart of the share of each phase's task days done at the status date, next to the share planned to be done by then."/>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41</xdr:row>
      <xdr:rowOff>38100</xdr:rowOff>
    </xdr:from>
    <xdr:to>
      <xdr:col>11</xdr:col>
      <xdr:colOff>676275</xdr:colOff>
      <xdr:row>70</xdr:row>
      <xdr:rowOff>152400</xdr:rowOff>
    </xdr:to>
    <xdr:graphicFrame macro="">
      <xdr:nvGraphicFramePr>
        <xdr:cNvPr id="4" name="Chart 3" descr="Gantt chart of every task in plan order, each bar starting at its offset from the plan start and split into done and remaining day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ables/table1.xml><?xml version="1.0" encoding="utf-8"?>
<table xmlns="http://schemas.openxmlformats.org/spreadsheetml/2006/main" id="1" name="tblPhases" displayName="tblPhases" ref="B27:C32" totalsRowShown="0">
  <autoFilter ref="B27:C32"/>
  <tableColumns count="2">
    <tableColumn id="1" name="Phase"/>
    <tableColumn id="2" name="Description"/>
  </tableColumns>
  <tableStyleInfo name="TableStyleLight1" showFirstColumn="0" showLastColumn="0" showRowStripes="0" showColumnStripes="0"/>
</table>
</file>

<file path=xl/tables/table2.xml><?xml version="1.0" encoding="utf-8"?>
<table xmlns="http://schemas.openxmlformats.org/spreadsheetml/2006/main" id="2" name="tblOwners" displayName="tblOwners" ref="B35:C42" totalsRowShown="0">
  <autoFilter ref="B35:C42"/>
  <tableColumns count="2">
    <tableColumn id="1" name="Owner"/>
    <tableColumn id="2" name="Notes"/>
  </tableColumns>
  <tableStyleInfo name="TableStyleLight1" showFirstColumn="0" showLastColumn="0" showRowStripes="0" showColumnStripes="0"/>
</table>
</file>

<file path=xl/tables/table3.xml><?xml version="1.0" encoding="utf-8"?>
<table xmlns="http://schemas.openxmlformats.org/spreadsheetml/2006/main" id="3" name="tblTasks" displayName="tblTasks" ref="B5:V33" totalsRowShown="0">
  <autoFilter ref="B5:V33"/>
  <tableColumns count="21">
    <tableColumn id="1" name="No."/>
    <tableColumn id="2" name="Phase"/>
    <tableColumn id="3" name="Task or deliverable"/>
    <tableColumn id="4" name="Owner"/>
    <tableColumn id="5" name="Predecessor"/>
    <tableColumn id="6" name="Baseline end"/>
    <tableColumn id="7" name="Start"/>
    <tableColumn id="8" name="Duration (days)"/>
    <tableColumn id="9" name="Complete"/>
    <tableColumn id="10" name="Needed for SOP"/>
    <tableColumn id="11" name="End">
      <calculatedColumnFormula>IF(tblTasks[[#This Row],[Task or deliverable]]="","",tblTasks[[#This Row],[Start]]+tblTasks[[#This Row],[Duration (days)]]-1)</calculatedColumnFormula>
    </tableColumn>
    <tableColumn id="12" name="Offset (days)">
      <calculatedColumnFormula>IF(tblTasks[[#This Row],[Task or deliverable]]="","",tblTasks[[#This Row],[Start]]-PlanStart)</calculatedColumnFormula>
    </tableColumn>
    <tableColumn id="13" name="Planned (days)">
      <calculatedColumnFormula>IF(tblTasks[[#This Row],[Task or deliverable]]="","",MIN(tblTasks[[#This Row],[Duration (days)]],MAX(0,AsOf-tblTasks[[#This Row],[Start]]+1)))</calculatedColumnFormula>
    </tableColumn>
    <tableColumn id="14" name="Done (days)">
      <calculatedColumnFormula>IF(tblTasks[[#This Row],[Task or deliverable]]="","",tblTasks[[#This Row],[Duration (days)]]*tblTasks[[#This Row],[Complete]])</calculatedColumnFormula>
    </tableColumn>
    <tableColumn id="15" name="Remaining (days)">
      <calculatedColumnFormula>IF(tblTasks[[#This Row],[Task or deliverable]]="","",tblTasks[[#This Row],[Duration (days)]]-tblTasks[[#This Row],[Done (days)]])</calculatedColumnFormula>
    </tableColumn>
    <tableColumn id="16" name="Forecast end">
      <calculatedColumnFormula>IF(tblTasks[[#This Row],[Task or deliverable]]="","",IF(tblTasks[[#This Row],[Complete]]&gt;=1,tblTasks[[#This Row],[End]],IF(tblTasks[[#This Row],[Complete]]&gt;0,MAX(tblTasks[[#This Row],[End]],AsOf+ROUNDUP(tblTasks[[#This Row],[Remaining (days)]],0)),MAX(tblTasks[[#This Row],[Start]],AsOf+1)+tblTasks[[#This Row],[Duration (days)]]-1)))</calculatedColumnFormula>
    </tableColumn>
    <tableColumn id="17" name="Slip (days)">
      <calculatedColumnFormula>IF(tblTasks[[#This Row],[Task or deliverable]]="","",tblTasks[[#This Row],[Forecast end]]-IF(ISNUMBER(tblTasks[[#This Row],[Baseline end]]),tblTasks[[#This Row],[Baseline end]],tblTasks[[#This Row],[End]]))</calculatedColumnFormula>
    </tableColumn>
    <tableColumn id="18" name="SOP finish">
      <calculatedColumnFormula>IF(tblTasks[[#This Row],[Task or deliverable]]="","",IF(tblTasks[[#This Row],[Needed for SOP]]="Yes",tblTasks[[#This Row],[Forecast end]],""))</calculatedColumnFormula>
    </tableColumn>
    <tableColumn id="19" name="Status">
      <calculatedColumnFormula>IF(tblTasks[[#This Row],[Task or deliverable]]="","",IF(tblTasks[[#This Row],[Complete]]&gt;=1,"Complete",IF(AsOf&gt;tblTasks[[#This Row],[End]],"Overdue",IF(tblTasks[[#This Row],[Done (days)]]&lt;tblTasks[[#This Row],[Planned (days)]]-Tolerance*tblTasks[[#This Row],[Duration (days)]],"Below target",IF(tblTasks[[#This Row],[End]]-AsOf&lt;=DueSoonDays,"Due soon","OK")))))</calculatedColumnFormula>
    </tableColumn>
    <tableColumn id="20" name="Check">
      <calculatedColumnFormula>IF(tblTasks[[#This Row],[Task or deliverable]]="","",IF(tblTasks[[#This Row],[No.]]="","Missing no.",IF(tblTasks[[#This Row],[Start]]="","Missing start",IF(tblTasks[[#This Row],[Duration (days)]]="","Missing duration",IF(COUNTIF(tblTasks[No.],tblTasks[[#This Row],[No.]])&gt;1,"Duplicate task No.",IF(COUNTIF(tblPhases[Phase],tblTasks[[#This Row],[Phase]])=0,"Phase not on Setup list",IF(AND(ISNUMBER(tblTasks[[#This Row],[Predecessor]]),COUNTIF(tblTasks[No.],tblTasks[[#This Row],[Predecessor]])=0),"Predecessor not found",IF(AND(ISNUMBER(tblTasks[[#This Row],[Predecessor]]),tblTasks[[#This Row],[Predecessor]]=tblTasks[[#This Row],[No.]]),"Task is its own predecessor",IF(AND(ISNUMBER(tblTasks[[#This Row],[Predecessor]]),tblTasks[[#This Row],[Complete]]=0,IFERROR(tblTasks[[#This Row],[Start]]&lt;=INDEX(tblTasks[Forecast end],MATCH(tblTasks[[#This Row],[Predecessor]],tblTasks[No.],0)),FALSE)),"Starts before its predecessor ends",IF(tblTasks[[#This Row],[Start]]&lt;PlanStart,"Starts before the plan start",IF(AND(tblTasks[[#This Row],[Complete]]&gt;0,tblTasks[[#This Row],[Start]]&gt;AsOf),"Progress before the start date","OK")))))))))))</calculatedColumnFormula>
    </tableColumn>
    <tableColumn id="21" name="Notes"/>
  </tableColumns>
  <tableStyleInfo name="TableStyleLight1" showFirstColumn="0" showLastColumn="0" showRowStripes="0" showColumnStripes="0"/>
</table>
</file>

<file path=xl/tables/table4.xml><?xml version="1.0" encoding="utf-8"?>
<table xmlns="http://schemas.openxmlformats.org/spreadsheetml/2006/main" id="4" name="tblVerifyPhases" displayName="tblVerifyPhases" ref="B45:C49" totalsRowShown="0">
  <tableColumns count="2">
    <tableColumn id="1" name="Phase"/>
    <tableColumn id="2" name="Description"/>
  </tableColumns>
  <tableStyleInfo name="TableStyleLight1" showFirstColumn="0" showLastColumn="0" showRowStripes="0" showColumnStripes="0"/>
</table>
</file>

<file path=xl/tables/table5.xml><?xml version="1.0" encoding="utf-8"?>
<table xmlns="http://schemas.openxmlformats.org/spreadsheetml/2006/main" id="5" name="tblVerifyTasks" displayName="tblVerifyTasks" ref="B52:V59" totalsRowShown="0">
  <tableColumns count="21">
    <tableColumn id="1" name="No."/>
    <tableColumn id="2" name="Phase"/>
    <tableColumn id="3" name="Task or deliverable"/>
    <tableColumn id="4" name="Owner"/>
    <tableColumn id="5" name="Predecessor"/>
    <tableColumn id="6" name="Baseline end"/>
    <tableColumn id="7" name="Start"/>
    <tableColumn id="8" name="Duration (days)"/>
    <tableColumn id="9" name="Complete"/>
    <tableColumn id="10" name="Needed for SOP"/>
    <tableColumn id="11" name="End">
      <calculatedColumnFormula>IF(tblVerifyTasks[[#This Row],[Task or deliverable]]="","",tblVerifyTasks[[#This Row],[Start]]+tblVerifyTasks[[#This Row],[Duration (days)]]-1)</calculatedColumnFormula>
    </tableColumn>
    <tableColumn id="12" name="Offset (days)">
      <calculatedColumnFormula>IF(tblVerifyTasks[[#This Row],[Task or deliverable]]="","",tblVerifyTasks[[#This Row],[Start]]-$E$35)</calculatedColumnFormula>
    </tableColumn>
    <tableColumn id="13" name="Planned (days)">
      <calculatedColumnFormula>IF(tblVerifyTasks[[#This Row],[Task or deliverable]]="","",MIN(tblVerifyTasks[[#This Row],[Duration (days)]],MAX(0,$E$37-tblVerifyTasks[[#This Row],[Start]]+1)))</calculatedColumnFormula>
    </tableColumn>
    <tableColumn id="14" name="Done (days)">
      <calculatedColumnFormula>IF(tblVerifyTasks[[#This Row],[Task or deliverable]]="","",tblVerifyTasks[[#This Row],[Duration (days)]]*tblVerifyTasks[[#This Row],[Complete]])</calculatedColumnFormula>
    </tableColumn>
    <tableColumn id="15" name="Remaining (days)">
      <calculatedColumnFormula>IF(tblVerifyTasks[[#This Row],[Task or deliverable]]="","",tblVerifyTasks[[#This Row],[Duration (days)]]-tblVerifyTasks[[#This Row],[Done (days)]])</calculatedColumnFormula>
    </tableColumn>
    <tableColumn id="16" name="Forecast end">
      <calculatedColumnFormula>IF(tblVerifyTasks[[#This Row],[Task or deliverable]]="","",IF(tblVerifyTasks[[#This Row],[Complete]]&gt;=1,tblVerifyTasks[[#This Row],[End]],IF(tblVerifyTasks[[#This Row],[Complete]]&gt;0,MAX(tblVerifyTasks[[#This Row],[End]],$E$37+ROUNDUP(tblVerifyTasks[[#This Row],[Remaining (days)]],0)),MAX(tblVerifyTasks[[#This Row],[Start]],$E$37+1)+tblVerifyTasks[[#This Row],[Duration (days)]]-1)))</calculatedColumnFormula>
    </tableColumn>
    <tableColumn id="17" name="Slip (days)">
      <calculatedColumnFormula>IF(tblVerifyTasks[[#This Row],[Task or deliverable]]="","",tblVerifyTasks[[#This Row],[Forecast end]]-IF(ISNUMBER(tblVerifyTasks[[#This Row],[Baseline end]]),tblVerifyTasks[[#This Row],[Baseline end]],tblVerifyTasks[[#This Row],[End]]))</calculatedColumnFormula>
    </tableColumn>
    <tableColumn id="18" name="SOP finish">
      <calculatedColumnFormula>IF(tblVerifyTasks[[#This Row],[Task or deliverable]]="","",IF(tblVerifyTasks[[#This Row],[Needed for SOP]]="Yes",tblVerifyTasks[[#This Row],[Forecast end]],""))</calculatedColumnFormula>
    </tableColumn>
    <tableColumn id="19" name="Status">
      <calculatedColumnFormula>IF(tblVerifyTasks[[#This Row],[Task or deliverable]]="","",IF(tblVerifyTasks[[#This Row],[Complete]]&gt;=1,"Complete",IF($E$37&gt;tblVerifyTasks[[#This Row],[End]],"Overdue",IF(tblVerifyTasks[[#This Row],[Done (days)]]&lt;tblVerifyTasks[[#This Row],[Planned (days)]]-$E$39*tblVerifyTasks[[#This Row],[Duration (days)]],"Below target",IF(tblVerifyTasks[[#This Row],[End]]-$E$37&lt;=$E$38,"Due soon","OK")))))</calculatedColumnFormula>
    </tableColumn>
    <tableColumn id="20" name="Check">
      <calculatedColumnFormula>IF(tblVerifyTasks[[#This Row],[Task or deliverable]]="","",IF(tblVerifyTasks[[#This Row],[No.]]="","Missing no.",IF(tblVerifyTasks[[#This Row],[Start]]="","Missing start",IF(tblVerifyTasks[[#This Row],[Duration (days)]]="","Missing duration",IF(COUNTIF(tblVerifyTasks[No.],tblVerifyTasks[[#This Row],[No.]])&gt;1,"Duplicate task No.",IF(COUNTIF(tblVerifyPhases[Phase],tblVerifyTasks[[#This Row],[Phase]])=0,"Phase not on Setup list",IF(AND(ISNUMBER(tblVerifyTasks[[#This Row],[Predecessor]]),COUNTIF(tblVerifyTasks[No.],tblVerifyTasks[[#This Row],[Predecessor]])=0),"Predecessor not found",IF(AND(ISNUMBER(tblVerifyTasks[[#This Row],[Predecessor]]),tblVerifyTasks[[#This Row],[Predecessor]]=tblVerifyTasks[[#This Row],[No.]]),"Task is its own predecessor",IF(AND(ISNUMBER(tblVerifyTasks[[#This Row],[Predecessor]]),tblVerifyTasks[[#This Row],[Complete]]=0,IFERROR(tblVerifyTasks[[#This Row],[Start]]&lt;=INDEX(tblVerifyTasks[Forecast end],MATCH(tblVerifyTasks[[#This Row],[Predecessor]],tblVerifyTasks[No.],0)),FALSE)),"Starts before its predecessor ends",IF(tblVerifyTasks[[#This Row],[Start]]&lt;$E$35,"Starts before the plan start",IF(AND(tblVerifyTasks[[#This Row],[Complete]]&gt;0,tblVerifyTasks[[#This Row],[Start]]&gt;$E$37),"Progress before the start date","OK")))))))))))</calculatedColumnFormula>
    </tableColumn>
    <tableColumn id="21"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pqp-timeline" TargetMode="External"/><Relationship Id="rId2" Type="http://schemas.openxmlformats.org/officeDocument/2006/relationships/hyperlink" Target="https://www.mfgcalcs.com/calculators/npi-dfm-dfa-engineering-change/launch-delay-cost?utm_source=mfgcalcs-template&amp;utm_medium=xlsx&amp;utm_campaign=apqp-timeline" TargetMode="External"/><Relationship Id="rId3" Type="http://schemas.openxmlformats.org/officeDocument/2006/relationships/hyperlink" Target="https://www.mfgcalcs.com/templates/apqp-timeline?utm_source=mfgcalcs-template&amp;utm_medium=xlsx&amp;utm_campaign=apqp-timeline" TargetMode="External"/><Relationship Id="rId4" Type="http://schemas.openxmlformats.org/officeDocument/2006/relationships/hyperlink" Target="https://www.mfgcalcs.com/templates?utm_source=mfgcalcs-template&amp;utm_medium=xlsx&amp;utm_campaign=apqp-timeline"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pqp-timeline" TargetMode="External"/><Relationship Id="rId2" Type="http://schemas.openxmlformats.org/officeDocument/2006/relationships/table" Target="../tables/table1.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pqp-timeline" TargetMode="External"/><Relationship Id="rId2"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pqp-timeline"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pqp-timeline" TargetMode="External"/><Relationship Id="rId2" Type="http://schemas.openxmlformats.org/officeDocument/2006/relationships/hyperlink" Target="https://www.mfgcalcs.com/calculators/npi-dfm-dfa-engineering-change/launch-delay-cost?utm_source=mfgcalcs-template&amp;utm_medium=xlsx&amp;utm_campaign=apqp-timeline"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pqp-timeline" TargetMode="External"/><Relationship Id="rId2" Type="http://schemas.openxmlformats.org/officeDocument/2006/relationships/table" Target="../tables/table4.xml"/><Relationship Id="rId3"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29.4"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29.4"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19 of 19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75"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Plan!A1" tooltip="Go to Plan" display="Plan"/>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APQP Timeline&amp;R&amp;8&amp;A</oddHeader>
    <oddFooter>&amp;L&amp;8mfgcalcs.com - free manufacturing templates&amp;R&amp;8Page &amp;P of &amp;N</oddFooter>
  </headerFooter>
  <rowBreaks count="1" manualBreakCount="1">
    <brk id="26"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42"/>
  <sheetViews>
    <sheetView showGridLines="0" workbookViewId="0"/>
  </sheetViews>
  <sheetFormatPr defaultRowHeight="15"/>
  <cols>
    <col min="1" max="1" width="2.7109375" customWidth="1"/>
    <col min="2" max="2" width="34.7109375" customWidth="1"/>
    <col min="3" max="3" width="22.7109375" customWidth="1"/>
    <col min="4" max="4" width="52.7109375" customWidth="1"/>
  </cols>
  <sheetData>
    <row r="1" spans="1:5" ht="30" customHeight="1">
      <c r="A1" s="1" t="s">
        <v>0</v>
      </c>
      <c r="B1" s="1"/>
      <c r="C1" s="1"/>
      <c r="D1" s="1"/>
      <c r="E1" s="1"/>
    </row>
    <row r="2" spans="1:5" ht="32.4" customHeight="1">
      <c r="B2" s="2" t="s">
        <v>20</v>
      </c>
      <c r="C2" s="2"/>
      <c r="D2" s="3" t="s">
        <v>2</v>
      </c>
      <c r="E2" s="3"/>
    </row>
    <row r="3" spans="1:5" ht="6" customHeight="1"/>
    <row r="4" spans="1:5" ht="21" customHeight="1">
      <c r="B4" s="8" t="s">
        <v>66</v>
      </c>
      <c r="C4" s="8"/>
      <c r="D4" s="8"/>
    </row>
    <row r="5" spans="1:5" ht="5" customHeight="1"/>
    <row r="6" spans="1:5">
      <c r="B6" s="27" t="s">
        <v>67</v>
      </c>
      <c r="C6" s="28" t="s">
        <v>68</v>
      </c>
      <c r="D6" s="28"/>
    </row>
    <row r="7" spans="1:5">
      <c r="B7" s="27" t="s">
        <v>69</v>
      </c>
      <c r="C7" s="28" t="s">
        <v>70</v>
      </c>
      <c r="D7" s="28"/>
    </row>
    <row r="8" spans="1:5">
      <c r="B8" s="27" t="s">
        <v>71</v>
      </c>
      <c r="C8" s="28" t="s">
        <v>72</v>
      </c>
      <c r="D8" s="28"/>
    </row>
    <row r="9" spans="1:5">
      <c r="B9" s="27" t="s">
        <v>73</v>
      </c>
      <c r="C9" s="29">
        <v>46083</v>
      </c>
      <c r="D9" s="7"/>
    </row>
    <row r="10" spans="1:5">
      <c r="B10" s="27" t="s">
        <v>74</v>
      </c>
      <c r="C10" s="29">
        <v>46370</v>
      </c>
      <c r="D10" s="7"/>
    </row>
    <row r="11" spans="1:5">
      <c r="B11" s="27" t="s">
        <v>75</v>
      </c>
      <c r="C11" s="29">
        <v>46304</v>
      </c>
      <c r="D11" s="7"/>
    </row>
    <row r="12" spans="1:5">
      <c r="B12" s="27" t="s">
        <v>76</v>
      </c>
      <c r="C12" s="30">
        <v>14</v>
      </c>
      <c r="D12" s="7" t="s">
        <v>77</v>
      </c>
    </row>
    <row r="13" spans="1:5">
      <c r="B13" s="27" t="s">
        <v>78</v>
      </c>
      <c r="C13" s="31">
        <v>0.1</v>
      </c>
      <c r="D13" s="7"/>
    </row>
    <row r="15" spans="1:5" ht="21" customHeight="1">
      <c r="B15" s="8" t="s">
        <v>79</v>
      </c>
      <c r="C15" s="8"/>
      <c r="D15" s="8"/>
    </row>
    <row r="16" spans="1:5" ht="5" customHeight="1"/>
    <row r="17" spans="2:4">
      <c r="B17" s="27" t="s">
        <v>80</v>
      </c>
      <c r="C17" s="32">
        <v>18000</v>
      </c>
      <c r="D17" s="7" t="str">
        <f>Currency&amp;" per week"</f>
        <v>USD per week</v>
      </c>
    </row>
    <row r="18" spans="2:4">
      <c r="B18" s="27" t="s">
        <v>81</v>
      </c>
      <c r="C18" s="31">
        <v>0.7</v>
      </c>
      <c r="D18" s="7"/>
    </row>
    <row r="19" spans="2:4">
      <c r="B19" s="27" t="s">
        <v>82</v>
      </c>
      <c r="C19" s="32">
        <v>12000</v>
      </c>
      <c r="D19" s="7" t="str">
        <f>Currency</f>
        <v>USD</v>
      </c>
    </row>
    <row r="21" spans="2:4" ht="35.4" customHeight="1">
      <c r="B21" s="25" t="s">
        <v>83</v>
      </c>
      <c r="C21" s="25"/>
      <c r="D21" s="25"/>
    </row>
    <row r="23" spans="2:4" ht="21" customHeight="1">
      <c r="B23" s="8" t="s">
        <v>84</v>
      </c>
      <c r="C23" s="8"/>
      <c r="D23" s="8"/>
    </row>
    <row r="24" spans="2:4" ht="5" customHeight="1"/>
    <row r="25" spans="2:4" ht="26.76" customHeight="1">
      <c r="B25" s="21" t="s">
        <v>85</v>
      </c>
      <c r="C25" s="21"/>
      <c r="D25" s="21"/>
    </row>
    <row r="26" spans="2:4">
      <c r="B26" s="33" t="s">
        <v>86</v>
      </c>
      <c r="C26" s="33"/>
    </row>
    <row r="27" spans="2:4" ht="20" customHeight="1">
      <c r="B27" s="34" t="s">
        <v>62</v>
      </c>
      <c r="C27" s="34" t="s">
        <v>63</v>
      </c>
    </row>
    <row r="28" spans="2:4">
      <c r="B28" s="28" t="s">
        <v>87</v>
      </c>
      <c r="C28" s="28" t="s">
        <v>88</v>
      </c>
    </row>
    <row r="29" spans="2:4">
      <c r="B29" s="28" t="s">
        <v>89</v>
      </c>
      <c r="C29" s="28" t="s">
        <v>90</v>
      </c>
    </row>
    <row r="30" spans="2:4">
      <c r="B30" s="28" t="s">
        <v>91</v>
      </c>
      <c r="C30" s="28" t="s">
        <v>92</v>
      </c>
    </row>
    <row r="31" spans="2:4">
      <c r="B31" s="28" t="s">
        <v>93</v>
      </c>
      <c r="C31" s="28" t="s">
        <v>94</v>
      </c>
    </row>
    <row r="32" spans="2:4">
      <c r="B32" s="28" t="s">
        <v>95</v>
      </c>
      <c r="C32" s="28" t="s">
        <v>96</v>
      </c>
    </row>
    <row r="34" spans="2:3">
      <c r="B34" s="33" t="s">
        <v>97</v>
      </c>
      <c r="C34" s="33"/>
    </row>
    <row r="35" spans="2:3" ht="20" customHeight="1">
      <c r="B35" s="34" t="s">
        <v>64</v>
      </c>
      <c r="C35" s="34" t="s">
        <v>65</v>
      </c>
    </row>
    <row r="36" spans="2:3">
      <c r="B36" s="28" t="s">
        <v>98</v>
      </c>
      <c r="C36" s="28" t="s">
        <v>99</v>
      </c>
    </row>
    <row r="37" spans="2:3">
      <c r="B37" s="28" t="s">
        <v>100</v>
      </c>
      <c r="C37" s="28" t="s">
        <v>101</v>
      </c>
    </row>
    <row r="38" spans="2:3">
      <c r="B38" s="28" t="s">
        <v>102</v>
      </c>
      <c r="C38" s="28" t="s">
        <v>103</v>
      </c>
    </row>
    <row r="39" spans="2:3">
      <c r="B39" s="28" t="s">
        <v>104</v>
      </c>
      <c r="C39" s="28" t="s">
        <v>105</v>
      </c>
    </row>
    <row r="40" spans="2:3">
      <c r="B40" s="28" t="s">
        <v>106</v>
      </c>
      <c r="C40" s="28" t="s">
        <v>107</v>
      </c>
    </row>
    <row r="41" spans="2:3">
      <c r="B41" s="28" t="s">
        <v>108</v>
      </c>
      <c r="C41" s="28" t="s">
        <v>109</v>
      </c>
    </row>
    <row r="42" spans="2:3">
      <c r="B42" s="28" t="s">
        <v>110</v>
      </c>
      <c r="C42" s="28" t="s">
        <v>111</v>
      </c>
    </row>
  </sheetData>
  <mergeCells count="13">
    <mergeCell ref="A1:E1"/>
    <mergeCell ref="B2:C2"/>
    <mergeCell ref="D2:E2"/>
    <mergeCell ref="B4:D4"/>
    <mergeCell ref="C6:D6"/>
    <mergeCell ref="C7:D7"/>
    <mergeCell ref="C8:D8"/>
    <mergeCell ref="B15:D15"/>
    <mergeCell ref="B21:D21"/>
    <mergeCell ref="B23:D23"/>
    <mergeCell ref="B25:D25"/>
    <mergeCell ref="B26:C26"/>
    <mergeCell ref="B34:C34"/>
  </mergeCells>
  <dataValidations count="15">
    <dataValidation type="textLength" allowBlank="1" showInputMessage="1" showErrorMessage="1" errorTitle="Check this entry" error="Text up to 80 characters." promptTitle="Program or part" prompt="Shown on the Dashboard header. Text up to 80 characters." sqref="C6">
      <formula1>0</formula1>
      <formula2>80</formula2>
    </dataValidation>
    <dataValidation type="textLength" allowBlank="1" showInputMessage="1" showErrorMessage="1" errorTitle="Check this entry" error="Text up to 80 characters." promptTitle="Customer" prompt="Text up to 80 characters." sqref="C7">
      <formula1>0</formula1>
      <formula2>80</formula2>
    </dataValidation>
    <dataValidation type="textLength" allowBlank="1" showInputMessage="1" showErrorMessage="1" errorTitle="Check this entry" error="Text up to 12 characters." promptTitle="Currency label" prompt="Text shown next to the delay-cost figures, e.g. USD, INR, GBP, EUR, MXN. No exchange rate is applied. Text up to 12 characters." sqref="C8">
      <formula1>0</formula1>
      <formula2>12</formula2>
    </dataValidation>
    <dataValidation type="date" allowBlank="1" showInputMessage="1" showErrorMessage="1" errorTitle="Check this entry" error="Enter a date between 01 Jan 2000 and 31 Dec 2100." promptTitle="Plan start (kickoff)" prompt="Day 0 of the Gantt charts: offsets are counted from here. Enter a date between 01 Jan 2000 and 31 Dec 2100." sqref="C9">
      <formula1>36526</formula1>
      <formula2>73415</formula2>
    </dataValidation>
    <dataValidation type="date" allowBlank="1" showInputMessage="1" showErrorMessage="1" errorTitle="Check this entry" error="Enter a date between 01 Jan 2000 and 31 Dec 2100." promptTitle="Start of production (SOP)" prompt="The customer's SOP date. Tasks marked 'Needed for SOP' should finish before it. Enter a date between 01 Jan 2000 and 31 Dec 2100." sqref="C10">
      <formula1>36526</formula1>
      <formula2>73415</formula2>
    </dataValidation>
    <dataValidation type="date" allowBlank="1" showInputMessage="1" showErrorMessage="1" errorTitle="Check this entry" error="Enter a date between 01 Jan 2000 and 31 Dec 2100." promptTitle="Status date (as of)" prompt="The date Complete (%) was last updated. Planned progress, overdue flags and forecasts are measured to this date. Enter a date between 01 Jan 2000 and 31 Dec 2100." sqref="C11">
      <formula1>36526</formula1>
      <formula2>73415</formula2>
    </dataValidation>
    <dataValidation type="whole" allowBlank="1" showInputMessage="1" showErrorMessage="1" errorTitle="Check this entry" error="Enter a whole number from 0 to 365." promptTitle="Due soon window" prompt="Open tasks ending within this many days of the status date read Due soon. Enter a whole number from 0 to 365." sqref="C12">
      <formula1>0</formula1>
      <formula2>365</formula2>
    </dataValidation>
    <dataValidation type="decimal" allowBlank="1" showInputMessage="1" showErrorMessage="1" errorTitle="Check this entry" error="Enter a percentage from 0% to 100% (type 85% or 0.85)." promptTitle="Progress tolerance" prompt="A task reads Below target when its done days trail its planned days by more than this share of its duration. Enter a percentage from 0% to 100% (type 85% or 0.85)." sqref="C13">
      <formula1>0</formula1>
      <formula2>1</formula2>
    </dataValidation>
    <dataValidation type="decimal" allowBlank="1" showInputMessage="1" showErrorMessage="1" errorTitle="Check this entry" error="Enter a number of at least 0." promptTitle="Margin lost per week of slip" prompt="Contribution margin of a week of planned sales at launch volume. Example value; use your own. Enter a number of at least 0." sqref="C17">
      <formula1>0</formula1>
      <formula2>1000000000.0</formula2>
    </dataValidation>
    <dataValidation type="decimal" allowBlank="1" showInputMessage="1" showErrorMessage="1" errorTitle="Check this entry" error="Enter a percentage from 0% to 100% (type 85% or 0.85)." promptTitle="Unrecoverable share" prompt="Share of the lost margin that cannot be made up later (the customer's volume moves elsewhere or is never built). Enter a percentage from 0% to 100% (type 85% or 0.85)." sqref="C18">
      <formula1>0</formula1>
      <formula2>1</formula2>
    </dataValidation>
    <dataValidation type="decimal" allowBlank="1" showInputMessage="1" showErrorMessage="1" errorTitle="Check this entry" error="Enter a number of at least 0." promptTitle="Expedite and rework cost" prompt="One-off cost of catching up: premium freight, overtime, extra trials. Counted only when there is a slip. Enter a number of at least 0." sqref="C19">
      <formula1>0</formula1>
      <formula2>1000000000.0</formula2>
    </dataValidation>
    <dataValidation type="textLength" allowBlank="1" showInputMessage="1" showErrorMessage="1" errorTitle="Check this entry" error="Text up to 40 characters." promptTitle="Phase" prompt="Text up to 40 characters." sqref="B28:B132">
      <formula1>0</formula1>
      <formula2>40</formula2>
    </dataValidation>
    <dataValidation type="textLength" allowBlank="1" showInputMessage="1" showErrorMessage="1" errorTitle="Check this entry" error="Text up to 160 characters." promptTitle="Description" prompt="Text up to 160 characters." sqref="C28:C132">
      <formula1>0</formula1>
      <formula2>160</formula2>
    </dataValidation>
    <dataValidation type="textLength" allowBlank="1" showInputMessage="1" showErrorMessage="1" errorTitle="Check this entry" error="Text up to 40 characters." promptTitle="Owner" prompt="Text up to 40 characters." sqref="B36:B142">
      <formula1>0</formula1>
      <formula2>40</formula2>
    </dataValidation>
    <dataValidation type="textLength" allowBlank="1" showInputMessage="1" showErrorMessage="1" errorTitle="Check this entry" error="Text up to 120 characters." promptTitle="Notes" prompt="Text up to 120 characters." sqref="C36:C142">
      <formula1>0</formula1>
      <formula2>120</formula2>
    </dataValidation>
  </dataValidations>
  <hyperlinks>
    <hyperlink ref="D2" r:id="rId1" tooltip="Free manufacturing calculators and templates"/>
  </hyperlinks>
  <pageMargins left="0.4" right="0.4" top="0.7" bottom="0.65" header="0.3" footer="0.3"/>
  <pageSetup fitToHeight="0" orientation="landscape"/>
  <headerFooter>
    <oddHeader>&amp;L&amp;8MFG Calcs - APQP Timeline&amp;R&amp;8&amp;A</oddHeader>
    <oddFooter>&amp;L&amp;8mfgcalcs.com - free manufacturing templates&amp;R&amp;8Page &amp;P of &amp;N</oddFooter>
  </headerFooter>
  <rowBreaks count="1" manualBreakCount="1">
    <brk id="25" max="16383" man="1"/>
  </rowBreaks>
  <tableParts count="2">
    <tablePart r:id="rId2"/>
    <tablePart r:id="rId3"/>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V33"/>
  <sheetViews>
    <sheetView workbookViewId="0">
      <pane xSplit="4" ySplit="5" topLeftCell="E6" activePane="bottomRight" state="frozen"/>
      <selection pane="topRight" activeCell="E1" sqref="E1"/>
      <selection pane="bottomLeft" activeCell="A6" sqref="A6"/>
      <selection pane="bottomRight"/>
    </sheetView>
  </sheetViews>
  <sheetFormatPr defaultRowHeight="15"/>
  <cols>
    <col min="1" max="1" width="2.7109375" customWidth="1"/>
    <col min="2" max="2" width="5.7109375" customWidth="1"/>
    <col min="3" max="3" width="17.7109375" customWidth="1"/>
    <col min="4" max="4" width="31.7109375" customWidth="1"/>
    <col min="5" max="5" width="11.7109375" customWidth="1"/>
    <col min="6" max="6" width="8.7109375" customWidth="1"/>
    <col min="7" max="8" width="11.7109375" customWidth="1"/>
    <col min="9" max="10" width="8.7109375" customWidth="1"/>
    <col min="11" max="11" width="8.28515625" customWidth="1"/>
    <col min="12" max="12" width="11.7109375" customWidth="1"/>
    <col min="13" max="13" width="7.7109375" customWidth="1"/>
    <col min="14" max="14" width="8.28515625" customWidth="1"/>
    <col min="15" max="15" width="7.7109375" customWidth="1"/>
    <col min="16" max="16" width="9.28515625" customWidth="1"/>
    <col min="17" max="17" width="11.7109375" customWidth="1"/>
    <col min="18" max="18" width="7.28515625" customWidth="1"/>
    <col min="19" max="20" width="11.7109375" customWidth="1"/>
    <col min="21" max="21" width="25.7109375" customWidth="1"/>
    <col min="22" max="22" width="34.7109375" customWidth="1"/>
  </cols>
  <sheetData>
    <row r="1" spans="1:22" ht="30" customHeight="1">
      <c r="A1" s="1" t="s">
        <v>0</v>
      </c>
      <c r="B1" s="1"/>
      <c r="C1" s="1"/>
      <c r="D1" s="1"/>
      <c r="E1" s="1"/>
      <c r="F1" s="1"/>
      <c r="G1" s="1"/>
      <c r="H1" s="1"/>
      <c r="I1" s="1"/>
      <c r="J1" s="1"/>
      <c r="K1" s="1"/>
      <c r="L1" s="1"/>
      <c r="M1" s="1"/>
      <c r="N1" s="1"/>
      <c r="O1" s="1"/>
      <c r="P1" s="1"/>
      <c r="Q1" s="1"/>
      <c r="R1" s="1"/>
      <c r="S1" s="1"/>
      <c r="T1" s="1"/>
      <c r="U1" s="1"/>
      <c r="V1" s="1"/>
    </row>
    <row r="2" spans="1:22" ht="21" customHeight="1">
      <c r="B2" s="2" t="s">
        <v>22</v>
      </c>
      <c r="C2" s="2"/>
      <c r="D2" s="2"/>
      <c r="E2" s="2"/>
      <c r="F2" s="2"/>
      <c r="G2" s="2"/>
      <c r="H2" s="2"/>
      <c r="I2" s="2"/>
      <c r="J2" s="2"/>
      <c r="K2" s="2"/>
      <c r="L2" s="2"/>
      <c r="M2" s="2"/>
      <c r="N2" s="2"/>
      <c r="O2" s="2"/>
      <c r="P2" s="2"/>
      <c r="Q2" s="2"/>
      <c r="R2" s="2"/>
      <c r="S2" s="2"/>
      <c r="T2" s="2"/>
      <c r="U2" s="2"/>
      <c r="V2" s="3" t="s">
        <v>2</v>
      </c>
    </row>
    <row r="3" spans="1:22" ht="6" customHeight="1"/>
    <row r="4" spans="1:22" ht="29.76" customHeight="1">
      <c r="B4" s="35" t="s">
        <v>130</v>
      </c>
      <c r="C4" s="35"/>
      <c r="D4" s="35"/>
      <c r="E4" s="35"/>
      <c r="F4" s="35"/>
      <c r="G4" s="35"/>
      <c r="H4" s="35"/>
      <c r="I4" s="35"/>
      <c r="J4" s="35"/>
      <c r="K4" s="35"/>
      <c r="L4" s="35"/>
      <c r="M4" s="35"/>
      <c r="N4" s="35"/>
      <c r="O4" s="35"/>
      <c r="P4" s="35"/>
      <c r="Q4" s="35"/>
      <c r="R4" s="35"/>
      <c r="S4" s="35"/>
      <c r="T4" s="35"/>
      <c r="U4" s="35"/>
      <c r="V4" s="35"/>
    </row>
    <row r="5" spans="1:22" ht="32" customHeight="1">
      <c r="B5" s="34" t="s">
        <v>112</v>
      </c>
      <c r="C5" s="34" t="s">
        <v>62</v>
      </c>
      <c r="D5" s="34" t="s">
        <v>113</v>
      </c>
      <c r="E5" s="34" t="s">
        <v>64</v>
      </c>
      <c r="F5" s="34" t="s">
        <v>114</v>
      </c>
      <c r="G5" s="34" t="s">
        <v>115</v>
      </c>
      <c r="H5" s="34" t="s">
        <v>116</v>
      </c>
      <c r="I5" s="34" t="s">
        <v>117</v>
      </c>
      <c r="J5" s="34" t="s">
        <v>118</v>
      </c>
      <c r="K5" s="34" t="s">
        <v>119</v>
      </c>
      <c r="L5" s="34" t="s">
        <v>120</v>
      </c>
      <c r="M5" s="34" t="s">
        <v>121</v>
      </c>
      <c r="N5" s="34" t="s">
        <v>122</v>
      </c>
      <c r="O5" s="34" t="s">
        <v>123</v>
      </c>
      <c r="P5" s="34" t="s">
        <v>124</v>
      </c>
      <c r="Q5" s="34" t="s">
        <v>125</v>
      </c>
      <c r="R5" s="34" t="s">
        <v>126</v>
      </c>
      <c r="S5" s="34" t="s">
        <v>127</v>
      </c>
      <c r="T5" s="34" t="s">
        <v>128</v>
      </c>
      <c r="U5" s="34" t="s">
        <v>129</v>
      </c>
      <c r="V5" s="34" t="s">
        <v>65</v>
      </c>
    </row>
    <row r="6" spans="1:22">
      <c r="B6" s="30">
        <v>1</v>
      </c>
      <c r="C6" s="28" t="s">
        <v>87</v>
      </c>
      <c r="D6" s="36" t="s">
        <v>131</v>
      </c>
      <c r="E6" s="28" t="s">
        <v>98</v>
      </c>
      <c r="F6" s="30"/>
      <c r="G6" s="29">
        <v>46087</v>
      </c>
      <c r="H6" s="29">
        <v>46083</v>
      </c>
      <c r="I6" s="30">
        <v>5</v>
      </c>
      <c r="J6" s="31">
        <v>1</v>
      </c>
      <c r="K6" s="28" t="s">
        <v>132</v>
      </c>
      <c r="L6" s="37">
        <f>IF(tblTasks[[#This Row],[Task or deliverable]]="","",tblTasks[[#This Row],[Start]]+tblTasks[[#This Row],[Duration (days)]]-1)</f>
        <v>46087</v>
      </c>
      <c r="M6" s="38">
        <f>IF(tblTasks[[#This Row],[Task or deliverable]]="","",tblTasks[[#This Row],[Start]]-PlanStart)</f>
        <v>0</v>
      </c>
      <c r="N6" s="38">
        <f>IF(tblTasks[[#This Row],[Task or deliverable]]="","",MIN(tblTasks[[#This Row],[Duration (days)]],MAX(0,AsOf-tblTasks[[#This Row],[Start]]+1)))</f>
        <v>5</v>
      </c>
      <c r="O6" s="39">
        <f>IF(tblTasks[[#This Row],[Task or deliverable]]="","",tblTasks[[#This Row],[Duration (days)]]*tblTasks[[#This Row],[Complete]])</f>
        <v>5</v>
      </c>
      <c r="P6" s="39">
        <f>IF(tblTasks[[#This Row],[Task or deliverable]]="","",tblTasks[[#This Row],[Duration (days)]]-tblTasks[[#This Row],[Done (days)]])</f>
        <v>0</v>
      </c>
      <c r="Q6" s="37">
        <f>IF(tblTasks[[#This Row],[Task or deliverable]]="","",IF(tblTasks[[#This Row],[Complete]]&gt;=1,tblTasks[[#This Row],[End]],IF(tblTasks[[#This Row],[Complete]]&gt;0,MAX(tblTasks[[#This Row],[End]],AsOf+ROUNDUP(tblTasks[[#This Row],[Remaining (days)]],0)),MAX(tblTasks[[#This Row],[Start]],AsOf+1)+tblTasks[[#This Row],[Duration (days)]]-1)))</f>
        <v>46087</v>
      </c>
      <c r="R6" s="40">
        <f>IF(tblTasks[[#This Row],[Task or deliverable]]="","",tblTasks[[#This Row],[Forecast end]]-IF(ISNUMBER(tblTasks[[#This Row],[Baseline end]]),tblTasks[[#This Row],[Baseline end]],tblTasks[[#This Row],[End]]))</f>
        <v>0</v>
      </c>
      <c r="S6" s="37">
        <f>IF(tblTasks[[#This Row],[Task or deliverable]]="","",IF(tblTasks[[#This Row],[Needed for SOP]]="Yes",tblTasks[[#This Row],[Forecast end]],""))</f>
        <v>46087</v>
      </c>
      <c r="T6" s="41" t="str">
        <f>IF(tblTasks[[#This Row],[Task or deliverable]]="","",IF(tblTasks[[#This Row],[Complete]]&gt;=1,"Complete",IF(AsOf&gt;tblTasks[[#This Row],[End]],"Overdue",IF(tblTasks[[#This Row],[Done (days)]]&lt;tblTasks[[#This Row],[Planned (days)]]-Tolerance*tblTasks[[#This Row],[Duration (days)]],"Below target",IF(tblTasks[[#This Row],[End]]-AsOf&lt;=DueSoonDays,"Due soon","OK")))))</f>
        <v>Complete</v>
      </c>
      <c r="U6" s="42" t="str">
        <f>IF(tblTasks[[#This Row],[Task or deliverable]]="","",IF(tblTasks[[#This Row],[No.]]="","Missing no.",IF(tblTasks[[#This Row],[Start]]="","Missing start",IF(tblTasks[[#This Row],[Duration (days)]]="","Missing duration",IF(COUNTIF(tblTasks[No.],tblTasks[[#This Row],[No.]])&gt;1,"Duplicate task No.",IF(COUNTIF(tblPhases[Phase],tblTasks[[#This Row],[Phase]])=0,"Phase not on Setup list",IF(AND(ISNUMBER(tblTasks[[#This Row],[Predecessor]]),COUNTIF(tblTasks[No.],tblTasks[[#This Row],[Predecessor]])=0),"Predecessor not found",IF(AND(ISNUMBER(tblTasks[[#This Row],[Predecessor]]),tblTasks[[#This Row],[Predecessor]]=tblTasks[[#This Row],[No.]]),"Task is its own predecessor",IF(AND(ISNUMBER(tblTasks[[#This Row],[Predecessor]]),tblTasks[[#This Row],[Complete]]=0,IFERROR(tblTasks[[#This Row],[Start]]&lt;=INDEX(tblTasks[Forecast end],MATCH(tblTasks[[#This Row],[Predecessor]],tblTasks[No.],0)),FALSE)),"Starts before its predecessor ends",IF(tblTasks[[#This Row],[Start]]&lt;PlanStart,"Starts before the plan start",IF(AND(tblTasks[[#This Row],[Complete]]&gt;0,tblTasks[[#This Row],[Start]]&gt;AsOf),"Progress before the start date","OK")))))))))))</f>
        <v>OK</v>
      </c>
      <c r="V6" s="36" t="s">
        <v>133</v>
      </c>
    </row>
    <row r="7" spans="1:22">
      <c r="B7" s="30">
        <v>2</v>
      </c>
      <c r="C7" s="28" t="s">
        <v>87</v>
      </c>
      <c r="D7" s="36" t="s">
        <v>134</v>
      </c>
      <c r="E7" s="28" t="s">
        <v>100</v>
      </c>
      <c r="F7" s="30">
        <v>1</v>
      </c>
      <c r="G7" s="29">
        <v>46099</v>
      </c>
      <c r="H7" s="29">
        <v>46090</v>
      </c>
      <c r="I7" s="30">
        <v>10</v>
      </c>
      <c r="J7" s="31">
        <v>1</v>
      </c>
      <c r="K7" s="28" t="s">
        <v>132</v>
      </c>
      <c r="L7" s="37">
        <f>IF(tblTasks[[#This Row],[Task or deliverable]]="","",tblTasks[[#This Row],[Start]]+tblTasks[[#This Row],[Duration (days)]]-1)</f>
        <v>46099</v>
      </c>
      <c r="M7" s="38">
        <f>IF(tblTasks[[#This Row],[Task or deliverable]]="","",tblTasks[[#This Row],[Start]]-PlanStart)</f>
        <v>7</v>
      </c>
      <c r="N7" s="38">
        <f>IF(tblTasks[[#This Row],[Task or deliverable]]="","",MIN(tblTasks[[#This Row],[Duration (days)]],MAX(0,AsOf-tblTasks[[#This Row],[Start]]+1)))</f>
        <v>10</v>
      </c>
      <c r="O7" s="39">
        <f>IF(tblTasks[[#This Row],[Task or deliverable]]="","",tblTasks[[#This Row],[Duration (days)]]*tblTasks[[#This Row],[Complete]])</f>
        <v>10</v>
      </c>
      <c r="P7" s="39">
        <f>IF(tblTasks[[#This Row],[Task or deliverable]]="","",tblTasks[[#This Row],[Duration (days)]]-tblTasks[[#This Row],[Done (days)]])</f>
        <v>0</v>
      </c>
      <c r="Q7" s="37">
        <f>IF(tblTasks[[#This Row],[Task or deliverable]]="","",IF(tblTasks[[#This Row],[Complete]]&gt;=1,tblTasks[[#This Row],[End]],IF(tblTasks[[#This Row],[Complete]]&gt;0,MAX(tblTasks[[#This Row],[End]],AsOf+ROUNDUP(tblTasks[[#This Row],[Remaining (days)]],0)),MAX(tblTasks[[#This Row],[Start]],AsOf+1)+tblTasks[[#This Row],[Duration (days)]]-1)))</f>
        <v>46099</v>
      </c>
      <c r="R7" s="40">
        <f>IF(tblTasks[[#This Row],[Task or deliverable]]="","",tblTasks[[#This Row],[Forecast end]]-IF(ISNUMBER(tblTasks[[#This Row],[Baseline end]]),tblTasks[[#This Row],[Baseline end]],tblTasks[[#This Row],[End]]))</f>
        <v>0</v>
      </c>
      <c r="S7" s="37">
        <f>IF(tblTasks[[#This Row],[Task or deliverable]]="","",IF(tblTasks[[#This Row],[Needed for SOP]]="Yes",tblTasks[[#This Row],[Forecast end]],""))</f>
        <v>46099</v>
      </c>
      <c r="T7" s="41" t="str">
        <f>IF(tblTasks[[#This Row],[Task or deliverable]]="","",IF(tblTasks[[#This Row],[Complete]]&gt;=1,"Complete",IF(AsOf&gt;tblTasks[[#This Row],[End]],"Overdue",IF(tblTasks[[#This Row],[Done (days)]]&lt;tblTasks[[#This Row],[Planned (days)]]-Tolerance*tblTasks[[#This Row],[Duration (days)]],"Below target",IF(tblTasks[[#This Row],[End]]-AsOf&lt;=DueSoonDays,"Due soon","OK")))))</f>
        <v>Complete</v>
      </c>
      <c r="U7" s="42" t="str">
        <f>IF(tblTasks[[#This Row],[Task or deliverable]]="","",IF(tblTasks[[#This Row],[No.]]="","Missing no.",IF(tblTasks[[#This Row],[Start]]="","Missing start",IF(tblTasks[[#This Row],[Duration (days)]]="","Missing duration",IF(COUNTIF(tblTasks[No.],tblTasks[[#This Row],[No.]])&gt;1,"Duplicate task No.",IF(COUNTIF(tblPhases[Phase],tblTasks[[#This Row],[Phase]])=0,"Phase not on Setup list",IF(AND(ISNUMBER(tblTasks[[#This Row],[Predecessor]]),COUNTIF(tblTasks[No.],tblTasks[[#This Row],[Predecessor]])=0),"Predecessor not found",IF(AND(ISNUMBER(tblTasks[[#This Row],[Predecessor]]),tblTasks[[#This Row],[Predecessor]]=tblTasks[[#This Row],[No.]]),"Task is its own predecessor",IF(AND(ISNUMBER(tblTasks[[#This Row],[Predecessor]]),tblTasks[[#This Row],[Complete]]=0,IFERROR(tblTasks[[#This Row],[Start]]&lt;=INDEX(tblTasks[Forecast end],MATCH(tblTasks[[#This Row],[Predecessor]],tblTasks[No.],0)),FALSE)),"Starts before its predecessor ends",IF(tblTasks[[#This Row],[Start]]&lt;PlanStart,"Starts before the plan start",IF(AND(tblTasks[[#This Row],[Complete]]&gt;0,tblTasks[[#This Row],[Start]]&gt;AsOf),"Progress before the start date","OK")))))))))))</f>
        <v>OK</v>
      </c>
      <c r="V7" s="36" t="s">
        <v>133</v>
      </c>
    </row>
    <row r="8" spans="1:22">
      <c r="B8" s="30">
        <v>3</v>
      </c>
      <c r="C8" s="28" t="s">
        <v>87</v>
      </c>
      <c r="D8" s="36" t="s">
        <v>135</v>
      </c>
      <c r="E8" s="28" t="s">
        <v>102</v>
      </c>
      <c r="F8" s="30">
        <v>1</v>
      </c>
      <c r="G8" s="29">
        <v>46101</v>
      </c>
      <c r="H8" s="29">
        <v>46090</v>
      </c>
      <c r="I8" s="30">
        <v>12</v>
      </c>
      <c r="J8" s="31">
        <v>1</v>
      </c>
      <c r="K8" s="28" t="s">
        <v>132</v>
      </c>
      <c r="L8" s="37">
        <f>IF(tblTasks[[#This Row],[Task or deliverable]]="","",tblTasks[[#This Row],[Start]]+tblTasks[[#This Row],[Duration (days)]]-1)</f>
        <v>46101</v>
      </c>
      <c r="M8" s="38">
        <f>IF(tblTasks[[#This Row],[Task or deliverable]]="","",tblTasks[[#This Row],[Start]]-PlanStart)</f>
        <v>7</v>
      </c>
      <c r="N8" s="38">
        <f>IF(tblTasks[[#This Row],[Task or deliverable]]="","",MIN(tblTasks[[#This Row],[Duration (days)]],MAX(0,AsOf-tblTasks[[#This Row],[Start]]+1)))</f>
        <v>12</v>
      </c>
      <c r="O8" s="39">
        <f>IF(tblTasks[[#This Row],[Task or deliverable]]="","",tblTasks[[#This Row],[Duration (days)]]*tblTasks[[#This Row],[Complete]])</f>
        <v>12</v>
      </c>
      <c r="P8" s="39">
        <f>IF(tblTasks[[#This Row],[Task or deliverable]]="","",tblTasks[[#This Row],[Duration (days)]]-tblTasks[[#This Row],[Done (days)]])</f>
        <v>0</v>
      </c>
      <c r="Q8" s="37">
        <f>IF(tblTasks[[#This Row],[Task or deliverable]]="","",IF(tblTasks[[#This Row],[Complete]]&gt;=1,tblTasks[[#This Row],[End]],IF(tblTasks[[#This Row],[Complete]]&gt;0,MAX(tblTasks[[#This Row],[End]],AsOf+ROUNDUP(tblTasks[[#This Row],[Remaining (days)]],0)),MAX(tblTasks[[#This Row],[Start]],AsOf+1)+tblTasks[[#This Row],[Duration (days)]]-1)))</f>
        <v>46101</v>
      </c>
      <c r="R8" s="40">
        <f>IF(tblTasks[[#This Row],[Task or deliverable]]="","",tblTasks[[#This Row],[Forecast end]]-IF(ISNUMBER(tblTasks[[#This Row],[Baseline end]]),tblTasks[[#This Row],[Baseline end]],tblTasks[[#This Row],[End]]))</f>
        <v>0</v>
      </c>
      <c r="S8" s="37">
        <f>IF(tblTasks[[#This Row],[Task or deliverable]]="","",IF(tblTasks[[#This Row],[Needed for SOP]]="Yes",tblTasks[[#This Row],[Forecast end]],""))</f>
        <v>46101</v>
      </c>
      <c r="T8" s="41" t="str">
        <f>IF(tblTasks[[#This Row],[Task or deliverable]]="","",IF(tblTasks[[#This Row],[Complete]]&gt;=1,"Complete",IF(AsOf&gt;tblTasks[[#This Row],[End]],"Overdue",IF(tblTasks[[#This Row],[Done (days)]]&lt;tblTasks[[#This Row],[Planned (days)]]-Tolerance*tblTasks[[#This Row],[Duration (days)]],"Below target",IF(tblTasks[[#This Row],[End]]-AsOf&lt;=DueSoonDays,"Due soon","OK")))))</f>
        <v>Complete</v>
      </c>
      <c r="U8" s="42" t="str">
        <f>IF(tblTasks[[#This Row],[Task or deliverable]]="","",IF(tblTasks[[#This Row],[No.]]="","Missing no.",IF(tblTasks[[#This Row],[Start]]="","Missing start",IF(tblTasks[[#This Row],[Duration (days)]]="","Missing duration",IF(COUNTIF(tblTasks[No.],tblTasks[[#This Row],[No.]])&gt;1,"Duplicate task No.",IF(COUNTIF(tblPhases[Phase],tblTasks[[#This Row],[Phase]])=0,"Phase not on Setup list",IF(AND(ISNUMBER(tblTasks[[#This Row],[Predecessor]]),COUNTIF(tblTasks[No.],tblTasks[[#This Row],[Predecessor]])=0),"Predecessor not found",IF(AND(ISNUMBER(tblTasks[[#This Row],[Predecessor]]),tblTasks[[#This Row],[Predecessor]]=tblTasks[[#This Row],[No.]]),"Task is its own predecessor",IF(AND(ISNUMBER(tblTasks[[#This Row],[Predecessor]]),tblTasks[[#This Row],[Complete]]=0,IFERROR(tblTasks[[#This Row],[Start]]&lt;=INDEX(tblTasks[Forecast end],MATCH(tblTasks[[#This Row],[Predecessor]],tblTasks[No.],0)),FALSE)),"Starts before its predecessor ends",IF(tblTasks[[#This Row],[Start]]&lt;PlanStart,"Starts before the plan start",IF(AND(tblTasks[[#This Row],[Complete]]&gt;0,tblTasks[[#This Row],[Start]]&gt;AsOf),"Progress before the start date","OK")))))))))))</f>
        <v>OK</v>
      </c>
      <c r="V8" s="36" t="s">
        <v>133</v>
      </c>
    </row>
    <row r="9" spans="1:22">
      <c r="B9" s="30">
        <v>4</v>
      </c>
      <c r="C9" s="28" t="s">
        <v>87</v>
      </c>
      <c r="D9" s="36" t="s">
        <v>136</v>
      </c>
      <c r="E9" s="28" t="s">
        <v>104</v>
      </c>
      <c r="F9" s="30">
        <v>2</v>
      </c>
      <c r="G9" s="29">
        <v>46113</v>
      </c>
      <c r="H9" s="29">
        <v>46104</v>
      </c>
      <c r="I9" s="30">
        <v>10</v>
      </c>
      <c r="J9" s="31">
        <v>1</v>
      </c>
      <c r="K9" s="28" t="s">
        <v>132</v>
      </c>
      <c r="L9" s="37">
        <f>IF(tblTasks[[#This Row],[Task or deliverable]]="","",tblTasks[[#This Row],[Start]]+tblTasks[[#This Row],[Duration (days)]]-1)</f>
        <v>46113</v>
      </c>
      <c r="M9" s="38">
        <f>IF(tblTasks[[#This Row],[Task or deliverable]]="","",tblTasks[[#This Row],[Start]]-PlanStart)</f>
        <v>21</v>
      </c>
      <c r="N9" s="38">
        <f>IF(tblTasks[[#This Row],[Task or deliverable]]="","",MIN(tblTasks[[#This Row],[Duration (days)]],MAX(0,AsOf-tblTasks[[#This Row],[Start]]+1)))</f>
        <v>10</v>
      </c>
      <c r="O9" s="39">
        <f>IF(tblTasks[[#This Row],[Task or deliverable]]="","",tblTasks[[#This Row],[Duration (days)]]*tblTasks[[#This Row],[Complete]])</f>
        <v>10</v>
      </c>
      <c r="P9" s="39">
        <f>IF(tblTasks[[#This Row],[Task or deliverable]]="","",tblTasks[[#This Row],[Duration (days)]]-tblTasks[[#This Row],[Done (days)]])</f>
        <v>0</v>
      </c>
      <c r="Q9" s="37">
        <f>IF(tblTasks[[#This Row],[Task or deliverable]]="","",IF(tblTasks[[#This Row],[Complete]]&gt;=1,tblTasks[[#This Row],[End]],IF(tblTasks[[#This Row],[Complete]]&gt;0,MAX(tblTasks[[#This Row],[End]],AsOf+ROUNDUP(tblTasks[[#This Row],[Remaining (days)]],0)),MAX(tblTasks[[#This Row],[Start]],AsOf+1)+tblTasks[[#This Row],[Duration (days)]]-1)))</f>
        <v>46113</v>
      </c>
      <c r="R9" s="40">
        <f>IF(tblTasks[[#This Row],[Task or deliverable]]="","",tblTasks[[#This Row],[Forecast end]]-IF(ISNUMBER(tblTasks[[#This Row],[Baseline end]]),tblTasks[[#This Row],[Baseline end]],tblTasks[[#This Row],[End]]))</f>
        <v>0</v>
      </c>
      <c r="S9" s="37">
        <f>IF(tblTasks[[#This Row],[Task or deliverable]]="","",IF(tblTasks[[#This Row],[Needed for SOP]]="Yes",tblTasks[[#This Row],[Forecast end]],""))</f>
        <v>46113</v>
      </c>
      <c r="T9" s="41" t="str">
        <f>IF(tblTasks[[#This Row],[Task or deliverable]]="","",IF(tblTasks[[#This Row],[Complete]]&gt;=1,"Complete",IF(AsOf&gt;tblTasks[[#This Row],[End]],"Overdue",IF(tblTasks[[#This Row],[Done (days)]]&lt;tblTasks[[#This Row],[Planned (days)]]-Tolerance*tblTasks[[#This Row],[Duration (days)]],"Below target",IF(tblTasks[[#This Row],[End]]-AsOf&lt;=DueSoonDays,"Due soon","OK")))))</f>
        <v>Complete</v>
      </c>
      <c r="U9" s="42" t="str">
        <f>IF(tblTasks[[#This Row],[Task or deliverable]]="","",IF(tblTasks[[#This Row],[No.]]="","Missing no.",IF(tblTasks[[#This Row],[Start]]="","Missing start",IF(tblTasks[[#This Row],[Duration (days)]]="","Missing duration",IF(COUNTIF(tblTasks[No.],tblTasks[[#This Row],[No.]])&gt;1,"Duplicate task No.",IF(COUNTIF(tblPhases[Phase],tblTasks[[#This Row],[Phase]])=0,"Phase not on Setup list",IF(AND(ISNUMBER(tblTasks[[#This Row],[Predecessor]]),COUNTIF(tblTasks[No.],tblTasks[[#This Row],[Predecessor]])=0),"Predecessor not found",IF(AND(ISNUMBER(tblTasks[[#This Row],[Predecessor]]),tblTasks[[#This Row],[Predecessor]]=tblTasks[[#This Row],[No.]]),"Task is its own predecessor",IF(AND(ISNUMBER(tblTasks[[#This Row],[Predecessor]]),tblTasks[[#This Row],[Complete]]=0,IFERROR(tblTasks[[#This Row],[Start]]&lt;=INDEX(tblTasks[Forecast end],MATCH(tblTasks[[#This Row],[Predecessor]],tblTasks[No.],0)),FALSE)),"Starts before its predecessor ends",IF(tblTasks[[#This Row],[Start]]&lt;PlanStart,"Starts before the plan start",IF(AND(tblTasks[[#This Row],[Complete]]&gt;0,tblTasks[[#This Row],[Start]]&gt;AsOf),"Progress before the start date","OK")))))))))))</f>
        <v>OK</v>
      </c>
      <c r="V9" s="36" t="s">
        <v>133</v>
      </c>
    </row>
    <row r="10" spans="1:22">
      <c r="B10" s="30">
        <v>5</v>
      </c>
      <c r="C10" s="28" t="s">
        <v>87</v>
      </c>
      <c r="D10" s="36" t="s">
        <v>137</v>
      </c>
      <c r="E10" s="28" t="s">
        <v>98</v>
      </c>
      <c r="F10" s="30">
        <v>4</v>
      </c>
      <c r="G10" s="29">
        <v>46118</v>
      </c>
      <c r="H10" s="29">
        <v>46118</v>
      </c>
      <c r="I10" s="30">
        <v>1</v>
      </c>
      <c r="J10" s="31">
        <v>1</v>
      </c>
      <c r="K10" s="28" t="s">
        <v>132</v>
      </c>
      <c r="L10" s="37">
        <f>IF(tblTasks[[#This Row],[Task or deliverable]]="","",tblTasks[[#This Row],[Start]]+tblTasks[[#This Row],[Duration (days)]]-1)</f>
        <v>46118</v>
      </c>
      <c r="M10" s="38">
        <f>IF(tblTasks[[#This Row],[Task or deliverable]]="","",tblTasks[[#This Row],[Start]]-PlanStart)</f>
        <v>35</v>
      </c>
      <c r="N10" s="38">
        <f>IF(tblTasks[[#This Row],[Task or deliverable]]="","",MIN(tblTasks[[#This Row],[Duration (days)]],MAX(0,AsOf-tblTasks[[#This Row],[Start]]+1)))</f>
        <v>1</v>
      </c>
      <c r="O10" s="39">
        <f>IF(tblTasks[[#This Row],[Task or deliverable]]="","",tblTasks[[#This Row],[Duration (days)]]*tblTasks[[#This Row],[Complete]])</f>
        <v>1</v>
      </c>
      <c r="P10" s="39">
        <f>IF(tblTasks[[#This Row],[Task or deliverable]]="","",tblTasks[[#This Row],[Duration (days)]]-tblTasks[[#This Row],[Done (days)]])</f>
        <v>0</v>
      </c>
      <c r="Q10" s="37">
        <f>IF(tblTasks[[#This Row],[Task or deliverable]]="","",IF(tblTasks[[#This Row],[Complete]]&gt;=1,tblTasks[[#This Row],[End]],IF(tblTasks[[#This Row],[Complete]]&gt;0,MAX(tblTasks[[#This Row],[End]],AsOf+ROUNDUP(tblTasks[[#This Row],[Remaining (days)]],0)),MAX(tblTasks[[#This Row],[Start]],AsOf+1)+tblTasks[[#This Row],[Duration (days)]]-1)))</f>
        <v>46118</v>
      </c>
      <c r="R10" s="40">
        <f>IF(tblTasks[[#This Row],[Task or deliverable]]="","",tblTasks[[#This Row],[Forecast end]]-IF(ISNUMBER(tblTasks[[#This Row],[Baseline end]]),tblTasks[[#This Row],[Baseline end]],tblTasks[[#This Row],[End]]))</f>
        <v>0</v>
      </c>
      <c r="S10" s="37">
        <f>IF(tblTasks[[#This Row],[Task or deliverable]]="","",IF(tblTasks[[#This Row],[Needed for SOP]]="Yes",tblTasks[[#This Row],[Forecast end]],""))</f>
        <v>46118</v>
      </c>
      <c r="T10" s="41" t="str">
        <f>IF(tblTasks[[#This Row],[Task or deliverable]]="","",IF(tblTasks[[#This Row],[Complete]]&gt;=1,"Complete",IF(AsOf&gt;tblTasks[[#This Row],[End]],"Overdue",IF(tblTasks[[#This Row],[Done (days)]]&lt;tblTasks[[#This Row],[Planned (days)]]-Tolerance*tblTasks[[#This Row],[Duration (days)]],"Below target",IF(tblTasks[[#This Row],[End]]-AsOf&lt;=DueSoonDays,"Due soon","OK")))))</f>
        <v>Complete</v>
      </c>
      <c r="U10" s="42" t="str">
        <f>IF(tblTasks[[#This Row],[Task or deliverable]]="","",IF(tblTasks[[#This Row],[No.]]="","Missing no.",IF(tblTasks[[#This Row],[Start]]="","Missing start",IF(tblTasks[[#This Row],[Duration (days)]]="","Missing duration",IF(COUNTIF(tblTasks[No.],tblTasks[[#This Row],[No.]])&gt;1,"Duplicate task No.",IF(COUNTIF(tblPhases[Phase],tblTasks[[#This Row],[Phase]])=0,"Phase not on Setup list",IF(AND(ISNUMBER(tblTasks[[#This Row],[Predecessor]]),COUNTIF(tblTasks[No.],tblTasks[[#This Row],[Predecessor]])=0),"Predecessor not found",IF(AND(ISNUMBER(tblTasks[[#This Row],[Predecessor]]),tblTasks[[#This Row],[Predecessor]]=tblTasks[[#This Row],[No.]]),"Task is its own predecessor",IF(AND(ISNUMBER(tblTasks[[#This Row],[Predecessor]]),tblTasks[[#This Row],[Complete]]=0,IFERROR(tblTasks[[#This Row],[Start]]&lt;=INDEX(tblTasks[Forecast end],MATCH(tblTasks[[#This Row],[Predecessor]],tblTasks[No.],0)),FALSE)),"Starts before its predecessor ends",IF(tblTasks[[#This Row],[Start]]&lt;PlanStart,"Starts before the plan start",IF(AND(tblTasks[[#This Row],[Complete]]&gt;0,tblTasks[[#This Row],[Start]]&gt;AsOf),"Progress before the start date","OK")))))))))))</f>
        <v>OK</v>
      </c>
      <c r="V10" s="36" t="s">
        <v>133</v>
      </c>
    </row>
    <row r="11" spans="1:22">
      <c r="B11" s="30">
        <v>6</v>
      </c>
      <c r="C11" s="28" t="s">
        <v>89</v>
      </c>
      <c r="D11" s="36" t="s">
        <v>138</v>
      </c>
      <c r="E11" s="28" t="s">
        <v>100</v>
      </c>
      <c r="F11" s="30">
        <v>5</v>
      </c>
      <c r="G11" s="29">
        <v>46138</v>
      </c>
      <c r="H11" s="29">
        <v>46119</v>
      </c>
      <c r="I11" s="30">
        <v>20</v>
      </c>
      <c r="J11" s="31">
        <v>1</v>
      </c>
      <c r="K11" s="28" t="s">
        <v>132</v>
      </c>
      <c r="L11" s="37">
        <f>IF(tblTasks[[#This Row],[Task or deliverable]]="","",tblTasks[[#This Row],[Start]]+tblTasks[[#This Row],[Duration (days)]]-1)</f>
        <v>46138</v>
      </c>
      <c r="M11" s="38">
        <f>IF(tblTasks[[#This Row],[Task or deliverable]]="","",tblTasks[[#This Row],[Start]]-PlanStart)</f>
        <v>36</v>
      </c>
      <c r="N11" s="38">
        <f>IF(tblTasks[[#This Row],[Task or deliverable]]="","",MIN(tblTasks[[#This Row],[Duration (days)]],MAX(0,AsOf-tblTasks[[#This Row],[Start]]+1)))</f>
        <v>20</v>
      </c>
      <c r="O11" s="39">
        <f>IF(tblTasks[[#This Row],[Task or deliverable]]="","",tblTasks[[#This Row],[Duration (days)]]*tblTasks[[#This Row],[Complete]])</f>
        <v>20</v>
      </c>
      <c r="P11" s="39">
        <f>IF(tblTasks[[#This Row],[Task or deliverable]]="","",tblTasks[[#This Row],[Duration (days)]]-tblTasks[[#This Row],[Done (days)]])</f>
        <v>0</v>
      </c>
      <c r="Q11" s="37">
        <f>IF(tblTasks[[#This Row],[Task or deliverable]]="","",IF(tblTasks[[#This Row],[Complete]]&gt;=1,tblTasks[[#This Row],[End]],IF(tblTasks[[#This Row],[Complete]]&gt;0,MAX(tblTasks[[#This Row],[End]],AsOf+ROUNDUP(tblTasks[[#This Row],[Remaining (days)]],0)),MAX(tblTasks[[#This Row],[Start]],AsOf+1)+tblTasks[[#This Row],[Duration (days)]]-1)))</f>
        <v>46138</v>
      </c>
      <c r="R11" s="40">
        <f>IF(tblTasks[[#This Row],[Task or deliverable]]="","",tblTasks[[#This Row],[Forecast end]]-IF(ISNUMBER(tblTasks[[#This Row],[Baseline end]]),tblTasks[[#This Row],[Baseline end]],tblTasks[[#This Row],[End]]))</f>
        <v>0</v>
      </c>
      <c r="S11" s="37">
        <f>IF(tblTasks[[#This Row],[Task or deliverable]]="","",IF(tblTasks[[#This Row],[Needed for SOP]]="Yes",tblTasks[[#This Row],[Forecast end]],""))</f>
        <v>46138</v>
      </c>
      <c r="T11" s="41" t="str">
        <f>IF(tblTasks[[#This Row],[Task or deliverable]]="","",IF(tblTasks[[#This Row],[Complete]]&gt;=1,"Complete",IF(AsOf&gt;tblTasks[[#This Row],[End]],"Overdue",IF(tblTasks[[#This Row],[Done (days)]]&lt;tblTasks[[#This Row],[Planned (days)]]-Tolerance*tblTasks[[#This Row],[Duration (days)]],"Below target",IF(tblTasks[[#This Row],[End]]-AsOf&lt;=DueSoonDays,"Due soon","OK")))))</f>
        <v>Complete</v>
      </c>
      <c r="U11" s="42" t="str">
        <f>IF(tblTasks[[#This Row],[Task or deliverable]]="","",IF(tblTasks[[#This Row],[No.]]="","Missing no.",IF(tblTasks[[#This Row],[Start]]="","Missing start",IF(tblTasks[[#This Row],[Duration (days)]]="","Missing duration",IF(COUNTIF(tblTasks[No.],tblTasks[[#This Row],[No.]])&gt;1,"Duplicate task No.",IF(COUNTIF(tblPhases[Phase],tblTasks[[#This Row],[Phase]])=0,"Phase not on Setup list",IF(AND(ISNUMBER(tblTasks[[#This Row],[Predecessor]]),COUNTIF(tblTasks[No.],tblTasks[[#This Row],[Predecessor]])=0),"Predecessor not found",IF(AND(ISNUMBER(tblTasks[[#This Row],[Predecessor]]),tblTasks[[#This Row],[Predecessor]]=tblTasks[[#This Row],[No.]]),"Task is its own predecessor",IF(AND(ISNUMBER(tblTasks[[#This Row],[Predecessor]]),tblTasks[[#This Row],[Complete]]=0,IFERROR(tblTasks[[#This Row],[Start]]&lt;=INDEX(tblTasks[Forecast end],MATCH(tblTasks[[#This Row],[Predecessor]],tblTasks[No.],0)),FALSE)),"Starts before its predecessor ends",IF(tblTasks[[#This Row],[Start]]&lt;PlanStart,"Starts before the plan start",IF(AND(tblTasks[[#This Row],[Complete]]&gt;0,tblTasks[[#This Row],[Start]]&gt;AsOf),"Progress before the start date","OK")))))))))))</f>
        <v>OK</v>
      </c>
      <c r="V11" s="36" t="s">
        <v>133</v>
      </c>
    </row>
    <row r="12" spans="1:22">
      <c r="B12" s="30">
        <v>7</v>
      </c>
      <c r="C12" s="28" t="s">
        <v>89</v>
      </c>
      <c r="D12" s="36" t="s">
        <v>139</v>
      </c>
      <c r="E12" s="28" t="s">
        <v>102</v>
      </c>
      <c r="F12" s="30">
        <v>5</v>
      </c>
      <c r="G12" s="29">
        <v>46134</v>
      </c>
      <c r="H12" s="29">
        <v>46125</v>
      </c>
      <c r="I12" s="30">
        <v>10</v>
      </c>
      <c r="J12" s="31">
        <v>1</v>
      </c>
      <c r="K12" s="28" t="s">
        <v>132</v>
      </c>
      <c r="L12" s="37">
        <f>IF(tblTasks[[#This Row],[Task or deliverable]]="","",tblTasks[[#This Row],[Start]]+tblTasks[[#This Row],[Duration (days)]]-1)</f>
        <v>46134</v>
      </c>
      <c r="M12" s="38">
        <f>IF(tblTasks[[#This Row],[Task or deliverable]]="","",tblTasks[[#This Row],[Start]]-PlanStart)</f>
        <v>42</v>
      </c>
      <c r="N12" s="38">
        <f>IF(tblTasks[[#This Row],[Task or deliverable]]="","",MIN(tblTasks[[#This Row],[Duration (days)]],MAX(0,AsOf-tblTasks[[#This Row],[Start]]+1)))</f>
        <v>10</v>
      </c>
      <c r="O12" s="39">
        <f>IF(tblTasks[[#This Row],[Task or deliverable]]="","",tblTasks[[#This Row],[Duration (days)]]*tblTasks[[#This Row],[Complete]])</f>
        <v>10</v>
      </c>
      <c r="P12" s="39">
        <f>IF(tblTasks[[#This Row],[Task or deliverable]]="","",tblTasks[[#This Row],[Duration (days)]]-tblTasks[[#This Row],[Done (days)]])</f>
        <v>0</v>
      </c>
      <c r="Q12" s="37">
        <f>IF(tblTasks[[#This Row],[Task or deliverable]]="","",IF(tblTasks[[#This Row],[Complete]]&gt;=1,tblTasks[[#This Row],[End]],IF(tblTasks[[#This Row],[Complete]]&gt;0,MAX(tblTasks[[#This Row],[End]],AsOf+ROUNDUP(tblTasks[[#This Row],[Remaining (days)]],0)),MAX(tblTasks[[#This Row],[Start]],AsOf+1)+tblTasks[[#This Row],[Duration (days)]]-1)))</f>
        <v>46134</v>
      </c>
      <c r="R12" s="40">
        <f>IF(tblTasks[[#This Row],[Task or deliverable]]="","",tblTasks[[#This Row],[Forecast end]]-IF(ISNUMBER(tblTasks[[#This Row],[Baseline end]]),tblTasks[[#This Row],[Baseline end]],tblTasks[[#This Row],[End]]))</f>
        <v>0</v>
      </c>
      <c r="S12" s="37">
        <f>IF(tblTasks[[#This Row],[Task or deliverable]]="","",IF(tblTasks[[#This Row],[Needed for SOP]]="Yes",tblTasks[[#This Row],[Forecast end]],""))</f>
        <v>46134</v>
      </c>
      <c r="T12" s="41" t="str">
        <f>IF(tblTasks[[#This Row],[Task or deliverable]]="","",IF(tblTasks[[#This Row],[Complete]]&gt;=1,"Complete",IF(AsOf&gt;tblTasks[[#This Row],[End]],"Overdue",IF(tblTasks[[#This Row],[Done (days)]]&lt;tblTasks[[#This Row],[Planned (days)]]-Tolerance*tblTasks[[#This Row],[Duration (days)]],"Below target",IF(tblTasks[[#This Row],[End]]-AsOf&lt;=DueSoonDays,"Due soon","OK")))))</f>
        <v>Complete</v>
      </c>
      <c r="U12" s="42" t="str">
        <f>IF(tblTasks[[#This Row],[Task or deliverable]]="","",IF(tblTasks[[#This Row],[No.]]="","Missing no.",IF(tblTasks[[#This Row],[Start]]="","Missing start",IF(tblTasks[[#This Row],[Duration (days)]]="","Missing duration",IF(COUNTIF(tblTasks[No.],tblTasks[[#This Row],[No.]])&gt;1,"Duplicate task No.",IF(COUNTIF(tblPhases[Phase],tblTasks[[#This Row],[Phase]])=0,"Phase not on Setup list",IF(AND(ISNUMBER(tblTasks[[#This Row],[Predecessor]]),COUNTIF(tblTasks[No.],tblTasks[[#This Row],[Predecessor]])=0),"Predecessor not found",IF(AND(ISNUMBER(tblTasks[[#This Row],[Predecessor]]),tblTasks[[#This Row],[Predecessor]]=tblTasks[[#This Row],[No.]]),"Task is its own predecessor",IF(AND(ISNUMBER(tblTasks[[#This Row],[Predecessor]]),tblTasks[[#This Row],[Complete]]=0,IFERROR(tblTasks[[#This Row],[Start]]&lt;=INDEX(tblTasks[Forecast end],MATCH(tblTasks[[#This Row],[Predecessor]],tblTasks[No.],0)),FALSE)),"Starts before its predecessor ends",IF(tblTasks[[#This Row],[Start]]&lt;PlanStart,"Starts before the plan start",IF(AND(tblTasks[[#This Row],[Complete]]&gt;0,tblTasks[[#This Row],[Start]]&gt;AsOf),"Progress before the start date","OK")))))))))))</f>
        <v>OK</v>
      </c>
      <c r="V12" s="36" t="s">
        <v>133</v>
      </c>
    </row>
    <row r="13" spans="1:22">
      <c r="B13" s="30">
        <v>8</v>
      </c>
      <c r="C13" s="28" t="s">
        <v>89</v>
      </c>
      <c r="D13" s="36" t="s">
        <v>140</v>
      </c>
      <c r="E13" s="28" t="s">
        <v>100</v>
      </c>
      <c r="F13" s="30">
        <v>6</v>
      </c>
      <c r="G13" s="29">
        <v>46163</v>
      </c>
      <c r="H13" s="29">
        <v>46139</v>
      </c>
      <c r="I13" s="30">
        <v>25</v>
      </c>
      <c r="J13" s="31">
        <v>1</v>
      </c>
      <c r="K13" s="28" t="s">
        <v>132</v>
      </c>
      <c r="L13" s="37">
        <f>IF(tblTasks[[#This Row],[Task or deliverable]]="","",tblTasks[[#This Row],[Start]]+tblTasks[[#This Row],[Duration (days)]]-1)</f>
        <v>46163</v>
      </c>
      <c r="M13" s="38">
        <f>IF(tblTasks[[#This Row],[Task or deliverable]]="","",tblTasks[[#This Row],[Start]]-PlanStart)</f>
        <v>56</v>
      </c>
      <c r="N13" s="38">
        <f>IF(tblTasks[[#This Row],[Task or deliverable]]="","",MIN(tblTasks[[#This Row],[Duration (days)]],MAX(0,AsOf-tblTasks[[#This Row],[Start]]+1)))</f>
        <v>25</v>
      </c>
      <c r="O13" s="39">
        <f>IF(tblTasks[[#This Row],[Task or deliverable]]="","",tblTasks[[#This Row],[Duration (days)]]*tblTasks[[#This Row],[Complete]])</f>
        <v>25</v>
      </c>
      <c r="P13" s="39">
        <f>IF(tblTasks[[#This Row],[Task or deliverable]]="","",tblTasks[[#This Row],[Duration (days)]]-tblTasks[[#This Row],[Done (days)]])</f>
        <v>0</v>
      </c>
      <c r="Q13" s="37">
        <f>IF(tblTasks[[#This Row],[Task or deliverable]]="","",IF(tblTasks[[#This Row],[Complete]]&gt;=1,tblTasks[[#This Row],[End]],IF(tblTasks[[#This Row],[Complete]]&gt;0,MAX(tblTasks[[#This Row],[End]],AsOf+ROUNDUP(tblTasks[[#This Row],[Remaining (days)]],0)),MAX(tblTasks[[#This Row],[Start]],AsOf+1)+tblTasks[[#This Row],[Duration (days)]]-1)))</f>
        <v>46163</v>
      </c>
      <c r="R13" s="40">
        <f>IF(tblTasks[[#This Row],[Task or deliverable]]="","",tblTasks[[#This Row],[Forecast end]]-IF(ISNUMBER(tblTasks[[#This Row],[Baseline end]]),tblTasks[[#This Row],[Baseline end]],tblTasks[[#This Row],[End]]))</f>
        <v>0</v>
      </c>
      <c r="S13" s="37">
        <f>IF(tblTasks[[#This Row],[Task or deliverable]]="","",IF(tblTasks[[#This Row],[Needed for SOP]]="Yes",tblTasks[[#This Row],[Forecast end]],""))</f>
        <v>46163</v>
      </c>
      <c r="T13" s="41" t="str">
        <f>IF(tblTasks[[#This Row],[Task or deliverable]]="","",IF(tblTasks[[#This Row],[Complete]]&gt;=1,"Complete",IF(AsOf&gt;tblTasks[[#This Row],[End]],"Overdue",IF(tblTasks[[#This Row],[Done (days)]]&lt;tblTasks[[#This Row],[Planned (days)]]-Tolerance*tblTasks[[#This Row],[Duration (days)]],"Below target",IF(tblTasks[[#This Row],[End]]-AsOf&lt;=DueSoonDays,"Due soon","OK")))))</f>
        <v>Complete</v>
      </c>
      <c r="U13" s="42" t="str">
        <f>IF(tblTasks[[#This Row],[Task or deliverable]]="","",IF(tblTasks[[#This Row],[No.]]="","Missing no.",IF(tblTasks[[#This Row],[Start]]="","Missing start",IF(tblTasks[[#This Row],[Duration (days)]]="","Missing duration",IF(COUNTIF(tblTasks[No.],tblTasks[[#This Row],[No.]])&gt;1,"Duplicate task No.",IF(COUNTIF(tblPhases[Phase],tblTasks[[#This Row],[Phase]])=0,"Phase not on Setup list",IF(AND(ISNUMBER(tblTasks[[#This Row],[Predecessor]]),COUNTIF(tblTasks[No.],tblTasks[[#This Row],[Predecessor]])=0),"Predecessor not found",IF(AND(ISNUMBER(tblTasks[[#This Row],[Predecessor]]),tblTasks[[#This Row],[Predecessor]]=tblTasks[[#This Row],[No.]]),"Task is its own predecessor",IF(AND(ISNUMBER(tblTasks[[#This Row],[Predecessor]]),tblTasks[[#This Row],[Complete]]=0,IFERROR(tblTasks[[#This Row],[Start]]&lt;=INDEX(tblTasks[Forecast end],MATCH(tblTasks[[#This Row],[Predecessor]],tblTasks[No.],0)),FALSE)),"Starts before its predecessor ends",IF(tblTasks[[#This Row],[Start]]&lt;PlanStart,"Starts before the plan start",IF(AND(tblTasks[[#This Row],[Complete]]&gt;0,tblTasks[[#This Row],[Start]]&gt;AsOf),"Progress before the start date","OK")))))))))))</f>
        <v>OK</v>
      </c>
      <c r="V13" s="36" t="s">
        <v>133</v>
      </c>
    </row>
    <row r="14" spans="1:22">
      <c r="B14" s="30">
        <v>9</v>
      </c>
      <c r="C14" s="28" t="s">
        <v>89</v>
      </c>
      <c r="D14" s="36" t="s">
        <v>141</v>
      </c>
      <c r="E14" s="28" t="s">
        <v>108</v>
      </c>
      <c r="F14" s="30">
        <v>8</v>
      </c>
      <c r="G14" s="29">
        <v>46183</v>
      </c>
      <c r="H14" s="29">
        <v>46164</v>
      </c>
      <c r="I14" s="30">
        <v>20</v>
      </c>
      <c r="J14" s="31">
        <v>1</v>
      </c>
      <c r="K14" s="28" t="s">
        <v>132</v>
      </c>
      <c r="L14" s="37">
        <f>IF(tblTasks[[#This Row],[Task or deliverable]]="","",tblTasks[[#This Row],[Start]]+tblTasks[[#This Row],[Duration (days)]]-1)</f>
        <v>46183</v>
      </c>
      <c r="M14" s="38">
        <f>IF(tblTasks[[#This Row],[Task or deliverable]]="","",tblTasks[[#This Row],[Start]]-PlanStart)</f>
        <v>81</v>
      </c>
      <c r="N14" s="38">
        <f>IF(tblTasks[[#This Row],[Task or deliverable]]="","",MIN(tblTasks[[#This Row],[Duration (days)]],MAX(0,AsOf-tblTasks[[#This Row],[Start]]+1)))</f>
        <v>20</v>
      </c>
      <c r="O14" s="39">
        <f>IF(tblTasks[[#This Row],[Task or deliverable]]="","",tblTasks[[#This Row],[Duration (days)]]*tblTasks[[#This Row],[Complete]])</f>
        <v>20</v>
      </c>
      <c r="P14" s="39">
        <f>IF(tblTasks[[#This Row],[Task or deliverable]]="","",tblTasks[[#This Row],[Duration (days)]]-tblTasks[[#This Row],[Done (days)]])</f>
        <v>0</v>
      </c>
      <c r="Q14" s="37">
        <f>IF(tblTasks[[#This Row],[Task or deliverable]]="","",IF(tblTasks[[#This Row],[Complete]]&gt;=1,tblTasks[[#This Row],[End]],IF(tblTasks[[#This Row],[Complete]]&gt;0,MAX(tblTasks[[#This Row],[End]],AsOf+ROUNDUP(tblTasks[[#This Row],[Remaining (days)]],0)),MAX(tblTasks[[#This Row],[Start]],AsOf+1)+tblTasks[[#This Row],[Duration (days)]]-1)))</f>
        <v>46183</v>
      </c>
      <c r="R14" s="40">
        <f>IF(tblTasks[[#This Row],[Task or deliverable]]="","",tblTasks[[#This Row],[Forecast end]]-IF(ISNUMBER(tblTasks[[#This Row],[Baseline end]]),tblTasks[[#This Row],[Baseline end]],tblTasks[[#This Row],[End]]))</f>
        <v>0</v>
      </c>
      <c r="S14" s="37">
        <f>IF(tblTasks[[#This Row],[Task or deliverable]]="","",IF(tblTasks[[#This Row],[Needed for SOP]]="Yes",tblTasks[[#This Row],[Forecast end]],""))</f>
        <v>46183</v>
      </c>
      <c r="T14" s="41" t="str">
        <f>IF(tblTasks[[#This Row],[Task or deliverable]]="","",IF(tblTasks[[#This Row],[Complete]]&gt;=1,"Complete",IF(AsOf&gt;tblTasks[[#This Row],[End]],"Overdue",IF(tblTasks[[#This Row],[Done (days)]]&lt;tblTasks[[#This Row],[Planned (days)]]-Tolerance*tblTasks[[#This Row],[Duration (days)]],"Below target",IF(tblTasks[[#This Row],[End]]-AsOf&lt;=DueSoonDays,"Due soon","OK")))))</f>
        <v>Complete</v>
      </c>
      <c r="U14" s="42" t="str">
        <f>IF(tblTasks[[#This Row],[Task or deliverable]]="","",IF(tblTasks[[#This Row],[No.]]="","Missing no.",IF(tblTasks[[#This Row],[Start]]="","Missing start",IF(tblTasks[[#This Row],[Duration (days)]]="","Missing duration",IF(COUNTIF(tblTasks[No.],tblTasks[[#This Row],[No.]])&gt;1,"Duplicate task No.",IF(COUNTIF(tblPhases[Phase],tblTasks[[#This Row],[Phase]])=0,"Phase not on Setup list",IF(AND(ISNUMBER(tblTasks[[#This Row],[Predecessor]]),COUNTIF(tblTasks[No.],tblTasks[[#This Row],[Predecessor]])=0),"Predecessor not found",IF(AND(ISNUMBER(tblTasks[[#This Row],[Predecessor]]),tblTasks[[#This Row],[Predecessor]]=tblTasks[[#This Row],[No.]]),"Task is its own predecessor",IF(AND(ISNUMBER(tblTasks[[#This Row],[Predecessor]]),tblTasks[[#This Row],[Complete]]=0,IFERROR(tblTasks[[#This Row],[Start]]&lt;=INDEX(tblTasks[Forecast end],MATCH(tblTasks[[#This Row],[Predecessor]],tblTasks[No.],0)),FALSE)),"Starts before its predecessor ends",IF(tblTasks[[#This Row],[Start]]&lt;PlanStart,"Starts before the plan start",IF(AND(tblTasks[[#This Row],[Complete]]&gt;0,tblTasks[[#This Row],[Start]]&gt;AsOf),"Progress before the start date","OK")))))))))))</f>
        <v>OK</v>
      </c>
      <c r="V14" s="36" t="s">
        <v>133</v>
      </c>
    </row>
    <row r="15" spans="1:22">
      <c r="B15" s="30">
        <v>10</v>
      </c>
      <c r="C15" s="28" t="s">
        <v>89</v>
      </c>
      <c r="D15" s="36" t="s">
        <v>142</v>
      </c>
      <c r="E15" s="28" t="s">
        <v>100</v>
      </c>
      <c r="F15" s="30">
        <v>9</v>
      </c>
      <c r="G15" s="29">
        <v>46213</v>
      </c>
      <c r="H15" s="29">
        <v>46184</v>
      </c>
      <c r="I15" s="30">
        <v>30</v>
      </c>
      <c r="J15" s="31">
        <v>1</v>
      </c>
      <c r="K15" s="28" t="s">
        <v>132</v>
      </c>
      <c r="L15" s="37">
        <f>IF(tblTasks[[#This Row],[Task or deliverable]]="","",tblTasks[[#This Row],[Start]]+tblTasks[[#This Row],[Duration (days)]]-1)</f>
        <v>46213</v>
      </c>
      <c r="M15" s="38">
        <f>IF(tblTasks[[#This Row],[Task or deliverable]]="","",tblTasks[[#This Row],[Start]]-PlanStart)</f>
        <v>101</v>
      </c>
      <c r="N15" s="38">
        <f>IF(tblTasks[[#This Row],[Task or deliverable]]="","",MIN(tblTasks[[#This Row],[Duration (days)]],MAX(0,AsOf-tblTasks[[#This Row],[Start]]+1)))</f>
        <v>30</v>
      </c>
      <c r="O15" s="39">
        <f>IF(tblTasks[[#This Row],[Task or deliverable]]="","",tblTasks[[#This Row],[Duration (days)]]*tblTasks[[#This Row],[Complete]])</f>
        <v>30</v>
      </c>
      <c r="P15" s="39">
        <f>IF(tblTasks[[#This Row],[Task or deliverable]]="","",tblTasks[[#This Row],[Duration (days)]]-tblTasks[[#This Row],[Done (days)]])</f>
        <v>0</v>
      </c>
      <c r="Q15" s="37">
        <f>IF(tblTasks[[#This Row],[Task or deliverable]]="","",IF(tblTasks[[#This Row],[Complete]]&gt;=1,tblTasks[[#This Row],[End]],IF(tblTasks[[#This Row],[Complete]]&gt;0,MAX(tblTasks[[#This Row],[End]],AsOf+ROUNDUP(tblTasks[[#This Row],[Remaining (days)]],0)),MAX(tblTasks[[#This Row],[Start]],AsOf+1)+tblTasks[[#This Row],[Duration (days)]]-1)))</f>
        <v>46213</v>
      </c>
      <c r="R15" s="40">
        <f>IF(tblTasks[[#This Row],[Task or deliverable]]="","",tblTasks[[#This Row],[Forecast end]]-IF(ISNUMBER(tblTasks[[#This Row],[Baseline end]]),tblTasks[[#This Row],[Baseline end]],tblTasks[[#This Row],[End]]))</f>
        <v>0</v>
      </c>
      <c r="S15" s="37">
        <f>IF(tblTasks[[#This Row],[Task or deliverable]]="","",IF(tblTasks[[#This Row],[Needed for SOP]]="Yes",tblTasks[[#This Row],[Forecast end]],""))</f>
        <v>46213</v>
      </c>
      <c r="T15" s="41" t="str">
        <f>IF(tblTasks[[#This Row],[Task or deliverable]]="","",IF(tblTasks[[#This Row],[Complete]]&gt;=1,"Complete",IF(AsOf&gt;tblTasks[[#This Row],[End]],"Overdue",IF(tblTasks[[#This Row],[Done (days)]]&lt;tblTasks[[#This Row],[Planned (days)]]-Tolerance*tblTasks[[#This Row],[Duration (days)]],"Below target",IF(tblTasks[[#This Row],[End]]-AsOf&lt;=DueSoonDays,"Due soon","OK")))))</f>
        <v>Complete</v>
      </c>
      <c r="U15" s="42" t="str">
        <f>IF(tblTasks[[#This Row],[Task or deliverable]]="","",IF(tblTasks[[#This Row],[No.]]="","Missing no.",IF(tblTasks[[#This Row],[Start]]="","Missing start",IF(tblTasks[[#This Row],[Duration (days)]]="","Missing duration",IF(COUNTIF(tblTasks[No.],tblTasks[[#This Row],[No.]])&gt;1,"Duplicate task No.",IF(COUNTIF(tblPhases[Phase],tblTasks[[#This Row],[Phase]])=0,"Phase not on Setup list",IF(AND(ISNUMBER(tblTasks[[#This Row],[Predecessor]]),COUNTIF(tblTasks[No.],tblTasks[[#This Row],[Predecessor]])=0),"Predecessor not found",IF(AND(ISNUMBER(tblTasks[[#This Row],[Predecessor]]),tblTasks[[#This Row],[Predecessor]]=tblTasks[[#This Row],[No.]]),"Task is its own predecessor",IF(AND(ISNUMBER(tblTasks[[#This Row],[Predecessor]]),tblTasks[[#This Row],[Complete]]=0,IFERROR(tblTasks[[#This Row],[Start]]&lt;=INDEX(tblTasks[Forecast end],MATCH(tblTasks[[#This Row],[Predecessor]],tblTasks[No.],0)),FALSE)),"Starts before its predecessor ends",IF(tblTasks[[#This Row],[Start]]&lt;PlanStart,"Starts before the plan start",IF(AND(tblTasks[[#This Row],[Complete]]&gt;0,tblTasks[[#This Row],[Start]]&gt;AsOf),"Progress before the start date","OK")))))))))))</f>
        <v>OK</v>
      </c>
      <c r="V15" s="36" t="s">
        <v>133</v>
      </c>
    </row>
    <row r="16" spans="1:22">
      <c r="B16" s="30">
        <v>11</v>
      </c>
      <c r="C16" s="28" t="s">
        <v>89</v>
      </c>
      <c r="D16" s="36" t="s">
        <v>143</v>
      </c>
      <c r="E16" s="28" t="s">
        <v>98</v>
      </c>
      <c r="F16" s="30">
        <v>10</v>
      </c>
      <c r="G16" s="29">
        <v>46216</v>
      </c>
      <c r="H16" s="29">
        <v>46216</v>
      </c>
      <c r="I16" s="30">
        <v>1</v>
      </c>
      <c r="J16" s="31">
        <v>1</v>
      </c>
      <c r="K16" s="28" t="s">
        <v>132</v>
      </c>
      <c r="L16" s="37">
        <f>IF(tblTasks[[#This Row],[Task or deliverable]]="","",tblTasks[[#This Row],[Start]]+tblTasks[[#This Row],[Duration (days)]]-1)</f>
        <v>46216</v>
      </c>
      <c r="M16" s="38">
        <f>IF(tblTasks[[#This Row],[Task or deliverable]]="","",tblTasks[[#This Row],[Start]]-PlanStart)</f>
        <v>133</v>
      </c>
      <c r="N16" s="38">
        <f>IF(tblTasks[[#This Row],[Task or deliverable]]="","",MIN(tblTasks[[#This Row],[Duration (days)]],MAX(0,AsOf-tblTasks[[#This Row],[Start]]+1)))</f>
        <v>1</v>
      </c>
      <c r="O16" s="39">
        <f>IF(tblTasks[[#This Row],[Task or deliverable]]="","",tblTasks[[#This Row],[Duration (days)]]*tblTasks[[#This Row],[Complete]])</f>
        <v>1</v>
      </c>
      <c r="P16" s="39">
        <f>IF(tblTasks[[#This Row],[Task or deliverable]]="","",tblTasks[[#This Row],[Duration (days)]]-tblTasks[[#This Row],[Done (days)]])</f>
        <v>0</v>
      </c>
      <c r="Q16" s="37">
        <f>IF(tblTasks[[#This Row],[Task or deliverable]]="","",IF(tblTasks[[#This Row],[Complete]]&gt;=1,tblTasks[[#This Row],[End]],IF(tblTasks[[#This Row],[Complete]]&gt;0,MAX(tblTasks[[#This Row],[End]],AsOf+ROUNDUP(tblTasks[[#This Row],[Remaining (days)]],0)),MAX(tblTasks[[#This Row],[Start]],AsOf+1)+tblTasks[[#This Row],[Duration (days)]]-1)))</f>
        <v>46216</v>
      </c>
      <c r="R16" s="40">
        <f>IF(tblTasks[[#This Row],[Task or deliverable]]="","",tblTasks[[#This Row],[Forecast end]]-IF(ISNUMBER(tblTasks[[#This Row],[Baseline end]]),tblTasks[[#This Row],[Baseline end]],tblTasks[[#This Row],[End]]))</f>
        <v>0</v>
      </c>
      <c r="S16" s="37">
        <f>IF(tblTasks[[#This Row],[Task or deliverable]]="","",IF(tblTasks[[#This Row],[Needed for SOP]]="Yes",tblTasks[[#This Row],[Forecast end]],""))</f>
        <v>46216</v>
      </c>
      <c r="T16" s="41" t="str">
        <f>IF(tblTasks[[#This Row],[Task or deliverable]]="","",IF(tblTasks[[#This Row],[Complete]]&gt;=1,"Complete",IF(AsOf&gt;tblTasks[[#This Row],[End]],"Overdue",IF(tblTasks[[#This Row],[Done (days)]]&lt;tblTasks[[#This Row],[Planned (days)]]-Tolerance*tblTasks[[#This Row],[Duration (days)]],"Below target",IF(tblTasks[[#This Row],[End]]-AsOf&lt;=DueSoonDays,"Due soon","OK")))))</f>
        <v>Complete</v>
      </c>
      <c r="U16" s="42" t="str">
        <f>IF(tblTasks[[#This Row],[Task or deliverable]]="","",IF(tblTasks[[#This Row],[No.]]="","Missing no.",IF(tblTasks[[#This Row],[Start]]="","Missing start",IF(tblTasks[[#This Row],[Duration (days)]]="","Missing duration",IF(COUNTIF(tblTasks[No.],tblTasks[[#This Row],[No.]])&gt;1,"Duplicate task No.",IF(COUNTIF(tblPhases[Phase],tblTasks[[#This Row],[Phase]])=0,"Phase not on Setup list",IF(AND(ISNUMBER(tblTasks[[#This Row],[Predecessor]]),COUNTIF(tblTasks[No.],tblTasks[[#This Row],[Predecessor]])=0),"Predecessor not found",IF(AND(ISNUMBER(tblTasks[[#This Row],[Predecessor]]),tblTasks[[#This Row],[Predecessor]]=tblTasks[[#This Row],[No.]]),"Task is its own predecessor",IF(AND(ISNUMBER(tblTasks[[#This Row],[Predecessor]]),tblTasks[[#This Row],[Complete]]=0,IFERROR(tblTasks[[#This Row],[Start]]&lt;=INDEX(tblTasks[Forecast end],MATCH(tblTasks[[#This Row],[Predecessor]],tblTasks[No.],0)),FALSE)),"Starts before its predecessor ends",IF(tblTasks[[#This Row],[Start]]&lt;PlanStart,"Starts before the plan start",IF(AND(tblTasks[[#This Row],[Complete]]&gt;0,tblTasks[[#This Row],[Start]]&gt;AsOf),"Progress before the start date","OK")))))))))))</f>
        <v>OK</v>
      </c>
      <c r="V16" s="36" t="s">
        <v>133</v>
      </c>
    </row>
    <row r="17" spans="2:22">
      <c r="B17" s="30">
        <v>12</v>
      </c>
      <c r="C17" s="28" t="s">
        <v>91</v>
      </c>
      <c r="D17" s="36" t="s">
        <v>144</v>
      </c>
      <c r="E17" s="28" t="s">
        <v>106</v>
      </c>
      <c r="F17" s="30">
        <v>8</v>
      </c>
      <c r="G17" s="29">
        <v>46248</v>
      </c>
      <c r="H17" s="29">
        <v>46167</v>
      </c>
      <c r="I17" s="30">
        <v>103</v>
      </c>
      <c r="J17" s="31">
        <v>1</v>
      </c>
      <c r="K17" s="28" t="s">
        <v>132</v>
      </c>
      <c r="L17" s="37">
        <f>IF(tblTasks[[#This Row],[Task or deliverable]]="","",tblTasks[[#This Row],[Start]]+tblTasks[[#This Row],[Duration (days)]]-1)</f>
        <v>46269</v>
      </c>
      <c r="M17" s="38">
        <f>IF(tblTasks[[#This Row],[Task or deliverable]]="","",tblTasks[[#This Row],[Start]]-PlanStart)</f>
        <v>84</v>
      </c>
      <c r="N17" s="38">
        <f>IF(tblTasks[[#This Row],[Task or deliverable]]="","",MIN(tblTasks[[#This Row],[Duration (days)]],MAX(0,AsOf-tblTasks[[#This Row],[Start]]+1)))</f>
        <v>103</v>
      </c>
      <c r="O17" s="39">
        <f>IF(tblTasks[[#This Row],[Task or deliverable]]="","",tblTasks[[#This Row],[Duration (days)]]*tblTasks[[#This Row],[Complete]])</f>
        <v>103</v>
      </c>
      <c r="P17" s="39">
        <f>IF(tblTasks[[#This Row],[Task or deliverable]]="","",tblTasks[[#This Row],[Duration (days)]]-tblTasks[[#This Row],[Done (days)]])</f>
        <v>0</v>
      </c>
      <c r="Q17" s="37">
        <f>IF(tblTasks[[#This Row],[Task or deliverable]]="","",IF(tblTasks[[#This Row],[Complete]]&gt;=1,tblTasks[[#This Row],[End]],IF(tblTasks[[#This Row],[Complete]]&gt;0,MAX(tblTasks[[#This Row],[End]],AsOf+ROUNDUP(tblTasks[[#This Row],[Remaining (days)]],0)),MAX(tblTasks[[#This Row],[Start]],AsOf+1)+tblTasks[[#This Row],[Duration (days)]]-1)))</f>
        <v>46269</v>
      </c>
      <c r="R17" s="40">
        <f>IF(tblTasks[[#This Row],[Task or deliverable]]="","",tblTasks[[#This Row],[Forecast end]]-IF(ISNUMBER(tblTasks[[#This Row],[Baseline end]]),tblTasks[[#This Row],[Baseline end]],tblTasks[[#This Row],[End]]))</f>
        <v>21</v>
      </c>
      <c r="S17" s="37">
        <f>IF(tblTasks[[#This Row],[Task or deliverable]]="","",IF(tblTasks[[#This Row],[Needed for SOP]]="Yes",tblTasks[[#This Row],[Forecast end]],""))</f>
        <v>46269</v>
      </c>
      <c r="T17" s="41" t="str">
        <f>IF(tblTasks[[#This Row],[Task or deliverable]]="","",IF(tblTasks[[#This Row],[Complete]]&gt;=1,"Complete",IF(AsOf&gt;tblTasks[[#This Row],[End]],"Overdue",IF(tblTasks[[#This Row],[Done (days)]]&lt;tblTasks[[#This Row],[Planned (days)]]-Tolerance*tblTasks[[#This Row],[Duration (days)]],"Below target",IF(tblTasks[[#This Row],[End]]-AsOf&lt;=DueSoonDays,"Due soon","OK")))))</f>
        <v>Complete</v>
      </c>
      <c r="U17" s="42" t="str">
        <f>IF(tblTasks[[#This Row],[Task or deliverable]]="","",IF(tblTasks[[#This Row],[No.]]="","Missing no.",IF(tblTasks[[#This Row],[Start]]="","Missing start",IF(tblTasks[[#This Row],[Duration (days)]]="","Missing duration",IF(COUNTIF(tblTasks[No.],tblTasks[[#This Row],[No.]])&gt;1,"Duplicate task No.",IF(COUNTIF(tblPhases[Phase],tblTasks[[#This Row],[Phase]])=0,"Phase not on Setup list",IF(AND(ISNUMBER(tblTasks[[#This Row],[Predecessor]]),COUNTIF(tblTasks[No.],tblTasks[[#This Row],[Predecessor]])=0),"Predecessor not found",IF(AND(ISNUMBER(tblTasks[[#This Row],[Predecessor]]),tblTasks[[#This Row],[Predecessor]]=tblTasks[[#This Row],[No.]]),"Task is its own predecessor",IF(AND(ISNUMBER(tblTasks[[#This Row],[Predecessor]]),tblTasks[[#This Row],[Complete]]=0,IFERROR(tblTasks[[#This Row],[Start]]&lt;=INDEX(tblTasks[Forecast end],MATCH(tblTasks[[#This Row],[Predecessor]],tblTasks[No.],0)),FALSE)),"Starts before its predecessor ends",IF(tblTasks[[#This Row],[Start]]&lt;PlanStart,"Starts before the plan start",IF(AND(tblTasks[[#This Row],[Complete]]&gt;0,tblTasks[[#This Row],[Start]]&gt;AsOf),"Progress before the start date","OK")))))))))))</f>
        <v>OK</v>
      </c>
      <c r="V17" s="36" t="s">
        <v>145</v>
      </c>
    </row>
    <row r="18" spans="2:22">
      <c r="B18" s="30">
        <v>13</v>
      </c>
      <c r="C18" s="28" t="s">
        <v>91</v>
      </c>
      <c r="D18" s="36" t="s">
        <v>146</v>
      </c>
      <c r="E18" s="28" t="s">
        <v>102</v>
      </c>
      <c r="F18" s="30">
        <v>3</v>
      </c>
      <c r="G18" s="29">
        <v>46183</v>
      </c>
      <c r="H18" s="29">
        <v>46174</v>
      </c>
      <c r="I18" s="30">
        <v>10</v>
      </c>
      <c r="J18" s="31">
        <v>1</v>
      </c>
      <c r="K18" s="28" t="s">
        <v>132</v>
      </c>
      <c r="L18" s="37">
        <f>IF(tblTasks[[#This Row],[Task or deliverable]]="","",tblTasks[[#This Row],[Start]]+tblTasks[[#This Row],[Duration (days)]]-1)</f>
        <v>46183</v>
      </c>
      <c r="M18" s="38">
        <f>IF(tblTasks[[#This Row],[Task or deliverable]]="","",tblTasks[[#This Row],[Start]]-PlanStart)</f>
        <v>91</v>
      </c>
      <c r="N18" s="38">
        <f>IF(tblTasks[[#This Row],[Task or deliverable]]="","",MIN(tblTasks[[#This Row],[Duration (days)]],MAX(0,AsOf-tblTasks[[#This Row],[Start]]+1)))</f>
        <v>10</v>
      </c>
      <c r="O18" s="39">
        <f>IF(tblTasks[[#This Row],[Task or deliverable]]="","",tblTasks[[#This Row],[Duration (days)]]*tblTasks[[#This Row],[Complete]])</f>
        <v>10</v>
      </c>
      <c r="P18" s="39">
        <f>IF(tblTasks[[#This Row],[Task or deliverable]]="","",tblTasks[[#This Row],[Duration (days)]]-tblTasks[[#This Row],[Done (days)]])</f>
        <v>0</v>
      </c>
      <c r="Q18" s="37">
        <f>IF(tblTasks[[#This Row],[Task or deliverable]]="","",IF(tblTasks[[#This Row],[Complete]]&gt;=1,tblTasks[[#This Row],[End]],IF(tblTasks[[#This Row],[Complete]]&gt;0,MAX(tblTasks[[#This Row],[End]],AsOf+ROUNDUP(tblTasks[[#This Row],[Remaining (days)]],0)),MAX(tblTasks[[#This Row],[Start]],AsOf+1)+tblTasks[[#This Row],[Duration (days)]]-1)))</f>
        <v>46183</v>
      </c>
      <c r="R18" s="40">
        <f>IF(tblTasks[[#This Row],[Task or deliverable]]="","",tblTasks[[#This Row],[Forecast end]]-IF(ISNUMBER(tblTasks[[#This Row],[Baseline end]]),tblTasks[[#This Row],[Baseline end]],tblTasks[[#This Row],[End]]))</f>
        <v>0</v>
      </c>
      <c r="S18" s="37">
        <f>IF(tblTasks[[#This Row],[Task or deliverable]]="","",IF(tblTasks[[#This Row],[Needed for SOP]]="Yes",tblTasks[[#This Row],[Forecast end]],""))</f>
        <v>46183</v>
      </c>
      <c r="T18" s="41" t="str">
        <f>IF(tblTasks[[#This Row],[Task or deliverable]]="","",IF(tblTasks[[#This Row],[Complete]]&gt;=1,"Complete",IF(AsOf&gt;tblTasks[[#This Row],[End]],"Overdue",IF(tblTasks[[#This Row],[Done (days)]]&lt;tblTasks[[#This Row],[Planned (days)]]-Tolerance*tblTasks[[#This Row],[Duration (days)]],"Below target",IF(tblTasks[[#This Row],[End]]-AsOf&lt;=DueSoonDays,"Due soon","OK")))))</f>
        <v>Complete</v>
      </c>
      <c r="U18" s="42" t="str">
        <f>IF(tblTasks[[#This Row],[Task or deliverable]]="","",IF(tblTasks[[#This Row],[No.]]="","Missing no.",IF(tblTasks[[#This Row],[Start]]="","Missing start",IF(tblTasks[[#This Row],[Duration (days)]]="","Missing duration",IF(COUNTIF(tblTasks[No.],tblTasks[[#This Row],[No.]])&gt;1,"Duplicate task No.",IF(COUNTIF(tblPhases[Phase],tblTasks[[#This Row],[Phase]])=0,"Phase not on Setup list",IF(AND(ISNUMBER(tblTasks[[#This Row],[Predecessor]]),COUNTIF(tblTasks[No.],tblTasks[[#This Row],[Predecessor]])=0),"Predecessor not found",IF(AND(ISNUMBER(tblTasks[[#This Row],[Predecessor]]),tblTasks[[#This Row],[Predecessor]]=tblTasks[[#This Row],[No.]]),"Task is its own predecessor",IF(AND(ISNUMBER(tblTasks[[#This Row],[Predecessor]]),tblTasks[[#This Row],[Complete]]=0,IFERROR(tblTasks[[#This Row],[Start]]&lt;=INDEX(tblTasks[Forecast end],MATCH(tblTasks[[#This Row],[Predecessor]],tblTasks[No.],0)),FALSE)),"Starts before its predecessor ends",IF(tblTasks[[#This Row],[Start]]&lt;PlanStart,"Starts before the plan start",IF(AND(tblTasks[[#This Row],[Complete]]&gt;0,tblTasks[[#This Row],[Start]]&gt;AsOf),"Progress before the start date","OK")))))))))))</f>
        <v>OK</v>
      </c>
      <c r="V18" s="36" t="s">
        <v>133</v>
      </c>
    </row>
    <row r="19" spans="2:22">
      <c r="B19" s="30">
        <v>14</v>
      </c>
      <c r="C19" s="28" t="s">
        <v>91</v>
      </c>
      <c r="D19" s="36" t="s">
        <v>147</v>
      </c>
      <c r="E19" s="28" t="s">
        <v>104</v>
      </c>
      <c r="F19" s="30">
        <v>13</v>
      </c>
      <c r="G19" s="29">
        <v>46203</v>
      </c>
      <c r="H19" s="29">
        <v>46184</v>
      </c>
      <c r="I19" s="30">
        <v>20</v>
      </c>
      <c r="J19" s="31">
        <v>1</v>
      </c>
      <c r="K19" s="28" t="s">
        <v>132</v>
      </c>
      <c r="L19" s="37">
        <f>IF(tblTasks[[#This Row],[Task or deliverable]]="","",tblTasks[[#This Row],[Start]]+tblTasks[[#This Row],[Duration (days)]]-1)</f>
        <v>46203</v>
      </c>
      <c r="M19" s="38">
        <f>IF(tblTasks[[#This Row],[Task or deliverable]]="","",tblTasks[[#This Row],[Start]]-PlanStart)</f>
        <v>101</v>
      </c>
      <c r="N19" s="38">
        <f>IF(tblTasks[[#This Row],[Task or deliverable]]="","",MIN(tblTasks[[#This Row],[Duration (days)]],MAX(0,AsOf-tblTasks[[#This Row],[Start]]+1)))</f>
        <v>20</v>
      </c>
      <c r="O19" s="39">
        <f>IF(tblTasks[[#This Row],[Task or deliverable]]="","",tblTasks[[#This Row],[Duration (days)]]*tblTasks[[#This Row],[Complete]])</f>
        <v>20</v>
      </c>
      <c r="P19" s="39">
        <f>IF(tblTasks[[#This Row],[Task or deliverable]]="","",tblTasks[[#This Row],[Duration (days)]]-tblTasks[[#This Row],[Done (days)]])</f>
        <v>0</v>
      </c>
      <c r="Q19" s="37">
        <f>IF(tblTasks[[#This Row],[Task or deliverable]]="","",IF(tblTasks[[#This Row],[Complete]]&gt;=1,tblTasks[[#This Row],[End]],IF(tblTasks[[#This Row],[Complete]]&gt;0,MAX(tblTasks[[#This Row],[End]],AsOf+ROUNDUP(tblTasks[[#This Row],[Remaining (days)]],0)),MAX(tblTasks[[#This Row],[Start]],AsOf+1)+tblTasks[[#This Row],[Duration (days)]]-1)))</f>
        <v>46203</v>
      </c>
      <c r="R19" s="40">
        <f>IF(tblTasks[[#This Row],[Task or deliverable]]="","",tblTasks[[#This Row],[Forecast end]]-IF(ISNUMBER(tblTasks[[#This Row],[Baseline end]]),tblTasks[[#This Row],[Baseline end]],tblTasks[[#This Row],[End]]))</f>
        <v>0</v>
      </c>
      <c r="S19" s="37">
        <f>IF(tblTasks[[#This Row],[Task or deliverable]]="","",IF(tblTasks[[#This Row],[Needed for SOP]]="Yes",tblTasks[[#This Row],[Forecast end]],""))</f>
        <v>46203</v>
      </c>
      <c r="T19" s="41" t="str">
        <f>IF(tblTasks[[#This Row],[Task or deliverable]]="","",IF(tblTasks[[#This Row],[Complete]]&gt;=1,"Complete",IF(AsOf&gt;tblTasks[[#This Row],[End]],"Overdue",IF(tblTasks[[#This Row],[Done (days)]]&lt;tblTasks[[#This Row],[Planned (days)]]-Tolerance*tblTasks[[#This Row],[Duration (days)]],"Below target",IF(tblTasks[[#This Row],[End]]-AsOf&lt;=DueSoonDays,"Due soon","OK")))))</f>
        <v>Complete</v>
      </c>
      <c r="U19" s="42" t="str">
        <f>IF(tblTasks[[#This Row],[Task or deliverable]]="","",IF(tblTasks[[#This Row],[No.]]="","Missing no.",IF(tblTasks[[#This Row],[Start]]="","Missing start",IF(tblTasks[[#This Row],[Duration (days)]]="","Missing duration",IF(COUNTIF(tblTasks[No.],tblTasks[[#This Row],[No.]])&gt;1,"Duplicate task No.",IF(COUNTIF(tblPhases[Phase],tblTasks[[#This Row],[Phase]])=0,"Phase not on Setup list",IF(AND(ISNUMBER(tblTasks[[#This Row],[Predecessor]]),COUNTIF(tblTasks[No.],tblTasks[[#This Row],[Predecessor]])=0),"Predecessor not found",IF(AND(ISNUMBER(tblTasks[[#This Row],[Predecessor]]),tblTasks[[#This Row],[Predecessor]]=tblTasks[[#This Row],[No.]]),"Task is its own predecessor",IF(AND(ISNUMBER(tblTasks[[#This Row],[Predecessor]]),tblTasks[[#This Row],[Complete]]=0,IFERROR(tblTasks[[#This Row],[Start]]&lt;=INDEX(tblTasks[Forecast end],MATCH(tblTasks[[#This Row],[Predecessor]],tblTasks[No.],0)),FALSE)),"Starts before its predecessor ends",IF(tblTasks[[#This Row],[Start]]&lt;PlanStart,"Starts before the plan start",IF(AND(tblTasks[[#This Row],[Complete]]&gt;0,tblTasks[[#This Row],[Start]]&gt;AsOf),"Progress before the start date","OK")))))))))))</f>
        <v>OK</v>
      </c>
      <c r="V19" s="36" t="s">
        <v>133</v>
      </c>
    </row>
    <row r="20" spans="2:22">
      <c r="B20" s="30">
        <v>15</v>
      </c>
      <c r="C20" s="28" t="s">
        <v>91</v>
      </c>
      <c r="D20" s="36" t="s">
        <v>148</v>
      </c>
      <c r="E20" s="28" t="s">
        <v>104</v>
      </c>
      <c r="F20" s="30">
        <v>14</v>
      </c>
      <c r="G20" s="29">
        <v>46218</v>
      </c>
      <c r="H20" s="29">
        <v>46204</v>
      </c>
      <c r="I20" s="30">
        <v>15</v>
      </c>
      <c r="J20" s="31">
        <v>1</v>
      </c>
      <c r="K20" s="28" t="s">
        <v>132</v>
      </c>
      <c r="L20" s="37">
        <f>IF(tblTasks[[#This Row],[Task or deliverable]]="","",tblTasks[[#This Row],[Start]]+tblTasks[[#This Row],[Duration (days)]]-1)</f>
        <v>46218</v>
      </c>
      <c r="M20" s="38">
        <f>IF(tblTasks[[#This Row],[Task or deliverable]]="","",tblTasks[[#This Row],[Start]]-PlanStart)</f>
        <v>121</v>
      </c>
      <c r="N20" s="38">
        <f>IF(tblTasks[[#This Row],[Task or deliverable]]="","",MIN(tblTasks[[#This Row],[Duration (days)]],MAX(0,AsOf-tblTasks[[#This Row],[Start]]+1)))</f>
        <v>15</v>
      </c>
      <c r="O20" s="39">
        <f>IF(tblTasks[[#This Row],[Task or deliverable]]="","",tblTasks[[#This Row],[Duration (days)]]*tblTasks[[#This Row],[Complete]])</f>
        <v>15</v>
      </c>
      <c r="P20" s="39">
        <f>IF(tblTasks[[#This Row],[Task or deliverable]]="","",tblTasks[[#This Row],[Duration (days)]]-tblTasks[[#This Row],[Done (days)]])</f>
        <v>0</v>
      </c>
      <c r="Q20" s="37">
        <f>IF(tblTasks[[#This Row],[Task or deliverable]]="","",IF(tblTasks[[#This Row],[Complete]]&gt;=1,tblTasks[[#This Row],[End]],IF(tblTasks[[#This Row],[Complete]]&gt;0,MAX(tblTasks[[#This Row],[End]],AsOf+ROUNDUP(tblTasks[[#This Row],[Remaining (days)]],0)),MAX(tblTasks[[#This Row],[Start]],AsOf+1)+tblTasks[[#This Row],[Duration (days)]]-1)))</f>
        <v>46218</v>
      </c>
      <c r="R20" s="40">
        <f>IF(tblTasks[[#This Row],[Task or deliverable]]="","",tblTasks[[#This Row],[Forecast end]]-IF(ISNUMBER(tblTasks[[#This Row],[Baseline end]]),tblTasks[[#This Row],[Baseline end]],tblTasks[[#This Row],[End]]))</f>
        <v>0</v>
      </c>
      <c r="S20" s="37">
        <f>IF(tblTasks[[#This Row],[Task or deliverable]]="","",IF(tblTasks[[#This Row],[Needed for SOP]]="Yes",tblTasks[[#This Row],[Forecast end]],""))</f>
        <v>46218</v>
      </c>
      <c r="T20" s="41" t="str">
        <f>IF(tblTasks[[#This Row],[Task or deliverable]]="","",IF(tblTasks[[#This Row],[Complete]]&gt;=1,"Complete",IF(AsOf&gt;tblTasks[[#This Row],[End]],"Overdue",IF(tblTasks[[#This Row],[Done (days)]]&lt;tblTasks[[#This Row],[Planned (days)]]-Tolerance*tblTasks[[#This Row],[Duration (days)]],"Below target",IF(tblTasks[[#This Row],[End]]-AsOf&lt;=DueSoonDays,"Due soon","OK")))))</f>
        <v>Complete</v>
      </c>
      <c r="U20" s="42" t="str">
        <f>IF(tblTasks[[#This Row],[Task or deliverable]]="","",IF(tblTasks[[#This Row],[No.]]="","Missing no.",IF(tblTasks[[#This Row],[Start]]="","Missing start",IF(tblTasks[[#This Row],[Duration (days)]]="","Missing duration",IF(COUNTIF(tblTasks[No.],tblTasks[[#This Row],[No.]])&gt;1,"Duplicate task No.",IF(COUNTIF(tblPhases[Phase],tblTasks[[#This Row],[Phase]])=0,"Phase not on Setup list",IF(AND(ISNUMBER(tblTasks[[#This Row],[Predecessor]]),COUNTIF(tblTasks[No.],tblTasks[[#This Row],[Predecessor]])=0),"Predecessor not found",IF(AND(ISNUMBER(tblTasks[[#This Row],[Predecessor]]),tblTasks[[#This Row],[Predecessor]]=tblTasks[[#This Row],[No.]]),"Task is its own predecessor",IF(AND(ISNUMBER(tblTasks[[#This Row],[Predecessor]]),tblTasks[[#This Row],[Complete]]=0,IFERROR(tblTasks[[#This Row],[Start]]&lt;=INDEX(tblTasks[Forecast end],MATCH(tblTasks[[#This Row],[Predecessor]],tblTasks[No.],0)),FALSE)),"Starts before its predecessor ends",IF(tblTasks[[#This Row],[Start]]&lt;PlanStart,"Starts before the plan start",IF(AND(tblTasks[[#This Row],[Complete]]&gt;0,tblTasks[[#This Row],[Start]]&gt;AsOf),"Progress before the start date","OK")))))))))))</f>
        <v>OK</v>
      </c>
      <c r="V20" s="36" t="s">
        <v>133</v>
      </c>
    </row>
    <row r="21" spans="2:22">
      <c r="B21" s="30">
        <v>16</v>
      </c>
      <c r="C21" s="28" t="s">
        <v>91</v>
      </c>
      <c r="D21" s="36" t="s">
        <v>149</v>
      </c>
      <c r="E21" s="28" t="s">
        <v>108</v>
      </c>
      <c r="F21" s="30">
        <v>15</v>
      </c>
      <c r="G21" s="29">
        <v>46238</v>
      </c>
      <c r="H21" s="29">
        <v>46219</v>
      </c>
      <c r="I21" s="30">
        <v>20</v>
      </c>
      <c r="J21" s="31">
        <v>1</v>
      </c>
      <c r="K21" s="28" t="s">
        <v>132</v>
      </c>
      <c r="L21" s="37">
        <f>IF(tblTasks[[#This Row],[Task or deliverable]]="","",tblTasks[[#This Row],[Start]]+tblTasks[[#This Row],[Duration (days)]]-1)</f>
        <v>46238</v>
      </c>
      <c r="M21" s="38">
        <f>IF(tblTasks[[#This Row],[Task or deliverable]]="","",tblTasks[[#This Row],[Start]]-PlanStart)</f>
        <v>136</v>
      </c>
      <c r="N21" s="38">
        <f>IF(tblTasks[[#This Row],[Task or deliverable]]="","",MIN(tblTasks[[#This Row],[Duration (days)]],MAX(0,AsOf-tblTasks[[#This Row],[Start]]+1)))</f>
        <v>20</v>
      </c>
      <c r="O21" s="39">
        <f>IF(tblTasks[[#This Row],[Task or deliverable]]="","",tblTasks[[#This Row],[Duration (days)]]*tblTasks[[#This Row],[Complete]])</f>
        <v>20</v>
      </c>
      <c r="P21" s="39">
        <f>IF(tblTasks[[#This Row],[Task or deliverable]]="","",tblTasks[[#This Row],[Duration (days)]]-tblTasks[[#This Row],[Done (days)]])</f>
        <v>0</v>
      </c>
      <c r="Q21" s="37">
        <f>IF(tblTasks[[#This Row],[Task or deliverable]]="","",IF(tblTasks[[#This Row],[Complete]]&gt;=1,tblTasks[[#This Row],[End]],IF(tblTasks[[#This Row],[Complete]]&gt;0,MAX(tblTasks[[#This Row],[End]],AsOf+ROUNDUP(tblTasks[[#This Row],[Remaining (days)]],0)),MAX(tblTasks[[#This Row],[Start]],AsOf+1)+tblTasks[[#This Row],[Duration (days)]]-1)))</f>
        <v>46238</v>
      </c>
      <c r="R21" s="40">
        <f>IF(tblTasks[[#This Row],[Task or deliverable]]="","",tblTasks[[#This Row],[Forecast end]]-IF(ISNUMBER(tblTasks[[#This Row],[Baseline end]]),tblTasks[[#This Row],[Baseline end]],tblTasks[[#This Row],[End]]))</f>
        <v>0</v>
      </c>
      <c r="S21" s="37">
        <f>IF(tblTasks[[#This Row],[Task or deliverable]]="","",IF(tblTasks[[#This Row],[Needed for SOP]]="Yes",tblTasks[[#This Row],[Forecast end]],""))</f>
        <v>46238</v>
      </c>
      <c r="T21" s="41" t="str">
        <f>IF(tblTasks[[#This Row],[Task or deliverable]]="","",IF(tblTasks[[#This Row],[Complete]]&gt;=1,"Complete",IF(AsOf&gt;tblTasks[[#This Row],[End]],"Overdue",IF(tblTasks[[#This Row],[Done (days)]]&lt;tblTasks[[#This Row],[Planned (days)]]-Tolerance*tblTasks[[#This Row],[Duration (days)]],"Below target",IF(tblTasks[[#This Row],[End]]-AsOf&lt;=DueSoonDays,"Due soon","OK")))))</f>
        <v>Complete</v>
      </c>
      <c r="U21" s="42" t="str">
        <f>IF(tblTasks[[#This Row],[Task or deliverable]]="","",IF(tblTasks[[#This Row],[No.]]="","Missing no.",IF(tblTasks[[#This Row],[Start]]="","Missing start",IF(tblTasks[[#This Row],[Duration (days)]]="","Missing duration",IF(COUNTIF(tblTasks[No.],tblTasks[[#This Row],[No.]])&gt;1,"Duplicate task No.",IF(COUNTIF(tblPhases[Phase],tblTasks[[#This Row],[Phase]])=0,"Phase not on Setup list",IF(AND(ISNUMBER(tblTasks[[#This Row],[Predecessor]]),COUNTIF(tblTasks[No.],tblTasks[[#This Row],[Predecessor]])=0),"Predecessor not found",IF(AND(ISNUMBER(tblTasks[[#This Row],[Predecessor]]),tblTasks[[#This Row],[Predecessor]]=tblTasks[[#This Row],[No.]]),"Task is its own predecessor",IF(AND(ISNUMBER(tblTasks[[#This Row],[Predecessor]]),tblTasks[[#This Row],[Complete]]=0,IFERROR(tblTasks[[#This Row],[Start]]&lt;=INDEX(tblTasks[Forecast end],MATCH(tblTasks[[#This Row],[Predecessor]],tblTasks[No.],0)),FALSE)),"Starts before its predecessor ends",IF(tblTasks[[#This Row],[Start]]&lt;PlanStart,"Starts before the plan start",IF(AND(tblTasks[[#This Row],[Complete]]&gt;0,tblTasks[[#This Row],[Start]]&gt;AsOf),"Progress before the start date","OK")))))))))))</f>
        <v>OK</v>
      </c>
      <c r="V21" s="36" t="s">
        <v>133</v>
      </c>
    </row>
    <row r="22" spans="2:22">
      <c r="B22" s="30">
        <v>17</v>
      </c>
      <c r="C22" s="28" t="s">
        <v>91</v>
      </c>
      <c r="D22" s="36" t="s">
        <v>150</v>
      </c>
      <c r="E22" s="28" t="s">
        <v>104</v>
      </c>
      <c r="F22" s="30">
        <v>15</v>
      </c>
      <c r="G22" s="29">
        <v>46296</v>
      </c>
      <c r="H22" s="29">
        <v>46237</v>
      </c>
      <c r="I22" s="30">
        <v>60</v>
      </c>
      <c r="J22" s="31">
        <v>0.85</v>
      </c>
      <c r="K22" s="28" t="s">
        <v>132</v>
      </c>
      <c r="L22" s="37">
        <f>IF(tblTasks[[#This Row],[Task or deliverable]]="","",tblTasks[[#This Row],[Start]]+tblTasks[[#This Row],[Duration (days)]]-1)</f>
        <v>46296</v>
      </c>
      <c r="M22" s="38">
        <f>IF(tblTasks[[#This Row],[Task or deliverable]]="","",tblTasks[[#This Row],[Start]]-PlanStart)</f>
        <v>154</v>
      </c>
      <c r="N22" s="38">
        <f>IF(tblTasks[[#This Row],[Task or deliverable]]="","",MIN(tblTasks[[#This Row],[Duration (days)]],MAX(0,AsOf-tblTasks[[#This Row],[Start]]+1)))</f>
        <v>60</v>
      </c>
      <c r="O22" s="39">
        <f>IF(tblTasks[[#This Row],[Task or deliverable]]="","",tblTasks[[#This Row],[Duration (days)]]*tblTasks[[#This Row],[Complete]])</f>
        <v>51</v>
      </c>
      <c r="P22" s="39">
        <f>IF(tblTasks[[#This Row],[Task or deliverable]]="","",tblTasks[[#This Row],[Duration (days)]]-tblTasks[[#This Row],[Done (days)]])</f>
        <v>9</v>
      </c>
      <c r="Q22" s="37">
        <f>IF(tblTasks[[#This Row],[Task or deliverable]]="","",IF(tblTasks[[#This Row],[Complete]]&gt;=1,tblTasks[[#This Row],[End]],IF(tblTasks[[#This Row],[Complete]]&gt;0,MAX(tblTasks[[#This Row],[End]],AsOf+ROUNDUP(tblTasks[[#This Row],[Remaining (days)]],0)),MAX(tblTasks[[#This Row],[Start]],AsOf+1)+tblTasks[[#This Row],[Duration (days)]]-1)))</f>
        <v>46313</v>
      </c>
      <c r="R22" s="40">
        <f>IF(tblTasks[[#This Row],[Task or deliverable]]="","",tblTasks[[#This Row],[Forecast end]]-IF(ISNUMBER(tblTasks[[#This Row],[Baseline end]]),tblTasks[[#This Row],[Baseline end]],tblTasks[[#This Row],[End]]))</f>
        <v>17</v>
      </c>
      <c r="S22" s="37">
        <f>IF(tblTasks[[#This Row],[Task or deliverable]]="","",IF(tblTasks[[#This Row],[Needed for SOP]]="Yes",tblTasks[[#This Row],[Forecast end]],""))</f>
        <v>46313</v>
      </c>
      <c r="T22" s="41" t="str">
        <f>IF(tblTasks[[#This Row],[Task or deliverable]]="","",IF(tblTasks[[#This Row],[Complete]]&gt;=1,"Complete",IF(AsOf&gt;tblTasks[[#This Row],[End]],"Overdue",IF(tblTasks[[#This Row],[Done (days)]]&lt;tblTasks[[#This Row],[Planned (days)]]-Tolerance*tblTasks[[#This Row],[Duration (days)]],"Below target",IF(tblTasks[[#This Row],[End]]-AsOf&lt;=DueSoonDays,"Due soon","OK")))))</f>
        <v>Overdue</v>
      </c>
      <c r="U22" s="42" t="str">
        <f>IF(tblTasks[[#This Row],[Task or deliverable]]="","",IF(tblTasks[[#This Row],[No.]]="","Missing no.",IF(tblTasks[[#This Row],[Start]]="","Missing start",IF(tblTasks[[#This Row],[Duration (days)]]="","Missing duration",IF(COUNTIF(tblTasks[No.],tblTasks[[#This Row],[No.]])&gt;1,"Duplicate task No.",IF(COUNTIF(tblPhases[Phase],tblTasks[[#This Row],[Phase]])=0,"Phase not on Setup list",IF(AND(ISNUMBER(tblTasks[[#This Row],[Predecessor]]),COUNTIF(tblTasks[No.],tblTasks[[#This Row],[Predecessor]])=0),"Predecessor not found",IF(AND(ISNUMBER(tblTasks[[#This Row],[Predecessor]]),tblTasks[[#This Row],[Predecessor]]=tblTasks[[#This Row],[No.]]),"Task is its own predecessor",IF(AND(ISNUMBER(tblTasks[[#This Row],[Predecessor]]),tblTasks[[#This Row],[Complete]]=0,IFERROR(tblTasks[[#This Row],[Start]]&lt;=INDEX(tblTasks[Forecast end],MATCH(tblTasks[[#This Row],[Predecessor]],tblTasks[No.],0)),FALSE)),"Starts before its predecessor ends",IF(tblTasks[[#This Row],[Start]]&lt;PlanStart,"Starts before the plan start",IF(AND(tblTasks[[#This Row],[Complete]]&gt;0,tblTasks[[#This Row],[Start]]&gt;AsOf),"Progress before the start date","OK")))))))))))</f>
        <v>OK</v>
      </c>
      <c r="V22" s="36" t="s">
        <v>151</v>
      </c>
    </row>
    <row r="23" spans="2:22">
      <c r="B23" s="30">
        <v>18</v>
      </c>
      <c r="C23" s="28" t="s">
        <v>91</v>
      </c>
      <c r="D23" s="36" t="s">
        <v>152</v>
      </c>
      <c r="E23" s="28" t="s">
        <v>110</v>
      </c>
      <c r="F23" s="30">
        <v>13</v>
      </c>
      <c r="G23" s="29">
        <v>46315</v>
      </c>
      <c r="H23" s="29">
        <v>46286</v>
      </c>
      <c r="I23" s="30">
        <v>30</v>
      </c>
      <c r="J23" s="31">
        <v>0.4</v>
      </c>
      <c r="K23" s="28" t="s">
        <v>132</v>
      </c>
      <c r="L23" s="37">
        <f>IF(tblTasks[[#This Row],[Task or deliverable]]="","",tblTasks[[#This Row],[Start]]+tblTasks[[#This Row],[Duration (days)]]-1)</f>
        <v>46315</v>
      </c>
      <c r="M23" s="38">
        <f>IF(tblTasks[[#This Row],[Task or deliverable]]="","",tblTasks[[#This Row],[Start]]-PlanStart)</f>
        <v>203</v>
      </c>
      <c r="N23" s="38">
        <f>IF(tblTasks[[#This Row],[Task or deliverable]]="","",MIN(tblTasks[[#This Row],[Duration (days)]],MAX(0,AsOf-tblTasks[[#This Row],[Start]]+1)))</f>
        <v>19</v>
      </c>
      <c r="O23" s="39">
        <f>IF(tblTasks[[#This Row],[Task or deliverable]]="","",tblTasks[[#This Row],[Duration (days)]]*tblTasks[[#This Row],[Complete]])</f>
        <v>12</v>
      </c>
      <c r="P23" s="39">
        <f>IF(tblTasks[[#This Row],[Task or deliverable]]="","",tblTasks[[#This Row],[Duration (days)]]-tblTasks[[#This Row],[Done (days)]])</f>
        <v>18</v>
      </c>
      <c r="Q23" s="37">
        <f>IF(tblTasks[[#This Row],[Task or deliverable]]="","",IF(tblTasks[[#This Row],[Complete]]&gt;=1,tblTasks[[#This Row],[End]],IF(tblTasks[[#This Row],[Complete]]&gt;0,MAX(tblTasks[[#This Row],[End]],AsOf+ROUNDUP(tblTasks[[#This Row],[Remaining (days)]],0)),MAX(tblTasks[[#This Row],[Start]],AsOf+1)+tblTasks[[#This Row],[Duration (days)]]-1)))</f>
        <v>46322</v>
      </c>
      <c r="R23" s="40">
        <f>IF(tblTasks[[#This Row],[Task or deliverable]]="","",tblTasks[[#This Row],[Forecast end]]-IF(ISNUMBER(tblTasks[[#This Row],[Baseline end]]),tblTasks[[#This Row],[Baseline end]],tblTasks[[#This Row],[End]]))</f>
        <v>7</v>
      </c>
      <c r="S23" s="37">
        <f>IF(tblTasks[[#This Row],[Task or deliverable]]="","",IF(tblTasks[[#This Row],[Needed for SOP]]="Yes",tblTasks[[#This Row],[Forecast end]],""))</f>
        <v>46322</v>
      </c>
      <c r="T23" s="41" t="str">
        <f>IF(tblTasks[[#This Row],[Task or deliverable]]="","",IF(tblTasks[[#This Row],[Complete]]&gt;=1,"Complete",IF(AsOf&gt;tblTasks[[#This Row],[End]],"Overdue",IF(tblTasks[[#This Row],[Done (days)]]&lt;tblTasks[[#This Row],[Planned (days)]]-Tolerance*tblTasks[[#This Row],[Duration (days)]],"Below target",IF(tblTasks[[#This Row],[End]]-AsOf&lt;=DueSoonDays,"Due soon","OK")))))</f>
        <v>Below target</v>
      </c>
      <c r="U23" s="42" t="str">
        <f>IF(tblTasks[[#This Row],[Task or deliverable]]="","",IF(tblTasks[[#This Row],[No.]]="","Missing no.",IF(tblTasks[[#This Row],[Start]]="","Missing start",IF(tblTasks[[#This Row],[Duration (days)]]="","Missing duration",IF(COUNTIF(tblTasks[No.],tblTasks[[#This Row],[No.]])&gt;1,"Duplicate task No.",IF(COUNTIF(tblPhases[Phase],tblTasks[[#This Row],[Phase]])=0,"Phase not on Setup list",IF(AND(ISNUMBER(tblTasks[[#This Row],[Predecessor]]),COUNTIF(tblTasks[No.],tblTasks[[#This Row],[Predecessor]])=0),"Predecessor not found",IF(AND(ISNUMBER(tblTasks[[#This Row],[Predecessor]]),tblTasks[[#This Row],[Predecessor]]=tblTasks[[#This Row],[No.]]),"Task is its own predecessor",IF(AND(ISNUMBER(tblTasks[[#This Row],[Predecessor]]),tblTasks[[#This Row],[Complete]]=0,IFERROR(tblTasks[[#This Row],[Start]]&lt;=INDEX(tblTasks[Forecast end],MATCH(tblTasks[[#This Row],[Predecessor]],tblTasks[No.],0)),FALSE)),"Starts before its predecessor ends",IF(tblTasks[[#This Row],[Start]]&lt;PlanStart,"Starts before the plan start",IF(AND(tblTasks[[#This Row],[Complete]]&gt;0,tblTasks[[#This Row],[Start]]&gt;AsOf),"Progress before the start date","OK")))))))))))</f>
        <v>OK</v>
      </c>
      <c r="V23" s="36" t="s">
        <v>153</v>
      </c>
    </row>
    <row r="24" spans="2:22">
      <c r="B24" s="30">
        <v>19</v>
      </c>
      <c r="C24" s="28" t="s">
        <v>91</v>
      </c>
      <c r="D24" s="36" t="s">
        <v>154</v>
      </c>
      <c r="E24" s="28" t="s">
        <v>98</v>
      </c>
      <c r="F24" s="30">
        <v>16</v>
      </c>
      <c r="G24" s="29">
        <v>46258</v>
      </c>
      <c r="H24" s="29">
        <v>46272</v>
      </c>
      <c r="I24" s="30">
        <v>1</v>
      </c>
      <c r="J24" s="31">
        <v>1</v>
      </c>
      <c r="K24" s="28" t="s">
        <v>132</v>
      </c>
      <c r="L24" s="37">
        <f>IF(tblTasks[[#This Row],[Task or deliverable]]="","",tblTasks[[#This Row],[Start]]+tblTasks[[#This Row],[Duration (days)]]-1)</f>
        <v>46272</v>
      </c>
      <c r="M24" s="38">
        <f>IF(tblTasks[[#This Row],[Task or deliverable]]="","",tblTasks[[#This Row],[Start]]-PlanStart)</f>
        <v>189</v>
      </c>
      <c r="N24" s="38">
        <f>IF(tblTasks[[#This Row],[Task or deliverable]]="","",MIN(tblTasks[[#This Row],[Duration (days)]],MAX(0,AsOf-tblTasks[[#This Row],[Start]]+1)))</f>
        <v>1</v>
      </c>
      <c r="O24" s="39">
        <f>IF(tblTasks[[#This Row],[Task or deliverable]]="","",tblTasks[[#This Row],[Duration (days)]]*tblTasks[[#This Row],[Complete]])</f>
        <v>1</v>
      </c>
      <c r="P24" s="39">
        <f>IF(tblTasks[[#This Row],[Task or deliverable]]="","",tblTasks[[#This Row],[Duration (days)]]-tblTasks[[#This Row],[Done (days)]])</f>
        <v>0</v>
      </c>
      <c r="Q24" s="37">
        <f>IF(tblTasks[[#This Row],[Task or deliverable]]="","",IF(tblTasks[[#This Row],[Complete]]&gt;=1,tblTasks[[#This Row],[End]],IF(tblTasks[[#This Row],[Complete]]&gt;0,MAX(tblTasks[[#This Row],[End]],AsOf+ROUNDUP(tblTasks[[#This Row],[Remaining (days)]],0)),MAX(tblTasks[[#This Row],[Start]],AsOf+1)+tblTasks[[#This Row],[Duration (days)]]-1)))</f>
        <v>46272</v>
      </c>
      <c r="R24" s="40">
        <f>IF(tblTasks[[#This Row],[Task or deliverable]]="","",tblTasks[[#This Row],[Forecast end]]-IF(ISNUMBER(tblTasks[[#This Row],[Baseline end]]),tblTasks[[#This Row],[Baseline end]],tblTasks[[#This Row],[End]]))</f>
        <v>14</v>
      </c>
      <c r="S24" s="37">
        <f>IF(tblTasks[[#This Row],[Task or deliverable]]="","",IF(tblTasks[[#This Row],[Needed for SOP]]="Yes",tblTasks[[#This Row],[Forecast end]],""))</f>
        <v>46272</v>
      </c>
      <c r="T24" s="41" t="str">
        <f>IF(tblTasks[[#This Row],[Task or deliverable]]="","",IF(tblTasks[[#This Row],[Complete]]&gt;=1,"Complete",IF(AsOf&gt;tblTasks[[#This Row],[End]],"Overdue",IF(tblTasks[[#This Row],[Done (days)]]&lt;tblTasks[[#This Row],[Planned (days)]]-Tolerance*tblTasks[[#This Row],[Duration (days)]],"Below target",IF(tblTasks[[#This Row],[End]]-AsOf&lt;=DueSoonDays,"Due soon","OK")))))</f>
        <v>Complete</v>
      </c>
      <c r="U24" s="42" t="str">
        <f>IF(tblTasks[[#This Row],[Task or deliverable]]="","",IF(tblTasks[[#This Row],[No.]]="","Missing no.",IF(tblTasks[[#This Row],[Start]]="","Missing start",IF(tblTasks[[#This Row],[Duration (days)]]="","Missing duration",IF(COUNTIF(tblTasks[No.],tblTasks[[#This Row],[No.]])&gt;1,"Duplicate task No.",IF(COUNTIF(tblPhases[Phase],tblTasks[[#This Row],[Phase]])=0,"Phase not on Setup list",IF(AND(ISNUMBER(tblTasks[[#This Row],[Predecessor]]),COUNTIF(tblTasks[No.],tblTasks[[#This Row],[Predecessor]])=0),"Predecessor not found",IF(AND(ISNUMBER(tblTasks[[#This Row],[Predecessor]]),tblTasks[[#This Row],[Predecessor]]=tblTasks[[#This Row],[No.]]),"Task is its own predecessor",IF(AND(ISNUMBER(tblTasks[[#This Row],[Predecessor]]),tblTasks[[#This Row],[Complete]]=0,IFERROR(tblTasks[[#This Row],[Start]]&lt;=INDEX(tblTasks[Forecast end],MATCH(tblTasks[[#This Row],[Predecessor]],tblTasks[No.],0)),FALSE)),"Starts before its predecessor ends",IF(tblTasks[[#This Row],[Start]]&lt;PlanStart,"Starts before the plan start",IF(AND(tblTasks[[#This Row],[Complete]]&gt;0,tblTasks[[#This Row],[Start]]&gt;AsOf),"Progress before the start date","OK")))))))))))</f>
        <v>OK</v>
      </c>
      <c r="V24" s="36" t="s">
        <v>155</v>
      </c>
    </row>
    <row r="25" spans="2:22">
      <c r="B25" s="30">
        <v>20</v>
      </c>
      <c r="C25" s="28" t="s">
        <v>93</v>
      </c>
      <c r="D25" s="36" t="s">
        <v>156</v>
      </c>
      <c r="E25" s="28" t="s">
        <v>106</v>
      </c>
      <c r="F25" s="30">
        <v>12</v>
      </c>
      <c r="G25" s="29">
        <v>46276</v>
      </c>
      <c r="H25" s="29">
        <v>46273</v>
      </c>
      <c r="I25" s="30">
        <v>25</v>
      </c>
      <c r="J25" s="31">
        <v>0.6</v>
      </c>
      <c r="K25" s="28" t="s">
        <v>132</v>
      </c>
      <c r="L25" s="37">
        <f>IF(tblTasks[[#This Row],[Task or deliverable]]="","",tblTasks[[#This Row],[Start]]+tblTasks[[#This Row],[Duration (days)]]-1)</f>
        <v>46297</v>
      </c>
      <c r="M25" s="38">
        <f>IF(tblTasks[[#This Row],[Task or deliverable]]="","",tblTasks[[#This Row],[Start]]-PlanStart)</f>
        <v>190</v>
      </c>
      <c r="N25" s="38">
        <f>IF(tblTasks[[#This Row],[Task or deliverable]]="","",MIN(tblTasks[[#This Row],[Duration (days)]],MAX(0,AsOf-tblTasks[[#This Row],[Start]]+1)))</f>
        <v>25</v>
      </c>
      <c r="O25" s="39">
        <f>IF(tblTasks[[#This Row],[Task or deliverable]]="","",tblTasks[[#This Row],[Duration (days)]]*tblTasks[[#This Row],[Complete]])</f>
        <v>15</v>
      </c>
      <c r="P25" s="39">
        <f>IF(tblTasks[[#This Row],[Task or deliverable]]="","",tblTasks[[#This Row],[Duration (days)]]-tblTasks[[#This Row],[Done (days)]])</f>
        <v>10</v>
      </c>
      <c r="Q25" s="37">
        <f>IF(tblTasks[[#This Row],[Task or deliverable]]="","",IF(tblTasks[[#This Row],[Complete]]&gt;=1,tblTasks[[#This Row],[End]],IF(tblTasks[[#This Row],[Complete]]&gt;0,MAX(tblTasks[[#This Row],[End]],AsOf+ROUNDUP(tblTasks[[#This Row],[Remaining (days)]],0)),MAX(tblTasks[[#This Row],[Start]],AsOf+1)+tblTasks[[#This Row],[Duration (days)]]-1)))</f>
        <v>46314</v>
      </c>
      <c r="R25" s="40">
        <f>IF(tblTasks[[#This Row],[Task or deliverable]]="","",tblTasks[[#This Row],[Forecast end]]-IF(ISNUMBER(tblTasks[[#This Row],[Baseline end]]),tblTasks[[#This Row],[Baseline end]],tblTasks[[#This Row],[End]]))</f>
        <v>38</v>
      </c>
      <c r="S25" s="37">
        <f>IF(tblTasks[[#This Row],[Task or deliverable]]="","",IF(tblTasks[[#This Row],[Needed for SOP]]="Yes",tblTasks[[#This Row],[Forecast end]],""))</f>
        <v>46314</v>
      </c>
      <c r="T25" s="41" t="str">
        <f>IF(tblTasks[[#This Row],[Task or deliverable]]="","",IF(tblTasks[[#This Row],[Complete]]&gt;=1,"Complete",IF(AsOf&gt;tblTasks[[#This Row],[End]],"Overdue",IF(tblTasks[[#This Row],[Done (days)]]&lt;tblTasks[[#This Row],[Planned (days)]]-Tolerance*tblTasks[[#This Row],[Duration (days)]],"Below target",IF(tblTasks[[#This Row],[End]]-AsOf&lt;=DueSoonDays,"Due soon","OK")))))</f>
        <v>Overdue</v>
      </c>
      <c r="U25" s="42" t="str">
        <f>IF(tblTasks[[#This Row],[Task or deliverable]]="","",IF(tblTasks[[#This Row],[No.]]="","Missing no.",IF(tblTasks[[#This Row],[Start]]="","Missing start",IF(tblTasks[[#This Row],[Duration (days)]]="","Missing duration",IF(COUNTIF(tblTasks[No.],tblTasks[[#This Row],[No.]])&gt;1,"Duplicate task No.",IF(COUNTIF(tblPhases[Phase],tblTasks[[#This Row],[Phase]])=0,"Phase not on Setup list",IF(AND(ISNUMBER(tblTasks[[#This Row],[Predecessor]]),COUNTIF(tblTasks[No.],tblTasks[[#This Row],[Predecessor]])=0),"Predecessor not found",IF(AND(ISNUMBER(tblTasks[[#This Row],[Predecessor]]),tblTasks[[#This Row],[Predecessor]]=tblTasks[[#This Row],[No.]]),"Task is its own predecessor",IF(AND(ISNUMBER(tblTasks[[#This Row],[Predecessor]]),tblTasks[[#This Row],[Complete]]=0,IFERROR(tblTasks[[#This Row],[Start]]&lt;=INDEX(tblTasks[Forecast end],MATCH(tblTasks[[#This Row],[Predecessor]],tblTasks[No.],0)),FALSE)),"Starts before its predecessor ends",IF(tblTasks[[#This Row],[Start]]&lt;PlanStart,"Starts before the plan start",IF(AND(tblTasks[[#This Row],[Complete]]&gt;0,tblTasks[[#This Row],[Start]]&gt;AsOf),"Progress before the start date","OK")))))))))))</f>
        <v>OK</v>
      </c>
      <c r="V25" s="36" t="s">
        <v>157</v>
      </c>
    </row>
    <row r="26" spans="2:22">
      <c r="B26" s="30">
        <v>21</v>
      </c>
      <c r="C26" s="28" t="s">
        <v>93</v>
      </c>
      <c r="D26" s="36" t="s">
        <v>158</v>
      </c>
      <c r="E26" s="28" t="s">
        <v>108</v>
      </c>
      <c r="F26" s="30">
        <v>20</v>
      </c>
      <c r="G26" s="29">
        <v>46283</v>
      </c>
      <c r="H26" s="29">
        <v>46315</v>
      </c>
      <c r="I26" s="30">
        <v>5</v>
      </c>
      <c r="J26" s="31">
        <v>0</v>
      </c>
      <c r="K26" s="28" t="s">
        <v>132</v>
      </c>
      <c r="L26" s="37">
        <f>IF(tblTasks[[#This Row],[Task or deliverable]]="","",tblTasks[[#This Row],[Start]]+tblTasks[[#This Row],[Duration (days)]]-1)</f>
        <v>46319</v>
      </c>
      <c r="M26" s="38">
        <f>IF(tblTasks[[#This Row],[Task or deliverable]]="","",tblTasks[[#This Row],[Start]]-PlanStart)</f>
        <v>232</v>
      </c>
      <c r="N26" s="38">
        <f>IF(tblTasks[[#This Row],[Task or deliverable]]="","",MIN(tblTasks[[#This Row],[Duration (days)]],MAX(0,AsOf-tblTasks[[#This Row],[Start]]+1)))</f>
        <v>0</v>
      </c>
      <c r="O26" s="39">
        <f>IF(tblTasks[[#This Row],[Task or deliverable]]="","",tblTasks[[#This Row],[Duration (days)]]*tblTasks[[#This Row],[Complete]])</f>
        <v>0</v>
      </c>
      <c r="P26" s="39">
        <f>IF(tblTasks[[#This Row],[Task or deliverable]]="","",tblTasks[[#This Row],[Duration (days)]]-tblTasks[[#This Row],[Done (days)]])</f>
        <v>5</v>
      </c>
      <c r="Q26" s="37">
        <f>IF(tblTasks[[#This Row],[Task or deliverable]]="","",IF(tblTasks[[#This Row],[Complete]]&gt;=1,tblTasks[[#This Row],[End]],IF(tblTasks[[#This Row],[Complete]]&gt;0,MAX(tblTasks[[#This Row],[End]],AsOf+ROUNDUP(tblTasks[[#This Row],[Remaining (days)]],0)),MAX(tblTasks[[#This Row],[Start]],AsOf+1)+tblTasks[[#This Row],[Duration (days)]]-1)))</f>
        <v>46319</v>
      </c>
      <c r="R26" s="40">
        <f>IF(tblTasks[[#This Row],[Task or deliverable]]="","",tblTasks[[#This Row],[Forecast end]]-IF(ISNUMBER(tblTasks[[#This Row],[Baseline end]]),tblTasks[[#This Row],[Baseline end]],tblTasks[[#This Row],[End]]))</f>
        <v>36</v>
      </c>
      <c r="S26" s="37">
        <f>IF(tblTasks[[#This Row],[Task or deliverable]]="","",IF(tblTasks[[#This Row],[Needed for SOP]]="Yes",tblTasks[[#This Row],[Forecast end]],""))</f>
        <v>46319</v>
      </c>
      <c r="T26" s="41" t="str">
        <f>IF(tblTasks[[#This Row],[Task or deliverable]]="","",IF(tblTasks[[#This Row],[Complete]]&gt;=1,"Complete",IF(AsOf&gt;tblTasks[[#This Row],[End]],"Overdue",IF(tblTasks[[#This Row],[Done (days)]]&lt;tblTasks[[#This Row],[Planned (days)]]-Tolerance*tblTasks[[#This Row],[Duration (days)]],"Below target",IF(tblTasks[[#This Row],[End]]-AsOf&lt;=DueSoonDays,"Due soon","OK")))))</f>
        <v>OK</v>
      </c>
      <c r="U26" s="42" t="str">
        <f>IF(tblTasks[[#This Row],[Task or deliverable]]="","",IF(tblTasks[[#This Row],[No.]]="","Missing no.",IF(tblTasks[[#This Row],[Start]]="","Missing start",IF(tblTasks[[#This Row],[Duration (days)]]="","Missing duration",IF(COUNTIF(tblTasks[No.],tblTasks[[#This Row],[No.]])&gt;1,"Duplicate task No.",IF(COUNTIF(tblPhases[Phase],tblTasks[[#This Row],[Phase]])=0,"Phase not on Setup list",IF(AND(ISNUMBER(tblTasks[[#This Row],[Predecessor]]),COUNTIF(tblTasks[No.],tblTasks[[#This Row],[Predecessor]])=0),"Predecessor not found",IF(AND(ISNUMBER(tblTasks[[#This Row],[Predecessor]]),tblTasks[[#This Row],[Predecessor]]=tblTasks[[#This Row],[No.]]),"Task is its own predecessor",IF(AND(ISNUMBER(tblTasks[[#This Row],[Predecessor]]),tblTasks[[#This Row],[Complete]]=0,IFERROR(tblTasks[[#This Row],[Start]]&lt;=INDEX(tblTasks[Forecast end],MATCH(tblTasks[[#This Row],[Predecessor]],tblTasks[No.],0)),FALSE)),"Starts before its predecessor ends",IF(tblTasks[[#This Row],[Start]]&lt;PlanStart,"Starts before the plan start",IF(AND(tblTasks[[#This Row],[Complete]]&gt;0,tblTasks[[#This Row],[Start]]&gt;AsOf),"Progress before the start date","OK")))))))))))</f>
        <v>OK</v>
      </c>
      <c r="V26" s="36" t="s">
        <v>159</v>
      </c>
    </row>
    <row r="27" spans="2:22">
      <c r="B27" s="30">
        <v>22</v>
      </c>
      <c r="C27" s="28" t="s">
        <v>93</v>
      </c>
      <c r="D27" s="36" t="s">
        <v>160</v>
      </c>
      <c r="E27" s="28" t="s">
        <v>104</v>
      </c>
      <c r="F27" s="30">
        <v>17</v>
      </c>
      <c r="G27" s="29">
        <v>46297</v>
      </c>
      <c r="H27" s="29">
        <v>46321</v>
      </c>
      <c r="I27" s="30">
        <v>15</v>
      </c>
      <c r="J27" s="31">
        <v>0</v>
      </c>
      <c r="K27" s="28" t="s">
        <v>132</v>
      </c>
      <c r="L27" s="37">
        <f>IF(tblTasks[[#This Row],[Task or deliverable]]="","",tblTasks[[#This Row],[Start]]+tblTasks[[#This Row],[Duration (days)]]-1)</f>
        <v>46335</v>
      </c>
      <c r="M27" s="38">
        <f>IF(tblTasks[[#This Row],[Task or deliverable]]="","",tblTasks[[#This Row],[Start]]-PlanStart)</f>
        <v>238</v>
      </c>
      <c r="N27" s="38">
        <f>IF(tblTasks[[#This Row],[Task or deliverable]]="","",MIN(tblTasks[[#This Row],[Duration (days)]],MAX(0,AsOf-tblTasks[[#This Row],[Start]]+1)))</f>
        <v>0</v>
      </c>
      <c r="O27" s="39">
        <f>IF(tblTasks[[#This Row],[Task or deliverable]]="","",tblTasks[[#This Row],[Duration (days)]]*tblTasks[[#This Row],[Complete]])</f>
        <v>0</v>
      </c>
      <c r="P27" s="39">
        <f>IF(tblTasks[[#This Row],[Task or deliverable]]="","",tblTasks[[#This Row],[Duration (days)]]-tblTasks[[#This Row],[Done (days)]])</f>
        <v>15</v>
      </c>
      <c r="Q27" s="37">
        <f>IF(tblTasks[[#This Row],[Task or deliverable]]="","",IF(tblTasks[[#This Row],[Complete]]&gt;=1,tblTasks[[#This Row],[End]],IF(tblTasks[[#This Row],[Complete]]&gt;0,MAX(tblTasks[[#This Row],[End]],AsOf+ROUNDUP(tblTasks[[#This Row],[Remaining (days)]],0)),MAX(tblTasks[[#This Row],[Start]],AsOf+1)+tblTasks[[#This Row],[Duration (days)]]-1)))</f>
        <v>46335</v>
      </c>
      <c r="R27" s="40">
        <f>IF(tblTasks[[#This Row],[Task or deliverable]]="","",tblTasks[[#This Row],[Forecast end]]-IF(ISNUMBER(tblTasks[[#This Row],[Baseline end]]),tblTasks[[#This Row],[Baseline end]],tblTasks[[#This Row],[End]]))</f>
        <v>38</v>
      </c>
      <c r="S27" s="37">
        <f>IF(tblTasks[[#This Row],[Task or deliverable]]="","",IF(tblTasks[[#This Row],[Needed for SOP]]="Yes",tblTasks[[#This Row],[Forecast end]],""))</f>
        <v>46335</v>
      </c>
      <c r="T27" s="41" t="str">
        <f>IF(tblTasks[[#This Row],[Task or deliverable]]="","",IF(tblTasks[[#This Row],[Complete]]&gt;=1,"Complete",IF(AsOf&gt;tblTasks[[#This Row],[End]],"Overdue",IF(tblTasks[[#This Row],[Done (days)]]&lt;tblTasks[[#This Row],[Planned (days)]]-Tolerance*tblTasks[[#This Row],[Duration (days)]],"Below target",IF(tblTasks[[#This Row],[End]]-AsOf&lt;=DueSoonDays,"Due soon","OK")))))</f>
        <v>OK</v>
      </c>
      <c r="U27" s="42" t="str">
        <f>IF(tblTasks[[#This Row],[Task or deliverable]]="","",IF(tblTasks[[#This Row],[No.]]="","Missing no.",IF(tblTasks[[#This Row],[Start]]="","Missing start",IF(tblTasks[[#This Row],[Duration (days)]]="","Missing duration",IF(COUNTIF(tblTasks[No.],tblTasks[[#This Row],[No.]])&gt;1,"Duplicate task No.",IF(COUNTIF(tblPhases[Phase],tblTasks[[#This Row],[Phase]])=0,"Phase not on Setup list",IF(AND(ISNUMBER(tblTasks[[#This Row],[Predecessor]]),COUNTIF(tblTasks[No.],tblTasks[[#This Row],[Predecessor]])=0),"Predecessor not found",IF(AND(ISNUMBER(tblTasks[[#This Row],[Predecessor]]),tblTasks[[#This Row],[Predecessor]]=tblTasks[[#This Row],[No.]]),"Task is its own predecessor",IF(AND(ISNUMBER(tblTasks[[#This Row],[Predecessor]]),tblTasks[[#This Row],[Complete]]=0,IFERROR(tblTasks[[#This Row],[Start]]&lt;=INDEX(tblTasks[Forecast end],MATCH(tblTasks[[#This Row],[Predecessor]],tblTasks[No.],0)),FALSE)),"Starts before its predecessor ends",IF(tblTasks[[#This Row],[Start]]&lt;PlanStart,"Starts before the plan start",IF(AND(tblTasks[[#This Row],[Complete]]&gt;0,tblTasks[[#This Row],[Start]]&gt;AsOf),"Progress before the start date","OK")))))))))))</f>
        <v>OK</v>
      </c>
      <c r="V27" s="36" t="s">
        <v>159</v>
      </c>
    </row>
    <row r="28" spans="2:22">
      <c r="B28" s="30">
        <v>23</v>
      </c>
      <c r="C28" s="28" t="s">
        <v>93</v>
      </c>
      <c r="D28" s="36" t="s">
        <v>161</v>
      </c>
      <c r="E28" s="28" t="s">
        <v>104</v>
      </c>
      <c r="F28" s="30">
        <v>21</v>
      </c>
      <c r="G28" s="29">
        <v>46297</v>
      </c>
      <c r="H28" s="29">
        <v>46321</v>
      </c>
      <c r="I28" s="30">
        <v>15</v>
      </c>
      <c r="J28" s="31">
        <v>0</v>
      </c>
      <c r="K28" s="28" t="s">
        <v>132</v>
      </c>
      <c r="L28" s="37">
        <f>IF(tblTasks[[#This Row],[Task or deliverable]]="","",tblTasks[[#This Row],[Start]]+tblTasks[[#This Row],[Duration (days)]]-1)</f>
        <v>46335</v>
      </c>
      <c r="M28" s="38">
        <f>IF(tblTasks[[#This Row],[Task or deliverable]]="","",tblTasks[[#This Row],[Start]]-PlanStart)</f>
        <v>238</v>
      </c>
      <c r="N28" s="38">
        <f>IF(tblTasks[[#This Row],[Task or deliverable]]="","",MIN(tblTasks[[#This Row],[Duration (days)]],MAX(0,AsOf-tblTasks[[#This Row],[Start]]+1)))</f>
        <v>0</v>
      </c>
      <c r="O28" s="39">
        <f>IF(tblTasks[[#This Row],[Task or deliverable]]="","",tblTasks[[#This Row],[Duration (days)]]*tblTasks[[#This Row],[Complete]])</f>
        <v>0</v>
      </c>
      <c r="P28" s="39">
        <f>IF(tblTasks[[#This Row],[Task or deliverable]]="","",tblTasks[[#This Row],[Duration (days)]]-tblTasks[[#This Row],[Done (days)]])</f>
        <v>15</v>
      </c>
      <c r="Q28" s="37">
        <f>IF(tblTasks[[#This Row],[Task or deliverable]]="","",IF(tblTasks[[#This Row],[Complete]]&gt;=1,tblTasks[[#This Row],[End]],IF(tblTasks[[#This Row],[Complete]]&gt;0,MAX(tblTasks[[#This Row],[End]],AsOf+ROUNDUP(tblTasks[[#This Row],[Remaining (days)]],0)),MAX(tblTasks[[#This Row],[Start]],AsOf+1)+tblTasks[[#This Row],[Duration (days)]]-1)))</f>
        <v>46335</v>
      </c>
      <c r="R28" s="40">
        <f>IF(tblTasks[[#This Row],[Task or deliverable]]="","",tblTasks[[#This Row],[Forecast end]]-IF(ISNUMBER(tblTasks[[#This Row],[Baseline end]]),tblTasks[[#This Row],[Baseline end]],tblTasks[[#This Row],[End]]))</f>
        <v>38</v>
      </c>
      <c r="S28" s="37">
        <f>IF(tblTasks[[#This Row],[Task or deliverable]]="","",IF(tblTasks[[#This Row],[Needed for SOP]]="Yes",tblTasks[[#This Row],[Forecast end]],""))</f>
        <v>46335</v>
      </c>
      <c r="T28" s="41" t="str">
        <f>IF(tblTasks[[#This Row],[Task or deliverable]]="","",IF(tblTasks[[#This Row],[Complete]]&gt;=1,"Complete",IF(AsOf&gt;tblTasks[[#This Row],[End]],"Overdue",IF(tblTasks[[#This Row],[Done (days)]]&lt;tblTasks[[#This Row],[Planned (days)]]-Tolerance*tblTasks[[#This Row],[Duration (days)]],"Below target",IF(tblTasks[[#This Row],[End]]-AsOf&lt;=DueSoonDays,"Due soon","OK")))))</f>
        <v>OK</v>
      </c>
      <c r="U28" s="42" t="str">
        <f>IF(tblTasks[[#This Row],[Task or deliverable]]="","",IF(tblTasks[[#This Row],[No.]]="","Missing no.",IF(tblTasks[[#This Row],[Start]]="","Missing start",IF(tblTasks[[#This Row],[Duration (days)]]="","Missing duration",IF(COUNTIF(tblTasks[No.],tblTasks[[#This Row],[No.]])&gt;1,"Duplicate task No.",IF(COUNTIF(tblPhases[Phase],tblTasks[[#This Row],[Phase]])=0,"Phase not on Setup list",IF(AND(ISNUMBER(tblTasks[[#This Row],[Predecessor]]),COUNTIF(tblTasks[No.],tblTasks[[#This Row],[Predecessor]])=0),"Predecessor not found",IF(AND(ISNUMBER(tblTasks[[#This Row],[Predecessor]]),tblTasks[[#This Row],[Predecessor]]=tblTasks[[#This Row],[No.]]),"Task is its own predecessor",IF(AND(ISNUMBER(tblTasks[[#This Row],[Predecessor]]),tblTasks[[#This Row],[Complete]]=0,IFERROR(tblTasks[[#This Row],[Start]]&lt;=INDEX(tblTasks[Forecast end],MATCH(tblTasks[[#This Row],[Predecessor]],tblTasks[No.],0)),FALSE)),"Starts before its predecessor ends",IF(tblTasks[[#This Row],[Start]]&lt;PlanStart,"Starts before the plan start",IF(AND(tblTasks[[#This Row],[Complete]]&gt;0,tblTasks[[#This Row],[Start]]&gt;AsOf),"Progress before the start date","OK")))))))))))</f>
        <v>OK</v>
      </c>
      <c r="V28" s="36" t="s">
        <v>159</v>
      </c>
    </row>
    <row r="29" spans="2:22">
      <c r="B29" s="30">
        <v>24</v>
      </c>
      <c r="C29" s="28" t="s">
        <v>93</v>
      </c>
      <c r="D29" s="36" t="s">
        <v>162</v>
      </c>
      <c r="E29" s="28" t="s">
        <v>100</v>
      </c>
      <c r="F29" s="30">
        <v>21</v>
      </c>
      <c r="G29" s="29">
        <v>46318</v>
      </c>
      <c r="H29" s="29">
        <v>46321</v>
      </c>
      <c r="I29" s="30">
        <v>35</v>
      </c>
      <c r="J29" s="31">
        <v>0</v>
      </c>
      <c r="K29" s="28" t="s">
        <v>132</v>
      </c>
      <c r="L29" s="37">
        <f>IF(tblTasks[[#This Row],[Task or deliverable]]="","",tblTasks[[#This Row],[Start]]+tblTasks[[#This Row],[Duration (days)]]-1)</f>
        <v>46355</v>
      </c>
      <c r="M29" s="38">
        <f>IF(tblTasks[[#This Row],[Task or deliverable]]="","",tblTasks[[#This Row],[Start]]-PlanStart)</f>
        <v>238</v>
      </c>
      <c r="N29" s="38">
        <f>IF(tblTasks[[#This Row],[Task or deliverable]]="","",MIN(tblTasks[[#This Row],[Duration (days)]],MAX(0,AsOf-tblTasks[[#This Row],[Start]]+1)))</f>
        <v>0</v>
      </c>
      <c r="O29" s="39">
        <f>IF(tblTasks[[#This Row],[Task or deliverable]]="","",tblTasks[[#This Row],[Duration (days)]]*tblTasks[[#This Row],[Complete]])</f>
        <v>0</v>
      </c>
      <c r="P29" s="39">
        <f>IF(tblTasks[[#This Row],[Task or deliverable]]="","",tblTasks[[#This Row],[Duration (days)]]-tblTasks[[#This Row],[Done (days)]])</f>
        <v>35</v>
      </c>
      <c r="Q29" s="37">
        <f>IF(tblTasks[[#This Row],[Task or deliverable]]="","",IF(tblTasks[[#This Row],[Complete]]&gt;=1,tblTasks[[#This Row],[End]],IF(tblTasks[[#This Row],[Complete]]&gt;0,MAX(tblTasks[[#This Row],[End]],AsOf+ROUNDUP(tblTasks[[#This Row],[Remaining (days)]],0)),MAX(tblTasks[[#This Row],[Start]],AsOf+1)+tblTasks[[#This Row],[Duration (days)]]-1)))</f>
        <v>46355</v>
      </c>
      <c r="R29" s="40">
        <f>IF(tblTasks[[#This Row],[Task or deliverable]]="","",tblTasks[[#This Row],[Forecast end]]-IF(ISNUMBER(tblTasks[[#This Row],[Baseline end]]),tblTasks[[#This Row],[Baseline end]],tblTasks[[#This Row],[End]]))</f>
        <v>37</v>
      </c>
      <c r="S29" s="37">
        <f>IF(tblTasks[[#This Row],[Task or deliverable]]="","",IF(tblTasks[[#This Row],[Needed for SOP]]="Yes",tblTasks[[#This Row],[Forecast end]],""))</f>
        <v>46355</v>
      </c>
      <c r="T29" s="41" t="str">
        <f>IF(tblTasks[[#This Row],[Task or deliverable]]="","",IF(tblTasks[[#This Row],[Complete]]&gt;=1,"Complete",IF(AsOf&gt;tblTasks[[#This Row],[End]],"Overdue",IF(tblTasks[[#This Row],[Done (days)]]&lt;tblTasks[[#This Row],[Planned (days)]]-Tolerance*tblTasks[[#This Row],[Duration (days)]],"Below target",IF(tblTasks[[#This Row],[End]]-AsOf&lt;=DueSoonDays,"Due soon","OK")))))</f>
        <v>OK</v>
      </c>
      <c r="U29" s="42" t="str">
        <f>IF(tblTasks[[#This Row],[Task or deliverable]]="","",IF(tblTasks[[#This Row],[No.]]="","Missing no.",IF(tblTasks[[#This Row],[Start]]="","Missing start",IF(tblTasks[[#This Row],[Duration (days)]]="","Missing duration",IF(COUNTIF(tblTasks[No.],tblTasks[[#This Row],[No.]])&gt;1,"Duplicate task No.",IF(COUNTIF(tblPhases[Phase],tblTasks[[#This Row],[Phase]])=0,"Phase not on Setup list",IF(AND(ISNUMBER(tblTasks[[#This Row],[Predecessor]]),COUNTIF(tblTasks[No.],tblTasks[[#This Row],[Predecessor]])=0),"Predecessor not found",IF(AND(ISNUMBER(tblTasks[[#This Row],[Predecessor]]),tblTasks[[#This Row],[Predecessor]]=tblTasks[[#This Row],[No.]]),"Task is its own predecessor",IF(AND(ISNUMBER(tblTasks[[#This Row],[Predecessor]]),tblTasks[[#This Row],[Complete]]=0,IFERROR(tblTasks[[#This Row],[Start]]&lt;=INDEX(tblTasks[Forecast end],MATCH(tblTasks[[#This Row],[Predecessor]],tblTasks[No.],0)),FALSE)),"Starts before its predecessor ends",IF(tblTasks[[#This Row],[Start]]&lt;PlanStart,"Starts before the plan start",IF(AND(tblTasks[[#This Row],[Complete]]&gt;0,tblTasks[[#This Row],[Start]]&gt;AsOf),"Progress before the start date","OK")))))))))))</f>
        <v>OK</v>
      </c>
      <c r="V29" s="36" t="s">
        <v>163</v>
      </c>
    </row>
    <row r="30" spans="2:22">
      <c r="B30" s="30">
        <v>25</v>
      </c>
      <c r="C30" s="28" t="s">
        <v>93</v>
      </c>
      <c r="D30" s="36" t="s">
        <v>164</v>
      </c>
      <c r="E30" s="28" t="s">
        <v>104</v>
      </c>
      <c r="F30" s="30">
        <v>24</v>
      </c>
      <c r="G30" s="29">
        <v>46346</v>
      </c>
      <c r="H30" s="29">
        <v>46356</v>
      </c>
      <c r="I30" s="30">
        <v>19</v>
      </c>
      <c r="J30" s="31">
        <v>0</v>
      </c>
      <c r="K30" s="28" t="s">
        <v>132</v>
      </c>
      <c r="L30" s="37">
        <f>IF(tblTasks[[#This Row],[Task or deliverable]]="","",tblTasks[[#This Row],[Start]]+tblTasks[[#This Row],[Duration (days)]]-1)</f>
        <v>46374</v>
      </c>
      <c r="M30" s="38">
        <f>IF(tblTasks[[#This Row],[Task or deliverable]]="","",tblTasks[[#This Row],[Start]]-PlanStart)</f>
        <v>273</v>
      </c>
      <c r="N30" s="38">
        <f>IF(tblTasks[[#This Row],[Task or deliverable]]="","",MIN(tblTasks[[#This Row],[Duration (days)]],MAX(0,AsOf-tblTasks[[#This Row],[Start]]+1)))</f>
        <v>0</v>
      </c>
      <c r="O30" s="39">
        <f>IF(tblTasks[[#This Row],[Task or deliverable]]="","",tblTasks[[#This Row],[Duration (days)]]*tblTasks[[#This Row],[Complete]])</f>
        <v>0</v>
      </c>
      <c r="P30" s="39">
        <f>IF(tblTasks[[#This Row],[Task or deliverable]]="","",tblTasks[[#This Row],[Duration (days)]]-tblTasks[[#This Row],[Done (days)]])</f>
        <v>19</v>
      </c>
      <c r="Q30" s="37">
        <f>IF(tblTasks[[#This Row],[Task or deliverable]]="","",IF(tblTasks[[#This Row],[Complete]]&gt;=1,tblTasks[[#This Row],[End]],IF(tblTasks[[#This Row],[Complete]]&gt;0,MAX(tblTasks[[#This Row],[End]],AsOf+ROUNDUP(tblTasks[[#This Row],[Remaining (days)]],0)),MAX(tblTasks[[#This Row],[Start]],AsOf+1)+tblTasks[[#This Row],[Duration (days)]]-1)))</f>
        <v>46374</v>
      </c>
      <c r="R30" s="40">
        <f>IF(tblTasks[[#This Row],[Task or deliverable]]="","",tblTasks[[#This Row],[Forecast end]]-IF(ISNUMBER(tblTasks[[#This Row],[Baseline end]]),tblTasks[[#This Row],[Baseline end]],tblTasks[[#This Row],[End]]))</f>
        <v>28</v>
      </c>
      <c r="S30" s="37">
        <f>IF(tblTasks[[#This Row],[Task or deliverable]]="","",IF(tblTasks[[#This Row],[Needed for SOP]]="Yes",tblTasks[[#This Row],[Forecast end]],""))</f>
        <v>46374</v>
      </c>
      <c r="T30" s="41" t="str">
        <f>IF(tblTasks[[#This Row],[Task or deliverable]]="","",IF(tblTasks[[#This Row],[Complete]]&gt;=1,"Complete",IF(AsOf&gt;tblTasks[[#This Row],[End]],"Overdue",IF(tblTasks[[#This Row],[Done (days)]]&lt;tblTasks[[#This Row],[Planned (days)]]-Tolerance*tblTasks[[#This Row],[Duration (days)]],"Below target",IF(tblTasks[[#This Row],[End]]-AsOf&lt;=DueSoonDays,"Due soon","OK")))))</f>
        <v>OK</v>
      </c>
      <c r="U30" s="42" t="str">
        <f>IF(tblTasks[[#This Row],[Task or deliverable]]="","",IF(tblTasks[[#This Row],[No.]]="","Missing no.",IF(tblTasks[[#This Row],[Start]]="","Missing start",IF(tblTasks[[#This Row],[Duration (days)]]="","Missing duration",IF(COUNTIF(tblTasks[No.],tblTasks[[#This Row],[No.]])&gt;1,"Duplicate task No.",IF(COUNTIF(tblPhases[Phase],tblTasks[[#This Row],[Phase]])=0,"Phase not on Setup list",IF(AND(ISNUMBER(tblTasks[[#This Row],[Predecessor]]),COUNTIF(tblTasks[No.],tblTasks[[#This Row],[Predecessor]])=0),"Predecessor not found",IF(AND(ISNUMBER(tblTasks[[#This Row],[Predecessor]]),tblTasks[[#This Row],[Predecessor]]=tblTasks[[#This Row],[No.]]),"Task is its own predecessor",IF(AND(ISNUMBER(tblTasks[[#This Row],[Predecessor]]),tblTasks[[#This Row],[Complete]]=0,IFERROR(tblTasks[[#This Row],[Start]]&lt;=INDEX(tblTasks[Forecast end],MATCH(tblTasks[[#This Row],[Predecessor]],tblTasks[No.],0)),FALSE)),"Starts before its predecessor ends",IF(tblTasks[[#This Row],[Start]]&lt;PlanStart,"Starts before the plan start",IF(AND(tblTasks[[#This Row],[Complete]]&gt;0,tblTasks[[#This Row],[Start]]&gt;AsOf),"Progress before the start date","OK")))))))))))</f>
        <v>OK</v>
      </c>
      <c r="V30" s="36" t="s">
        <v>133</v>
      </c>
    </row>
    <row r="31" spans="2:22">
      <c r="B31" s="30">
        <v>26</v>
      </c>
      <c r="C31" s="28" t="s">
        <v>93</v>
      </c>
      <c r="D31" s="36" t="s">
        <v>165</v>
      </c>
      <c r="E31" s="28" t="s">
        <v>98</v>
      </c>
      <c r="F31" s="30">
        <v>25</v>
      </c>
      <c r="G31" s="29">
        <v>46353</v>
      </c>
      <c r="H31" s="29">
        <v>46377</v>
      </c>
      <c r="I31" s="30">
        <v>1</v>
      </c>
      <c r="J31" s="31">
        <v>0</v>
      </c>
      <c r="K31" s="28" t="s">
        <v>132</v>
      </c>
      <c r="L31" s="37">
        <f>IF(tblTasks[[#This Row],[Task or deliverable]]="","",tblTasks[[#This Row],[Start]]+tblTasks[[#This Row],[Duration (days)]]-1)</f>
        <v>46377</v>
      </c>
      <c r="M31" s="38">
        <f>IF(tblTasks[[#This Row],[Task or deliverable]]="","",tblTasks[[#This Row],[Start]]-PlanStart)</f>
        <v>294</v>
      </c>
      <c r="N31" s="38">
        <f>IF(tblTasks[[#This Row],[Task or deliverable]]="","",MIN(tblTasks[[#This Row],[Duration (days)]],MAX(0,AsOf-tblTasks[[#This Row],[Start]]+1)))</f>
        <v>0</v>
      </c>
      <c r="O31" s="39">
        <f>IF(tblTasks[[#This Row],[Task or deliverable]]="","",tblTasks[[#This Row],[Duration (days)]]*tblTasks[[#This Row],[Complete]])</f>
        <v>0</v>
      </c>
      <c r="P31" s="39">
        <f>IF(tblTasks[[#This Row],[Task or deliverable]]="","",tblTasks[[#This Row],[Duration (days)]]-tblTasks[[#This Row],[Done (days)]])</f>
        <v>1</v>
      </c>
      <c r="Q31" s="37">
        <f>IF(tblTasks[[#This Row],[Task or deliverable]]="","",IF(tblTasks[[#This Row],[Complete]]&gt;=1,tblTasks[[#This Row],[End]],IF(tblTasks[[#This Row],[Complete]]&gt;0,MAX(tblTasks[[#This Row],[End]],AsOf+ROUNDUP(tblTasks[[#This Row],[Remaining (days)]],0)),MAX(tblTasks[[#This Row],[Start]],AsOf+1)+tblTasks[[#This Row],[Duration (days)]]-1)))</f>
        <v>46377</v>
      </c>
      <c r="R31" s="40">
        <f>IF(tblTasks[[#This Row],[Task or deliverable]]="","",tblTasks[[#This Row],[Forecast end]]-IF(ISNUMBER(tblTasks[[#This Row],[Baseline end]]),tblTasks[[#This Row],[Baseline end]],tblTasks[[#This Row],[End]]))</f>
        <v>24</v>
      </c>
      <c r="S31" s="37">
        <f>IF(tblTasks[[#This Row],[Task or deliverable]]="","",IF(tblTasks[[#This Row],[Needed for SOP]]="Yes",tblTasks[[#This Row],[Forecast end]],""))</f>
        <v>46377</v>
      </c>
      <c r="T31" s="41" t="str">
        <f>IF(tblTasks[[#This Row],[Task or deliverable]]="","",IF(tblTasks[[#This Row],[Complete]]&gt;=1,"Complete",IF(AsOf&gt;tblTasks[[#This Row],[End]],"Overdue",IF(tblTasks[[#This Row],[Done (days)]]&lt;tblTasks[[#This Row],[Planned (days)]]-Tolerance*tblTasks[[#This Row],[Duration (days)]],"Below target",IF(tblTasks[[#This Row],[End]]-AsOf&lt;=DueSoonDays,"Due soon","OK")))))</f>
        <v>OK</v>
      </c>
      <c r="U31" s="42" t="str">
        <f>IF(tblTasks[[#This Row],[Task or deliverable]]="","",IF(tblTasks[[#This Row],[No.]]="","Missing no.",IF(tblTasks[[#This Row],[Start]]="","Missing start",IF(tblTasks[[#This Row],[Duration (days)]]="","Missing duration",IF(COUNTIF(tblTasks[No.],tblTasks[[#This Row],[No.]])&gt;1,"Duplicate task No.",IF(COUNTIF(tblPhases[Phase],tblTasks[[#This Row],[Phase]])=0,"Phase not on Setup list",IF(AND(ISNUMBER(tblTasks[[#This Row],[Predecessor]]),COUNTIF(tblTasks[No.],tblTasks[[#This Row],[Predecessor]])=0),"Predecessor not found",IF(AND(ISNUMBER(tblTasks[[#This Row],[Predecessor]]),tblTasks[[#This Row],[Predecessor]]=tblTasks[[#This Row],[No.]]),"Task is its own predecessor",IF(AND(ISNUMBER(tblTasks[[#This Row],[Predecessor]]),tblTasks[[#This Row],[Complete]]=0,IFERROR(tblTasks[[#This Row],[Start]]&lt;=INDEX(tblTasks[Forecast end],MATCH(tblTasks[[#This Row],[Predecessor]],tblTasks[No.],0)),FALSE)),"Starts before its predecessor ends",IF(tblTasks[[#This Row],[Start]]&lt;PlanStart,"Starts before the plan start",IF(AND(tblTasks[[#This Row],[Complete]]&gt;0,tblTasks[[#This Row],[Start]]&gt;AsOf),"Progress before the start date","OK")))))))))))</f>
        <v>OK</v>
      </c>
      <c r="V31" s="36" t="s">
        <v>166</v>
      </c>
    </row>
    <row r="32" spans="2:22">
      <c r="B32" s="30">
        <v>27</v>
      </c>
      <c r="C32" s="28" t="s">
        <v>95</v>
      </c>
      <c r="D32" s="36" t="s">
        <v>167</v>
      </c>
      <c r="E32" s="28" t="s">
        <v>104</v>
      </c>
      <c r="F32" s="30">
        <v>26</v>
      </c>
      <c r="G32" s="29">
        <v>46429</v>
      </c>
      <c r="H32" s="29">
        <v>46378</v>
      </c>
      <c r="I32" s="30">
        <v>60</v>
      </c>
      <c r="J32" s="31">
        <v>0</v>
      </c>
      <c r="K32" s="28" t="s">
        <v>168</v>
      </c>
      <c r="L32" s="37">
        <f>IF(tblTasks[[#This Row],[Task or deliverable]]="","",tblTasks[[#This Row],[Start]]+tblTasks[[#This Row],[Duration (days)]]-1)</f>
        <v>46437</v>
      </c>
      <c r="M32" s="38">
        <f>IF(tblTasks[[#This Row],[Task or deliverable]]="","",tblTasks[[#This Row],[Start]]-PlanStart)</f>
        <v>295</v>
      </c>
      <c r="N32" s="38">
        <f>IF(tblTasks[[#This Row],[Task or deliverable]]="","",MIN(tblTasks[[#This Row],[Duration (days)]],MAX(0,AsOf-tblTasks[[#This Row],[Start]]+1)))</f>
        <v>0</v>
      </c>
      <c r="O32" s="39">
        <f>IF(tblTasks[[#This Row],[Task or deliverable]]="","",tblTasks[[#This Row],[Duration (days)]]*tblTasks[[#This Row],[Complete]])</f>
        <v>0</v>
      </c>
      <c r="P32" s="39">
        <f>IF(tblTasks[[#This Row],[Task or deliverable]]="","",tblTasks[[#This Row],[Duration (days)]]-tblTasks[[#This Row],[Done (days)]])</f>
        <v>60</v>
      </c>
      <c r="Q32" s="37">
        <f>IF(tblTasks[[#This Row],[Task or deliverable]]="","",IF(tblTasks[[#This Row],[Complete]]&gt;=1,tblTasks[[#This Row],[End]],IF(tblTasks[[#This Row],[Complete]]&gt;0,MAX(tblTasks[[#This Row],[End]],AsOf+ROUNDUP(tblTasks[[#This Row],[Remaining (days)]],0)),MAX(tblTasks[[#This Row],[Start]],AsOf+1)+tblTasks[[#This Row],[Duration (days)]]-1)))</f>
        <v>46437</v>
      </c>
      <c r="R32" s="40">
        <f>IF(tblTasks[[#This Row],[Task or deliverable]]="","",tblTasks[[#This Row],[Forecast end]]-IF(ISNUMBER(tblTasks[[#This Row],[Baseline end]]),tblTasks[[#This Row],[Baseline end]],tblTasks[[#This Row],[End]]))</f>
        <v>8</v>
      </c>
      <c r="S32" s="37">
        <f>IF(tblTasks[[#This Row],[Task or deliverable]]="","",IF(tblTasks[[#This Row],[Needed for SOP]]="Yes",tblTasks[[#This Row],[Forecast end]],""))</f>
        <v/>
      </c>
      <c r="T32" s="41" t="str">
        <f>IF(tblTasks[[#This Row],[Task or deliverable]]="","",IF(tblTasks[[#This Row],[Complete]]&gt;=1,"Complete",IF(AsOf&gt;tblTasks[[#This Row],[End]],"Overdue",IF(tblTasks[[#This Row],[Done (days)]]&lt;tblTasks[[#This Row],[Planned (days)]]-Tolerance*tblTasks[[#This Row],[Duration (days)]],"Below target",IF(tblTasks[[#This Row],[End]]-AsOf&lt;=DueSoonDays,"Due soon","OK")))))</f>
        <v>OK</v>
      </c>
      <c r="U32" s="42" t="str">
        <f>IF(tblTasks[[#This Row],[Task or deliverable]]="","",IF(tblTasks[[#This Row],[No.]]="","Missing no.",IF(tblTasks[[#This Row],[Start]]="","Missing start",IF(tblTasks[[#This Row],[Duration (days)]]="","Missing duration",IF(COUNTIF(tblTasks[No.],tblTasks[[#This Row],[No.]])&gt;1,"Duplicate task No.",IF(COUNTIF(tblPhases[Phase],tblTasks[[#This Row],[Phase]])=0,"Phase not on Setup list",IF(AND(ISNUMBER(tblTasks[[#This Row],[Predecessor]]),COUNTIF(tblTasks[No.],tblTasks[[#This Row],[Predecessor]])=0),"Predecessor not found",IF(AND(ISNUMBER(tblTasks[[#This Row],[Predecessor]]),tblTasks[[#This Row],[Predecessor]]=tblTasks[[#This Row],[No.]]),"Task is its own predecessor",IF(AND(ISNUMBER(tblTasks[[#This Row],[Predecessor]]),tblTasks[[#This Row],[Complete]]=0,IFERROR(tblTasks[[#This Row],[Start]]&lt;=INDEX(tblTasks[Forecast end],MATCH(tblTasks[[#This Row],[Predecessor]],tblTasks[No.],0)),FALSE)),"Starts before its predecessor ends",IF(tblTasks[[#This Row],[Start]]&lt;PlanStart,"Starts before the plan start",IF(AND(tblTasks[[#This Row],[Complete]]&gt;0,tblTasks[[#This Row],[Start]]&gt;AsOf),"Progress before the start date","OK")))))))))))</f>
        <v>OK</v>
      </c>
      <c r="V32" s="36" t="s">
        <v>169</v>
      </c>
    </row>
    <row r="33" spans="2:22">
      <c r="B33" s="30">
        <v>28</v>
      </c>
      <c r="C33" s="28" t="s">
        <v>95</v>
      </c>
      <c r="D33" s="36" t="s">
        <v>170</v>
      </c>
      <c r="E33" s="28" t="s">
        <v>98</v>
      </c>
      <c r="F33" s="30">
        <v>27</v>
      </c>
      <c r="G33" s="29">
        <v>46443</v>
      </c>
      <c r="H33" s="29">
        <v>46440</v>
      </c>
      <c r="I33" s="30">
        <v>10</v>
      </c>
      <c r="J33" s="31">
        <v>0</v>
      </c>
      <c r="K33" s="28" t="s">
        <v>168</v>
      </c>
      <c r="L33" s="37">
        <f>IF(tblTasks[[#This Row],[Task or deliverable]]="","",tblTasks[[#This Row],[Start]]+tblTasks[[#This Row],[Duration (days)]]-1)</f>
        <v>46449</v>
      </c>
      <c r="M33" s="38">
        <f>IF(tblTasks[[#This Row],[Task or deliverable]]="","",tblTasks[[#This Row],[Start]]-PlanStart)</f>
        <v>357</v>
      </c>
      <c r="N33" s="38">
        <f>IF(tblTasks[[#This Row],[Task or deliverable]]="","",MIN(tblTasks[[#This Row],[Duration (days)]],MAX(0,AsOf-tblTasks[[#This Row],[Start]]+1)))</f>
        <v>0</v>
      </c>
      <c r="O33" s="39">
        <f>IF(tblTasks[[#This Row],[Task or deliverable]]="","",tblTasks[[#This Row],[Duration (days)]]*tblTasks[[#This Row],[Complete]])</f>
        <v>0</v>
      </c>
      <c r="P33" s="39">
        <f>IF(tblTasks[[#This Row],[Task or deliverable]]="","",tblTasks[[#This Row],[Duration (days)]]-tblTasks[[#This Row],[Done (days)]])</f>
        <v>10</v>
      </c>
      <c r="Q33" s="37">
        <f>IF(tblTasks[[#This Row],[Task or deliverable]]="","",IF(tblTasks[[#This Row],[Complete]]&gt;=1,tblTasks[[#This Row],[End]],IF(tblTasks[[#This Row],[Complete]]&gt;0,MAX(tblTasks[[#This Row],[End]],AsOf+ROUNDUP(tblTasks[[#This Row],[Remaining (days)]],0)),MAX(tblTasks[[#This Row],[Start]],AsOf+1)+tblTasks[[#This Row],[Duration (days)]]-1)))</f>
        <v>46449</v>
      </c>
      <c r="R33" s="40">
        <f>IF(tblTasks[[#This Row],[Task or deliverable]]="","",tblTasks[[#This Row],[Forecast end]]-IF(ISNUMBER(tblTasks[[#This Row],[Baseline end]]),tblTasks[[#This Row],[Baseline end]],tblTasks[[#This Row],[End]]))</f>
        <v>6</v>
      </c>
      <c r="S33" s="37">
        <f>IF(tblTasks[[#This Row],[Task or deliverable]]="","",IF(tblTasks[[#This Row],[Needed for SOP]]="Yes",tblTasks[[#This Row],[Forecast end]],""))</f>
        <v/>
      </c>
      <c r="T33" s="41" t="str">
        <f>IF(tblTasks[[#This Row],[Task or deliverable]]="","",IF(tblTasks[[#This Row],[Complete]]&gt;=1,"Complete",IF(AsOf&gt;tblTasks[[#This Row],[End]],"Overdue",IF(tblTasks[[#This Row],[Done (days)]]&lt;tblTasks[[#This Row],[Planned (days)]]-Tolerance*tblTasks[[#This Row],[Duration (days)]],"Below target",IF(tblTasks[[#This Row],[End]]-AsOf&lt;=DueSoonDays,"Due soon","OK")))))</f>
        <v>OK</v>
      </c>
      <c r="U33" s="42" t="str">
        <f>IF(tblTasks[[#This Row],[Task or deliverable]]="","",IF(tblTasks[[#This Row],[No.]]="","Missing no.",IF(tblTasks[[#This Row],[Start]]="","Missing start",IF(tblTasks[[#This Row],[Duration (days)]]="","Missing duration",IF(COUNTIF(tblTasks[No.],tblTasks[[#This Row],[No.]])&gt;1,"Duplicate task No.",IF(COUNTIF(tblPhases[Phase],tblTasks[[#This Row],[Phase]])=0,"Phase not on Setup list",IF(AND(ISNUMBER(tblTasks[[#This Row],[Predecessor]]),COUNTIF(tblTasks[No.],tblTasks[[#This Row],[Predecessor]])=0),"Predecessor not found",IF(AND(ISNUMBER(tblTasks[[#This Row],[Predecessor]]),tblTasks[[#This Row],[Predecessor]]=tblTasks[[#This Row],[No.]]),"Task is its own predecessor",IF(AND(ISNUMBER(tblTasks[[#This Row],[Predecessor]]),tblTasks[[#This Row],[Complete]]=0,IFERROR(tblTasks[[#This Row],[Start]]&lt;=INDEX(tblTasks[Forecast end],MATCH(tblTasks[[#This Row],[Predecessor]],tblTasks[No.],0)),FALSE)),"Starts before its predecessor ends",IF(tblTasks[[#This Row],[Start]]&lt;PlanStart,"Starts before the plan start",IF(AND(tblTasks[[#This Row],[Complete]]&gt;0,tblTasks[[#This Row],[Start]]&gt;AsOf),"Progress before the start date","OK")))))))))))</f>
        <v>OK</v>
      </c>
      <c r="V33" s="36" t="s">
        <v>133</v>
      </c>
    </row>
  </sheetData>
  <mergeCells count="3">
    <mergeCell ref="A1:V1"/>
    <mergeCell ref="B2:U2"/>
    <mergeCell ref="B4:V4"/>
  </mergeCells>
  <conditionalFormatting sqref="R6:R533">
    <cfRule type="expression" dxfId="3" priority="1" stopIfTrue="1">
      <formula>AND(ISNUMBER(R6),R6&lt;=(0))</formula>
    </cfRule>
    <cfRule type="expression" dxfId="4" priority="2" stopIfTrue="1">
      <formula>AND(ISNUMBER(R6),R6&lt;=(0)*(1+0.05))</formula>
    </cfRule>
    <cfRule type="expression" dxfId="5" priority="3">
      <formula>ISNUMBER(R6)</formula>
    </cfRule>
  </conditionalFormatting>
  <conditionalFormatting sqref="T6:T533">
    <cfRule type="cellIs" dxfId="0" priority="4" operator="equal">
      <formula>"On target"</formula>
    </cfRule>
    <cfRule type="cellIs" dxfId="0" priority="5" operator="equal">
      <formula>"PASS"</formula>
    </cfRule>
    <cfRule type="cellIs" dxfId="0" priority="6" operator="equal">
      <formula>"OK"</formula>
    </cfRule>
    <cfRule type="cellIs" dxfId="0" priority="7" operator="equal">
      <formula>"Within limits"</formula>
    </cfRule>
    <cfRule type="cellIs" dxfId="0" priority="8" operator="equal">
      <formula>"Under capacity"</formula>
    </cfRule>
    <cfRule type="cellIs" dxfId="0" priority="9" operator="equal">
      <formula>"Complete"</formula>
    </cfRule>
    <cfRule type="cellIs" dxfId="0" priority="10" operator="equal">
      <formula>"Yes"</formula>
    </cfRule>
    <cfRule type="cellIs" dxfId="1" priority="11" operator="equal">
      <formula>"Near target"</formula>
    </cfRule>
    <cfRule type="cellIs" dxfId="1" priority="12" operator="equal">
      <formula>"Check"</formula>
    </cfRule>
    <cfRule type="cellIs" dxfId="1" priority="13" operator="equal">
      <formula>"Due soon"</formula>
    </cfRule>
    <cfRule type="cellIs" dxfId="1" priority="14" operator="equal">
      <formula>"Near capacity"</formula>
    </cfRule>
    <cfRule type="cellIs" dxfId="1" priority="15" operator="equal">
      <formula>"In progress"</formula>
    </cfRule>
    <cfRule type="cellIs" dxfId="1" priority="16" operator="equal">
      <formula>"Partial"</formula>
    </cfRule>
    <cfRule type="cellIs" dxfId="2" priority="17" operator="equal">
      <formula>"Below target"</formula>
    </cfRule>
    <cfRule type="cellIs" dxfId="2" priority="18" operator="equal">
      <formula>"Above target"</formula>
    </cfRule>
    <cfRule type="cellIs" dxfId="2" priority="19" operator="equal">
      <formula>"FAIL"</formula>
    </cfRule>
    <cfRule type="cellIs" dxfId="2" priority="20" operator="equal">
      <formula>"Over capacity"</formula>
    </cfRule>
    <cfRule type="cellIs" dxfId="2" priority="21" operator="equal">
      <formula>"Overdue"</formula>
    </cfRule>
    <cfRule type="cellIs" dxfId="2" priority="22" operator="equal">
      <formula>"Out of limits"</formula>
    </cfRule>
    <cfRule type="cellIs" dxfId="2" priority="23" operator="equal">
      <formula>"No"</formula>
    </cfRule>
  </conditionalFormatting>
  <conditionalFormatting sqref="U6:U533">
    <cfRule type="expression" dxfId="3" priority="24">
      <formula>$U6="OK"</formula>
    </cfRule>
    <cfRule type="expression" dxfId="1" priority="25">
      <formula>AND($U6&lt;&gt;"",$U6&lt;&gt;"OK")</formula>
    </cfRule>
  </conditionalFormatting>
  <dataValidations count="11">
    <dataValidation type="whole" allowBlank="1" showInputMessage="1" showErrorMessage="1" errorTitle="Check this entry" error="Enter a whole number from 1 to 9,999." promptTitle="No." prompt="Task number, used as a predecessor reference. Each number once. Enter a whole number from 1 to 9,999." sqref="B6:B533">
      <formula1>1</formula1>
      <formula2>9999</formula2>
    </dataValidation>
    <dataValidation type="list" allowBlank="1" showInputMessage="1" showErrorMessage="1" errorTitle="Check this entry" error="Pick from the list (edit the list on Setup: Phases)." promptTitle="Phase" prompt="Pick from the list (edit the list on Setup: Phases)." sqref="C6:C533">
      <formula1>Phases</formula1>
    </dataValidation>
    <dataValidation type="textLength" allowBlank="1" showInputMessage="1" showErrorMessage="1" errorTitle="Check this entry" error="Text up to 80 characters." promptTitle="Task or deliverable" prompt="Text up to 80 characters." sqref="D6:D533">
      <formula1>0</formula1>
      <formula2>80</formula2>
    </dataValidation>
    <dataValidation type="list" allowBlank="1" showInputMessage="1" showErrorMessage="1" errorTitle="Check this entry" error="Pick from the list (edit the list on Setup: Owners)." promptTitle="Owner" prompt="Pick from the list (edit the list on Setup: Owners)." sqref="E6:E533">
      <formula1>Owners</formula1>
    </dataValidation>
    <dataValidation type="whole" allowBlank="1" showInputMessage="1" showErrorMessage="1" errorTitle="Check this entry" error="Enter a whole number from 1 to 9,999." promptTitle="Predecessor" prompt="Optional: the No. of a task that must finish before this one starts (finish-to-start). Check flags a start before the predecessor's forecast end. Enter a whole number from 1 to 9,999." sqref="F6:F533">
      <formula1>1</formula1>
      <formula2>9999</formula2>
    </dataValidation>
    <dataValidation type="date" allowBlank="1" showInputMessage="1" showErrorMessage="1" errorTitle="Check this entry" error="Enter a date between 01 Jan 2000 and 31 Dec 2100." promptTitle="Baseline end" prompt="Optional: the end date of the approved plan. Copy End here when the plan is approved; slip is measured against it (against End when blank). Enter a date between 01 Jan 2000 and 31 Dec 2100." sqref="G6:G533">
      <formula1>36526</formula1>
      <formula2>73415</formula2>
    </dataValidation>
    <dataValidation type="date" allowBlank="1" showInputMessage="1" showErrorMessage="1" errorTitle="Check this entry" error="Enter a date between 01 Jan 2000 and 31 Dec 2100." promptTitle="Start" prompt="Planned start (calendar date). Enter a date between 01 Jan 2000 and 31 Dec 2100." sqref="H6:H533">
      <formula1>36526</formula1>
      <formula2>73415</formula2>
    </dataValidation>
    <dataValidation type="whole" allowBlank="1" showInputMessage="1" showErrorMessage="1" errorTitle="Check this entry" error="Enter a whole number from 1 to 3,650." promptTitle="Duration (days)" prompt="Planned duration in calendar days, including the start day. Enter a whole number from 1 to 3,650." sqref="I6:I533">
      <formula1>1</formula1>
      <formula2>3650</formula2>
    </dataValidation>
    <dataValidation type="decimal" allowBlank="1" showInputMessage="1" showErrorMessage="1" errorTitle="Check this entry" error="Enter a percentage from 0% to 100% (type 85% or 0.85)." promptTitle="Complete" prompt="Share of the task done at the status date, 0% to 100%. Enter a percentage from 0% to 100% (type 85% or 0.85)." sqref="J6:J533">
      <formula1>0</formula1>
      <formula2>1</formula2>
    </dataValidation>
    <dataValidation type="list" allowBlank="1" showInputMessage="1" showErrorMessage="1" errorTitle="Check this entry" error="Pick one of: Yes, No." promptTitle="Needed for SOP" prompt="Yes when the task must finish before start of production. Pick one of: Yes, No." sqref="K6:K533">
      <formula1>"Yes,No"</formula1>
    </dataValidation>
    <dataValidation type="textLength" allowBlank="1" showInputMessage="1" showErrorMessage="1" errorTitle="Check this entry" error="Text up to 255 characters." promptTitle="Notes" prompt="Text up to 255 characters." sqref="V6:V533">
      <formula1>0</formula1>
      <formula2>255</formula2>
    </dataValidation>
  </dataValidations>
  <hyperlinks>
    <hyperlink ref="V2" r:id="rId1" tooltip="Free manufacturing calculators and templates"/>
  </hyperlinks>
  <pageMargins left="0.4" right="0.4" top="0.7" bottom="0.65" header="0.3" footer="0.3"/>
  <pageSetup fitToHeight="0" orientation="landscape"/>
  <headerFooter>
    <oddHeader>&amp;L&amp;8MFG Calcs - APQP Timeline&amp;R&amp;8&amp;A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sheetPr>
    <tabColor rgb="FF1BA37A"/>
    <pageSetUpPr fitToPage="1"/>
  </sheetPr>
  <dimension ref="A1:M74"/>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3" ht="30" customHeight="1">
      <c r="A1" s="1" t="s">
        <v>0</v>
      </c>
      <c r="B1" s="1"/>
      <c r="C1" s="1"/>
      <c r="D1" s="1"/>
      <c r="E1" s="1"/>
      <c r="F1" s="1"/>
      <c r="G1" s="1"/>
      <c r="H1" s="1"/>
      <c r="I1" s="1"/>
      <c r="J1" s="1"/>
      <c r="K1" s="1"/>
      <c r="L1" s="1"/>
      <c r="M1" s="1"/>
    </row>
    <row r="2" spans="1:13" ht="21" customHeight="1">
      <c r="B2" s="2" t="s">
        <v>24</v>
      </c>
      <c r="C2" s="2"/>
      <c r="D2" s="2"/>
      <c r="E2" s="2"/>
      <c r="F2" s="2"/>
      <c r="G2" s="2"/>
      <c r="H2" s="2"/>
      <c r="I2" s="2"/>
      <c r="J2" s="2"/>
      <c r="K2" s="2"/>
      <c r="L2" s="3" t="s">
        <v>2</v>
      </c>
      <c r="M2" s="3"/>
    </row>
    <row r="3" spans="1:13" ht="6" customHeight="1"/>
    <row r="4" spans="1:13">
      <c r="B4" s="43" t="str">
        <f>ProgramName&amp;" for "&amp;CustomerName&amp;". SOP "&amp;TEXT(SOPDate,"d mmm yyyy")&amp;"; status date "&amp;TEXT(AsOf,"d mmm yyyy")&amp;"; "&amp;COUNTA(tblTasks[Task or deliverable])&amp;" tasks."</f>
        <v>SH-40 sensor housing (example) for Northline Motors (example). SOP 14 Dec 2026; status date 9 Oct 2026; 28 tasks.</v>
      </c>
      <c r="C4" s="43"/>
      <c r="D4" s="43"/>
      <c r="E4" s="43"/>
      <c r="F4" s="43"/>
      <c r="G4" s="43"/>
      <c r="H4" s="43"/>
      <c r="I4" s="43"/>
      <c r="J4" s="43"/>
      <c r="K4" s="43"/>
      <c r="L4" s="43"/>
    </row>
    <row r="6" spans="1:13" ht="18" customHeight="1">
      <c r="B6" s="44" t="s">
        <v>171</v>
      </c>
      <c r="C6" s="44"/>
      <c r="D6" s="44" t="s">
        <v>172</v>
      </c>
      <c r="E6" s="44"/>
      <c r="F6" s="44"/>
      <c r="G6" s="44" t="s">
        <v>173</v>
      </c>
      <c r="H6" s="44"/>
      <c r="I6" s="44"/>
      <c r="J6" s="44" t="str">
        <f>"COST OF THE SLIP ("&amp;Currency&amp;", EST.)"</f>
        <v>COST OF THE SLIP (USD, EST.)</v>
      </c>
      <c r="K6" s="44"/>
      <c r="L6" s="44"/>
    </row>
    <row r="7" spans="1:13" ht="21" customHeight="1">
      <c r="B7" s="45">
        <f>IF((SUM(tblTasks[Duration (days)]))=0,"",(SUM(tblTasks[Done (days)]))/(SUM(tblTasks[Duration (days)])))</f>
        <v>0.664965986394558</v>
      </c>
      <c r="C7" s="45"/>
      <c r="D7" s="46">
        <f>COUNTIFS(tblTasks[Status],"Overdue")</f>
        <v>2</v>
      </c>
      <c r="E7" s="46"/>
      <c r="F7" s="46"/>
      <c r="G7" s="47">
        <f>IF(ISNUMBER(KpiSopFinish),MAX(0,KpiSopFinish-SOPDate)/7,"")</f>
        <v>1</v>
      </c>
      <c r="H7" s="47"/>
      <c r="I7" s="47"/>
      <c r="J7" s="46">
        <f>IF(NOT(ISNUMBER(KpiSlip)),"",IF(KpiSlip&gt;0,KpiSlip*MarginWeek*Unrecoverable+Expedite,0))</f>
        <v>24600</v>
      </c>
      <c r="K7" s="46"/>
      <c r="L7" s="46"/>
    </row>
    <row r="8" spans="1:13" ht="21" customHeight="1">
      <c r="B8" s="45"/>
      <c r="C8" s="45"/>
      <c r="D8" s="46"/>
      <c r="E8" s="46"/>
      <c r="F8" s="46"/>
      <c r="G8" s="47"/>
      <c r="H8" s="47"/>
      <c r="I8" s="47"/>
      <c r="J8" s="46"/>
      <c r="K8" s="46"/>
      <c r="L8" s="46"/>
    </row>
    <row r="9" spans="1:13">
      <c r="B9" s="48">
        <f>IF((SUM(tblTasks[Duration (days)]))=0,"",(SUM(tblTasks[Planned (days)]))/(SUM(tblTasks[Duration (days)])))</f>
        <v>0.709183673469388</v>
      </c>
      <c r="C9" s="48"/>
      <c r="D9" s="49">
        <f>0</f>
        <v>0</v>
      </c>
      <c r="E9" s="49"/>
      <c r="F9" s="49"/>
      <c r="G9" s="50">
        <f>0</f>
        <v>0</v>
      </c>
      <c r="H9" s="50"/>
      <c r="I9" s="50"/>
      <c r="J9" s="51" t="s">
        <v>174</v>
      </c>
      <c r="K9" s="51"/>
      <c r="L9" s="51"/>
    </row>
    <row r="10" spans="1:13" ht="18" customHeight="1">
      <c r="B10" s="52" t="str">
        <f>IF(NOT(ISNUMBER(KpiDone)),"No data",IF(KpiDone&gt;=(IF((SUM(tblTasks[Duration (days)]))=0,"",(SUM(tblTasks[Planned (days)]))/(SUM(tblTasks[Duration (days)])))),"On target",IF(KpiDone&gt;=(IF((SUM(tblTasks[Duration (days)]))=0,"",(SUM(tblTasks[Planned (days)]))/(SUM(tblTasks[Duration (days)]))))*(1-0.05),"Near target","Below target")))</f>
        <v>Below target</v>
      </c>
      <c r="C10" s="52"/>
      <c r="D10" s="52" t="str">
        <f>IF(NOT(ISNUMBER(KpiOverdue)),"No data",IF(KpiOverdue&lt;=(0),"On target",IF(KpiOverdue&lt;=(0)*(1+0.05),"Near target","Above target")))</f>
        <v>Above target</v>
      </c>
      <c r="E10" s="52"/>
      <c r="F10" s="52"/>
      <c r="G10" s="52" t="str">
        <f>IF(NOT(ISNUMBER(KpiSlip)),"No data",IF(KpiSlip&lt;=(0),"On target",IF(KpiSlip&lt;=(0)*(1+0.05),"Near target","Above target")))</f>
        <v>Above target</v>
      </c>
      <c r="H10" s="52"/>
      <c r="I10" s="52"/>
      <c r="J10" s="52"/>
      <c r="K10" s="52"/>
      <c r="L10" s="52"/>
    </row>
    <row r="28" spans="2:12" ht="18" customHeight="1">
      <c r="B28" s="44" t="s">
        <v>175</v>
      </c>
      <c r="C28" s="44"/>
      <c r="D28" s="44" t="s">
        <v>176</v>
      </c>
      <c r="E28" s="44"/>
      <c r="F28" s="44"/>
      <c r="G28" s="44" t="s">
        <v>177</v>
      </c>
      <c r="H28" s="44"/>
      <c r="I28" s="44"/>
      <c r="J28" s="44" t="s">
        <v>178</v>
      </c>
      <c r="K28" s="44"/>
      <c r="L28" s="44"/>
    </row>
    <row r="29" spans="2:12" ht="21" customHeight="1">
      <c r="B29" s="53">
        <f>IF(COUNT(tblTasks[SOP finish])=0,"",MAX(tblTasks[SOP finish]))</f>
        <v>46377</v>
      </c>
      <c r="C29" s="53"/>
      <c r="D29" s="46">
        <f>COUNTIFS(tblTasks[Slip (days)],"&gt;0")</f>
        <v>13</v>
      </c>
      <c r="E29" s="46"/>
      <c r="F29" s="46"/>
      <c r="G29" s="46">
        <f>COUNTIFS(tblTasks[Status],"Below target")</f>
        <v>1</v>
      </c>
      <c r="H29" s="46"/>
      <c r="I29" s="46"/>
      <c r="J29" s="46">
        <f>SOPDate-AsOf</f>
        <v>66</v>
      </c>
      <c r="K29" s="46"/>
      <c r="L29" s="46"/>
    </row>
    <row r="30" spans="2:12" ht="21" customHeight="1">
      <c r="B30" s="53"/>
      <c r="C30" s="53"/>
      <c r="D30" s="46"/>
      <c r="E30" s="46"/>
      <c r="F30" s="46"/>
      <c r="G30" s="46"/>
      <c r="H30" s="46"/>
      <c r="I30" s="46"/>
      <c r="J30" s="46"/>
      <c r="K30" s="46"/>
      <c r="L30" s="46"/>
    </row>
    <row r="31" spans="2:12">
      <c r="B31" s="51" t="s">
        <v>179</v>
      </c>
      <c r="C31" s="51"/>
      <c r="D31" s="51" t="s">
        <v>180</v>
      </c>
      <c r="E31" s="51"/>
      <c r="F31" s="51"/>
      <c r="G31" s="51" t="s">
        <v>181</v>
      </c>
      <c r="H31" s="51"/>
      <c r="I31" s="51"/>
      <c r="J31" s="51" t="s">
        <v>182</v>
      </c>
      <c r="K31" s="51"/>
      <c r="L31" s="51"/>
    </row>
    <row r="32" spans="2:12" ht="18" customHeight="1">
      <c r="B32" s="52"/>
      <c r="C32" s="52"/>
      <c r="D32" s="52"/>
      <c r="E32" s="52"/>
      <c r="F32" s="52"/>
      <c r="G32" s="52"/>
      <c r="H32" s="52"/>
      <c r="I32" s="52"/>
      <c r="J32" s="52"/>
      <c r="K32" s="52"/>
      <c r="L32" s="52"/>
    </row>
    <row r="34" spans="2:13">
      <c r="B34" s="33" t="s">
        <v>183</v>
      </c>
      <c r="C34" s="33"/>
      <c r="D34" s="33"/>
      <c r="E34" s="33"/>
      <c r="F34" s="33"/>
      <c r="G34" s="33"/>
      <c r="H34" s="33"/>
      <c r="I34" s="33"/>
      <c r="J34" s="33"/>
      <c r="K34" s="33"/>
      <c r="L34" s="33"/>
      <c r="M34" s="33"/>
    </row>
    <row r="35" spans="2:13" ht="45.5" customHeight="1">
      <c r="B35" s="54" t="s">
        <v>62</v>
      </c>
      <c r="C35" s="34" t="s">
        <v>184</v>
      </c>
      <c r="D35" s="34" t="s">
        <v>116</v>
      </c>
      <c r="E35" s="34" t="s">
        <v>120</v>
      </c>
      <c r="F35" s="34" t="s">
        <v>185</v>
      </c>
      <c r="G35" s="34" t="s">
        <v>21</v>
      </c>
      <c r="H35" s="34" t="s">
        <v>186</v>
      </c>
      <c r="I35" s="34" t="s">
        <v>187</v>
      </c>
      <c r="J35" s="34" t="s">
        <v>188</v>
      </c>
      <c r="K35" s="34" t="s">
        <v>121</v>
      </c>
      <c r="L35" s="34" t="s">
        <v>189</v>
      </c>
      <c r="M35" s="34" t="s">
        <v>190</v>
      </c>
    </row>
    <row r="36" spans="2:13">
      <c r="B36" s="55" t="str">
        <f>IFERROR(INDEX(tblPhases[Phase],1)&amp;"","")</f>
        <v>1 Plan and define</v>
      </c>
      <c r="C36" s="38">
        <f>IF($B$36="","",COUNTIFS(tblTasks[Phase],$B$36))</f>
        <v>5</v>
      </c>
      <c r="D36" s="56">
        <f>IF($B$36="","",SUMPRODUCT(MIN(tblTasks[Start]+(tblTasks[Phase]&lt;&gt;$B$36)*100000)))</f>
        <v>46083</v>
      </c>
      <c r="E36" s="56">
        <f>IF($B$36="","",SUMPRODUCT(MAX((tblTasks[Phase]=$B$36)*(tblTasks[Start]+tblTasks[Duration (days)]-1))))</f>
        <v>46118</v>
      </c>
      <c r="F36" s="57">
        <f>IF($B$36="","",IF((SUMIFS(tblTasks[Duration (days)],tblTasks[Phase],$B$36))=0,"",(SUMIFS(tblTasks[Done (days)],tblTasks[Phase],$B$36))/(SUMIFS(tblTasks[Duration (days)],tblTasks[Phase],$B$36))))</f>
        <v>1</v>
      </c>
      <c r="G36" s="57">
        <f>IF($B$36="","",IF((SUMIFS(tblTasks[Duration (days)],tblTasks[Phase],$B$36))=0,"",(SUMIFS(tblTasks[Planned (days)],tblTasks[Phase],$B$36))/(SUMIFS(tblTasks[Duration (days)],tblTasks[Phase],$B$36))))</f>
        <v>1</v>
      </c>
      <c r="H36" s="38">
        <f>IF($B$36="","",COUNTIFS(tblTasks[Phase],$B$36,tblTasks[Status],"Overdue"))</f>
        <v>0</v>
      </c>
      <c r="I36" s="38">
        <f>IF($B$36="","",COUNTIFS(tblTasks[Phase],$B$36,tblTasks[Status],"Below target"))</f>
        <v>0</v>
      </c>
      <c r="J36" s="38">
        <f>IF($B$36="","",COUNTIFS(tblTasks[Phase],$B$36,tblTasks[Slip (days)],"&gt;0"))</f>
        <v>0</v>
      </c>
      <c r="K36" s="38">
        <f>IF($B$36="","",$D$36-PlanStart)</f>
        <v>0</v>
      </c>
      <c r="L36" s="39">
        <f>IF($B$36="","",($E$36-$D$36+1)*$F$36)</f>
        <v>36</v>
      </c>
      <c r="M36" s="39">
        <f>IF($B$36="","",($E$36-$D$36+1)-$L$36)</f>
        <v>0</v>
      </c>
    </row>
    <row r="37" spans="2:13">
      <c r="B37" s="55" t="str">
        <f>IFERROR(INDEX(tblPhases[Phase],2)&amp;"","")</f>
        <v>2 Product design</v>
      </c>
      <c r="C37" s="38">
        <f>IF($B$37="","",COUNTIFS(tblTasks[Phase],$B$37))</f>
        <v>6</v>
      </c>
      <c r="D37" s="56">
        <f>IF($B$37="","",SUMPRODUCT(MIN(tblTasks[Start]+(tblTasks[Phase]&lt;&gt;$B$37)*100000)))</f>
        <v>46119</v>
      </c>
      <c r="E37" s="56">
        <f>IF($B$37="","",SUMPRODUCT(MAX((tblTasks[Phase]=$B$37)*(tblTasks[Start]+tblTasks[Duration (days)]-1))))</f>
        <v>46216</v>
      </c>
      <c r="F37" s="57">
        <f>IF($B$37="","",IF((SUMIFS(tblTasks[Duration (days)],tblTasks[Phase],$B$37))=0,"",(SUMIFS(tblTasks[Done (days)],tblTasks[Phase],$B$37))/(SUMIFS(tblTasks[Duration (days)],tblTasks[Phase],$B$37))))</f>
        <v>1</v>
      </c>
      <c r="G37" s="57">
        <f>IF($B$37="","",IF((SUMIFS(tblTasks[Duration (days)],tblTasks[Phase],$B$37))=0,"",(SUMIFS(tblTasks[Planned (days)],tblTasks[Phase],$B$37))/(SUMIFS(tblTasks[Duration (days)],tblTasks[Phase],$B$37))))</f>
        <v>1</v>
      </c>
      <c r="H37" s="38">
        <f>IF($B$37="","",COUNTIFS(tblTasks[Phase],$B$37,tblTasks[Status],"Overdue"))</f>
        <v>0</v>
      </c>
      <c r="I37" s="38">
        <f>IF($B$37="","",COUNTIFS(tblTasks[Phase],$B$37,tblTasks[Status],"Below target"))</f>
        <v>0</v>
      </c>
      <c r="J37" s="38">
        <f>IF($B$37="","",COUNTIFS(tblTasks[Phase],$B$37,tblTasks[Slip (days)],"&gt;0"))</f>
        <v>0</v>
      </c>
      <c r="K37" s="38">
        <f>IF($B$37="","",$D$37-PlanStart)</f>
        <v>36</v>
      </c>
      <c r="L37" s="39">
        <f>IF($B$37="","",($E$37-$D$37+1)*$F$37)</f>
        <v>98</v>
      </c>
      <c r="M37" s="39">
        <f>IF($B$37="","",($E$37-$D$37+1)-$L$37)</f>
        <v>0</v>
      </c>
    </row>
    <row r="38" spans="2:13">
      <c r="B38" s="55" t="str">
        <f>IFERROR(INDEX(tblPhases[Phase],3)&amp;"","")</f>
        <v>3 Process design</v>
      </c>
      <c r="C38" s="38">
        <f>IF($B$38="","",COUNTIFS(tblTasks[Phase],$B$38))</f>
        <v>8</v>
      </c>
      <c r="D38" s="56">
        <f>IF($B$38="","",SUMPRODUCT(MIN(tblTasks[Start]+(tblTasks[Phase]&lt;&gt;$B$38)*100000)))</f>
        <v>46167</v>
      </c>
      <c r="E38" s="56">
        <f>IF($B$38="","",SUMPRODUCT(MAX((tblTasks[Phase]=$B$38)*(tblTasks[Start]+tblTasks[Duration (days)]-1))))</f>
        <v>46315</v>
      </c>
      <c r="F38" s="57">
        <f>IF($B$38="","",IF((SUMIFS(tblTasks[Duration (days)],tblTasks[Phase],$B$38))=0,"",(SUMIFS(tblTasks[Done (days)],tblTasks[Phase],$B$38))/(SUMIFS(tblTasks[Duration (days)],tblTasks[Phase],$B$38))))</f>
        <v>0.895752895752896</v>
      </c>
      <c r="G38" s="57">
        <f>IF($B$38="","",IF((SUMIFS(tblTasks[Duration (days)],tblTasks[Phase],$B$38))=0,"",(SUMIFS(tblTasks[Planned (days)],tblTasks[Phase],$B$38))/(SUMIFS(tblTasks[Duration (days)],tblTasks[Phase],$B$38))))</f>
        <v>0.957528957528958</v>
      </c>
      <c r="H38" s="38">
        <f>IF($B$38="","",COUNTIFS(tblTasks[Phase],$B$38,tblTasks[Status],"Overdue"))</f>
        <v>1</v>
      </c>
      <c r="I38" s="38">
        <f>IF($B$38="","",COUNTIFS(tblTasks[Phase],$B$38,tblTasks[Status],"Below target"))</f>
        <v>1</v>
      </c>
      <c r="J38" s="38">
        <f>IF($B$38="","",COUNTIFS(tblTasks[Phase],$B$38,tblTasks[Slip (days)],"&gt;0"))</f>
        <v>4</v>
      </c>
      <c r="K38" s="38">
        <f>IF($B$38="","",$D$38-PlanStart)</f>
        <v>84</v>
      </c>
      <c r="L38" s="39">
        <f>IF($B$38="","",($E$38-$D$38+1)*$F$38)</f>
        <v>133.467181467181</v>
      </c>
      <c r="M38" s="39">
        <f>IF($B$38="","",($E$38-$D$38+1)-$L$38)</f>
        <v>15.5328185328185</v>
      </c>
    </row>
    <row r="39" spans="2:13">
      <c r="B39" s="55" t="str">
        <f>IFERROR(INDEX(tblPhases[Phase],4)&amp;"","")</f>
        <v>4 Validation</v>
      </c>
      <c r="C39" s="38">
        <f>IF($B$39="","",COUNTIFS(tblTasks[Phase],$B$39))</f>
        <v>7</v>
      </c>
      <c r="D39" s="56">
        <f>IF($B$39="","",SUMPRODUCT(MIN(tblTasks[Start]+(tblTasks[Phase]&lt;&gt;$B$39)*100000)))</f>
        <v>46273</v>
      </c>
      <c r="E39" s="56">
        <f>IF($B$39="","",SUMPRODUCT(MAX((tblTasks[Phase]=$B$39)*(tblTasks[Start]+tblTasks[Duration (days)]-1))))</f>
        <v>46377</v>
      </c>
      <c r="F39" s="57">
        <f>IF($B$39="","",IF((SUMIFS(tblTasks[Duration (days)],tblTasks[Phase],$B$39))=0,"",(SUMIFS(tblTasks[Done (days)],tblTasks[Phase],$B$39))/(SUMIFS(tblTasks[Duration (days)],tblTasks[Phase],$B$39))))</f>
        <v>0.130434782608696</v>
      </c>
      <c r="G39" s="57">
        <f>IF($B$39="","",IF((SUMIFS(tblTasks[Duration (days)],tblTasks[Phase],$B$39))=0,"",(SUMIFS(tblTasks[Planned (days)],tblTasks[Phase],$B$39))/(SUMIFS(tblTasks[Duration (days)],tblTasks[Phase],$B$39))))</f>
        <v>0.217391304347826</v>
      </c>
      <c r="H39" s="38">
        <f>IF($B$39="","",COUNTIFS(tblTasks[Phase],$B$39,tblTasks[Status],"Overdue"))</f>
        <v>1</v>
      </c>
      <c r="I39" s="38">
        <f>IF($B$39="","",COUNTIFS(tblTasks[Phase],$B$39,tblTasks[Status],"Below target"))</f>
        <v>0</v>
      </c>
      <c r="J39" s="38">
        <f>IF($B$39="","",COUNTIFS(tblTasks[Phase],$B$39,tblTasks[Slip (days)],"&gt;0"))</f>
        <v>7</v>
      </c>
      <c r="K39" s="38">
        <f>IF($B$39="","",$D$39-PlanStart)</f>
        <v>190</v>
      </c>
      <c r="L39" s="39">
        <f>IF($B$39="","",($E$39-$D$39+1)*$F$39)</f>
        <v>13.695652173913</v>
      </c>
      <c r="M39" s="39">
        <f>IF($B$39="","",($E$39-$D$39+1)-$L$39)</f>
        <v>91.304347826087</v>
      </c>
    </row>
    <row r="40" spans="2:13">
      <c r="B40" s="55" t="str">
        <f>IFERROR(INDEX(tblPhases[Phase],5)&amp;"","")</f>
        <v>5 Launch and feedback</v>
      </c>
      <c r="C40" s="38">
        <f>IF($B$40="","",COUNTIFS(tblTasks[Phase],$B$40))</f>
        <v>2</v>
      </c>
      <c r="D40" s="56">
        <f>IF($B$40="","",SUMPRODUCT(MIN(tblTasks[Start]+(tblTasks[Phase]&lt;&gt;$B$40)*100000)))</f>
        <v>46378</v>
      </c>
      <c r="E40" s="56">
        <f>IF($B$40="","",SUMPRODUCT(MAX((tblTasks[Phase]=$B$40)*(tblTasks[Start]+tblTasks[Duration (days)]-1))))</f>
        <v>46449</v>
      </c>
      <c r="F40" s="57">
        <f>IF($B$40="","",IF((SUMIFS(tblTasks[Duration (days)],tblTasks[Phase],$B$40))=0,"",(SUMIFS(tblTasks[Done (days)],tblTasks[Phase],$B$40))/(SUMIFS(tblTasks[Duration (days)],tblTasks[Phase],$B$40))))</f>
        <v>0</v>
      </c>
      <c r="G40" s="57">
        <f>IF($B$40="","",IF((SUMIFS(tblTasks[Duration (days)],tblTasks[Phase],$B$40))=0,"",(SUMIFS(tblTasks[Planned (days)],tblTasks[Phase],$B$40))/(SUMIFS(tblTasks[Duration (days)],tblTasks[Phase],$B$40))))</f>
        <v>0</v>
      </c>
      <c r="H40" s="38">
        <f>IF($B$40="","",COUNTIFS(tblTasks[Phase],$B$40,tblTasks[Status],"Overdue"))</f>
        <v>0</v>
      </c>
      <c r="I40" s="38">
        <f>IF($B$40="","",COUNTIFS(tblTasks[Phase],$B$40,tblTasks[Status],"Below target"))</f>
        <v>0</v>
      </c>
      <c r="J40" s="38">
        <f>IF($B$40="","",COUNTIFS(tblTasks[Phase],$B$40,tblTasks[Slip (days)],"&gt;0"))</f>
        <v>2</v>
      </c>
      <c r="K40" s="38">
        <f>IF($B$40="","",$D$40-PlanStart)</f>
        <v>295</v>
      </c>
      <c r="L40" s="39">
        <f>IF($B$40="","",($E$40-$D$40+1)*$F$40)</f>
        <v>0</v>
      </c>
      <c r="M40" s="39">
        <f>IF($B$40="","",($E$40-$D$40+1)-$L$40)</f>
        <v>72</v>
      </c>
    </row>
    <row r="73" spans="2:12" ht="26.76" customHeight="1">
      <c r="B73" s="21" t="s">
        <v>191</v>
      </c>
      <c r="C73" s="21"/>
      <c r="D73" s="21"/>
      <c r="E73" s="21"/>
      <c r="F73" s="21"/>
      <c r="G73" s="21"/>
      <c r="H73" s="21"/>
      <c r="I73" s="21"/>
      <c r="J73" s="21"/>
      <c r="K73" s="21"/>
      <c r="L73" s="21"/>
    </row>
    <row r="74" spans="2:12">
      <c r="B74" s="58">
        <f>IF(COUNTA(tblPhases[Phase])&gt;5,"The phase list is longer than the Dashboard block: some phases are not shown.","")</f>
        <v/>
      </c>
      <c r="C74" s="58"/>
      <c r="D74" s="58"/>
      <c r="E74" s="58"/>
      <c r="F74" s="58"/>
      <c r="G74" s="58"/>
      <c r="H74" s="58"/>
      <c r="I74" s="58"/>
      <c r="J74" s="58"/>
      <c r="K74" s="58"/>
      <c r="L74" s="58"/>
    </row>
  </sheetData>
  <sheetProtection sheet="1" formatColumns="0" formatRows="0"/>
  <mergeCells count="39">
    <mergeCell ref="A1:M1"/>
    <mergeCell ref="B2:K2"/>
    <mergeCell ref="L2:M2"/>
    <mergeCell ref="B4:L4"/>
    <mergeCell ref="B6:C6"/>
    <mergeCell ref="B7:C8"/>
    <mergeCell ref="B9:C9"/>
    <mergeCell ref="B10:C10"/>
    <mergeCell ref="D6:F6"/>
    <mergeCell ref="D7:F8"/>
    <mergeCell ref="D9:F9"/>
    <mergeCell ref="D10:F10"/>
    <mergeCell ref="G6:I6"/>
    <mergeCell ref="G7:I8"/>
    <mergeCell ref="G9:I9"/>
    <mergeCell ref="G10:I10"/>
    <mergeCell ref="J6:L6"/>
    <mergeCell ref="J7:L8"/>
    <mergeCell ref="J9:L9"/>
    <mergeCell ref="J10:L10"/>
    <mergeCell ref="B28:C28"/>
    <mergeCell ref="B29:C30"/>
    <mergeCell ref="B31:C31"/>
    <mergeCell ref="B32:C32"/>
    <mergeCell ref="D28:F28"/>
    <mergeCell ref="D29:F30"/>
    <mergeCell ref="D31:F31"/>
    <mergeCell ref="D32:F32"/>
    <mergeCell ref="G28:I28"/>
    <mergeCell ref="G29:I30"/>
    <mergeCell ref="G31:I31"/>
    <mergeCell ref="G32:I32"/>
    <mergeCell ref="J28:L28"/>
    <mergeCell ref="J29:L30"/>
    <mergeCell ref="J31:L31"/>
    <mergeCell ref="J32:L32"/>
    <mergeCell ref="B34:M34"/>
    <mergeCell ref="B73:L73"/>
    <mergeCell ref="B74:L74"/>
  </mergeCells>
  <conditionalFormatting sqref="B10">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D10">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G10">
    <cfRule type="cellIs" dxfId="0" priority="41" operator="equal">
      <formula>"On target"</formula>
    </cfRule>
    <cfRule type="cellIs" dxfId="0" priority="42" operator="equal">
      <formula>"PASS"</formula>
    </cfRule>
    <cfRule type="cellIs" dxfId="0" priority="43" operator="equal">
      <formula>"OK"</formula>
    </cfRule>
    <cfRule type="cellIs" dxfId="0" priority="44" operator="equal">
      <formula>"Within limits"</formula>
    </cfRule>
    <cfRule type="cellIs" dxfId="0" priority="45" operator="equal">
      <formula>"Under capacity"</formula>
    </cfRule>
    <cfRule type="cellIs" dxfId="0" priority="46" operator="equal">
      <formula>"Complete"</formula>
    </cfRule>
    <cfRule type="cellIs" dxfId="0" priority="47" operator="equal">
      <formula>"Yes"</formula>
    </cfRule>
    <cfRule type="cellIs" dxfId="1" priority="48" operator="equal">
      <formula>"Near target"</formula>
    </cfRule>
    <cfRule type="cellIs" dxfId="1" priority="49" operator="equal">
      <formula>"Check"</formula>
    </cfRule>
    <cfRule type="cellIs" dxfId="1" priority="50" operator="equal">
      <formula>"Due soon"</formula>
    </cfRule>
    <cfRule type="cellIs" dxfId="1" priority="51" operator="equal">
      <formula>"Near capacity"</formula>
    </cfRule>
    <cfRule type="cellIs" dxfId="1" priority="52" operator="equal">
      <formula>"In progress"</formula>
    </cfRule>
    <cfRule type="cellIs" dxfId="1" priority="53" operator="equal">
      <formula>"Partial"</formula>
    </cfRule>
    <cfRule type="cellIs" dxfId="2" priority="54" operator="equal">
      <formula>"Below target"</formula>
    </cfRule>
    <cfRule type="cellIs" dxfId="2" priority="55" operator="equal">
      <formula>"Above target"</formula>
    </cfRule>
    <cfRule type="cellIs" dxfId="2" priority="56" operator="equal">
      <formula>"FAIL"</formula>
    </cfRule>
    <cfRule type="cellIs" dxfId="2" priority="57" operator="equal">
      <formula>"Over capacity"</formula>
    </cfRule>
    <cfRule type="cellIs" dxfId="2" priority="58" operator="equal">
      <formula>"Overdue"</formula>
    </cfRule>
    <cfRule type="cellIs" dxfId="2" priority="59" operator="equal">
      <formula>"Out of limits"</formula>
    </cfRule>
    <cfRule type="cellIs" dxfId="2" priority="60" operator="equal">
      <formula>"No"</formula>
    </cfRule>
  </conditionalFormatting>
  <hyperlinks>
    <hyperlink ref="L2" r:id="rId1" tooltip="Free manufacturing calculators and templates"/>
  </hyperlinks>
  <pageMargins left="0.4" right="0.4" top="0.7" bottom="0.65" header="0.3" footer="0.3"/>
  <pageSetup fitToHeight="0" orientation="landscape"/>
  <headerFooter>
    <oddHeader>&amp;L&amp;8MFG Calcs - APQP Timeline&amp;R&amp;8&amp;A</oddHeader>
    <oddFooter>&amp;L&amp;8mfgcalcs.com - free manufacturing templates&amp;R&amp;8Page &amp;P of &amp;N</oddFooter>
  </headerFooter>
  <rowBreaks count="1" manualBreakCount="1">
    <brk id="27"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9"/>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192</v>
      </c>
      <c r="C4" s="8"/>
      <c r="D4" s="8"/>
    </row>
    <row r="5" spans="1:4" ht="5" customHeight="1"/>
    <row r="6" spans="1:4" ht="69" customHeight="1">
      <c r="B6" s="10" t="s">
        <v>193</v>
      </c>
      <c r="C6" s="10"/>
      <c r="D6" s="10"/>
    </row>
    <row r="8" spans="1:4" ht="21" customHeight="1">
      <c r="B8" s="8" t="s">
        <v>194</v>
      </c>
      <c r="C8" s="8"/>
      <c r="D8" s="8"/>
    </row>
    <row r="9" spans="1:4" ht="5" customHeight="1"/>
    <row r="10" spans="1:4" ht="20" customHeight="1">
      <c r="B10" s="54" t="s">
        <v>195</v>
      </c>
      <c r="C10" s="54" t="s">
        <v>196</v>
      </c>
      <c r="D10" s="34" t="s">
        <v>197</v>
      </c>
    </row>
    <row r="11" spans="1:4" ht="17.2" customHeight="1">
      <c r="B11" s="59" t="s">
        <v>120</v>
      </c>
      <c r="C11" s="60" t="s">
        <v>198</v>
      </c>
      <c r="D11" s="61" t="s">
        <v>199</v>
      </c>
    </row>
    <row r="12" spans="1:4" ht="17.2" customHeight="1">
      <c r="B12" s="59" t="s">
        <v>200</v>
      </c>
      <c r="C12" s="60" t="s">
        <v>201</v>
      </c>
      <c r="D12" s="61" t="s">
        <v>77</v>
      </c>
    </row>
    <row r="13" spans="1:4" ht="30.4" customHeight="1">
      <c r="B13" s="59" t="s">
        <v>202</v>
      </c>
      <c r="C13" s="60" t="s">
        <v>203</v>
      </c>
      <c r="D13" s="61" t="s">
        <v>77</v>
      </c>
    </row>
    <row r="14" spans="1:4" ht="17.2" customHeight="1">
      <c r="B14" s="59" t="s">
        <v>204</v>
      </c>
      <c r="C14" s="60" t="s">
        <v>205</v>
      </c>
      <c r="D14" s="61" t="s">
        <v>77</v>
      </c>
    </row>
    <row r="15" spans="1:4" ht="43.6" customHeight="1">
      <c r="B15" s="59" t="s">
        <v>125</v>
      </c>
      <c r="C15" s="60" t="s">
        <v>206</v>
      </c>
      <c r="D15" s="61" t="s">
        <v>199</v>
      </c>
    </row>
    <row r="16" spans="1:4" ht="30.4" customHeight="1">
      <c r="B16" s="59" t="s">
        <v>207</v>
      </c>
      <c r="C16" s="60" t="s">
        <v>208</v>
      </c>
      <c r="D16" s="61" t="s">
        <v>77</v>
      </c>
    </row>
    <row r="17" spans="2:4" ht="43.6" customHeight="1">
      <c r="B17" s="59" t="s">
        <v>128</v>
      </c>
      <c r="C17" s="60" t="s">
        <v>209</v>
      </c>
      <c r="D17" s="61" t="s">
        <v>210</v>
      </c>
    </row>
    <row r="18" spans="2:4" ht="30.4" customHeight="1">
      <c r="B18" s="59" t="s">
        <v>211</v>
      </c>
      <c r="C18" s="60" t="s">
        <v>212</v>
      </c>
      <c r="D18" s="61" t="s">
        <v>210</v>
      </c>
    </row>
    <row r="19" spans="2:4" ht="30.4" customHeight="1">
      <c r="B19" s="59" t="s">
        <v>213</v>
      </c>
      <c r="C19" s="60" t="s">
        <v>214</v>
      </c>
      <c r="D19" s="61" t="s">
        <v>215</v>
      </c>
    </row>
    <row r="20" spans="2:4" ht="17.2" customHeight="1">
      <c r="B20" s="59" t="s">
        <v>216</v>
      </c>
      <c r="C20" s="60" t="s">
        <v>217</v>
      </c>
      <c r="D20" s="61" t="s">
        <v>218</v>
      </c>
    </row>
    <row r="21" spans="2:4" ht="30.4" customHeight="1">
      <c r="B21" s="59" t="s">
        <v>219</v>
      </c>
      <c r="C21" s="60" t="s">
        <v>220</v>
      </c>
      <c r="D21" s="61" t="s">
        <v>221</v>
      </c>
    </row>
    <row r="22" spans="2:4" ht="30.4" customHeight="1">
      <c r="B22" s="59" t="s">
        <v>222</v>
      </c>
      <c r="C22" s="60" t="s">
        <v>223</v>
      </c>
      <c r="D22" s="61" t="s">
        <v>224</v>
      </c>
    </row>
    <row r="24" spans="2:4" ht="21" customHeight="1">
      <c r="B24" s="8" t="s">
        <v>225</v>
      </c>
      <c r="C24" s="8"/>
      <c r="D24" s="8"/>
    </row>
    <row r="25" spans="2:4" ht="5" customHeight="1"/>
    <row r="26" spans="2:4" ht="29.4" customHeight="1">
      <c r="B26" s="26" t="s">
        <v>55</v>
      </c>
      <c r="C26" s="10" t="s">
        <v>226</v>
      </c>
      <c r="D26" s="10"/>
    </row>
    <row r="27" spans="2:4" ht="29.4" customHeight="1">
      <c r="B27" s="26" t="s">
        <v>55</v>
      </c>
      <c r="C27" s="10" t="s">
        <v>227</v>
      </c>
      <c r="D27" s="10"/>
    </row>
    <row r="28" spans="2:4" ht="42.6" customHeight="1">
      <c r="B28" s="26" t="s">
        <v>55</v>
      </c>
      <c r="C28" s="10" t="s">
        <v>228</v>
      </c>
      <c r="D28" s="10"/>
    </row>
    <row r="29" spans="2:4" ht="29.4" customHeight="1">
      <c r="B29" s="26" t="s">
        <v>55</v>
      </c>
      <c r="C29" s="10" t="s">
        <v>229</v>
      </c>
      <c r="D29" s="10"/>
    </row>
    <row r="31" spans="2:4" ht="21" customHeight="1">
      <c r="B31" s="8" t="s">
        <v>230</v>
      </c>
      <c r="C31" s="8"/>
      <c r="D31" s="8"/>
    </row>
    <row r="32" spans="2:4" ht="5" customHeight="1"/>
    <row r="33" spans="2:4" ht="29.4" customHeight="1">
      <c r="B33" s="26" t="s">
        <v>55</v>
      </c>
      <c r="C33" s="10" t="s">
        <v>231</v>
      </c>
      <c r="D33" s="10"/>
    </row>
    <row r="34" spans="2:4" ht="16.2" customHeight="1">
      <c r="B34" s="26" t="s">
        <v>55</v>
      </c>
      <c r="C34" s="10" t="s">
        <v>232</v>
      </c>
      <c r="D34" s="10"/>
    </row>
    <row r="35" spans="2:4" ht="29.4" customHeight="1">
      <c r="B35" s="26" t="s">
        <v>55</v>
      </c>
      <c r="C35" s="10" t="s">
        <v>233</v>
      </c>
      <c r="D35" s="10"/>
    </row>
    <row r="36" spans="2:4" ht="29.4" customHeight="1">
      <c r="B36" s="26" t="s">
        <v>55</v>
      </c>
      <c r="C36" s="10" t="s">
        <v>234</v>
      </c>
      <c r="D36" s="10"/>
    </row>
    <row r="38" spans="2:4" ht="21" customHeight="1">
      <c r="B38" s="8" t="s">
        <v>235</v>
      </c>
      <c r="C38" s="8"/>
      <c r="D38" s="8"/>
    </row>
    <row r="39" spans="2:4" ht="5" customHeight="1"/>
    <row r="40" spans="2:4" ht="55.8" customHeight="1">
      <c r="B40" s="10" t="s">
        <v>236</v>
      </c>
      <c r="C40" s="10"/>
      <c r="D40" s="10"/>
    </row>
    <row r="41" spans="2:4">
      <c r="B41" s="24" t="s">
        <v>237</v>
      </c>
      <c r="C41" s="24"/>
      <c r="D41" s="24"/>
    </row>
    <row r="43" spans="2:4" ht="21" customHeight="1">
      <c r="B43" s="8" t="s">
        <v>42</v>
      </c>
      <c r="C43" s="8"/>
      <c r="D43" s="8"/>
    </row>
    <row r="44" spans="2:4" ht="5" customHeight="1"/>
    <row r="45" spans="2:4" ht="42.6" customHeight="1">
      <c r="B45" s="10" t="s">
        <v>238</v>
      </c>
      <c r="C45" s="10"/>
      <c r="D45" s="10"/>
    </row>
    <row r="47" spans="2:4" ht="21" customHeight="1">
      <c r="B47" s="8" t="s">
        <v>239</v>
      </c>
      <c r="C47" s="8"/>
      <c r="D47" s="8"/>
    </row>
    <row r="48" spans="2:4" ht="5" customHeight="1"/>
    <row r="49" spans="2:4" ht="29.4" customHeight="1">
      <c r="B49" s="26" t="s">
        <v>55</v>
      </c>
      <c r="C49" s="10" t="s">
        <v>240</v>
      </c>
      <c r="D49" s="10"/>
    </row>
    <row r="50" spans="2:4" ht="29.4" customHeight="1">
      <c r="B50" s="26" t="s">
        <v>55</v>
      </c>
      <c r="C50" s="10" t="s">
        <v>241</v>
      </c>
      <c r="D50" s="10"/>
    </row>
    <row r="51" spans="2:4" ht="29.4" customHeight="1">
      <c r="B51" s="26" t="s">
        <v>55</v>
      </c>
      <c r="C51" s="10" t="s">
        <v>242</v>
      </c>
      <c r="D51" s="10"/>
    </row>
    <row r="52" spans="2:4">
      <c r="B52" s="21" t="s">
        <v>243</v>
      </c>
      <c r="C52" s="21"/>
      <c r="D52" s="21"/>
    </row>
    <row r="54" spans="2:4" ht="21" customHeight="1">
      <c r="B54" s="8" t="s">
        <v>244</v>
      </c>
      <c r="C54" s="8"/>
      <c r="D54" s="8"/>
    </row>
    <row r="55" spans="2:4" ht="5" customHeight="1"/>
    <row r="56" spans="2:4">
      <c r="B56" s="54" t="s">
        <v>50</v>
      </c>
      <c r="C56" s="54" t="s">
        <v>245</v>
      </c>
      <c r="D56" s="34" t="s">
        <v>246</v>
      </c>
    </row>
    <row r="57" spans="2:4" ht="16.2" customHeight="1">
      <c r="B57" s="62" t="s">
        <v>247</v>
      </c>
      <c r="C57" s="63" t="s">
        <v>248</v>
      </c>
      <c r="D57" s="64" t="s">
        <v>249</v>
      </c>
    </row>
    <row r="59" spans="2:4">
      <c r="B59" s="21" t="s">
        <v>61</v>
      </c>
      <c r="C59" s="21"/>
      <c r="D59" s="21"/>
    </row>
  </sheetData>
  <sheetProtection sheet="1" formatColumns="0" formatRows="0"/>
  <mergeCells count="27">
    <mergeCell ref="A1:D1"/>
    <mergeCell ref="B2:C2"/>
    <mergeCell ref="B4:D4"/>
    <mergeCell ref="B6:D6"/>
    <mergeCell ref="B8:D8"/>
    <mergeCell ref="B24:D24"/>
    <mergeCell ref="C26:D26"/>
    <mergeCell ref="C27:D27"/>
    <mergeCell ref="C28:D28"/>
    <mergeCell ref="C29:D29"/>
    <mergeCell ref="B31:D31"/>
    <mergeCell ref="C33:D33"/>
    <mergeCell ref="C34:D34"/>
    <mergeCell ref="C35:D35"/>
    <mergeCell ref="C36:D36"/>
    <mergeCell ref="B38:D38"/>
    <mergeCell ref="B40:D40"/>
    <mergeCell ref="B41:D41"/>
    <mergeCell ref="B43:D43"/>
    <mergeCell ref="B45:D45"/>
    <mergeCell ref="B47:D47"/>
    <mergeCell ref="C49:D49"/>
    <mergeCell ref="C50:D50"/>
    <mergeCell ref="C51:D51"/>
    <mergeCell ref="B52:D52"/>
    <mergeCell ref="B54:D54"/>
    <mergeCell ref="B59:D59"/>
  </mergeCells>
  <hyperlinks>
    <hyperlink ref="D2" r:id="rId1" tooltip="Free manufacturing calculators and templates"/>
    <hyperlink ref="B41" r:id="rId2"/>
  </hyperlinks>
  <printOptions horizontalCentered="1"/>
  <pageMargins left="0.4" right="0.4" top="0.7" bottom="0.65" header="0.3" footer="0.3"/>
  <pageSetup fitToHeight="0" orientation="portrait"/>
  <headerFooter>
    <oddHeader>&amp;L&amp;8MFG Calcs - APQP Timeline&amp;R&amp;8&amp;A</oddHeader>
    <oddFooter>&amp;L&amp;8mfgcalcs.com - free manufacturing templates&amp;R&amp;8Page &amp;P of &amp;N</oddFooter>
  </headerFooter>
  <rowBreaks count="2" manualBreakCount="2">
    <brk id="23" max="16383" man="1"/>
    <brk id="53"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V59"/>
  <sheetViews>
    <sheetView showGridLines="0" workbookViewId="0"/>
  </sheetViews>
  <sheetFormatPr defaultRowHeight="15"/>
  <cols>
    <col min="1" max="1" width="2.7109375" customWidth="1"/>
    <col min="2" max="19" width="12.7109375" customWidth="1"/>
    <col min="20" max="20" width="11.7109375" customWidth="1"/>
    <col min="21" max="21" width="25.7109375" customWidth="1"/>
    <col min="22" max="22" width="34.7109375" customWidth="1"/>
  </cols>
  <sheetData>
    <row r="1" spans="1:22" ht="30" customHeight="1">
      <c r="A1" s="1" t="s">
        <v>0</v>
      </c>
      <c r="B1" s="1"/>
      <c r="C1" s="1"/>
      <c r="D1" s="1"/>
      <c r="E1" s="1"/>
      <c r="F1" s="1"/>
      <c r="G1" s="1"/>
      <c r="H1" s="1"/>
      <c r="I1" s="1"/>
      <c r="J1" s="1"/>
      <c r="K1" s="1"/>
      <c r="L1" s="1"/>
      <c r="M1" s="1"/>
      <c r="N1" s="1"/>
      <c r="O1" s="1"/>
      <c r="P1" s="1"/>
      <c r="Q1" s="1"/>
      <c r="R1" s="1"/>
      <c r="S1" s="1"/>
      <c r="T1" s="1"/>
      <c r="U1" s="1"/>
      <c r="V1" s="1"/>
    </row>
    <row r="2" spans="1:22" ht="21" customHeight="1">
      <c r="B2" s="2" t="s">
        <v>28</v>
      </c>
      <c r="C2" s="2"/>
      <c r="D2" s="2"/>
      <c r="E2" s="2"/>
      <c r="F2" s="2"/>
      <c r="G2" s="2"/>
      <c r="H2" s="2"/>
      <c r="I2" s="2"/>
      <c r="J2" s="2"/>
      <c r="K2" s="2"/>
      <c r="L2" s="2"/>
      <c r="M2" s="2"/>
      <c r="N2" s="2"/>
      <c r="O2" s="2"/>
      <c r="P2" s="2"/>
      <c r="Q2" s="2"/>
      <c r="R2" s="2"/>
      <c r="S2" s="2"/>
      <c r="T2" s="2"/>
      <c r="U2" s="2"/>
      <c r="V2" s="3" t="s">
        <v>2</v>
      </c>
    </row>
    <row r="3" spans="1:22" ht="6" customHeight="1"/>
    <row r="4" spans="1:22" ht="30" customHeight="1">
      <c r="B4" s="65" t="s">
        <v>250</v>
      </c>
      <c r="C4" s="65"/>
      <c r="D4" s="22" t="str">
        <f>IF(COUNTIF($K$11:$K$29,"PASS")=19,"PASS","FAIL")</f>
        <v>PASS</v>
      </c>
      <c r="E4" s="22"/>
      <c r="F4" s="23" t="str">
        <f>COUNTIF($K$11:$K$29,"PASS")&amp;" of 19 checks pass"</f>
        <v>19 of 19 checks pass</v>
      </c>
      <c r="G4" s="23"/>
      <c r="H4" s="23"/>
      <c r="I4" s="23"/>
      <c r="J4" s="23"/>
    </row>
    <row r="6" spans="1:22" ht="29.4" customHeight="1">
      <c r="B6" s="10" t="s">
        <v>251</v>
      </c>
      <c r="C6" s="10"/>
      <c r="D6" s="10"/>
      <c r="E6" s="10"/>
      <c r="F6" s="10"/>
      <c r="G6" s="10"/>
      <c r="H6" s="10"/>
      <c r="I6" s="10"/>
      <c r="J6" s="10"/>
      <c r="K6" s="10"/>
      <c r="L6" s="10"/>
    </row>
    <row r="8" spans="1:22" ht="21" customHeight="1">
      <c r="B8" s="8" t="s">
        <v>252</v>
      </c>
      <c r="C8" s="8"/>
      <c r="D8" s="8"/>
      <c r="E8" s="8"/>
      <c r="F8" s="8"/>
      <c r="G8" s="8"/>
      <c r="H8" s="8"/>
      <c r="I8" s="8"/>
      <c r="J8" s="8"/>
      <c r="K8" s="8"/>
      <c r="L8" s="8"/>
    </row>
    <row r="9" spans="1:22" ht="5" customHeight="1"/>
    <row r="10" spans="1:22" ht="30" customHeight="1">
      <c r="B10" s="34" t="s">
        <v>112</v>
      </c>
      <c r="C10" s="54" t="s">
        <v>129</v>
      </c>
      <c r="D10" s="54"/>
      <c r="E10" s="54"/>
      <c r="F10" s="54"/>
      <c r="G10" s="34" t="s">
        <v>253</v>
      </c>
      <c r="H10" s="34" t="s">
        <v>254</v>
      </c>
      <c r="I10" s="34" t="s">
        <v>255</v>
      </c>
      <c r="J10" s="34" t="s">
        <v>256</v>
      </c>
      <c r="K10" s="34" t="s">
        <v>257</v>
      </c>
    </row>
    <row r="11" spans="1:22" ht="16.2" customHeight="1">
      <c r="B11" s="66">
        <v>1</v>
      </c>
      <c r="C11" s="63" t="s">
        <v>258</v>
      </c>
      <c r="D11" s="63"/>
      <c r="E11" s="63"/>
      <c r="F11" s="63"/>
      <c r="G11" s="67">
        <v>46066</v>
      </c>
      <c r="H11" s="37">
        <f>$L$54</f>
        <v>46066</v>
      </c>
      <c r="I11" s="68">
        <f>IF(AND(ISNUMBER($G$11),ISNUMBER($H$11)),ABS($H$11-$G$11),"")</f>
        <v>0</v>
      </c>
      <c r="J11" s="69">
        <v>1E-09</v>
      </c>
      <c r="K11" s="41" t="str">
        <f>IF(AND(ISNUMBER($G$11),ISNUMBER($H$11)),IF(ABS($H$11-$G$11)&lt;=$J$11,"PASS","FAIL"),"FAIL")</f>
        <v>PASS</v>
      </c>
    </row>
    <row r="12" spans="1:22" ht="16.2" customHeight="1">
      <c r="B12" s="66">
        <v>2</v>
      </c>
      <c r="C12" s="63" t="s">
        <v>259</v>
      </c>
      <c r="D12" s="63"/>
      <c r="E12" s="63"/>
      <c r="F12" s="63"/>
      <c r="G12" s="70">
        <v>30</v>
      </c>
      <c r="H12" s="38">
        <f>$N$54</f>
        <v>30</v>
      </c>
      <c r="I12" s="68">
        <f>IF(AND(ISNUMBER($G$12),ISNUMBER($H$12)),ABS($H$12-$G$12),"")</f>
        <v>0</v>
      </c>
      <c r="J12" s="69">
        <v>1E-09</v>
      </c>
      <c r="K12" s="41" t="str">
        <f>IF(AND(ISNUMBER($G$12),ISNUMBER($H$12)),IF(ABS($H$12-$G$12)&lt;=$J$12,"PASS","FAIL"),"FAIL")</f>
        <v>PASS</v>
      </c>
    </row>
    <row r="13" spans="1:22" ht="16.2" customHeight="1">
      <c r="B13" s="66">
        <v>3</v>
      </c>
      <c r="C13" s="63" t="s">
        <v>260</v>
      </c>
      <c r="D13" s="63"/>
      <c r="E13" s="63"/>
      <c r="F13" s="63"/>
      <c r="G13" s="67">
        <v>46088</v>
      </c>
      <c r="H13" s="37">
        <f>$Q$54</f>
        <v>46088</v>
      </c>
      <c r="I13" s="68">
        <f>IF(AND(ISNUMBER($G$13),ISNUMBER($H$13)),ABS($H$13-$G$13),"")</f>
        <v>0</v>
      </c>
      <c r="J13" s="69">
        <v>1E-09</v>
      </c>
      <c r="K13" s="41" t="str">
        <f>IF(AND(ISNUMBER($G$13),ISNUMBER($H$13)),IF(ABS($H$13-$G$13)&lt;=$J$13,"PASS","FAIL"),"FAIL")</f>
        <v>PASS</v>
      </c>
    </row>
    <row r="14" spans="1:22" ht="16.2" customHeight="1">
      <c r="B14" s="66">
        <v>4</v>
      </c>
      <c r="C14" s="63" t="s">
        <v>261</v>
      </c>
      <c r="D14" s="63"/>
      <c r="E14" s="63"/>
      <c r="F14" s="63"/>
      <c r="G14" s="70">
        <v>22</v>
      </c>
      <c r="H14" s="38">
        <f>$R$54</f>
        <v>22</v>
      </c>
      <c r="I14" s="68">
        <f>IF(AND(ISNUMBER($G$14),ISNUMBER($H$14)),ABS($H$14-$G$14),"")</f>
        <v>0</v>
      </c>
      <c r="J14" s="69">
        <v>1E-09</v>
      </c>
      <c r="K14" s="41" t="str">
        <f>IF(AND(ISNUMBER($G$14),ISNUMBER($H$14)),IF(ABS($H$14-$G$14)&lt;=$J$14,"PASS","FAIL"),"FAIL")</f>
        <v>PASS</v>
      </c>
    </row>
    <row r="15" spans="1:22" ht="16.2" customHeight="1">
      <c r="B15" s="66">
        <v>5</v>
      </c>
      <c r="C15" s="63" t="s">
        <v>262</v>
      </c>
      <c r="D15" s="63"/>
      <c r="E15" s="63"/>
      <c r="F15" s="63"/>
      <c r="G15" s="62" t="s">
        <v>186</v>
      </c>
      <c r="H15" s="71" t="str">
        <f>$T$54</f>
        <v>Overdue</v>
      </c>
      <c r="I15" s="71"/>
      <c r="J15" s="64" t="s">
        <v>263</v>
      </c>
      <c r="K15" s="41" t="str">
        <f>IF($H$15&amp;""=$G$15&amp;"","PASS","FAIL")</f>
        <v>PASS</v>
      </c>
    </row>
    <row r="16" spans="1:22" ht="16.2" customHeight="1">
      <c r="B16" s="66">
        <v>6</v>
      </c>
      <c r="C16" s="63" t="s">
        <v>264</v>
      </c>
      <c r="D16" s="63"/>
      <c r="E16" s="63"/>
      <c r="F16" s="63"/>
      <c r="G16" s="67">
        <v>46109</v>
      </c>
      <c r="H16" s="37">
        <f>$Q$55</f>
        <v>46109</v>
      </c>
      <c r="I16" s="68">
        <f>IF(AND(ISNUMBER($G$16),ISNUMBER($H$16)),ABS($H$16-$G$16),"")</f>
        <v>0</v>
      </c>
      <c r="J16" s="69">
        <v>1E-09</v>
      </c>
      <c r="K16" s="41" t="str">
        <f>IF(AND(ISNUMBER($G$16),ISNUMBER($H$16)),IF(ABS($H$16-$G$16)&lt;=$J$16,"PASS","FAIL"),"FAIL")</f>
        <v>PASS</v>
      </c>
    </row>
    <row r="17" spans="2:12" ht="16.2" customHeight="1">
      <c r="B17" s="66">
        <v>7</v>
      </c>
      <c r="C17" s="63" t="s">
        <v>265</v>
      </c>
      <c r="D17" s="63"/>
      <c r="E17" s="63"/>
      <c r="F17" s="63"/>
      <c r="G17" s="70">
        <v>0</v>
      </c>
      <c r="H17" s="38">
        <f>$R$56</f>
        <v>0</v>
      </c>
      <c r="I17" s="68">
        <f>IF(AND(ISNUMBER($G$17),ISNUMBER($H$17)),ABS($H$17-$G$17),"")</f>
        <v>0</v>
      </c>
      <c r="J17" s="69">
        <v>1E-09</v>
      </c>
      <c r="K17" s="41" t="str">
        <f>IF(AND(ISNUMBER($G$17),ISNUMBER($H$17)),IF(ABS($H$17-$G$17)&lt;=$J$17,"PASS","FAIL"),"FAIL")</f>
        <v>PASS</v>
      </c>
    </row>
    <row r="18" spans="2:12" ht="16.2" customHeight="1">
      <c r="B18" s="66">
        <v>8</v>
      </c>
      <c r="C18" s="63" t="s">
        <v>266</v>
      </c>
      <c r="D18" s="63"/>
      <c r="E18" s="63"/>
      <c r="F18" s="63"/>
      <c r="G18" s="62" t="s">
        <v>187</v>
      </c>
      <c r="H18" s="71" t="str">
        <f>$T$57</f>
        <v>Below target</v>
      </c>
      <c r="I18" s="71"/>
      <c r="J18" s="64" t="s">
        <v>263</v>
      </c>
      <c r="K18" s="41" t="str">
        <f>IF($H$18&amp;""=$G$18&amp;"","PASS","FAIL")</f>
        <v>PASS</v>
      </c>
    </row>
    <row r="19" spans="2:12" ht="29.4" customHeight="1">
      <c r="B19" s="66">
        <v>9</v>
      </c>
      <c r="C19" s="63" t="s">
        <v>267</v>
      </c>
      <c r="D19" s="63"/>
      <c r="E19" s="63"/>
      <c r="F19" s="63"/>
      <c r="G19" s="67">
        <v>46083</v>
      </c>
      <c r="H19" s="37">
        <f>$Q$58</f>
        <v>46083</v>
      </c>
      <c r="I19" s="68">
        <f>IF(AND(ISNUMBER($G$19),ISNUMBER($H$19)),ABS($H$19-$G$19),"")</f>
        <v>0</v>
      </c>
      <c r="J19" s="69">
        <v>1E-09</v>
      </c>
      <c r="K19" s="41" t="str">
        <f>IF(AND(ISNUMBER($G$19),ISNUMBER($H$19)),IF(ABS($H$19-$G$19)&lt;=$J$19,"PASS","FAIL"),"FAIL")</f>
        <v>PASS</v>
      </c>
    </row>
    <row r="20" spans="2:12" ht="16.2" customHeight="1">
      <c r="B20" s="66">
        <v>10</v>
      </c>
      <c r="C20" s="63" t="s">
        <v>268</v>
      </c>
      <c r="D20" s="63"/>
      <c r="E20" s="63"/>
      <c r="F20" s="63"/>
      <c r="G20" s="62" t="s">
        <v>186</v>
      </c>
      <c r="H20" s="71" t="str">
        <f>$T$58</f>
        <v>Overdue</v>
      </c>
      <c r="I20" s="71"/>
      <c r="J20" s="64" t="s">
        <v>263</v>
      </c>
      <c r="K20" s="41" t="str">
        <f>IF($H$20&amp;""=$G$20&amp;"","PASS","FAIL")</f>
        <v>PASS</v>
      </c>
    </row>
    <row r="21" spans="2:12" ht="29.4" customHeight="1">
      <c r="B21" s="66">
        <v>11</v>
      </c>
      <c r="C21" s="63" t="s">
        <v>269</v>
      </c>
      <c r="D21" s="63"/>
      <c r="E21" s="63"/>
      <c r="F21" s="63"/>
      <c r="G21" s="62" t="s">
        <v>270</v>
      </c>
      <c r="H21" s="71" t="str">
        <f>$U$55</f>
        <v>OK</v>
      </c>
      <c r="I21" s="71"/>
      <c r="J21" s="64" t="s">
        <v>263</v>
      </c>
      <c r="K21" s="41" t="str">
        <f>IF($H$21&amp;""=$G$21&amp;"","PASS","FAIL")</f>
        <v>PASS</v>
      </c>
    </row>
    <row r="22" spans="2:12" ht="16.2" customHeight="1">
      <c r="B22" s="66">
        <v>12</v>
      </c>
      <c r="C22" s="63" t="s">
        <v>271</v>
      </c>
      <c r="D22" s="63"/>
      <c r="E22" s="63"/>
      <c r="F22" s="63"/>
      <c r="G22" s="62" t="s">
        <v>272</v>
      </c>
      <c r="H22" s="71" t="str">
        <f>$U$59</f>
        <v>Starts before its predecessor ends</v>
      </c>
      <c r="I22" s="71"/>
      <c r="J22" s="64" t="s">
        <v>263</v>
      </c>
      <c r="K22" s="41" t="str">
        <f>IF($H$22&amp;""=$G$22&amp;"","PASS","FAIL")</f>
        <v>PASS</v>
      </c>
    </row>
    <row r="23" spans="2:12" ht="16.2" customHeight="1">
      <c r="B23" s="66">
        <v>13</v>
      </c>
      <c r="C23" s="63" t="s">
        <v>273</v>
      </c>
      <c r="D23" s="63"/>
      <c r="E23" s="63"/>
      <c r="F23" s="63"/>
      <c r="G23" s="72">
        <v>0.2761904761904762</v>
      </c>
      <c r="H23" s="73">
        <f>IF((SUM(tblVerifyTasks[Duration (days)]))=0,"",(SUM(tblVerifyTasks[Done (days)]))/(SUM(tblVerifyTasks[Duration (days)])))</f>
        <v>0.276190476190476</v>
      </c>
      <c r="I23" s="68">
        <f>IF(AND(ISNUMBER($G$23),ISNUMBER($H$23)),ABS($H$23-$G$23),"")</f>
        <v>0</v>
      </c>
      <c r="J23" s="69">
        <v>1E-09</v>
      </c>
      <c r="K23" s="41" t="str">
        <f>IF(AND(ISNUMBER($G$23),ISNUMBER($H$23)),IF(ABS($H$23-$G$23)&lt;=$J$23,"PASS","FAIL"),"FAIL")</f>
        <v>PASS</v>
      </c>
    </row>
    <row r="24" spans="2:12" ht="16.2" customHeight="1">
      <c r="B24" s="66">
        <v>14</v>
      </c>
      <c r="C24" s="63" t="s">
        <v>274</v>
      </c>
      <c r="D24" s="63"/>
      <c r="E24" s="63"/>
      <c r="F24" s="63"/>
      <c r="G24" s="72">
        <v>0.580952380952381</v>
      </c>
      <c r="H24" s="73">
        <f>IF((SUM(tblVerifyTasks[Duration (days)]))=0,"",(SUM(tblVerifyTasks[Planned (days)]))/(SUM(tblVerifyTasks[Duration (days)])))</f>
        <v>0.580952380952381</v>
      </c>
      <c r="I24" s="68">
        <f>IF(AND(ISNUMBER($G$24),ISNUMBER($H$24)),ABS($H$24-$G$24),"")</f>
        <v>0</v>
      </c>
      <c r="J24" s="69">
        <v>1E-09</v>
      </c>
      <c r="K24" s="41" t="str">
        <f>IF(AND(ISNUMBER($G$24),ISNUMBER($H$24)),IF(ABS($H$24-$G$24)&lt;=$J$24,"PASS","FAIL"),"FAIL")</f>
        <v>PASS</v>
      </c>
    </row>
    <row r="25" spans="2:12" ht="16.2" customHeight="1">
      <c r="B25" s="66">
        <v>15</v>
      </c>
      <c r="C25" s="63" t="s">
        <v>275</v>
      </c>
      <c r="D25" s="63"/>
      <c r="E25" s="63"/>
      <c r="F25" s="63"/>
      <c r="G25" s="70">
        <v>2</v>
      </c>
      <c r="H25" s="38">
        <f>COUNTIFS(tblVerifyTasks[Status],"Overdue")</f>
        <v>2</v>
      </c>
      <c r="I25" s="68">
        <f>IF(AND(ISNUMBER($G$25),ISNUMBER($H$25)),ABS($H$25-$G$25),"")</f>
        <v>0</v>
      </c>
      <c r="J25" s="69">
        <v>1E-09</v>
      </c>
      <c r="K25" s="41" t="str">
        <f>IF(AND(ISNUMBER($G$25),ISNUMBER($H$25)),IF(ABS($H$25-$G$25)&lt;=$J$25,"PASS","FAIL"),"FAIL")</f>
        <v>PASS</v>
      </c>
    </row>
    <row r="26" spans="2:12" ht="16.2" customHeight="1">
      <c r="B26" s="66">
        <v>16</v>
      </c>
      <c r="C26" s="63" t="s">
        <v>276</v>
      </c>
      <c r="D26" s="63"/>
      <c r="E26" s="63"/>
      <c r="F26" s="63"/>
      <c r="G26" s="70">
        <v>3</v>
      </c>
      <c r="H26" s="38">
        <f>COUNTIFS(tblVerifyTasks[Slip (days)],"&gt;0")</f>
        <v>3</v>
      </c>
      <c r="I26" s="68">
        <f>IF(AND(ISNUMBER($G$26),ISNUMBER($H$26)),ABS($H$26-$G$26),"")</f>
        <v>0</v>
      </c>
      <c r="J26" s="69">
        <v>1E-09</v>
      </c>
      <c r="K26" s="41" t="str">
        <f>IF(AND(ISNUMBER($G$26),ISNUMBER($H$26)),IF(ABS($H$26-$G$26)&lt;=$J$26,"PASS","FAIL"),"FAIL")</f>
        <v>PASS</v>
      </c>
    </row>
    <row r="27" spans="2:12" ht="16.2" customHeight="1">
      <c r="B27" s="66">
        <v>17</v>
      </c>
      <c r="C27" s="63" t="s">
        <v>277</v>
      </c>
      <c r="D27" s="63"/>
      <c r="E27" s="63"/>
      <c r="F27" s="63"/>
      <c r="G27" s="67">
        <v>46120</v>
      </c>
      <c r="H27" s="37">
        <f>IF(COUNT(tblVerifyTasks[SOP finish])=0,"",MAX(tblVerifyTasks[SOP finish]))</f>
        <v>46120</v>
      </c>
      <c r="I27" s="68">
        <f>IF(AND(ISNUMBER($G$27),ISNUMBER($H$27)),ABS($H$27-$G$27),"")</f>
        <v>0</v>
      </c>
      <c r="J27" s="69">
        <v>1E-09</v>
      </c>
      <c r="K27" s="41" t="str">
        <f>IF(AND(ISNUMBER($G$27),ISNUMBER($H$27)),IF(ABS($H$27-$G$27)&lt;=$J$27,"PASS","FAIL"),"FAIL")</f>
        <v>PASS</v>
      </c>
    </row>
    <row r="28" spans="2:12" ht="16.2" customHeight="1">
      <c r="B28" s="66">
        <v>18</v>
      </c>
      <c r="C28" s="63" t="s">
        <v>278</v>
      </c>
      <c r="D28" s="63"/>
      <c r="E28" s="63"/>
      <c r="F28" s="63"/>
      <c r="G28" s="74">
        <v>1</v>
      </c>
      <c r="H28" s="75">
        <f>MAX(0,(IF(COUNT(tblVerifyTasks[SOP finish])=0,"",MAX(tblVerifyTasks[SOP finish])))-$E$36)/7</f>
        <v>1</v>
      </c>
      <c r="I28" s="68">
        <f>IF(AND(ISNUMBER($G$28),ISNUMBER($H$28)),ABS($H$28-$G$28),"")</f>
        <v>0</v>
      </c>
      <c r="J28" s="69">
        <v>1E-09</v>
      </c>
      <c r="K28" s="41" t="str">
        <f>IF(AND(ISNUMBER($G$28),ISNUMBER($H$28)),IF(ABS($H$28-$G$28)&lt;=$J$28,"PASS","FAIL"),"FAIL")</f>
        <v>PASS</v>
      </c>
    </row>
    <row r="29" spans="2:12" ht="16.2" customHeight="1">
      <c r="B29" s="66">
        <v>19</v>
      </c>
      <c r="C29" s="63" t="s">
        <v>279</v>
      </c>
      <c r="D29" s="63"/>
      <c r="E29" s="63"/>
      <c r="F29" s="63"/>
      <c r="G29" s="70">
        <v>87600</v>
      </c>
      <c r="H29" s="38">
        <f>6*$E$40*$E$41+$E$42</f>
        <v>87600</v>
      </c>
      <c r="I29" s="68">
        <f>IF(AND(ISNUMBER($G$29),ISNUMBER($H$29)),ABS($H$29-$G$29),"")</f>
        <v>0</v>
      </c>
      <c r="J29" s="69">
        <v>1E-06</v>
      </c>
      <c r="K29" s="41" t="str">
        <f>IF(AND(ISNUMBER($G$29),ISNUMBER($H$29)),IF(ABS($H$29-$G$29)&lt;=$J$29,"PASS","FAIL"),"FAIL")</f>
        <v>PASS</v>
      </c>
    </row>
    <row r="31" spans="2:12" ht="21" customHeight="1">
      <c r="B31" s="8" t="s">
        <v>280</v>
      </c>
      <c r="C31" s="8"/>
      <c r="D31" s="8"/>
      <c r="E31" s="8"/>
      <c r="F31" s="8"/>
      <c r="G31" s="8"/>
      <c r="H31" s="8"/>
      <c r="I31" s="8"/>
      <c r="J31" s="8"/>
      <c r="K31" s="8"/>
      <c r="L31" s="8"/>
    </row>
    <row r="32" spans="2:12" ht="5" customHeight="1"/>
    <row r="33" spans="2:12">
      <c r="B33" s="21" t="s">
        <v>281</v>
      </c>
      <c r="C33" s="21"/>
      <c r="D33" s="21"/>
      <c r="E33" s="21"/>
      <c r="F33" s="21"/>
      <c r="G33" s="21"/>
      <c r="H33" s="21"/>
      <c r="I33" s="21"/>
      <c r="J33" s="21"/>
      <c r="K33" s="21"/>
      <c r="L33" s="21"/>
    </row>
    <row r="34" spans="2:12">
      <c r="B34" s="33" t="s">
        <v>282</v>
      </c>
      <c r="C34" s="33"/>
      <c r="D34" s="33"/>
      <c r="E34" s="33"/>
      <c r="F34" s="33"/>
    </row>
    <row r="35" spans="2:12">
      <c r="B35" s="27" t="s">
        <v>283</v>
      </c>
      <c r="C35" s="27"/>
      <c r="D35" s="27"/>
      <c r="E35" s="67">
        <v>46027</v>
      </c>
      <c r="F35" s="7"/>
    </row>
    <row r="36" spans="2:12">
      <c r="B36" s="27" t="s">
        <v>284</v>
      </c>
      <c r="C36" s="27"/>
      <c r="D36" s="27"/>
      <c r="E36" s="67">
        <v>46113</v>
      </c>
      <c r="F36" s="7"/>
    </row>
    <row r="37" spans="2:12">
      <c r="B37" s="27" t="s">
        <v>285</v>
      </c>
      <c r="C37" s="27"/>
      <c r="D37" s="27"/>
      <c r="E37" s="67">
        <v>46073</v>
      </c>
      <c r="F37" s="7"/>
    </row>
    <row r="38" spans="2:12">
      <c r="B38" s="27" t="s">
        <v>286</v>
      </c>
      <c r="C38" s="27"/>
      <c r="D38" s="27"/>
      <c r="E38" s="70">
        <v>14</v>
      </c>
      <c r="F38" s="7"/>
    </row>
    <row r="39" spans="2:12">
      <c r="B39" s="27" t="s">
        <v>78</v>
      </c>
      <c r="C39" s="27"/>
      <c r="D39" s="27"/>
      <c r="E39" s="76">
        <v>0.1</v>
      </c>
      <c r="F39" s="7"/>
    </row>
    <row r="40" spans="2:12">
      <c r="B40" s="27" t="s">
        <v>287</v>
      </c>
      <c r="C40" s="27"/>
      <c r="D40" s="27"/>
      <c r="E40" s="70">
        <v>18000</v>
      </c>
      <c r="F40" s="7"/>
    </row>
    <row r="41" spans="2:12">
      <c r="B41" s="27" t="s">
        <v>81</v>
      </c>
      <c r="C41" s="27"/>
      <c r="D41" s="27"/>
      <c r="E41" s="76">
        <v>0.7</v>
      </c>
      <c r="F41" s="7"/>
    </row>
    <row r="42" spans="2:12">
      <c r="B42" s="27" t="s">
        <v>288</v>
      </c>
      <c r="C42" s="27"/>
      <c r="D42" s="27"/>
      <c r="E42" s="70">
        <v>12000</v>
      </c>
      <c r="F42" s="7"/>
    </row>
    <row r="44" spans="2:12">
      <c r="B44" s="33" t="s">
        <v>289</v>
      </c>
      <c r="C44" s="33"/>
      <c r="D44" s="33"/>
      <c r="E44" s="33"/>
      <c r="F44" s="33"/>
      <c r="G44" s="33"/>
      <c r="H44" s="33"/>
      <c r="I44" s="33"/>
      <c r="J44" s="33"/>
      <c r="K44" s="33"/>
      <c r="L44" s="33"/>
    </row>
    <row r="45" spans="2:12" ht="20" customHeight="1">
      <c r="B45" s="34" t="s">
        <v>62</v>
      </c>
      <c r="C45" s="34" t="s">
        <v>63</v>
      </c>
    </row>
    <row r="46" spans="2:12">
      <c r="B46" s="62" t="s">
        <v>87</v>
      </c>
      <c r="C46" s="62" t="s">
        <v>133</v>
      </c>
    </row>
    <row r="47" spans="2:12">
      <c r="B47" s="62" t="s">
        <v>89</v>
      </c>
      <c r="C47" s="62" t="s">
        <v>133</v>
      </c>
    </row>
    <row r="48" spans="2:12">
      <c r="B48" s="62" t="s">
        <v>91</v>
      </c>
      <c r="C48" s="62" t="s">
        <v>133</v>
      </c>
    </row>
    <row r="49" spans="2:22">
      <c r="B49" s="62" t="s">
        <v>93</v>
      </c>
      <c r="C49" s="62" t="s">
        <v>133</v>
      </c>
    </row>
    <row r="51" spans="2:22">
      <c r="B51" s="33" t="s">
        <v>290</v>
      </c>
      <c r="C51" s="33"/>
      <c r="D51" s="33"/>
      <c r="E51" s="33"/>
      <c r="F51" s="33"/>
      <c r="G51" s="33"/>
      <c r="H51" s="33"/>
      <c r="I51" s="33"/>
      <c r="J51" s="33"/>
      <c r="K51" s="33"/>
      <c r="L51" s="33"/>
    </row>
    <row r="52" spans="2:22" ht="32" customHeight="1">
      <c r="B52" s="34" t="s">
        <v>112</v>
      </c>
      <c r="C52" s="34" t="s">
        <v>62</v>
      </c>
      <c r="D52" s="34" t="s">
        <v>113</v>
      </c>
      <c r="E52" s="34" t="s">
        <v>64</v>
      </c>
      <c r="F52" s="34" t="s">
        <v>114</v>
      </c>
      <c r="G52" s="34" t="s">
        <v>115</v>
      </c>
      <c r="H52" s="34" t="s">
        <v>116</v>
      </c>
      <c r="I52" s="34" t="s">
        <v>117</v>
      </c>
      <c r="J52" s="34" t="s">
        <v>118</v>
      </c>
      <c r="K52" s="34" t="s">
        <v>119</v>
      </c>
      <c r="L52" s="34" t="s">
        <v>120</v>
      </c>
      <c r="M52" s="34" t="s">
        <v>121</v>
      </c>
      <c r="N52" s="34" t="s">
        <v>122</v>
      </c>
      <c r="O52" s="34" t="s">
        <v>123</v>
      </c>
      <c r="P52" s="34" t="s">
        <v>124</v>
      </c>
      <c r="Q52" s="34" t="s">
        <v>125</v>
      </c>
      <c r="R52" s="34" t="s">
        <v>126</v>
      </c>
      <c r="S52" s="34" t="s">
        <v>127</v>
      </c>
      <c r="T52" s="34" t="s">
        <v>128</v>
      </c>
      <c r="U52" s="34" t="s">
        <v>129</v>
      </c>
      <c r="V52" s="34" t="s">
        <v>65</v>
      </c>
    </row>
    <row r="53" spans="2:22">
      <c r="B53" s="70">
        <v>1</v>
      </c>
      <c r="C53" s="62" t="s">
        <v>87</v>
      </c>
      <c r="D53" s="62" t="s">
        <v>291</v>
      </c>
      <c r="E53" s="62" t="s">
        <v>104</v>
      </c>
      <c r="F53" s="70"/>
      <c r="G53" s="67">
        <v>46036</v>
      </c>
      <c r="H53" s="67">
        <v>46027</v>
      </c>
      <c r="I53" s="70">
        <v>10</v>
      </c>
      <c r="J53" s="76">
        <v>1</v>
      </c>
      <c r="K53" s="62" t="s">
        <v>132</v>
      </c>
      <c r="L53" s="37">
        <f>IF(tblVerifyTasks[[#This Row],[Task or deliverable]]="","",tblVerifyTasks[[#This Row],[Start]]+tblVerifyTasks[[#This Row],[Duration (days)]]-1)</f>
        <v>46036</v>
      </c>
      <c r="M53" s="38">
        <f>IF(tblVerifyTasks[[#This Row],[Task or deliverable]]="","",tblVerifyTasks[[#This Row],[Start]]-$E$35)</f>
        <v>0</v>
      </c>
      <c r="N53" s="38">
        <f>IF(tblVerifyTasks[[#This Row],[Task or deliverable]]="","",MIN(tblVerifyTasks[[#This Row],[Duration (days)]],MAX(0,$E$37-tblVerifyTasks[[#This Row],[Start]]+1)))</f>
        <v>10</v>
      </c>
      <c r="O53" s="39">
        <f>IF(tblVerifyTasks[[#This Row],[Task or deliverable]]="","",tblVerifyTasks[[#This Row],[Duration (days)]]*tblVerifyTasks[[#This Row],[Complete]])</f>
        <v>10</v>
      </c>
      <c r="P53" s="39">
        <f>IF(tblVerifyTasks[[#This Row],[Task or deliverable]]="","",tblVerifyTasks[[#This Row],[Duration (days)]]-tblVerifyTasks[[#This Row],[Done (days)]])</f>
        <v>0</v>
      </c>
      <c r="Q53" s="37">
        <f>IF(tblVerifyTasks[[#This Row],[Task or deliverable]]="","",IF(tblVerifyTasks[[#This Row],[Complete]]&gt;=1,tblVerifyTasks[[#This Row],[End]],IF(tblVerifyTasks[[#This Row],[Complete]]&gt;0,MAX(tblVerifyTasks[[#This Row],[End]],$E$37+ROUNDUP(tblVerifyTasks[[#This Row],[Remaining (days)]],0)),MAX(tblVerifyTasks[[#This Row],[Start]],$E$37+1)+tblVerifyTasks[[#This Row],[Duration (days)]]-1)))</f>
        <v>46036</v>
      </c>
      <c r="R53" s="40">
        <f>IF(tblVerifyTasks[[#This Row],[Task or deliverable]]="","",tblVerifyTasks[[#This Row],[Forecast end]]-IF(ISNUMBER(tblVerifyTasks[[#This Row],[Baseline end]]),tblVerifyTasks[[#This Row],[Baseline end]],tblVerifyTasks[[#This Row],[End]]))</f>
        <v>0</v>
      </c>
      <c r="S53" s="37">
        <f>IF(tblVerifyTasks[[#This Row],[Task or deliverable]]="","",IF(tblVerifyTasks[[#This Row],[Needed for SOP]]="Yes",tblVerifyTasks[[#This Row],[Forecast end]],""))</f>
        <v>46036</v>
      </c>
      <c r="T53" s="41" t="str">
        <f>IF(tblVerifyTasks[[#This Row],[Task or deliverable]]="","",IF(tblVerifyTasks[[#This Row],[Complete]]&gt;=1,"Complete",IF($E$37&gt;tblVerifyTasks[[#This Row],[End]],"Overdue",IF(tblVerifyTasks[[#This Row],[Done (days)]]&lt;tblVerifyTasks[[#This Row],[Planned (days)]]-$E$39*tblVerifyTasks[[#This Row],[Duration (days)]],"Below target",IF(tblVerifyTasks[[#This Row],[End]]-$E$37&lt;=$E$38,"Due soon","OK")))))</f>
        <v>Complete</v>
      </c>
      <c r="U53" s="42" t="str">
        <f>IF(tblVerifyTasks[[#This Row],[Task or deliverable]]="","",IF(tblVerifyTasks[[#This Row],[No.]]="","Missing no.",IF(tblVerifyTasks[[#This Row],[Start]]="","Missing start",IF(tblVerifyTasks[[#This Row],[Duration (days)]]="","Missing duration",IF(COUNTIF(tblVerifyTasks[No.],tblVerifyTasks[[#This Row],[No.]])&gt;1,"Duplicate task No.",IF(COUNTIF(tblVerifyPhases[Phase],tblVerifyTasks[[#This Row],[Phase]])=0,"Phase not on Setup list",IF(AND(ISNUMBER(tblVerifyTasks[[#This Row],[Predecessor]]),COUNTIF(tblVerifyTasks[No.],tblVerifyTasks[[#This Row],[Predecessor]])=0),"Predecessor not found",IF(AND(ISNUMBER(tblVerifyTasks[[#This Row],[Predecessor]]),tblVerifyTasks[[#This Row],[Predecessor]]=tblVerifyTasks[[#This Row],[No.]]),"Task is its own predecessor",IF(AND(ISNUMBER(tblVerifyTasks[[#This Row],[Predecessor]]),tblVerifyTasks[[#This Row],[Complete]]=0,IFERROR(tblVerifyTasks[[#This Row],[Start]]&lt;=INDEX(tblVerifyTasks[Forecast end],MATCH(tblVerifyTasks[[#This Row],[Predecessor]],tblVerifyTasks[No.],0)),FALSE)),"Starts before its predecessor ends",IF(tblVerifyTasks[[#This Row],[Start]]&lt;$E$35,"Starts before the plan start",IF(AND(tblVerifyTasks[[#This Row],[Complete]]&gt;0,tblVerifyTasks[[#This Row],[Start]]&gt;$E$37),"Progress before the start date","OK")))))))))))</f>
        <v>OK</v>
      </c>
      <c r="V53" s="62" t="s">
        <v>133</v>
      </c>
    </row>
    <row r="54" spans="2:22">
      <c r="B54" s="70">
        <v>2</v>
      </c>
      <c r="C54" s="62" t="s">
        <v>89</v>
      </c>
      <c r="D54" s="62" t="s">
        <v>292</v>
      </c>
      <c r="E54" s="62" t="s">
        <v>104</v>
      </c>
      <c r="F54" s="70">
        <v>1</v>
      </c>
      <c r="G54" s="67">
        <v>46066</v>
      </c>
      <c r="H54" s="67">
        <v>46037</v>
      </c>
      <c r="I54" s="70">
        <v>30</v>
      </c>
      <c r="J54" s="76">
        <v>0.5</v>
      </c>
      <c r="K54" s="62" t="s">
        <v>132</v>
      </c>
      <c r="L54" s="37">
        <f>IF(tblVerifyTasks[[#This Row],[Task or deliverable]]="","",tblVerifyTasks[[#This Row],[Start]]+tblVerifyTasks[[#This Row],[Duration (days)]]-1)</f>
        <v>46066</v>
      </c>
      <c r="M54" s="38">
        <f>IF(tblVerifyTasks[[#This Row],[Task or deliverable]]="","",tblVerifyTasks[[#This Row],[Start]]-$E$35)</f>
        <v>10</v>
      </c>
      <c r="N54" s="38">
        <f>IF(tblVerifyTasks[[#This Row],[Task or deliverable]]="","",MIN(tblVerifyTasks[[#This Row],[Duration (days)]],MAX(0,$E$37-tblVerifyTasks[[#This Row],[Start]]+1)))</f>
        <v>30</v>
      </c>
      <c r="O54" s="39">
        <f>IF(tblVerifyTasks[[#This Row],[Task or deliverable]]="","",tblVerifyTasks[[#This Row],[Duration (days)]]*tblVerifyTasks[[#This Row],[Complete]])</f>
        <v>15</v>
      </c>
      <c r="P54" s="39">
        <f>IF(tblVerifyTasks[[#This Row],[Task or deliverable]]="","",tblVerifyTasks[[#This Row],[Duration (days)]]-tblVerifyTasks[[#This Row],[Done (days)]])</f>
        <v>15</v>
      </c>
      <c r="Q54" s="37">
        <f>IF(tblVerifyTasks[[#This Row],[Task or deliverable]]="","",IF(tblVerifyTasks[[#This Row],[Complete]]&gt;=1,tblVerifyTasks[[#This Row],[End]],IF(tblVerifyTasks[[#This Row],[Complete]]&gt;0,MAX(tblVerifyTasks[[#This Row],[End]],$E$37+ROUNDUP(tblVerifyTasks[[#This Row],[Remaining (days)]],0)),MAX(tblVerifyTasks[[#This Row],[Start]],$E$37+1)+tblVerifyTasks[[#This Row],[Duration (days)]]-1)))</f>
        <v>46088</v>
      </c>
      <c r="R54" s="40">
        <f>IF(tblVerifyTasks[[#This Row],[Task or deliverable]]="","",tblVerifyTasks[[#This Row],[Forecast end]]-IF(ISNUMBER(tblVerifyTasks[[#This Row],[Baseline end]]),tblVerifyTasks[[#This Row],[Baseline end]],tblVerifyTasks[[#This Row],[End]]))</f>
        <v>22</v>
      </c>
      <c r="S54" s="37">
        <f>IF(tblVerifyTasks[[#This Row],[Task or deliverable]]="","",IF(tblVerifyTasks[[#This Row],[Needed for SOP]]="Yes",tblVerifyTasks[[#This Row],[Forecast end]],""))</f>
        <v>46088</v>
      </c>
      <c r="T54" s="41" t="str">
        <f>IF(tblVerifyTasks[[#This Row],[Task or deliverable]]="","",IF(tblVerifyTasks[[#This Row],[Complete]]&gt;=1,"Complete",IF($E$37&gt;tblVerifyTasks[[#This Row],[End]],"Overdue",IF(tblVerifyTasks[[#This Row],[Done (days)]]&lt;tblVerifyTasks[[#This Row],[Planned (days)]]-$E$39*tblVerifyTasks[[#This Row],[Duration (days)]],"Below target",IF(tblVerifyTasks[[#This Row],[End]]-$E$37&lt;=$E$38,"Due soon","OK")))))</f>
        <v>Overdue</v>
      </c>
      <c r="U54" s="42" t="str">
        <f>IF(tblVerifyTasks[[#This Row],[Task or deliverable]]="","",IF(tblVerifyTasks[[#This Row],[No.]]="","Missing no.",IF(tblVerifyTasks[[#This Row],[Start]]="","Missing start",IF(tblVerifyTasks[[#This Row],[Duration (days)]]="","Missing duration",IF(COUNTIF(tblVerifyTasks[No.],tblVerifyTasks[[#This Row],[No.]])&gt;1,"Duplicate task No.",IF(COUNTIF(tblVerifyPhases[Phase],tblVerifyTasks[[#This Row],[Phase]])=0,"Phase not on Setup list",IF(AND(ISNUMBER(tblVerifyTasks[[#This Row],[Predecessor]]),COUNTIF(tblVerifyTasks[No.],tblVerifyTasks[[#This Row],[Predecessor]])=0),"Predecessor not found",IF(AND(ISNUMBER(tblVerifyTasks[[#This Row],[Predecessor]]),tblVerifyTasks[[#This Row],[Predecessor]]=tblVerifyTasks[[#This Row],[No.]]),"Task is its own predecessor",IF(AND(ISNUMBER(tblVerifyTasks[[#This Row],[Predecessor]]),tblVerifyTasks[[#This Row],[Complete]]=0,IFERROR(tblVerifyTasks[[#This Row],[Start]]&lt;=INDEX(tblVerifyTasks[Forecast end],MATCH(tblVerifyTasks[[#This Row],[Predecessor]],tblVerifyTasks[No.],0)),FALSE)),"Starts before its predecessor ends",IF(tblVerifyTasks[[#This Row],[Start]]&lt;$E$35,"Starts before the plan start",IF(AND(tblVerifyTasks[[#This Row],[Complete]]&gt;0,tblVerifyTasks[[#This Row],[Start]]&gt;$E$37),"Progress before the start date","OK")))))))))))</f>
        <v>OK</v>
      </c>
      <c r="V54" s="62" t="s">
        <v>133</v>
      </c>
    </row>
    <row r="55" spans="2:22">
      <c r="B55" s="70">
        <v>3</v>
      </c>
      <c r="C55" s="62" t="s">
        <v>91</v>
      </c>
      <c r="D55" s="62" t="s">
        <v>293</v>
      </c>
      <c r="E55" s="62" t="s">
        <v>104</v>
      </c>
      <c r="F55" s="70">
        <v>2</v>
      </c>
      <c r="G55" s="67">
        <v>46091</v>
      </c>
      <c r="H55" s="67">
        <v>46090</v>
      </c>
      <c r="I55" s="70">
        <v>20</v>
      </c>
      <c r="J55" s="76">
        <v>0</v>
      </c>
      <c r="K55" s="62" t="s">
        <v>132</v>
      </c>
      <c r="L55" s="37">
        <f>IF(tblVerifyTasks[[#This Row],[Task or deliverable]]="","",tblVerifyTasks[[#This Row],[Start]]+tblVerifyTasks[[#This Row],[Duration (days)]]-1)</f>
        <v>46109</v>
      </c>
      <c r="M55" s="38">
        <f>IF(tblVerifyTasks[[#This Row],[Task or deliverable]]="","",tblVerifyTasks[[#This Row],[Start]]-$E$35)</f>
        <v>63</v>
      </c>
      <c r="N55" s="38">
        <f>IF(tblVerifyTasks[[#This Row],[Task or deliverable]]="","",MIN(tblVerifyTasks[[#This Row],[Duration (days)]],MAX(0,$E$37-tblVerifyTasks[[#This Row],[Start]]+1)))</f>
        <v>0</v>
      </c>
      <c r="O55" s="39">
        <f>IF(tblVerifyTasks[[#This Row],[Task or deliverable]]="","",tblVerifyTasks[[#This Row],[Duration (days)]]*tblVerifyTasks[[#This Row],[Complete]])</f>
        <v>0</v>
      </c>
      <c r="P55" s="39">
        <f>IF(tblVerifyTasks[[#This Row],[Task or deliverable]]="","",tblVerifyTasks[[#This Row],[Duration (days)]]-tblVerifyTasks[[#This Row],[Done (days)]])</f>
        <v>20</v>
      </c>
      <c r="Q55" s="37">
        <f>IF(tblVerifyTasks[[#This Row],[Task or deliverable]]="","",IF(tblVerifyTasks[[#This Row],[Complete]]&gt;=1,tblVerifyTasks[[#This Row],[End]],IF(tblVerifyTasks[[#This Row],[Complete]]&gt;0,MAX(tblVerifyTasks[[#This Row],[End]],$E$37+ROUNDUP(tblVerifyTasks[[#This Row],[Remaining (days)]],0)),MAX(tblVerifyTasks[[#This Row],[Start]],$E$37+1)+tblVerifyTasks[[#This Row],[Duration (days)]]-1)))</f>
        <v>46109</v>
      </c>
      <c r="R55" s="40">
        <f>IF(tblVerifyTasks[[#This Row],[Task or deliverable]]="","",tblVerifyTasks[[#This Row],[Forecast end]]-IF(ISNUMBER(tblVerifyTasks[[#This Row],[Baseline end]]),tblVerifyTasks[[#This Row],[Baseline end]],tblVerifyTasks[[#This Row],[End]]))</f>
        <v>18</v>
      </c>
      <c r="S55" s="37">
        <f>IF(tblVerifyTasks[[#This Row],[Task or deliverable]]="","",IF(tblVerifyTasks[[#This Row],[Needed for SOP]]="Yes",tblVerifyTasks[[#This Row],[Forecast end]],""))</f>
        <v>46109</v>
      </c>
      <c r="T55" s="41" t="str">
        <f>IF(tblVerifyTasks[[#This Row],[Task or deliverable]]="","",IF(tblVerifyTasks[[#This Row],[Complete]]&gt;=1,"Complete",IF($E$37&gt;tblVerifyTasks[[#This Row],[End]],"Overdue",IF(tblVerifyTasks[[#This Row],[Done (days)]]&lt;tblVerifyTasks[[#This Row],[Planned (days)]]-$E$39*tblVerifyTasks[[#This Row],[Duration (days)]],"Below target",IF(tblVerifyTasks[[#This Row],[End]]-$E$37&lt;=$E$38,"Due soon","OK")))))</f>
        <v>OK</v>
      </c>
      <c r="U55" s="42" t="str">
        <f>IF(tblVerifyTasks[[#This Row],[Task or deliverable]]="","",IF(tblVerifyTasks[[#This Row],[No.]]="","Missing no.",IF(tblVerifyTasks[[#This Row],[Start]]="","Missing start",IF(tblVerifyTasks[[#This Row],[Duration (days)]]="","Missing duration",IF(COUNTIF(tblVerifyTasks[No.],tblVerifyTasks[[#This Row],[No.]])&gt;1,"Duplicate task No.",IF(COUNTIF(tblVerifyPhases[Phase],tblVerifyTasks[[#This Row],[Phase]])=0,"Phase not on Setup list",IF(AND(ISNUMBER(tblVerifyTasks[[#This Row],[Predecessor]]),COUNTIF(tblVerifyTasks[No.],tblVerifyTasks[[#This Row],[Predecessor]])=0),"Predecessor not found",IF(AND(ISNUMBER(tblVerifyTasks[[#This Row],[Predecessor]]),tblVerifyTasks[[#This Row],[Predecessor]]=tblVerifyTasks[[#This Row],[No.]]),"Task is its own predecessor",IF(AND(ISNUMBER(tblVerifyTasks[[#This Row],[Predecessor]]),tblVerifyTasks[[#This Row],[Complete]]=0,IFERROR(tblVerifyTasks[[#This Row],[Start]]&lt;=INDEX(tblVerifyTasks[Forecast end],MATCH(tblVerifyTasks[[#This Row],[Predecessor]],tblVerifyTasks[No.],0)),FALSE)),"Starts before its predecessor ends",IF(tblVerifyTasks[[#This Row],[Start]]&lt;$E$35,"Starts before the plan start",IF(AND(tblVerifyTasks[[#This Row],[Complete]]&gt;0,tblVerifyTasks[[#This Row],[Start]]&gt;$E$37),"Progress before the start date","OK")))))))))))</f>
        <v>OK</v>
      </c>
      <c r="V55" s="62" t="s">
        <v>133</v>
      </c>
    </row>
    <row r="56" spans="2:22">
      <c r="B56" s="70">
        <v>4</v>
      </c>
      <c r="C56" s="62" t="s">
        <v>93</v>
      </c>
      <c r="D56" s="62" t="s">
        <v>294</v>
      </c>
      <c r="E56" s="62" t="s">
        <v>104</v>
      </c>
      <c r="F56" s="70">
        <v>3</v>
      </c>
      <c r="G56" s="67"/>
      <c r="H56" s="67">
        <v>46111</v>
      </c>
      <c r="I56" s="70">
        <v>10</v>
      </c>
      <c r="J56" s="76">
        <v>0</v>
      </c>
      <c r="K56" s="62" t="s">
        <v>132</v>
      </c>
      <c r="L56" s="37">
        <f>IF(tblVerifyTasks[[#This Row],[Task or deliverable]]="","",tblVerifyTasks[[#This Row],[Start]]+tblVerifyTasks[[#This Row],[Duration (days)]]-1)</f>
        <v>46120</v>
      </c>
      <c r="M56" s="38">
        <f>IF(tblVerifyTasks[[#This Row],[Task or deliverable]]="","",tblVerifyTasks[[#This Row],[Start]]-$E$35)</f>
        <v>84</v>
      </c>
      <c r="N56" s="38">
        <f>IF(tblVerifyTasks[[#This Row],[Task or deliverable]]="","",MIN(tblVerifyTasks[[#This Row],[Duration (days)]],MAX(0,$E$37-tblVerifyTasks[[#This Row],[Start]]+1)))</f>
        <v>0</v>
      </c>
      <c r="O56" s="39">
        <f>IF(tblVerifyTasks[[#This Row],[Task or deliverable]]="","",tblVerifyTasks[[#This Row],[Duration (days)]]*tblVerifyTasks[[#This Row],[Complete]])</f>
        <v>0</v>
      </c>
      <c r="P56" s="39">
        <f>IF(tblVerifyTasks[[#This Row],[Task or deliverable]]="","",tblVerifyTasks[[#This Row],[Duration (days)]]-tblVerifyTasks[[#This Row],[Done (days)]])</f>
        <v>10</v>
      </c>
      <c r="Q56" s="37">
        <f>IF(tblVerifyTasks[[#This Row],[Task or deliverable]]="","",IF(tblVerifyTasks[[#This Row],[Complete]]&gt;=1,tblVerifyTasks[[#This Row],[End]],IF(tblVerifyTasks[[#This Row],[Complete]]&gt;0,MAX(tblVerifyTasks[[#This Row],[End]],$E$37+ROUNDUP(tblVerifyTasks[[#This Row],[Remaining (days)]],0)),MAX(tblVerifyTasks[[#This Row],[Start]],$E$37+1)+tblVerifyTasks[[#This Row],[Duration (days)]]-1)))</f>
        <v>46120</v>
      </c>
      <c r="R56" s="40">
        <f>IF(tblVerifyTasks[[#This Row],[Task or deliverable]]="","",tblVerifyTasks[[#This Row],[Forecast end]]-IF(ISNUMBER(tblVerifyTasks[[#This Row],[Baseline end]]),tblVerifyTasks[[#This Row],[Baseline end]],tblVerifyTasks[[#This Row],[End]]))</f>
        <v>0</v>
      </c>
      <c r="S56" s="37">
        <f>IF(tblVerifyTasks[[#This Row],[Task or deliverable]]="","",IF(tblVerifyTasks[[#This Row],[Needed for SOP]]="Yes",tblVerifyTasks[[#This Row],[Forecast end]],""))</f>
        <v>46120</v>
      </c>
      <c r="T56" s="41" t="str">
        <f>IF(tblVerifyTasks[[#This Row],[Task or deliverable]]="","",IF(tblVerifyTasks[[#This Row],[Complete]]&gt;=1,"Complete",IF($E$37&gt;tblVerifyTasks[[#This Row],[End]],"Overdue",IF(tblVerifyTasks[[#This Row],[Done (days)]]&lt;tblVerifyTasks[[#This Row],[Planned (days)]]-$E$39*tblVerifyTasks[[#This Row],[Duration (days)]],"Below target",IF(tblVerifyTasks[[#This Row],[End]]-$E$37&lt;=$E$38,"Due soon","OK")))))</f>
        <v>OK</v>
      </c>
      <c r="U56" s="42" t="str">
        <f>IF(tblVerifyTasks[[#This Row],[Task or deliverable]]="","",IF(tblVerifyTasks[[#This Row],[No.]]="","Missing no.",IF(tblVerifyTasks[[#This Row],[Start]]="","Missing start",IF(tblVerifyTasks[[#This Row],[Duration (days)]]="","Missing duration",IF(COUNTIF(tblVerifyTasks[No.],tblVerifyTasks[[#This Row],[No.]])&gt;1,"Duplicate task No.",IF(COUNTIF(tblVerifyPhases[Phase],tblVerifyTasks[[#This Row],[Phase]])=0,"Phase not on Setup list",IF(AND(ISNUMBER(tblVerifyTasks[[#This Row],[Predecessor]]),COUNTIF(tblVerifyTasks[No.],tblVerifyTasks[[#This Row],[Predecessor]])=0),"Predecessor not found",IF(AND(ISNUMBER(tblVerifyTasks[[#This Row],[Predecessor]]),tblVerifyTasks[[#This Row],[Predecessor]]=tblVerifyTasks[[#This Row],[No.]]),"Task is its own predecessor",IF(AND(ISNUMBER(tblVerifyTasks[[#This Row],[Predecessor]]),tblVerifyTasks[[#This Row],[Complete]]=0,IFERROR(tblVerifyTasks[[#This Row],[Start]]&lt;=INDEX(tblVerifyTasks[Forecast end],MATCH(tblVerifyTasks[[#This Row],[Predecessor]],tblVerifyTasks[No.],0)),FALSE)),"Starts before its predecessor ends",IF(tblVerifyTasks[[#This Row],[Start]]&lt;$E$35,"Starts before the plan start",IF(AND(tblVerifyTasks[[#This Row],[Complete]]&gt;0,tblVerifyTasks[[#This Row],[Start]]&gt;$E$37),"Progress before the start date","OK")))))))))))</f>
        <v>OK</v>
      </c>
      <c r="V56" s="62" t="s">
        <v>133</v>
      </c>
    </row>
    <row r="57" spans="2:22">
      <c r="B57" s="70">
        <v>5</v>
      </c>
      <c r="C57" s="62" t="s">
        <v>89</v>
      </c>
      <c r="D57" s="62" t="s">
        <v>295</v>
      </c>
      <c r="E57" s="62" t="s">
        <v>104</v>
      </c>
      <c r="F57" s="70"/>
      <c r="G57" s="67">
        <v>46082</v>
      </c>
      <c r="H57" s="67">
        <v>46063</v>
      </c>
      <c r="I57" s="70">
        <v>20</v>
      </c>
      <c r="J57" s="76">
        <v>0.2</v>
      </c>
      <c r="K57" s="62" t="s">
        <v>132</v>
      </c>
      <c r="L57" s="37">
        <f>IF(tblVerifyTasks[[#This Row],[Task or deliverable]]="","",tblVerifyTasks[[#This Row],[Start]]+tblVerifyTasks[[#This Row],[Duration (days)]]-1)</f>
        <v>46082</v>
      </c>
      <c r="M57" s="38">
        <f>IF(tblVerifyTasks[[#This Row],[Task or deliverable]]="","",tblVerifyTasks[[#This Row],[Start]]-$E$35)</f>
        <v>36</v>
      </c>
      <c r="N57" s="38">
        <f>IF(tblVerifyTasks[[#This Row],[Task or deliverable]]="","",MIN(tblVerifyTasks[[#This Row],[Duration (days)]],MAX(0,$E$37-tblVerifyTasks[[#This Row],[Start]]+1)))</f>
        <v>11</v>
      </c>
      <c r="O57" s="39">
        <f>IF(tblVerifyTasks[[#This Row],[Task or deliverable]]="","",tblVerifyTasks[[#This Row],[Duration (days)]]*tblVerifyTasks[[#This Row],[Complete]])</f>
        <v>4</v>
      </c>
      <c r="P57" s="39">
        <f>IF(tblVerifyTasks[[#This Row],[Task or deliverable]]="","",tblVerifyTasks[[#This Row],[Duration (days)]]-tblVerifyTasks[[#This Row],[Done (days)]])</f>
        <v>16</v>
      </c>
      <c r="Q57" s="37">
        <f>IF(tblVerifyTasks[[#This Row],[Task or deliverable]]="","",IF(tblVerifyTasks[[#This Row],[Complete]]&gt;=1,tblVerifyTasks[[#This Row],[End]],IF(tblVerifyTasks[[#This Row],[Complete]]&gt;0,MAX(tblVerifyTasks[[#This Row],[End]],$E$37+ROUNDUP(tblVerifyTasks[[#This Row],[Remaining (days)]],0)),MAX(tblVerifyTasks[[#This Row],[Start]],$E$37+1)+tblVerifyTasks[[#This Row],[Duration (days)]]-1)))</f>
        <v>46089</v>
      </c>
      <c r="R57" s="40">
        <f>IF(tblVerifyTasks[[#This Row],[Task or deliverable]]="","",tblVerifyTasks[[#This Row],[Forecast end]]-IF(ISNUMBER(tblVerifyTasks[[#This Row],[Baseline end]]),tblVerifyTasks[[#This Row],[Baseline end]],tblVerifyTasks[[#This Row],[End]]))</f>
        <v>7</v>
      </c>
      <c r="S57" s="37">
        <f>IF(tblVerifyTasks[[#This Row],[Task or deliverable]]="","",IF(tblVerifyTasks[[#This Row],[Needed for SOP]]="Yes",tblVerifyTasks[[#This Row],[Forecast end]],""))</f>
        <v>46089</v>
      </c>
      <c r="T57" s="41" t="str">
        <f>IF(tblVerifyTasks[[#This Row],[Task or deliverable]]="","",IF(tblVerifyTasks[[#This Row],[Complete]]&gt;=1,"Complete",IF($E$37&gt;tblVerifyTasks[[#This Row],[End]],"Overdue",IF(tblVerifyTasks[[#This Row],[Done (days)]]&lt;tblVerifyTasks[[#This Row],[Planned (days)]]-$E$39*tblVerifyTasks[[#This Row],[Duration (days)]],"Below target",IF(tblVerifyTasks[[#This Row],[End]]-$E$37&lt;=$E$38,"Due soon","OK")))))</f>
        <v>Below target</v>
      </c>
      <c r="U57" s="42" t="str">
        <f>IF(tblVerifyTasks[[#This Row],[Task or deliverable]]="","",IF(tblVerifyTasks[[#This Row],[No.]]="","Missing no.",IF(tblVerifyTasks[[#This Row],[Start]]="","Missing start",IF(tblVerifyTasks[[#This Row],[Duration (days)]]="","Missing duration",IF(COUNTIF(tblVerifyTasks[No.],tblVerifyTasks[[#This Row],[No.]])&gt;1,"Duplicate task No.",IF(COUNTIF(tblVerifyPhases[Phase],tblVerifyTasks[[#This Row],[Phase]])=0,"Phase not on Setup list",IF(AND(ISNUMBER(tblVerifyTasks[[#This Row],[Predecessor]]),COUNTIF(tblVerifyTasks[No.],tblVerifyTasks[[#This Row],[Predecessor]])=0),"Predecessor not found",IF(AND(ISNUMBER(tblVerifyTasks[[#This Row],[Predecessor]]),tblVerifyTasks[[#This Row],[Predecessor]]=tblVerifyTasks[[#This Row],[No.]]),"Task is its own predecessor",IF(AND(ISNUMBER(tblVerifyTasks[[#This Row],[Predecessor]]),tblVerifyTasks[[#This Row],[Complete]]=0,IFERROR(tblVerifyTasks[[#This Row],[Start]]&lt;=INDEX(tblVerifyTasks[Forecast end],MATCH(tblVerifyTasks[[#This Row],[Predecessor]],tblVerifyTasks[No.],0)),FALSE)),"Starts before its predecessor ends",IF(tblVerifyTasks[[#This Row],[Start]]&lt;$E$35,"Starts before the plan start",IF(AND(tblVerifyTasks[[#This Row],[Complete]]&gt;0,tblVerifyTasks[[#This Row],[Start]]&gt;$E$37),"Progress before the start date","OK")))))))))))</f>
        <v>OK</v>
      </c>
      <c r="V57" s="62" t="s">
        <v>133</v>
      </c>
    </row>
    <row r="58" spans="2:22">
      <c r="B58" s="70">
        <v>6</v>
      </c>
      <c r="C58" s="62" t="s">
        <v>89</v>
      </c>
      <c r="D58" s="62" t="s">
        <v>296</v>
      </c>
      <c r="E58" s="62" t="s">
        <v>104</v>
      </c>
      <c r="F58" s="70"/>
      <c r="G58" s="67">
        <v>46085</v>
      </c>
      <c r="H58" s="67">
        <v>46063</v>
      </c>
      <c r="I58" s="70">
        <v>10</v>
      </c>
      <c r="J58" s="76">
        <v>0</v>
      </c>
      <c r="K58" s="62" t="s">
        <v>168</v>
      </c>
      <c r="L58" s="37">
        <f>IF(tblVerifyTasks[[#This Row],[Task or deliverable]]="","",tblVerifyTasks[[#This Row],[Start]]+tblVerifyTasks[[#This Row],[Duration (days)]]-1)</f>
        <v>46072</v>
      </c>
      <c r="M58" s="38">
        <f>IF(tblVerifyTasks[[#This Row],[Task or deliverable]]="","",tblVerifyTasks[[#This Row],[Start]]-$E$35)</f>
        <v>36</v>
      </c>
      <c r="N58" s="38">
        <f>IF(tblVerifyTasks[[#This Row],[Task or deliverable]]="","",MIN(tblVerifyTasks[[#This Row],[Duration (days)]],MAX(0,$E$37-tblVerifyTasks[[#This Row],[Start]]+1)))</f>
        <v>10</v>
      </c>
      <c r="O58" s="39">
        <f>IF(tblVerifyTasks[[#This Row],[Task or deliverable]]="","",tblVerifyTasks[[#This Row],[Duration (days)]]*tblVerifyTasks[[#This Row],[Complete]])</f>
        <v>0</v>
      </c>
      <c r="P58" s="39">
        <f>IF(tblVerifyTasks[[#This Row],[Task or deliverable]]="","",tblVerifyTasks[[#This Row],[Duration (days)]]-tblVerifyTasks[[#This Row],[Done (days)]])</f>
        <v>10</v>
      </c>
      <c r="Q58" s="37">
        <f>IF(tblVerifyTasks[[#This Row],[Task or deliverable]]="","",IF(tblVerifyTasks[[#This Row],[Complete]]&gt;=1,tblVerifyTasks[[#This Row],[End]],IF(tblVerifyTasks[[#This Row],[Complete]]&gt;0,MAX(tblVerifyTasks[[#This Row],[End]],$E$37+ROUNDUP(tblVerifyTasks[[#This Row],[Remaining (days)]],0)),MAX(tblVerifyTasks[[#This Row],[Start]],$E$37+1)+tblVerifyTasks[[#This Row],[Duration (days)]]-1)))</f>
        <v>46083</v>
      </c>
      <c r="R58" s="40">
        <f>IF(tblVerifyTasks[[#This Row],[Task or deliverable]]="","",tblVerifyTasks[[#This Row],[Forecast end]]-IF(ISNUMBER(tblVerifyTasks[[#This Row],[Baseline end]]),tblVerifyTasks[[#This Row],[Baseline end]],tblVerifyTasks[[#This Row],[End]]))</f>
        <v>-2</v>
      </c>
      <c r="S58" s="37">
        <f>IF(tblVerifyTasks[[#This Row],[Task or deliverable]]="","",IF(tblVerifyTasks[[#This Row],[Needed for SOP]]="Yes",tblVerifyTasks[[#This Row],[Forecast end]],""))</f>
        <v/>
      </c>
      <c r="T58" s="41" t="str">
        <f>IF(tblVerifyTasks[[#This Row],[Task or deliverable]]="","",IF(tblVerifyTasks[[#This Row],[Complete]]&gt;=1,"Complete",IF($E$37&gt;tblVerifyTasks[[#This Row],[End]],"Overdue",IF(tblVerifyTasks[[#This Row],[Done (days)]]&lt;tblVerifyTasks[[#This Row],[Planned (days)]]-$E$39*tblVerifyTasks[[#This Row],[Duration (days)]],"Below target",IF(tblVerifyTasks[[#This Row],[End]]-$E$37&lt;=$E$38,"Due soon","OK")))))</f>
        <v>Overdue</v>
      </c>
      <c r="U58" s="42" t="str">
        <f>IF(tblVerifyTasks[[#This Row],[Task or deliverable]]="","",IF(tblVerifyTasks[[#This Row],[No.]]="","Missing no.",IF(tblVerifyTasks[[#This Row],[Start]]="","Missing start",IF(tblVerifyTasks[[#This Row],[Duration (days)]]="","Missing duration",IF(COUNTIF(tblVerifyTasks[No.],tblVerifyTasks[[#This Row],[No.]])&gt;1,"Duplicate task No.",IF(COUNTIF(tblVerifyPhases[Phase],tblVerifyTasks[[#This Row],[Phase]])=0,"Phase not on Setup list",IF(AND(ISNUMBER(tblVerifyTasks[[#This Row],[Predecessor]]),COUNTIF(tblVerifyTasks[No.],tblVerifyTasks[[#This Row],[Predecessor]])=0),"Predecessor not found",IF(AND(ISNUMBER(tblVerifyTasks[[#This Row],[Predecessor]]),tblVerifyTasks[[#This Row],[Predecessor]]=tblVerifyTasks[[#This Row],[No.]]),"Task is its own predecessor",IF(AND(ISNUMBER(tblVerifyTasks[[#This Row],[Predecessor]]),tblVerifyTasks[[#This Row],[Complete]]=0,IFERROR(tblVerifyTasks[[#This Row],[Start]]&lt;=INDEX(tblVerifyTasks[Forecast end],MATCH(tblVerifyTasks[[#This Row],[Predecessor]],tblVerifyTasks[No.],0)),FALSE)),"Starts before its predecessor ends",IF(tblVerifyTasks[[#This Row],[Start]]&lt;$E$35,"Starts before the plan start",IF(AND(tblVerifyTasks[[#This Row],[Complete]]&gt;0,tblVerifyTasks[[#This Row],[Start]]&gt;$E$37),"Progress before the start date","OK")))))))))))</f>
        <v>OK</v>
      </c>
      <c r="V58" s="62" t="s">
        <v>133</v>
      </c>
    </row>
    <row r="59" spans="2:22">
      <c r="B59" s="70">
        <v>7</v>
      </c>
      <c r="C59" s="62" t="s">
        <v>89</v>
      </c>
      <c r="D59" s="62" t="s">
        <v>297</v>
      </c>
      <c r="E59" s="62" t="s">
        <v>104</v>
      </c>
      <c r="F59" s="70">
        <v>2</v>
      </c>
      <c r="G59" s="67">
        <v>46087</v>
      </c>
      <c r="H59" s="67">
        <v>46083</v>
      </c>
      <c r="I59" s="70">
        <v>5</v>
      </c>
      <c r="J59" s="76">
        <v>0</v>
      </c>
      <c r="K59" s="62" t="s">
        <v>132</v>
      </c>
      <c r="L59" s="37">
        <f>IF(tblVerifyTasks[[#This Row],[Task or deliverable]]="","",tblVerifyTasks[[#This Row],[Start]]+tblVerifyTasks[[#This Row],[Duration (days)]]-1)</f>
        <v>46087</v>
      </c>
      <c r="M59" s="38">
        <f>IF(tblVerifyTasks[[#This Row],[Task or deliverable]]="","",tblVerifyTasks[[#This Row],[Start]]-$E$35)</f>
        <v>56</v>
      </c>
      <c r="N59" s="38">
        <f>IF(tblVerifyTasks[[#This Row],[Task or deliverable]]="","",MIN(tblVerifyTasks[[#This Row],[Duration (days)]],MAX(0,$E$37-tblVerifyTasks[[#This Row],[Start]]+1)))</f>
        <v>0</v>
      </c>
      <c r="O59" s="39">
        <f>IF(tblVerifyTasks[[#This Row],[Task or deliverable]]="","",tblVerifyTasks[[#This Row],[Duration (days)]]*tblVerifyTasks[[#This Row],[Complete]])</f>
        <v>0</v>
      </c>
      <c r="P59" s="39">
        <f>IF(tblVerifyTasks[[#This Row],[Task or deliverable]]="","",tblVerifyTasks[[#This Row],[Duration (days)]]-tblVerifyTasks[[#This Row],[Done (days)]])</f>
        <v>5</v>
      </c>
      <c r="Q59" s="37">
        <f>IF(tblVerifyTasks[[#This Row],[Task or deliverable]]="","",IF(tblVerifyTasks[[#This Row],[Complete]]&gt;=1,tblVerifyTasks[[#This Row],[End]],IF(tblVerifyTasks[[#This Row],[Complete]]&gt;0,MAX(tblVerifyTasks[[#This Row],[End]],$E$37+ROUNDUP(tblVerifyTasks[[#This Row],[Remaining (days)]],0)),MAX(tblVerifyTasks[[#This Row],[Start]],$E$37+1)+tblVerifyTasks[[#This Row],[Duration (days)]]-1)))</f>
        <v>46087</v>
      </c>
      <c r="R59" s="40">
        <f>IF(tblVerifyTasks[[#This Row],[Task or deliverable]]="","",tblVerifyTasks[[#This Row],[Forecast end]]-IF(ISNUMBER(tblVerifyTasks[[#This Row],[Baseline end]]),tblVerifyTasks[[#This Row],[Baseline end]],tblVerifyTasks[[#This Row],[End]]))</f>
        <v>0</v>
      </c>
      <c r="S59" s="37">
        <f>IF(tblVerifyTasks[[#This Row],[Task or deliverable]]="","",IF(tblVerifyTasks[[#This Row],[Needed for SOP]]="Yes",tblVerifyTasks[[#This Row],[Forecast end]],""))</f>
        <v>46087</v>
      </c>
      <c r="T59" s="41" t="str">
        <f>IF(tblVerifyTasks[[#This Row],[Task or deliverable]]="","",IF(tblVerifyTasks[[#This Row],[Complete]]&gt;=1,"Complete",IF($E$37&gt;tblVerifyTasks[[#This Row],[End]],"Overdue",IF(tblVerifyTasks[[#This Row],[Done (days)]]&lt;tblVerifyTasks[[#This Row],[Planned (days)]]-$E$39*tblVerifyTasks[[#This Row],[Duration (days)]],"Below target",IF(tblVerifyTasks[[#This Row],[End]]-$E$37&lt;=$E$38,"Due soon","OK")))))</f>
        <v>Due soon</v>
      </c>
      <c r="U59" s="42" t="str">
        <f>IF(tblVerifyTasks[[#This Row],[Task or deliverable]]="","",IF(tblVerifyTasks[[#This Row],[No.]]="","Missing no.",IF(tblVerifyTasks[[#This Row],[Start]]="","Missing start",IF(tblVerifyTasks[[#This Row],[Duration (days)]]="","Missing duration",IF(COUNTIF(tblVerifyTasks[No.],tblVerifyTasks[[#This Row],[No.]])&gt;1,"Duplicate task No.",IF(COUNTIF(tblVerifyPhases[Phase],tblVerifyTasks[[#This Row],[Phase]])=0,"Phase not on Setup list",IF(AND(ISNUMBER(tblVerifyTasks[[#This Row],[Predecessor]]),COUNTIF(tblVerifyTasks[No.],tblVerifyTasks[[#This Row],[Predecessor]])=0),"Predecessor not found",IF(AND(ISNUMBER(tblVerifyTasks[[#This Row],[Predecessor]]),tblVerifyTasks[[#This Row],[Predecessor]]=tblVerifyTasks[[#This Row],[No.]]),"Task is its own predecessor",IF(AND(ISNUMBER(tblVerifyTasks[[#This Row],[Predecessor]]),tblVerifyTasks[[#This Row],[Complete]]=0,IFERROR(tblVerifyTasks[[#This Row],[Start]]&lt;=INDEX(tblVerifyTasks[Forecast end],MATCH(tblVerifyTasks[[#This Row],[Predecessor]],tblVerifyTasks[No.],0)),FALSE)),"Starts before its predecessor ends",IF(tblVerifyTasks[[#This Row],[Start]]&lt;$E$35,"Starts before the plan start",IF(AND(tblVerifyTasks[[#This Row],[Complete]]&gt;0,tblVerifyTasks[[#This Row],[Start]]&gt;$E$37),"Progress before the start date","OK")))))))))))</f>
        <v>Starts before its predecessor ends</v>
      </c>
      <c r="V59" s="62" t="s">
        <v>133</v>
      </c>
    </row>
  </sheetData>
  <sheetProtection sheet="1" formatColumns="0" formatRows="0"/>
  <mergeCells count="40">
    <mergeCell ref="A1:V1"/>
    <mergeCell ref="B2:U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B31:L31"/>
    <mergeCell ref="B33:L33"/>
    <mergeCell ref="B34:F34"/>
    <mergeCell ref="B35:D35"/>
    <mergeCell ref="B36:D36"/>
    <mergeCell ref="B37:D37"/>
    <mergeCell ref="B38:D38"/>
    <mergeCell ref="B39:D39"/>
    <mergeCell ref="B40:D40"/>
    <mergeCell ref="B41:D41"/>
    <mergeCell ref="B42:D42"/>
    <mergeCell ref="B44:L44"/>
    <mergeCell ref="B51:L51"/>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9">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U53:U59">
    <cfRule type="expression" dxfId="3" priority="41">
      <formula>$U53="OK"</formula>
    </cfRule>
    <cfRule type="expression" dxfId="1" priority="42">
      <formula>AND($U53&lt;&gt;"",$U53&lt;&gt;"OK")</formula>
    </cfRule>
  </conditionalFormatting>
  <hyperlinks>
    <hyperlink ref="V2" r:id="rId1" tooltip="Free manufacturing calculators and templates"/>
  </hyperlinks>
  <printOptions horizontalCentered="1"/>
  <pageMargins left="0.4" right="0.4" top="0.7" bottom="0.65" header="0.3" footer="0.3"/>
  <pageSetup fitToHeight="0" orientation="landscape"/>
  <headerFooter>
    <oddHeader>&amp;L&amp;8MFG Calcs - APQP Timeline&amp;R&amp;8&amp;A</oddHeader>
    <oddFooter>&amp;L&amp;8mfgcalcs.com - free manufacturing templates&amp;R&amp;8Page &amp;P of &amp;N</oddFooter>
  </headerFooter>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29</vt:i4>
      </vt:variant>
    </vt:vector>
  </HeadingPairs>
  <TitlesOfParts>
    <vt:vector size="35" baseType="lpstr">
      <vt:lpstr>Start Here</vt:lpstr>
      <vt:lpstr>Setup</vt:lpstr>
      <vt:lpstr>Plan</vt:lpstr>
      <vt:lpstr>Dashboard</vt:lpstr>
      <vt:lpstr>Method</vt:lpstr>
      <vt:lpstr>Verify</vt:lpstr>
      <vt:lpstr>AsOf</vt:lpstr>
      <vt:lpstr>Currency</vt:lpstr>
      <vt:lpstr>CustomerName</vt:lpstr>
      <vt:lpstr>DueSoonDays</vt:lpstr>
      <vt:lpstr>Expedite</vt:lpstr>
      <vt:lpstr>KpiBehind</vt:lpstr>
      <vt:lpstr>KpiCost</vt:lpstr>
      <vt:lpstr>KpiDaysToSop</vt:lpstr>
      <vt:lpstr>KpiDone</vt:lpstr>
      <vt:lpstr>KpiOverdue</vt:lpstr>
      <vt:lpstr>KpiSlip</vt:lpstr>
      <vt:lpstr>KpiSlipped</vt:lpstr>
      <vt:lpstr>KpiSopFinish</vt:lpstr>
      <vt:lpstr>MarginWeek</vt:lpstr>
      <vt:lpstr>PlanStart</vt:lpstr>
      <vt:lpstr>Dashboard!Print_Area</vt:lpstr>
      <vt:lpstr>Method!Print_Area</vt:lpstr>
      <vt:lpstr>Plan!Print_Area</vt:lpstr>
      <vt:lpstr>Setup!Print_Area</vt:lpstr>
      <vt:lpstr>'Start Here'!Print_Area</vt:lpstr>
      <vt:lpstr>Verify!Print_Area</vt:lpstr>
      <vt:lpstr>Method!Print_Titles</vt:lpstr>
      <vt:lpstr>Plan!Print_Titles</vt:lpstr>
      <vt:lpstr>ProgramName</vt:lpstr>
      <vt:lpstr>SelfCheck</vt:lpstr>
      <vt:lpstr>SelfCheckSummary</vt:lpstr>
      <vt:lpstr>SOPDate</vt:lpstr>
      <vt:lpstr>Tolerance</vt:lpstr>
      <vt:lpstr>Unrecoverable</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APQP Timeline - free Excel template from MFG Calcs</dc:title>
  <dc:subject>Plan an APQP launch in five phases, track progress against plan and see when start of production is really forecast and what a slip would cost.</dc:subject>
  <dc:creator>MFG Calcs</dc:creator>
  <cp:keywords>APQP, advanced product quality planning, launch plan, Gantt, SOP, new product introduction, PPAP, control plan</cp:keywords>
  <dc:description>https://www.mfgcalcs.com/templates/apqp-timeline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apqp-timeline</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planner</vt:lpwstr>
  </property>
  <property fmtid="{D5CDD505-2E9C-101B-9397-08002B2CF9AE}" pid="6" name="Template URL">
    <vt:lpwstr>https://www.mfgcalcs.com/templates/apqp-timeline</vt:lpwstr>
  </property>
  <property fmtid="{D5CDD505-2E9C-101B-9397-08002B2CF9AE}" pid="7" name="Template sheet roles">
    <vt:lpwstr>Start Here=start;Setup=setup;Plan=work;Dashboard=dashboard;Method=method;Verify=verify</vt:lpwstr>
  </property>
</Properties>
</file>