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Asset Register" sheetId="3" r:id="rId3"/>
    <sheet name="Dashboard" sheetId="4" r:id="rId4"/>
    <sheet name="Method" sheetId="5" r:id="rId5"/>
    <sheet name="Verify" sheetId="6" r:id="rId6"/>
  </sheets>
  <definedNames>
    <definedName name="Areas">tblAreas[Area]</definedName>
    <definedName name="ClassA">Setup!$C$9</definedName>
    <definedName name="ClassB">Setup!$C$10</definedName>
    <definedName name="Classes">tblClasses[Class]</definedName>
    <definedName name="ConsMethod">Setup!$C$8</definedName>
    <definedName name="Currency">Setup!$C$7</definedName>
    <definedName name="KpiA">Dashboard!$D$7</definedName>
    <definedName name="KpiB">Dashboard!$B$30</definedName>
    <definedName name="KpiC">Dashboard!$D$30</definedName>
    <definedName name="KpiCost">Dashboard!$G$30</definedName>
    <definedName name="KpiCostA">Dashboard!$J$7</definedName>
    <definedName name="KpiFix">Dashboard!$J$30</definedName>
    <definedName name="KpiRanked">Dashboard!$B$7</definedName>
    <definedName name="KpiTop">Dashboard!$G$7</definedName>
    <definedName name="_xlnm.Print_Area" localSheetId="2">'Asset Register'!$A$1:$V$35</definedName>
    <definedName name="_xlnm.Print_Area" localSheetId="3">Dashboard!$A$1:$L$73</definedName>
    <definedName name="_xlnm.Print_Area" localSheetId="4">Method!$A$1:$D$59</definedName>
    <definedName name="_xlnm.Print_Area" localSheetId="1">Setup!$A$1:$G$48</definedName>
    <definedName name="_xlnm.Print_Area" localSheetId="0">'Start Here'!$A$1:$F$56</definedName>
    <definedName name="_xlnm.Print_Area" localSheetId="5">Verify!$A$1:$V$61</definedName>
    <definedName name="_xlnm.Print_Titles" localSheetId="2">'Asset Register'!$1:$6</definedName>
    <definedName name="_xlnm.Print_Titles" localSheetId="4">Method!$1:$2</definedName>
    <definedName name="SafetyRule">Setup!$C$11</definedName>
    <definedName name="Scale">tblScale[Criterion]</definedName>
    <definedName name="SelfCheck">Verify!$D$4</definedName>
    <definedName name="SelfCheckSummary">Verify!$F$4</definedName>
    <definedName name="SiteName">Setup!$C$6</definedName>
    <definedName name="WCost">Setup!$C$19</definedName>
    <definedName name="WeightCheck">Setup!$C$21</definedName>
    <definedName name="WeightSum">Setup!$C$20</definedName>
    <definedName name="WEnv">Setup!$C$16</definedName>
    <definedName name="WProd">Setup!$C$17</definedName>
    <definedName name="WQual">Setup!$C$18</definedName>
    <definedName name="WSafety">Setup!$C$15</definedName>
  </definedNames>
  <calcPr calcId="124519" fullCalcOnLoad="1"/>
</workbook>
</file>

<file path=xl/sharedStrings.xml><?xml version="1.0" encoding="utf-8"?>
<sst xmlns="http://schemas.openxmlformats.org/spreadsheetml/2006/main" count="600" uniqueCount="377">
  <si>
    <t>Asset Criticality Ranking</t>
  </si>
  <si>
    <t>Read this first: what the workbook does and how to use it.</t>
  </si>
  <si>
    <t>mfgcalcs.com</t>
  </si>
  <si>
    <t>Score every asset on safety, environment, production, quality and repair cost and on likelihood of failure, then rank them into A, B and C classes to focus maintenance.</t>
  </si>
  <si>
    <t>For: Reliability and maintenance engineers, maintenance managers, asset owners and plant managers.</t>
  </si>
  <si>
    <t>Version 1.0.0  ·  updated 15 October 2026</t>
  </si>
  <si>
    <t>Quick start</t>
  </si>
  <si>
    <t>1.</t>
  </si>
  <si>
    <t>On Setup, agree the ranking rules with your team: consequence method, criterion weights, class thresholds and the safety and environment rule.</t>
  </si>
  <si>
    <t>2.</t>
  </si>
  <si>
    <t>Rewrite the example scoring scale in words for your site, and replace the example areas.</t>
  </si>
  <si>
    <t>3.</t>
  </si>
  <si>
    <t>On Asset Register, add one row per asset and score it 1 to 5 on each consequence and on likelihood; add failure history and costs if you have them.</t>
  </si>
  <si>
    <t>4.</t>
  </si>
  <si>
    <t>Read the Check column: anything other than OK names the problem in words.</t>
  </si>
  <si>
    <t>5.</t>
  </si>
  <si>
    <t>Open the Dashboard: work the class A list first and use the risk map to see where the register sits.</t>
  </si>
  <si>
    <t>What is in this workbook</t>
  </si>
  <si>
    <t>Start Here</t>
  </si>
  <si>
    <t>Setup</t>
  </si>
  <si>
    <t>Your plant, currency, targets and the dropdown lists.</t>
  </si>
  <si>
    <t>Asset Register</t>
  </si>
  <si>
    <t>One row per asset: consequence and likelihood scores, class, rank and the downtime cost at stake.</t>
  </si>
  <si>
    <t>Dashboard</t>
  </si>
  <si>
    <t>Which assets matter most: the ranked list, the classes by area, the risk map and the downtime cost at stake.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</si>
  <si>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</si>
  <si>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</si>
  <si>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</si>
  <si>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</si>
  <si>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</si>
  <si>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</si>
  <si>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</si>
  <si>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</si>
  <si>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</si>
  <si>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</si>
  <si>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</si>
  <si>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</si>
  <si>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</si>
  <si>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</si>
  <si>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</si>
  <si>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</si>
  <si>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</si>
  <si>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</si>
  <si>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</si>
  <si>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</si>
  <si>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Downtime Cost per Event Calculator on mfgcalcs.com</t>
  </si>
  <si>
    <t>Latest version</t>
  </si>
  <si>
    <t>mfgcalcs.com/templates/asset-criticality</t>
  </si>
  <si>
    <t>More free templates</t>
  </si>
  <si>
    <t>mfgcalcs.com/templates</t>
  </si>
  <si>
    <t>Version</t>
  </si>
  <si>
    <t>1.0.0 (updated 15 October 2026)</t>
  </si>
  <si>
    <t>About the example data</t>
  </si>
  <si>
    <t>Every number already in this workbook is example data for Harbour Chemicals, a fictional business invented for this template, so the dashboard and charts show something meaningful on day one. It covers 29 assets in five areas of a specialty-chemicals plant, scored by hand. Costs are examples in EUR.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</si>
  <si>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</si>
  <si>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</si>
  <si>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</si>
  <si>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</si>
  <si>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</si>
  <si>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</si>
  <si>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</si>
  <si>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</si>
  <si>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Criterion</t>
  </si>
  <si>
    <t>Score 1</t>
  </si>
  <si>
    <t>Score 2</t>
  </si>
  <si>
    <t>Score 3</t>
  </si>
  <si>
    <t>Score 4</t>
  </si>
  <si>
    <t>Score 5</t>
  </si>
  <si>
    <t>Class</t>
  </si>
  <si>
    <t>Maintenance</t>
  </si>
  <si>
    <t>Spares</t>
  </si>
  <si>
    <t>Failures</t>
  </si>
  <si>
    <t>Area</t>
  </si>
  <si>
    <t>Description</t>
  </si>
  <si>
    <t>Site and ranking rules</t>
  </si>
  <si>
    <t>Site name</t>
  </si>
  <si>
    <t>Harbour Chemicals (example)</t>
  </si>
  <si>
    <t>Currency label</t>
  </si>
  <si>
    <t>EUR</t>
  </si>
  <si>
    <t>Consequence method</t>
  </si>
  <si>
    <t>Weighted average</t>
  </si>
  <si>
    <t>Class A from score</t>
  </si>
  <si>
    <t>Class B from score</t>
  </si>
  <si>
    <t>Safety or environment 5 is class A</t>
  </si>
  <si>
    <t>Yes</t>
  </si>
  <si>
    <t>Criterion weights (weighted average method)</t>
  </si>
  <si>
    <t>Safety</t>
  </si>
  <si>
    <t>Environment</t>
  </si>
  <si>
    <t>Production</t>
  </si>
  <si>
    <t>Quality</t>
  </si>
  <si>
    <t>Repair cost</t>
  </si>
  <si>
    <t>Weights add up to</t>
  </si>
  <si>
    <t>Weights check</t>
  </si>
  <si>
    <t>These rules, weights and thresholds are example choices for Harbour Chemicals, not values from a standard. Agree your own with operations, safety and maintenance before you score, and keep them fixed while you do.</t>
  </si>
  <si>
    <t>Scoring scale in words (example wording: rewrite it for your site)</t>
  </si>
  <si>
    <t>What each score means</t>
  </si>
  <si>
    <t>No injury possible</t>
  </si>
  <si>
    <t>First aid case</t>
  </si>
  <si>
    <t>Recordable injury</t>
  </si>
  <si>
    <t>Lost-time injury</t>
  </si>
  <si>
    <t>Fatality possible</t>
  </si>
  <si>
    <t>No release</t>
  </si>
  <si>
    <t>Small spill, contained</t>
  </si>
  <si>
    <t>Spill cleaned on site</t>
  </si>
  <si>
    <t>Reportable release</t>
  </si>
  <si>
    <t>Major off-site release</t>
  </si>
  <si>
    <t>No loss (standby)</t>
  </si>
  <si>
    <t>Slowed, made up</t>
  </si>
  <si>
    <t>Line down, 1 shift</t>
  </si>
  <si>
    <t>Line down, 1 day</t>
  </si>
  <si>
    <t>Site down, over 1 day</t>
  </si>
  <si>
    <t>No effect</t>
  </si>
  <si>
    <t>Rework in-house</t>
  </si>
  <si>
    <t>Batch held or scrap</t>
  </si>
  <si>
    <t>Customer complaint</t>
  </si>
  <si>
    <t>Recall possible</t>
  </si>
  <si>
    <t>Under 1,000</t>
  </si>
  <si>
    <t>1,000 to 5,000</t>
  </si>
  <si>
    <t>5,000 to 25,000</t>
  </si>
  <si>
    <t>25,000 to 100,000</t>
  </si>
  <si>
    <t>Over 100,000</t>
  </si>
  <si>
    <t>Likelihood</t>
  </si>
  <si>
    <t>Under 1 in 10 years</t>
  </si>
  <si>
    <t>1 in 3 to 10 years</t>
  </si>
  <si>
    <t>1 in 1 to 3 years</t>
  </si>
  <si>
    <t>1 to 4 a year</t>
  </si>
  <si>
    <t>Over 4 a year</t>
  </si>
  <si>
    <t>Strategy each class suggests (examples)</t>
  </si>
  <si>
    <t>A</t>
  </si>
  <si>
    <t>Condition monitoring, PM</t>
  </si>
  <si>
    <t>Critical spares on site</t>
  </si>
  <si>
    <t>Root cause, every failure</t>
  </si>
  <si>
    <t>B</t>
  </si>
  <si>
    <t>Time-based PM</t>
  </si>
  <si>
    <t>Short lead time</t>
  </si>
  <si>
    <t>Reviewed monthly</t>
  </si>
  <si>
    <t>C</t>
  </si>
  <si>
    <t>Run to failure if safe</t>
  </si>
  <si>
    <t>Buy when needed</t>
  </si>
  <si>
    <t>Operator care, inspection</t>
  </si>
  <si>
    <t>Areas</t>
  </si>
  <si>
    <t>Reaction</t>
  </si>
  <si>
    <t>Reactors, feed, heating</t>
  </si>
  <si>
    <t>Separation</t>
  </si>
  <si>
    <t>Centrifuge, dryer, column</t>
  </si>
  <si>
    <t>Utilities</t>
  </si>
  <si>
    <t>Air, steam, cooling, N2</t>
  </si>
  <si>
    <t>Tank farm</t>
  </si>
  <si>
    <t>Solvent tanks, scrubber</t>
  </si>
  <si>
    <t>Packaging</t>
  </si>
  <si>
    <t>Drum and IBC filling</t>
  </si>
  <si>
    <t>Asset ID</t>
  </si>
  <si>
    <t>Asset</t>
  </si>
  <si>
    <t>Safety (1-5)</t>
  </si>
  <si>
    <t>Environment (1-5)</t>
  </si>
  <si>
    <t>Production (1-5)</t>
  </si>
  <si>
    <t>Quality (1-5)</t>
  </si>
  <si>
    <t>Repair cost (1-5)</t>
  </si>
  <si>
    <t>Likelihood (1-5)</t>
  </si>
  <si>
    <t>Consequence (1-5)</t>
  </si>
  <si>
    <t>Criticality (1-25)</t>
  </si>
  <si>
    <t>Rank</t>
  </si>
  <si>
    <t>Failures per year</t>
  </si>
  <si>
    <t>Hours per failure</t>
  </si>
  <si>
    <t>Lost output per hour</t>
  </si>
  <si>
    <t>Repair cost per failure</t>
  </si>
  <si>
    <t>Cost per failure</t>
  </si>
  <si>
    <t>Annual downtime cost</t>
  </si>
  <si>
    <t>Check</t>
  </si>
  <si>
    <t>Notes</t>
  </si>
  <si>
    <t>Example data for Harbour Chemicals (fictional); costs are examples. Replace it with your own: select the example rows, right-click, Delete &gt; Table Rows. Yellow = you type; blue = calculated; Check names any problem.</t>
  </si>
  <si>
    <t>R-201</t>
  </si>
  <si>
    <t>Reactor R-201 agitator</t>
  </si>
  <si>
    <t/>
  </si>
  <si>
    <t>R-202</t>
  </si>
  <si>
    <t>Reactor R-202 agitator</t>
  </si>
  <si>
    <t>HX-210</t>
  </si>
  <si>
    <t>Reactor cooling exchanger</t>
  </si>
  <si>
    <t>P-215</t>
  </si>
  <si>
    <t>Reactor feed pump</t>
  </si>
  <si>
    <t>TO-220</t>
  </si>
  <si>
    <t>Thermal oil heater</t>
  </si>
  <si>
    <t>PSV-230</t>
  </si>
  <si>
    <t>Reactor relief system</t>
  </si>
  <si>
    <t>Class A by the score-5 rule</t>
  </si>
  <si>
    <t>CF-301</t>
  </si>
  <si>
    <t>Decanter centrifuge</t>
  </si>
  <si>
    <t>FP-302</t>
  </si>
  <si>
    <t>Filter press</t>
  </si>
  <si>
    <t>D-310</t>
  </si>
  <si>
    <t>Vacuum dryer</t>
  </si>
  <si>
    <t>VP-311</t>
  </si>
  <si>
    <t>Dryer vacuum pump</t>
  </si>
  <si>
    <t>DC-320</t>
  </si>
  <si>
    <t>Distillation reboiler</t>
  </si>
  <si>
    <t>AC-401</t>
  </si>
  <si>
    <t>Instrument air compressor</t>
  </si>
  <si>
    <t>AC-402</t>
  </si>
  <si>
    <t>Standby air compressor</t>
  </si>
  <si>
    <t>Standby to AC-401</t>
  </si>
  <si>
    <t>B-410</t>
  </si>
  <si>
    <t>Steam boiler</t>
  </si>
  <si>
    <t>CT-420</t>
  </si>
  <si>
    <t>Cooling tower fan</t>
  </si>
  <si>
    <t>CH-430</t>
  </si>
  <si>
    <t>Process chiller</t>
  </si>
  <si>
    <t>N2-440</t>
  </si>
  <si>
    <t>Nitrogen generator</t>
  </si>
  <si>
    <t>FW-450</t>
  </si>
  <si>
    <t>Fire water pump</t>
  </si>
  <si>
    <t>WW-460</t>
  </si>
  <si>
    <t>Effluent plant blower</t>
  </si>
  <si>
    <t>SC-501</t>
  </si>
  <si>
    <t>Vent gas scrubber</t>
  </si>
  <si>
    <t>P-510</t>
  </si>
  <si>
    <t>Solvent transfer pump</t>
  </si>
  <si>
    <t>LT-520</t>
  </si>
  <si>
    <t>Solvent tank level system</t>
  </si>
  <si>
    <t>LA-530</t>
  </si>
  <si>
    <t>Road tanker loading arm</t>
  </si>
  <si>
    <t>FL-601</t>
  </si>
  <si>
    <t>Drum filling line</t>
  </si>
  <si>
    <t>FS-602</t>
  </si>
  <si>
    <t>IBC filling station</t>
  </si>
  <si>
    <t>LB-603</t>
  </si>
  <si>
    <t>Drum labeller</t>
  </si>
  <si>
    <t>CV-604</t>
  </si>
  <si>
    <t>Pallet conveyor</t>
  </si>
  <si>
    <t>FT-610</t>
  </si>
  <si>
    <t>Forklift truck 1</t>
  </si>
  <si>
    <t>Second truck available</t>
  </si>
  <si>
    <t>SW-620</t>
  </si>
  <si>
    <t>Stretch wrapper</t>
  </si>
  <si>
    <t>ASSETS RANKED</t>
  </si>
  <si>
    <t>CLASS A ASSETS</t>
  </si>
  <si>
    <t>HIGHEST-RANKED ASSET</t>
  </si>
  <si>
    <t>Scored on all six criteria</t>
  </si>
  <si>
    <t>Highest maintenance priority</t>
  </si>
  <si>
    <t>Rank 1 by criticality score</t>
  </si>
  <si>
    <t>Estimate: failures/yr x cost per failure</t>
  </si>
  <si>
    <t>CLASS B ASSETS</t>
  </si>
  <si>
    <t>CLASS C ASSETS</t>
  </si>
  <si>
    <t>ROWS WITH A CHECK MESSAGE</t>
  </si>
  <si>
    <t>Planned maintenance priority</t>
  </si>
  <si>
    <t>Candidates for run to failure</t>
  </si>
  <si>
    <t>Estimate, summed over the register</t>
  </si>
  <si>
    <t>Risk map: assets in each cell</t>
  </si>
  <si>
    <t>By class</t>
  </si>
  <si>
    <t>Likelihood \ consequence</t>
  </si>
  <si>
    <t>Assets</t>
  </si>
  <si>
    <t>Downtime cost</t>
  </si>
  <si>
    <t>Share of cost</t>
  </si>
  <si>
    <t>Total</t>
  </si>
  <si>
    <t>By area</t>
  </si>
  <si>
    <t>Class A</t>
  </si>
  <si>
    <t>Class B</t>
  </si>
  <si>
    <t>Class C</t>
  </si>
  <si>
    <t>Top 15 assets by criticality score</t>
  </si>
  <si>
    <t>Consequence</t>
  </si>
  <si>
    <t>Criticality</t>
  </si>
  <si>
    <t>The risk map counts each asset in the cell of its likelihood and its consequence rounded to the nearest whole score; the shading shows the class that cell's score (likelihood x consequence) falls in. The Dashboard shows 5 areas and the top 15 assets; if you add areas, extend the 'By area' block (see Method).</t>
  </si>
  <si>
    <t>What this workbook calculates</t>
  </si>
  <si>
    <t>Criticality ranking puts a maintenance team's effort where a failure would hurt most. Each asset is scored 1 to 5 on what its failure would do (safety, environment, production, quality, repair cost) and 1 to 5 on how likely that failure is. Consequence times likelihood gives a criticality score from 1 to 25; thresholds agreed on Setup turn the score into class A, B or C, and each class suggests a maintenance strategy. The scores are judgements: the value of the method is that the whole site judges every asset the same way.</t>
  </si>
  <si>
    <t>Calculations</t>
  </si>
  <si>
    <t>Quantity</t>
  </si>
  <si>
    <t>How it is calculated</t>
  </si>
  <si>
    <t>Units</t>
  </si>
  <si>
    <t>Weighted average method: (safety x weight + environment x weight + production x weight + quality x weight + repair cost x weight) / sum of weights, rounded to 0.1. Highest score method: the largest of the five scores.</t>
  </si>
  <si>
    <t>1-5</t>
  </si>
  <si>
    <t>Criticality score</t>
  </si>
  <si>
    <t>Consequence x likelihood, rounded to 0.1.</t>
  </si>
  <si>
    <t>1-25</t>
  </si>
  <si>
    <t>A when the score is at or above the class A threshold, or (if the Setup rule is Yes) when safety or environment is scored 5; otherwise B at or above the class B threshold; otherwise C.</t>
  </si>
  <si>
    <t>-</t>
  </si>
  <si>
    <t>1 + the number of assets with a higher score + the number with the same score and an alphabetically earlier asset ID, so every scored asset has a unique rank.</t>
  </si>
  <si>
    <t>Cost per failure (est.)</t>
  </si>
  <si>
    <t>Hours per failure x lost output per hour + repair cost per failure.</t>
  </si>
  <si>
    <t>currency</t>
  </si>
  <si>
    <t>Annual downtime cost (est.)</t>
  </si>
  <si>
    <t>Failures per year x cost per failure: the money at stake if the asset keeps failing as it has.</t>
  </si>
  <si>
    <t>currency/yr</t>
  </si>
  <si>
    <t>Top 15 list</t>
  </si>
  <si>
    <t>The assets ranked 1 to 15, found with INDEX/MATCH on the Rank column.</t>
  </si>
  <si>
    <t>Risk map</t>
  </si>
  <si>
    <t>Assets counted by likelihood and by consequence rounded to the nearest whole score; each cell is shaded by the class its own score (row x column) would get from the thresholds. The safety and environment rule is not shown by the shading.</t>
  </si>
  <si>
    <t>assets</t>
  </si>
  <si>
    <t>Roll-ups</t>
  </si>
  <si>
    <t>COUNTIFS and SUMIFS over the register by class and by area; shares of cost are sums divided by the register total.</t>
  </si>
  <si>
    <t>Assumptions</t>
  </si>
  <si>
    <t>Scores are agreed by a small cross-functional team using the words on Setup, not by one person.</t>
  </si>
  <si>
    <t>Production consequence already allows for any standby or redundancy: a fully backed-up asset scores low.</t>
  </si>
  <si>
    <t>Likelihood describes the failure that has the scored consequences, not every minor fault.</t>
  </si>
  <si>
    <t>Failures per year, hours per failure and costs are estimates from history or judgement; they do not change the class.</t>
  </si>
  <si>
    <t>Limitations</t>
  </si>
  <si>
    <t>The ranking is only as consistent as the scoring; review the top of the list together and re-score outliers.</t>
  </si>
  <si>
    <t>A weighted average can hide one severe consequence: use the Highest score method or the safety and environment rule where that matters.</t>
  </si>
  <si>
    <t>The annual downtime cost estimate leaves out knock-on losses (quality escapes, missed orders, penalties) unless you add them to the repair cost.</t>
  </si>
  <si>
    <t>The Dashboard shows the top 15 assets and the areas of the example list; longer lists need the By area block extended (a warning appears).</t>
  </si>
  <si>
    <t>The self-check tests the weighted average method with fixed example weights; switching the method on Setup changes your results, not the test.</t>
  </si>
  <si>
    <t>Agreement with the live calculator</t>
  </si>
  <si>
    <t>Cost per failure is the live Downtime Cost per Event calculator with hours per failure as event downtime, lost output per hour as the production loss rate, and repair cost per failure as repair plus recovery charges. The annual downtime cost is the Annual Downtime Cost calculator with failures per year as the event count and cost per failure as the average event loss (no separate charges). The criticality score has no calculator; it is checked by the workbook's own Verify sheet. The reference implementation is checked against both engines on every build, including the calculator's example (6 h at 9,000 per hour plus 8,500 repair and 5,500 recovery: 68,000 per event).</t>
  </si>
  <si>
    <t>Open the Downtime Cost per Event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</si>
  <si>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</si>
  <si>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</si>
  <si>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55000:2014, Asset management - Overview, principles and terminology (risk-based prioritisation of assets).</t>
  </si>
  <si>
    <t>IEC 60812:2018, Failure modes and effects analysis (FMEA and FMECA): severity and occurrence ranking ideas.</t>
  </si>
  <si>
    <t>SAE JA1011, Evaluation criteria for reliability-centered maintenance (RCM) processes.</t>
  </si>
  <si>
    <t>NORSOK Z-008, Risk based maintenance and consequence classification (a published criticality classification method; this workbook's scales are its own wording, not the standard's tables).</t>
  </si>
  <si>
    <t>MFG Calcs Downtime Cost per Event and Annual Downtime Cost calculators: the same cost per failure and annual cost.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</si>
  <si>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</si>
  <si>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</si>
  <si>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</si>
  <si>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</si>
  <si>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</si>
  <si>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</si>
  <si>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</si>
  <si>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</si>
  <si>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</si>
  <si>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</si>
  <si>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</si>
  <si>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</si>
  <si>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</si>
  <si>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</si>
  <si>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</si>
  <si>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</si>
  <si>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A-1: consequence</t>
  </si>
  <si>
    <t>A-1: criticality score</t>
  </si>
  <si>
    <t>A-1: class</t>
  </si>
  <si>
    <t>exact</t>
  </si>
  <si>
    <t>A-1: rank</t>
  </si>
  <si>
    <t>B-2: consequence</t>
  </si>
  <si>
    <t>B-2: criticality score</t>
  </si>
  <si>
    <t>B-2: class</t>
  </si>
  <si>
    <t>B-2: rank</t>
  </si>
  <si>
    <t>C-3: consequence</t>
  </si>
  <si>
    <t>C-3: criticality score</t>
  </si>
  <si>
    <t>C-3: class</t>
  </si>
  <si>
    <t>C-3: rank</t>
  </si>
  <si>
    <t>D-4: consequence</t>
  </si>
  <si>
    <t>D-4: criticality score</t>
  </si>
  <si>
    <t>D-4: class</t>
  </si>
  <si>
    <t>D-4: rank</t>
  </si>
  <si>
    <t>E-5: consequence</t>
  </si>
  <si>
    <t>E-5: criticality score</t>
  </si>
  <si>
    <t>E-5: class</t>
  </si>
  <si>
    <t>E-5: rank</t>
  </si>
  <si>
    <t>A-1: cost per failure (calculator example)</t>
  </si>
  <si>
    <t>A-1: annual downtime cost</t>
  </si>
  <si>
    <t>D-4: annual downtime cost</t>
  </si>
  <si>
    <t>F-6: Check reports failures without hours</t>
  </si>
  <si>
    <t>Failures but no hours per failure</t>
  </si>
  <si>
    <t>All rows: class A count (Dashboard formula)</t>
  </si>
  <si>
    <t>All rows: class A downtime cost (Dashboard formula)</t>
  </si>
  <si>
    <t>All rows: highest-ranked asset (Dashboard formula)</t>
  </si>
  <si>
    <t>Calculator example</t>
  </si>
  <si>
    <t>Fixed test inputs</t>
  </si>
  <si>
    <t>White cells are fixed test inputs; blue cells are the workbook's formulas evaluated on them.</t>
  </si>
  <si>
    <t>Parameters</t>
  </si>
  <si>
    <t>Weight: safety</t>
  </si>
  <si>
    <t>Weight: environment</t>
  </si>
  <si>
    <t>Weight: production</t>
  </si>
  <si>
    <t>Weight: quality</t>
  </si>
  <si>
    <t>Weight: repair cost</t>
  </si>
  <si>
    <t>Test table: Assets</t>
  </si>
  <si>
    <t>A-1</t>
  </si>
  <si>
    <t>Area 1</t>
  </si>
  <si>
    <t>B-2</t>
  </si>
  <si>
    <t>Same score, later ID</t>
  </si>
  <si>
    <t>C-3</t>
  </si>
  <si>
    <t>Relief system</t>
  </si>
  <si>
    <t>Area 2</t>
  </si>
  <si>
    <t>D-4</t>
  </si>
  <si>
    <t>Class B pump</t>
  </si>
  <si>
    <t>E-5</t>
  </si>
  <si>
    <t>Class C conveyor</t>
  </si>
  <si>
    <t>F-6</t>
  </si>
  <si>
    <t>No hours logged</t>
  </si>
</sst>
</file>

<file path=xl/styles.xml><?xml version="1.0" encoding="utf-8"?>
<styleSheet xmlns="http://schemas.openxmlformats.org/spreadsheetml/2006/main">
  <numFmts count="5">
    <numFmt numFmtId="164" formatCode="#,##0.0"/>
    <numFmt numFmtId="165" formatCode="0%"/>
    <numFmt numFmtId="166" formatCode="#,##0"/>
    <numFmt numFmtId="167" formatCode="&quot;Limit &quot;#,##0"/>
    <numFmt numFmtId="168"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b/>
      <sz val="14"/>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6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0" fontId="10" fillId="4" borderId="3" xfId="0" applyFont="1" applyFill="1" applyBorder="1" applyAlignment="1">
      <alignment vertical="center"/>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6"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0" fontId="21" fillId="4" borderId="3" xfId="0"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167" fontId="2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6" fontId="10" fillId="4" borderId="3" xfId="0" applyNumberFormat="1" applyFont="1" applyFill="1" applyBorder="1" applyAlignment="1">
      <alignment horizontal="center" vertical="center"/>
    </xf>
    <xf numFmtId="0" fontId="9" fillId="4" borderId="10" xfId="0" applyFont="1" applyFill="1" applyBorder="1" applyAlignment="1">
      <alignment vertical="center"/>
    </xf>
    <xf numFmtId="166" fontId="9" fillId="4" borderId="10" xfId="0" applyNumberFormat="1" applyFont="1" applyFill="1" applyBorder="1" applyAlignment="1">
      <alignment vertical="center"/>
    </xf>
    <xf numFmtId="166" fontId="9"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68" fontId="10" fillId="4" borderId="3" xfId="0" applyNumberFormat="1" applyFont="1" applyFill="1" applyBorder="1" applyAlignment="1">
      <alignment vertical="center"/>
    </xf>
    <xf numFmtId="168" fontId="10" fillId="0" borderId="9" xfId="0" applyNumberFormat="1" applyFont="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Top 15 assets by criticality score (1-25)</a:t>
            </a:r>
          </a:p>
        </c:rich>
      </c:tx>
      <c:layout/>
    </c:title>
    <c:plotArea>
      <c:layout/>
      <c:barChart>
        <c:barDir val="bar"/>
        <c:grouping val="clustered"/>
        <c:ser>
          <c:idx val="0"/>
          <c:order val="0"/>
          <c:tx>
            <c:v>Criticality score</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strRef>
              <c:f>Dashboard!$D$56:$D$70</c:f>
              <c:strCache>
                <c:ptCount val="15"/>
                <c:pt idx="0">
                  <c:v>Reactor R-201 agitator</c:v>
                </c:pt>
                <c:pt idx="1">
                  <c:v>Decanter centrifuge</c:v>
                </c:pt>
                <c:pt idx="2">
                  <c:v>Reactor feed pump</c:v>
                </c:pt>
                <c:pt idx="3">
                  <c:v>Drum filling line</c:v>
                </c:pt>
                <c:pt idx="4">
                  <c:v>Dryer vacuum pump</c:v>
                </c:pt>
                <c:pt idx="5">
                  <c:v>Vacuum dryer</c:v>
                </c:pt>
                <c:pt idx="6">
                  <c:v>Solvent transfer pump</c:v>
                </c:pt>
                <c:pt idx="7">
                  <c:v>Reactor cooling exchanger</c:v>
                </c:pt>
                <c:pt idx="8">
                  <c:v>Instrument air compressor</c:v>
                </c:pt>
                <c:pt idx="9">
                  <c:v>Process chiller</c:v>
                </c:pt>
                <c:pt idx="10">
                  <c:v>Thermal oil heater</c:v>
                </c:pt>
                <c:pt idx="11">
                  <c:v>Steam boiler</c:v>
                </c:pt>
                <c:pt idx="12">
                  <c:v>Reactor R-202 agitator</c:v>
                </c:pt>
                <c:pt idx="13">
                  <c:v>Filter press</c:v>
                </c:pt>
                <c:pt idx="14">
                  <c:v>Cooling tower fan</c:v>
                </c:pt>
              </c:strCache>
            </c:strRef>
          </c:cat>
          <c:val>
            <c:numRef>
              <c:f>Dashboard!$J$56:$J$70</c:f>
              <c:numCache>
                <c:formatCode>General</c:formatCode>
                <c:ptCount val="15"/>
                <c:pt idx="0">
                  <c:v>15.2</c:v>
                </c:pt>
                <c:pt idx="1">
                  <c:v>12.4</c:v>
                </c:pt>
                <c:pt idx="2">
                  <c:v>11.6</c:v>
                </c:pt>
                <c:pt idx="3">
                  <c:v>10</c:v>
                </c:pt>
                <c:pt idx="4">
                  <c:v>10</c:v>
                </c:pt>
                <c:pt idx="5">
                  <c:v>9</c:v>
                </c:pt>
                <c:pt idx="6">
                  <c:v>9</c:v>
                </c:pt>
                <c:pt idx="7">
                  <c:v>8.7</c:v>
                </c:pt>
                <c:pt idx="8">
                  <c:v>8.4</c:v>
                </c:pt>
                <c:pt idx="9">
                  <c:v>8.4</c:v>
                </c:pt>
                <c:pt idx="10">
                  <c:v>8.2</c:v>
                </c:pt>
                <c:pt idx="11">
                  <c:v>8</c:v>
                </c:pt>
                <c:pt idx="12">
                  <c:v>7.6</c:v>
                </c:pt>
                <c:pt idx="13">
                  <c:v>7.5</c:v>
                </c:pt>
                <c:pt idx="14">
                  <c:v>7.2</c:v>
                </c:pt>
              </c:numCache>
            </c:numRef>
          </c:val>
        </c:ser>
        <c:gapWidth val="60"/>
        <c:overlap val="-1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25"/>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majorUnit val="5"/>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Assets by class and area</a:t>
            </a:r>
          </a:p>
        </c:rich>
      </c:tx>
      <c:layout/>
    </c:title>
    <c:plotArea>
      <c:layout/>
      <c:barChart>
        <c:barDir val="col"/>
        <c:grouping val="stacked"/>
        <c:ser>
          <c:idx val="0"/>
          <c:order val="0"/>
          <c:tx>
            <c:v>Class A</c:v>
          </c:tx>
          <c:spPr>
            <a:solidFill>
              <a:srgbClr val="3B64D8"/>
            </a:solidFill>
            <a:ln w="9525">
              <a:solidFill>
                <a:srgbClr val="FFFFFF"/>
              </a:solidFill>
            </a:ln>
          </c:spPr>
          <c:cat>
            <c:strRef>
              <c:f>Dashboard!$B$47:$B$51</c:f>
              <c:strCache>
                <c:ptCount val="5"/>
                <c:pt idx="0">
                  <c:v>Reaction</c:v>
                </c:pt>
                <c:pt idx="1">
                  <c:v>Separation</c:v>
                </c:pt>
                <c:pt idx="2">
                  <c:v>Utilities</c:v>
                </c:pt>
                <c:pt idx="3">
                  <c:v>Tank farm</c:v>
                </c:pt>
                <c:pt idx="4">
                  <c:v>Packaging</c:v>
                </c:pt>
              </c:strCache>
            </c:strRef>
          </c:cat>
          <c:val>
            <c:numRef>
              <c:f>Dashboard!$D$47:$D$51</c:f>
              <c:numCache>
                <c:formatCode>General</c:formatCode>
                <c:ptCount val="5"/>
                <c:pt idx="0">
                  <c:v>2</c:v>
                </c:pt>
                <c:pt idx="1">
                  <c:v>1</c:v>
                </c:pt>
                <c:pt idx="2">
                  <c:v>1</c:v>
                </c:pt>
                <c:pt idx="3">
                  <c:v>1</c:v>
                </c:pt>
                <c:pt idx="4">
                  <c:v>0</c:v>
                </c:pt>
              </c:numCache>
            </c:numRef>
          </c:val>
        </c:ser>
        <c:ser>
          <c:idx val="1"/>
          <c:order val="1"/>
          <c:tx>
            <c:v>Class B</c:v>
          </c:tx>
          <c:spPr>
            <a:solidFill>
              <a:srgbClr val="E8702A"/>
            </a:solidFill>
            <a:ln w="9525">
              <a:solidFill>
                <a:srgbClr val="FFFFFF"/>
              </a:solidFill>
            </a:ln>
          </c:spPr>
          <c:cat>
            <c:strRef>
              <c:f>Dashboard!$B$47:$B$51</c:f>
              <c:strCache>
                <c:ptCount val="5"/>
                <c:pt idx="0">
                  <c:v>Reaction</c:v>
                </c:pt>
                <c:pt idx="1">
                  <c:v>Separation</c:v>
                </c:pt>
                <c:pt idx="2">
                  <c:v>Utilities</c:v>
                </c:pt>
                <c:pt idx="3">
                  <c:v>Tank farm</c:v>
                </c:pt>
                <c:pt idx="4">
                  <c:v>Packaging</c:v>
                </c:pt>
              </c:strCache>
            </c:strRef>
          </c:cat>
          <c:val>
            <c:numRef>
              <c:f>Dashboard!$E$47:$E$51</c:f>
              <c:numCache>
                <c:formatCode>General</c:formatCode>
                <c:ptCount val="5"/>
                <c:pt idx="0">
                  <c:v>4</c:v>
                </c:pt>
                <c:pt idx="1">
                  <c:v>4</c:v>
                </c:pt>
                <c:pt idx="2">
                  <c:v>5</c:v>
                </c:pt>
                <c:pt idx="3">
                  <c:v>2</c:v>
                </c:pt>
                <c:pt idx="4">
                  <c:v>3</c:v>
                </c:pt>
              </c:numCache>
            </c:numRef>
          </c:val>
        </c:ser>
        <c:ser>
          <c:idx val="2"/>
          <c:order val="2"/>
          <c:tx>
            <c:v>Class C</c:v>
          </c:tx>
          <c:spPr>
            <a:solidFill>
              <a:srgbClr val="1BA37A"/>
            </a:solidFill>
            <a:ln w="9525">
              <a:solidFill>
                <a:srgbClr val="FFFFFF"/>
              </a:solidFill>
            </a:ln>
          </c:spPr>
          <c:cat>
            <c:strRef>
              <c:f>Dashboard!$B$47:$B$51</c:f>
              <c:strCache>
                <c:ptCount val="5"/>
                <c:pt idx="0">
                  <c:v>Reaction</c:v>
                </c:pt>
                <c:pt idx="1">
                  <c:v>Separation</c:v>
                </c:pt>
                <c:pt idx="2">
                  <c:v>Utilities</c:v>
                </c:pt>
                <c:pt idx="3">
                  <c:v>Tank farm</c:v>
                </c:pt>
                <c:pt idx="4">
                  <c:v>Packaging</c:v>
                </c:pt>
              </c:strCache>
            </c:strRef>
          </c:cat>
          <c:val>
            <c:numRef>
              <c:f>Dashboard!$F$47:$F$51</c:f>
              <c:numCache>
                <c:formatCode>General</c:formatCode>
                <c:ptCount val="5"/>
                <c:pt idx="0">
                  <c:v>0</c:v>
                </c:pt>
                <c:pt idx="1">
                  <c:v>0</c:v>
                </c:pt>
                <c:pt idx="2">
                  <c:v>2</c:v>
                </c:pt>
                <c:pt idx="3">
                  <c:v>1</c:v>
                </c:pt>
                <c:pt idx="4">
                  <c:v>3</c:v>
                </c:pt>
              </c:numCache>
            </c:numRef>
          </c:val>
        </c:ser>
        <c:gapWidth val="60"/>
        <c:overlap val="10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Horizontal bar chart of the 15 highest criticality scores, rank 1 at the top, labelled by asset na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Stacked column chart of the number of class A, B and C assets in each area."/>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Scale" displayName="tblScale" ref="B28:G34" totalsRowShown="0">
  <autoFilter ref="B28:G34"/>
  <tableColumns count="6">
    <tableColumn id="1" name="Criterion"/>
    <tableColumn id="2" name="Score 1"/>
    <tableColumn id="3" name="Score 2"/>
    <tableColumn id="4" name="Score 3"/>
    <tableColumn id="5" name="Score 4"/>
    <tableColumn id="6" name="Score 5"/>
  </tableColumns>
  <tableStyleInfo name="TableStyleLight1" showFirstColumn="0" showLastColumn="0" showRowStripes="0" showColumnStripes="0"/>
</table>
</file>

<file path=xl/tables/table2.xml><?xml version="1.0" encoding="utf-8"?>
<table xmlns="http://schemas.openxmlformats.org/spreadsheetml/2006/main" id="2" name="tblClasses" displayName="tblClasses" ref="B37:E40" totalsRowShown="0">
  <autoFilter ref="B37:E40"/>
  <tableColumns count="4">
    <tableColumn id="1" name="Class"/>
    <tableColumn id="2" name="Maintenance"/>
    <tableColumn id="3" name="Spares"/>
    <tableColumn id="4" name="Failures"/>
  </tableColumns>
  <tableStyleInfo name="TableStyleLight1" showFirstColumn="0" showLastColumn="0" showRowStripes="0" showColumnStripes="0"/>
</table>
</file>

<file path=xl/tables/table3.xml><?xml version="1.0" encoding="utf-8"?>
<table xmlns="http://schemas.openxmlformats.org/spreadsheetml/2006/main" id="3" name="tblAreas" displayName="tblAreas" ref="B43:C48" totalsRowShown="0">
  <autoFilter ref="B43:C48"/>
  <tableColumns count="2">
    <tableColumn id="1" name="Area"/>
    <tableColumn id="2" name="Description"/>
  </tableColumns>
  <tableStyleInfo name="TableStyleLight1" showFirstColumn="0" showLastColumn="0" showRowStripes="0" showColumnStripes="0"/>
</table>
</file>

<file path=xl/tables/table4.xml><?xml version="1.0" encoding="utf-8"?>
<table xmlns="http://schemas.openxmlformats.org/spreadsheetml/2006/main" id="4" name="tblAssets" displayName="tblAssets" ref="B6:V35" totalsRowShown="0">
  <autoFilter ref="B6:V35"/>
  <tableColumns count="21">
    <tableColumn id="1" name="Asset ID"/>
    <tableColumn id="2" name="Asset"/>
    <tableColumn id="3" name="Area"/>
    <tableColumn id="4" name="Safety (1-5)"/>
    <tableColumn id="5" name="Environment (1-5)"/>
    <tableColumn id="6" name="Production (1-5)"/>
    <tableColumn id="7" name="Quality (1-5)"/>
    <tableColumn id="8" name="Repair cost (1-5)"/>
    <tableColumn id="9" name="Likelihood (1-5)"/>
    <tableColumn id="10" name="Consequence (1-5)">
      <calculatedColumnFormula>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calculatedColumnFormula>
    </tableColumn>
    <tableColumn id="11" name="Criticality (1-25)">
      <calculatedColumnFormula>IF(tblAssets[[#This Row],[Asset ID]]="","",IF(OR(tblAssets[[#This Row],[Consequence (1-5)]]="",N(tblAssets[[#This Row],[Likelihood (1-5)]])=0),"",ROUND(tblAssets[[#This Row],[Consequence (1-5)]]*tblAssets[[#This Row],[Likelihood (1-5)]],1)))</calculatedColumnFormula>
    </tableColumn>
    <tableColumn id="12" name="Class">
      <calculatedColumnFormula>IF(tblAssets[[#This Row],[Asset ID]]="","",IF(tblAssets[[#This Row],[Criticality (1-25)]]="","",IF(OR(tblAssets[[#This Row],[Criticality (1-25)]]&gt;=ClassA,AND(SafetyRule="Yes",MAX(tblAssets[[#This Row],[Safety (1-5)]],tblAssets[[#This Row],[Environment (1-5)]])&gt;=5)),"A",IF(tblAssets[[#This Row],[Criticality (1-25)]]&gt;=ClassB,"B","C"))))</calculatedColumnFormula>
    </tableColumn>
    <tableColumn id="13" name="Rank">
      <calculatedColumnFormula>IF(tblAssets[[#This Row],[Asset ID]]="","",IF(tblAssets[[#This Row],[Criticality (1-25)]]="","",COUNTIF(tblAssets[Criticality (1-25)],"&gt;"&amp;tblAssets[[#This Row],[Criticality (1-25)]])+COUNTIFS(tblAssets[Criticality (1-25)],tblAssets[[#This Row],[Criticality (1-25)]],tblAssets[Asset ID],"&lt;"&amp;tblAssets[[#This Row],[Asset ID]])+1))</calculatedColumnFormula>
    </tableColumn>
    <tableColumn id="14" name="Failures per year"/>
    <tableColumn id="15" name="Hours per failure"/>
    <tableColumn id="16" name="Lost output per hour"/>
    <tableColumn id="17" name="Repair cost per failure"/>
    <tableColumn id="18" name="Cost per failure">
      <calculatedColumnFormula>IF(tblAssets[[#This Row],[Asset ID]]="","",IF(OR(tblAssets[[#This Row],[Hours per failure]]="",tblAssets[[#This Row],[Lost output per hour]]=""),"",tblAssets[[#This Row],[Hours per failure]]*tblAssets[[#This Row],[Lost output per hour]]+N(tblAssets[[#This Row],[Repair cost per failure]])))</calculatedColumnFormula>
    </tableColumn>
    <tableColumn id="19" name="Annual downtime cost">
      <calculatedColumnFormula>IF(tblAssets[[#This Row],[Asset ID]]="","",IF(OR(tblAssets[[#This Row],[Cost per failure]]="",tblAssets[[#This Row],[Failures per year]]=""),"",tblAssets[[#This Row],[Failures per year]]*tblAssets[[#This Row],[Cost per failure]]))</calculatedColumnFormula>
    </tableColumn>
    <tableColumn id="20" name="Check">
      <calculatedColumnFormula>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calculatedColumnFormula>
    </tableColumn>
    <tableColumn id="21" name="Notes"/>
  </tableColumns>
  <tableStyleInfo name="TableStyleLight1" showFirstColumn="0" showLastColumn="0" showRowStripes="0" showColumnStripes="0"/>
</table>
</file>

<file path=xl/tables/table5.xml><?xml version="1.0" encoding="utf-8"?>
<table xmlns="http://schemas.openxmlformats.org/spreadsheetml/2006/main" id="5" name="tblVerifyAssets" displayName="tblVerifyAssets" ref="B55:V61" totalsRowShown="0">
  <tableColumns count="21">
    <tableColumn id="1" name="Asset ID"/>
    <tableColumn id="2" name="Asset"/>
    <tableColumn id="3" name="Area"/>
    <tableColumn id="4" name="Safety (1-5)"/>
    <tableColumn id="5" name="Environment (1-5)"/>
    <tableColumn id="6" name="Production (1-5)"/>
    <tableColumn id="7" name="Quality (1-5)"/>
    <tableColumn id="8" name="Repair cost (1-5)"/>
    <tableColumn id="9" name="Likelihood (1-5)"/>
    <tableColumn id="10" name="Consequence (1-5)">
      <calculatedColumnFormula>IF(tblVerifyAssets[[#This Row],[Asset ID]]="","",IF(COUNT(tblVerifyAssets[[#This Row],[Safety (1-5)]],tblVerifyAssets[[#This Row],[Environment (1-5)]],tblVerifyAssets[[#This Row],[Production (1-5)]],tblVerifyAssets[[#This Row],[Quality (1-5)]],tblVerifyAssets[[#This Row],[Repair cost (1-5)]])&lt;5,"",IF($E$43="Highest score",MAX(tblVerifyAssets[[#This Row],[Safety (1-5)]],tblVerifyAssets[[#This Row],[Environment (1-5)]],tblVerifyAssets[[#This Row],[Production (1-5)]],tblVerifyAssets[[#This Row],[Quality (1-5)]],tblVerifyAssets[[#This Row],[Repair cost (1-5)]]),IFERROR(ROUND((tblVerifyAssets[[#This Row],[Safety (1-5)]]*$E$47+tblVerifyAssets[[#This Row],[Environment (1-5)]]*$E$48+tblVerifyAssets[[#This Row],[Production (1-5)]]*$E$49+tblVerifyAssets[[#This Row],[Quality (1-5)]]*$E$50+tblVerifyAssets[[#This Row],[Repair cost (1-5)]]*$E$51)/($E$47+$E$48+$E$49+$E$50+$E$51),1),""))))</calculatedColumnFormula>
    </tableColumn>
    <tableColumn id="11" name="Criticality (1-25)">
      <calculatedColumnFormula>IF(tblVerifyAssets[[#This Row],[Asset ID]]="","",IF(OR(tblVerifyAssets[[#This Row],[Consequence (1-5)]]="",N(tblVerifyAssets[[#This Row],[Likelihood (1-5)]])=0),"",ROUND(tblVerifyAssets[[#This Row],[Consequence (1-5)]]*tblVerifyAssets[[#This Row],[Likelihood (1-5)]],1)))</calculatedColumnFormula>
    </tableColumn>
    <tableColumn id="12" name="Class">
      <calculatedColumnFormula>IF(tblVerifyAssets[[#This Row],[Asset ID]]="","",IF(tblVerifyAssets[[#This Row],[Criticality (1-25)]]="","",IF(OR(tblVerifyAssets[[#This Row],[Criticality (1-25)]]&gt;=$E$45,AND($E$44="Yes",MAX(tblVerifyAssets[[#This Row],[Safety (1-5)]],tblVerifyAssets[[#This Row],[Environment (1-5)]])&gt;=5)),"A",IF(tblVerifyAssets[[#This Row],[Criticality (1-25)]]&gt;=$E$46,"B","C"))))</calculatedColumnFormula>
    </tableColumn>
    <tableColumn id="13" name="Rank">
      <calculatedColumnFormula>IF(tblVerifyAssets[[#This Row],[Asset ID]]="","",IF(tblVerifyAssets[[#This Row],[Criticality (1-25)]]="","",COUNTIF(tblVerifyAssets[Criticality (1-25)],"&gt;"&amp;tblVerifyAssets[[#This Row],[Criticality (1-25)]])+COUNTIFS(tblVerifyAssets[Criticality (1-25)],tblVerifyAssets[[#This Row],[Criticality (1-25)]],tblVerifyAssets[Asset ID],"&lt;"&amp;tblVerifyAssets[[#This Row],[Asset ID]])+1))</calculatedColumnFormula>
    </tableColumn>
    <tableColumn id="14" name="Failures per year"/>
    <tableColumn id="15" name="Hours per failure"/>
    <tableColumn id="16" name="Lost output per hour"/>
    <tableColumn id="17" name="Repair cost per failure"/>
    <tableColumn id="18" name="Cost per failure">
      <calculatedColumnFormula>IF(tblVerifyAssets[[#This Row],[Asset ID]]="","",IF(OR(tblVerifyAssets[[#This Row],[Hours per failure]]="",tblVerifyAssets[[#This Row],[Lost output per hour]]=""),"",tblVerifyAssets[[#This Row],[Hours per failure]]*tblVerifyAssets[[#This Row],[Lost output per hour]]+N(tblVerifyAssets[[#This Row],[Repair cost per failure]])))</calculatedColumnFormula>
    </tableColumn>
    <tableColumn id="19" name="Annual downtime cost">
      <calculatedColumnFormula>IF(tblVerifyAssets[[#This Row],[Asset ID]]="","",IF(OR(tblVerifyAssets[[#This Row],[Cost per failure]]="",tblVerifyAssets[[#This Row],[Failures per year]]=""),"",tblVerifyAssets[[#This Row],[Failures per year]]*tblVerifyAssets[[#This Row],[Cost per failure]]))</calculatedColumnFormula>
    </tableColumn>
    <tableColumn id="20" name="Check">
      <calculatedColumnFormula>IF(tblVerifyAssets[[#This Row],[Asset ID]]="","",IF(tblVerifyAssets[[#This Row],[Asset]]="","Missing asset",IF(tblVerifyAssets[[#This Row],[Area]]="","Missing area",IF(COUNT(tblVerifyAssets[[#This Row],[Safety (1-5)]],tblVerifyAssets[[#This Row],[Environment (1-5)]],tblVerifyAssets[[#This Row],[Production (1-5)]],tblVerifyAssets[[#This Row],[Quality (1-5)]],tblVerifyAssets[[#This Row],[Repair cost (1-5)]],tblVerifyAssets[[#This Row],[Likelihood (1-5)]])&lt;6,"Missing a score",IF(COUNTIF(tblVerifyAssets[Asset ID],tblVerifyAssets[[#This Row],[Asset ID]])&gt;1,"Duplicate asset ID",IF(OR(MAX(tblVerifyAssets[[#This Row],[Safety (1-5)]],tblVerifyAssets[[#This Row],[Environment (1-5)]],tblVerifyAssets[[#This Row],[Production (1-5)]],tblVerifyAssets[[#This Row],[Quality (1-5)]],tblVerifyAssets[[#This Row],[Repair cost (1-5)]],tblVerifyAssets[[#This Row],[Likelihood (1-5)]])&gt;5,MIN(tblVerifyAssets[[#This Row],[Safety (1-5)]],tblVerifyAssets[[#This Row],[Environment (1-5)]],tblVerifyAssets[[#This Row],[Production (1-5)]],tblVerifyAssets[[#This Row],[Quality (1-5)]],tblVerifyAssets[[#This Row],[Repair cost (1-5)]],tblVerifyAssets[[#This Row],[Likelihood (1-5)]])&lt;1),"Score outside 1 to 5",IF(AND(N(tblVerifyAssets[[#This Row],[Failures per year]])&gt;0,N(tblVerifyAssets[[#This Row],[Hours per failure]])=0),"Failures but no hours per failure","OK")))))))</calculatedColumnFormula>
    </tableColumn>
    <tableColumn id="21"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sset-criticality" TargetMode="External"/><Relationship Id="rId2" Type="http://schemas.openxmlformats.org/officeDocument/2006/relationships/hyperlink" Target="https://www.mfgcalcs.com/calculators/maintenance-reliability-downtime/downtime-cost-per-event?utm_source=mfgcalcs-template&amp;utm_medium=xlsx&amp;utm_campaign=asset-criticality" TargetMode="External"/><Relationship Id="rId3" Type="http://schemas.openxmlformats.org/officeDocument/2006/relationships/hyperlink" Target="https://www.mfgcalcs.com/templates/asset-criticality?utm_source=mfgcalcs-template&amp;utm_medium=xlsx&amp;utm_campaign=asset-criticality" TargetMode="External"/><Relationship Id="rId4" Type="http://schemas.openxmlformats.org/officeDocument/2006/relationships/hyperlink" Target="https://www.mfgcalcs.com/templates?utm_source=mfgcalcs-template&amp;utm_medium=xlsx&amp;utm_campaign=asset-criticality"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sset-criticality"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sset-criticality"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sset-criticality"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sset-criticality" TargetMode="External"/><Relationship Id="rId2" Type="http://schemas.openxmlformats.org/officeDocument/2006/relationships/hyperlink" Target="https://www.mfgcalcs.com/calculators/maintenance-reliability-downtime/downtime-cost-per-event?utm_source=mfgcalcs-template&amp;utm_medium=xlsx&amp;utm_campaign=asset-criticalit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asset-criticality" TargetMode="External"/><Relationship Id="rId2"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27 of 27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Asset Register'!A1" tooltip="Go to Asset Register" display="Asset Register"/>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Asset Criticality Ranking&amp;R&amp;8&amp;A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G48"/>
  <sheetViews>
    <sheetView showGridLines="0" workbookViewId="0"/>
  </sheetViews>
  <sheetFormatPr defaultRowHeight="15"/>
  <cols>
    <col min="1" max="1" width="2.7109375" customWidth="1"/>
    <col min="2" max="2" width="31.7109375" customWidth="1"/>
    <col min="3" max="7" width="23.7109375" customWidth="1"/>
  </cols>
  <sheetData>
    <row r="1" spans="1:7" ht="30" customHeight="1">
      <c r="A1" s="1" t="s">
        <v>0</v>
      </c>
      <c r="B1" s="1"/>
      <c r="C1" s="1"/>
      <c r="D1" s="1"/>
      <c r="E1" s="1"/>
      <c r="F1" s="1"/>
      <c r="G1" s="1"/>
    </row>
    <row r="2" spans="1:7" ht="21" customHeight="1">
      <c r="B2" s="2" t="s">
        <v>20</v>
      </c>
      <c r="C2" s="2"/>
      <c r="D2" s="2"/>
      <c r="E2" s="2"/>
      <c r="F2" s="2"/>
      <c r="G2" s="3" t="s">
        <v>2</v>
      </c>
    </row>
    <row r="3" spans="1:7" ht="6" customHeight="1"/>
    <row r="4" spans="1:7" ht="21" customHeight="1">
      <c r="B4" s="8" t="s">
        <v>74</v>
      </c>
      <c r="C4" s="8"/>
      <c r="D4" s="8"/>
      <c r="E4" s="8"/>
      <c r="F4" s="8"/>
      <c r="G4" s="8"/>
    </row>
    <row r="5" spans="1:7" ht="5" customHeight="1"/>
    <row r="6" spans="1:7">
      <c r="B6" s="27" t="s">
        <v>75</v>
      </c>
      <c r="C6" s="28" t="s">
        <v>76</v>
      </c>
      <c r="D6" s="28"/>
    </row>
    <row r="7" spans="1:7">
      <c r="B7" s="27" t="s">
        <v>77</v>
      </c>
      <c r="C7" s="28" t="s">
        <v>78</v>
      </c>
      <c r="D7" s="28"/>
    </row>
    <row r="8" spans="1:7">
      <c r="B8" s="27" t="s">
        <v>79</v>
      </c>
      <c r="C8" s="28" t="s">
        <v>80</v>
      </c>
      <c r="D8" s="28"/>
    </row>
    <row r="9" spans="1:7">
      <c r="B9" s="27" t="s">
        <v>81</v>
      </c>
      <c r="C9" s="29">
        <v>12</v>
      </c>
      <c r="D9" s="29"/>
    </row>
    <row r="10" spans="1:7">
      <c r="B10" s="27" t="s">
        <v>82</v>
      </c>
      <c r="C10" s="29">
        <v>6</v>
      </c>
      <c r="D10" s="29"/>
    </row>
    <row r="11" spans="1:7">
      <c r="B11" s="27" t="s">
        <v>83</v>
      </c>
      <c r="C11" s="28" t="s">
        <v>84</v>
      </c>
      <c r="D11" s="28"/>
    </row>
    <row r="13" spans="1:7" ht="21" customHeight="1">
      <c r="B13" s="8" t="s">
        <v>85</v>
      </c>
      <c r="C13" s="8"/>
      <c r="D13" s="8"/>
      <c r="E13" s="8"/>
      <c r="F13" s="8"/>
      <c r="G13" s="8"/>
    </row>
    <row r="14" spans="1:7" ht="5" customHeight="1"/>
    <row r="15" spans="1:7">
      <c r="B15" s="27" t="s">
        <v>86</v>
      </c>
      <c r="C15" s="30">
        <v>0.3</v>
      </c>
      <c r="D15" s="30"/>
    </row>
    <row r="16" spans="1:7">
      <c r="B16" s="27" t="s">
        <v>87</v>
      </c>
      <c r="C16" s="30">
        <v>0.2</v>
      </c>
      <c r="D16" s="30"/>
    </row>
    <row r="17" spans="2:7">
      <c r="B17" s="27" t="s">
        <v>88</v>
      </c>
      <c r="C17" s="30">
        <v>0.3</v>
      </c>
      <c r="D17" s="30"/>
    </row>
    <row r="18" spans="2:7">
      <c r="B18" s="27" t="s">
        <v>89</v>
      </c>
      <c r="C18" s="30">
        <v>0.1</v>
      </c>
      <c r="D18" s="30"/>
    </row>
    <row r="19" spans="2:7">
      <c r="B19" s="27" t="s">
        <v>90</v>
      </c>
      <c r="C19" s="30">
        <v>0.1</v>
      </c>
      <c r="D19" s="30"/>
    </row>
    <row r="20" spans="2:7">
      <c r="B20" s="27" t="s">
        <v>91</v>
      </c>
      <c r="C20" s="31">
        <f>WSafety+WEnv+WProd+WQual+WCost</f>
        <v>1</v>
      </c>
      <c r="D20" s="31"/>
    </row>
    <row r="21" spans="2:7">
      <c r="B21" s="27" t="s">
        <v>92</v>
      </c>
      <c r="C21" s="32" t="str">
        <f>IF(ABS(WeightSum-1)&gt;0.0001,"Weights should add up to 100%",IF(ClassB&gt;ClassA,"Class B threshold is above class A","OK"))</f>
        <v>OK</v>
      </c>
      <c r="D21" s="32"/>
    </row>
    <row r="23" spans="2:7" ht="35.4" customHeight="1">
      <c r="B23" s="25" t="s">
        <v>93</v>
      </c>
      <c r="C23" s="25"/>
      <c r="D23" s="25"/>
      <c r="E23" s="25"/>
      <c r="F23" s="25"/>
      <c r="G23" s="25"/>
    </row>
    <row r="25" spans="2:7" ht="21" customHeight="1">
      <c r="B25" s="8" t="s">
        <v>94</v>
      </c>
      <c r="C25" s="8"/>
      <c r="D25" s="8"/>
      <c r="E25" s="8"/>
      <c r="F25" s="8"/>
      <c r="G25" s="8"/>
    </row>
    <row r="26" spans="2:7" ht="5" customHeight="1"/>
    <row r="27" spans="2:7">
      <c r="B27" s="33" t="s">
        <v>95</v>
      </c>
      <c r="C27" s="33"/>
      <c r="D27" s="33"/>
      <c r="E27" s="33"/>
      <c r="F27" s="33"/>
      <c r="G27" s="33"/>
    </row>
    <row r="28" spans="2:7" ht="20" customHeight="1">
      <c r="B28" s="34" t="s">
        <v>62</v>
      </c>
      <c r="C28" s="34" t="s">
        <v>63</v>
      </c>
      <c r="D28" s="34" t="s">
        <v>64</v>
      </c>
      <c r="E28" s="34" t="s">
        <v>65</v>
      </c>
      <c r="F28" s="34" t="s">
        <v>66</v>
      </c>
      <c r="G28" s="34" t="s">
        <v>67</v>
      </c>
    </row>
    <row r="29" spans="2:7">
      <c r="B29" s="28" t="s">
        <v>86</v>
      </c>
      <c r="C29" s="28" t="s">
        <v>96</v>
      </c>
      <c r="D29" s="28" t="s">
        <v>97</v>
      </c>
      <c r="E29" s="28" t="s">
        <v>98</v>
      </c>
      <c r="F29" s="28" t="s">
        <v>99</v>
      </c>
      <c r="G29" s="28" t="s">
        <v>100</v>
      </c>
    </row>
    <row r="30" spans="2:7">
      <c r="B30" s="28" t="s">
        <v>87</v>
      </c>
      <c r="C30" s="28" t="s">
        <v>101</v>
      </c>
      <c r="D30" s="28" t="s">
        <v>102</v>
      </c>
      <c r="E30" s="28" t="s">
        <v>103</v>
      </c>
      <c r="F30" s="28" t="s">
        <v>104</v>
      </c>
      <c r="G30" s="28" t="s">
        <v>105</v>
      </c>
    </row>
    <row r="31" spans="2:7">
      <c r="B31" s="28" t="s">
        <v>88</v>
      </c>
      <c r="C31" s="28" t="s">
        <v>106</v>
      </c>
      <c r="D31" s="28" t="s">
        <v>107</v>
      </c>
      <c r="E31" s="28" t="s">
        <v>108</v>
      </c>
      <c r="F31" s="28" t="s">
        <v>109</v>
      </c>
      <c r="G31" s="28" t="s">
        <v>110</v>
      </c>
    </row>
    <row r="32" spans="2:7">
      <c r="B32" s="28" t="s">
        <v>89</v>
      </c>
      <c r="C32" s="28" t="s">
        <v>111</v>
      </c>
      <c r="D32" s="28" t="s">
        <v>112</v>
      </c>
      <c r="E32" s="28" t="s">
        <v>113</v>
      </c>
      <c r="F32" s="28" t="s">
        <v>114</v>
      </c>
      <c r="G32" s="28" t="s">
        <v>115</v>
      </c>
    </row>
    <row r="33" spans="2:7">
      <c r="B33" s="28" t="s">
        <v>90</v>
      </c>
      <c r="C33" s="28" t="s">
        <v>116</v>
      </c>
      <c r="D33" s="28" t="s">
        <v>117</v>
      </c>
      <c r="E33" s="28" t="s">
        <v>118</v>
      </c>
      <c r="F33" s="28" t="s">
        <v>119</v>
      </c>
      <c r="G33" s="28" t="s">
        <v>120</v>
      </c>
    </row>
    <row r="34" spans="2:7">
      <c r="B34" s="28" t="s">
        <v>121</v>
      </c>
      <c r="C34" s="28" t="s">
        <v>122</v>
      </c>
      <c r="D34" s="28" t="s">
        <v>123</v>
      </c>
      <c r="E34" s="28" t="s">
        <v>124</v>
      </c>
      <c r="F34" s="28" t="s">
        <v>125</v>
      </c>
      <c r="G34" s="28" t="s">
        <v>126</v>
      </c>
    </row>
    <row r="36" spans="2:7">
      <c r="B36" s="33" t="s">
        <v>127</v>
      </c>
      <c r="C36" s="33"/>
      <c r="D36" s="33"/>
      <c r="E36" s="33"/>
    </row>
    <row r="37" spans="2:7" ht="20" customHeight="1">
      <c r="B37" s="34" t="s">
        <v>68</v>
      </c>
      <c r="C37" s="34" t="s">
        <v>69</v>
      </c>
      <c r="D37" s="34" t="s">
        <v>70</v>
      </c>
      <c r="E37" s="34" t="s">
        <v>71</v>
      </c>
    </row>
    <row r="38" spans="2:7">
      <c r="B38" s="28" t="s">
        <v>128</v>
      </c>
      <c r="C38" s="28" t="s">
        <v>129</v>
      </c>
      <c r="D38" s="28" t="s">
        <v>130</v>
      </c>
      <c r="E38" s="28" t="s">
        <v>131</v>
      </c>
    </row>
    <row r="39" spans="2:7">
      <c r="B39" s="28" t="s">
        <v>132</v>
      </c>
      <c r="C39" s="28" t="s">
        <v>133</v>
      </c>
      <c r="D39" s="28" t="s">
        <v>134</v>
      </c>
      <c r="E39" s="28" t="s">
        <v>135</v>
      </c>
    </row>
    <row r="40" spans="2:7">
      <c r="B40" s="28" t="s">
        <v>136</v>
      </c>
      <c r="C40" s="28" t="s">
        <v>137</v>
      </c>
      <c r="D40" s="28" t="s">
        <v>138</v>
      </c>
      <c r="E40" s="28" t="s">
        <v>139</v>
      </c>
    </row>
    <row r="42" spans="2:7">
      <c r="B42" s="33" t="s">
        <v>140</v>
      </c>
      <c r="C42" s="33"/>
    </row>
    <row r="43" spans="2:7" ht="20" customHeight="1">
      <c r="B43" s="34" t="s">
        <v>72</v>
      </c>
      <c r="C43" s="34" t="s">
        <v>73</v>
      </c>
    </row>
    <row r="44" spans="2:7">
      <c r="B44" s="28" t="s">
        <v>141</v>
      </c>
      <c r="C44" s="28" t="s">
        <v>142</v>
      </c>
    </row>
    <row r="45" spans="2:7">
      <c r="B45" s="28" t="s">
        <v>143</v>
      </c>
      <c r="C45" s="28" t="s">
        <v>144</v>
      </c>
    </row>
    <row r="46" spans="2:7">
      <c r="B46" s="28" t="s">
        <v>145</v>
      </c>
      <c r="C46" s="28" t="s">
        <v>146</v>
      </c>
    </row>
    <row r="47" spans="2:7">
      <c r="B47" s="28" t="s">
        <v>147</v>
      </c>
      <c r="C47" s="28" t="s">
        <v>148</v>
      </c>
    </row>
    <row r="48" spans="2:7">
      <c r="B48" s="28" t="s">
        <v>149</v>
      </c>
      <c r="C48" s="28" t="s">
        <v>150</v>
      </c>
    </row>
  </sheetData>
  <mergeCells count="22">
    <mergeCell ref="A1:G1"/>
    <mergeCell ref="B2:F2"/>
    <mergeCell ref="B4:G4"/>
    <mergeCell ref="C6:D6"/>
    <mergeCell ref="C7:D7"/>
    <mergeCell ref="C8:D8"/>
    <mergeCell ref="C9:D9"/>
    <mergeCell ref="C10:D10"/>
    <mergeCell ref="C11:D11"/>
    <mergeCell ref="B13:G13"/>
    <mergeCell ref="C15:D15"/>
    <mergeCell ref="C16:D16"/>
    <mergeCell ref="C17:D17"/>
    <mergeCell ref="C18:D18"/>
    <mergeCell ref="C19:D19"/>
    <mergeCell ref="C20:D20"/>
    <mergeCell ref="C21:D21"/>
    <mergeCell ref="B23:G23"/>
    <mergeCell ref="B25:G25"/>
    <mergeCell ref="B27:G27"/>
    <mergeCell ref="B36:E36"/>
    <mergeCell ref="B42:C42"/>
  </mergeCells>
  <conditionalFormatting sqref="C21">
    <cfRule type="expression" dxfId="3" priority="1">
      <formula>$C21="OK"</formula>
    </cfRule>
    <cfRule type="expression" dxfId="1" priority="2">
      <formula>AND($C21&lt;&gt;"",$C21&lt;&gt;"OK")</formula>
    </cfRule>
  </conditionalFormatting>
  <dataValidations count="23">
    <dataValidation type="textLength" allowBlank="1" showInputMessage="1" showErrorMessage="1" errorTitle="Check this entry" error="Text up to 80 characters." promptTitle="Site nam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list" allowBlank="1" showInputMessage="1" showErrorMessage="1" errorTitle="Check this entry" error="Pick one of: Weighted average, Highest score." promptTitle="Consequence method" prompt="Weighted average blends the five scores by the weights below. Highest score uses the worst of the five, so one severe consequence is never averaged away. Pick one of: Weighted average, Highest score." sqref="C8">
      <formula1>"Weighted average,Highest score"</formula1>
    </dataValidation>
    <dataValidation type="decimal" allowBlank="1" showInputMessage="1" showErrorMessage="1" errorTitle="Check this entry" error="Enter a number from 1 to 25." promptTitle="Class A from score" prompt="Criticality score (1-25) at or above which an asset is class A. Your team's choice, not a standard value. Enter a number from 1 to 25." sqref="C9">
      <formula1>1</formula1>
      <formula2>25</formula2>
    </dataValidation>
    <dataValidation type="decimal" allowBlank="1" showInputMessage="1" showErrorMessage="1" errorTitle="Check this entry" error="Enter a number from 1 to 25." promptTitle="Class B from score" prompt="Criticality score at or above which an asset is class B; below it, class C. Enter a number from 1 to 25." sqref="C10">
      <formula1>1</formula1>
      <formula2>25</formula2>
    </dataValidation>
    <dataValidation type="list" allowBlank="1" showInputMessage="1" showErrorMessage="1" errorTitle="Check this entry" error="Pick one of: Yes, No." promptTitle="Safety or environment 5 is cl..." prompt="Yes: any asset scored 5 for safety or environment is class A, however unlikely its failure. Pick one of: Yes, No." sqref="C11">
      <formula1>"Yes,No"</formula1>
    </dataValidation>
    <dataValidation type="decimal" allowBlank="1" showInputMessage="1" showErrorMessage="1" errorTitle="Check this entry" error="Enter a percentage from 0% to 100% (type 85% or 0.85)." promptTitle="Safety" prompt="Enter a percentage from 0% to 100% (type 85% or 0.85)." sqref="C15">
      <formula1>0</formula1>
      <formula2>1</formula2>
    </dataValidation>
    <dataValidation type="decimal" allowBlank="1" showInputMessage="1" showErrorMessage="1" errorTitle="Check this entry" error="Enter a percentage from 0% to 100% (type 85% or 0.85)." promptTitle="Environment" prompt="Enter a percentage from 0% to 100% (type 85% or 0.85)." sqref="C16">
      <formula1>0</formula1>
      <formula2>1</formula2>
    </dataValidation>
    <dataValidation type="decimal" allowBlank="1" showInputMessage="1" showErrorMessage="1" errorTitle="Check this entry" error="Enter a percentage from 0% to 100% (type 85% or 0.85)." promptTitle="Production" prompt="Enter a percentage from 0% to 100% (type 85% or 0.85)." sqref="C17">
      <formula1>0</formula1>
      <formula2>1</formula2>
    </dataValidation>
    <dataValidation type="decimal" allowBlank="1" showInputMessage="1" showErrorMessage="1" errorTitle="Check this entry" error="Enter a percentage from 0% to 100% (type 85% or 0.85)." promptTitle="Quality" prompt="Enter a percentage from 0% to 100% (type 85% or 0.85)." sqref="C18">
      <formula1>0</formula1>
      <formula2>1</formula2>
    </dataValidation>
    <dataValidation type="decimal" allowBlank="1" showInputMessage="1" showErrorMessage="1" errorTitle="Check this entry" error="Enter a percentage from 0% to 100% (type 85% or 0.85)." promptTitle="Repair cost" prompt="Enter a percentage from 0% to 100% (type 85% or 0.85)." sqref="C19">
      <formula1>0</formula1>
      <formula2>1</formula2>
    </dataValidation>
    <dataValidation type="textLength" allowBlank="1" showInputMessage="1" showErrorMessage="1" errorTitle="Check this entry" error="Text up to 30 characters." promptTitle="Criterion" prompt="Text up to 30 characters." sqref="B29:B134">
      <formula1>0</formula1>
      <formula2>30</formula2>
    </dataValidation>
    <dataValidation type="textLength" allowBlank="1" showInputMessage="1" showErrorMessage="1" errorTitle="Check this entry" error="Text up to 40 characters." promptTitle="Score 1" prompt="What this score means at your site. Text up to 40 characters." sqref="C29:C134">
      <formula1>0</formula1>
      <formula2>40</formula2>
    </dataValidation>
    <dataValidation type="textLength" allowBlank="1" showInputMessage="1" showErrorMessage="1" errorTitle="Check this entry" error="Text up to 40 characters." promptTitle="Score 2" prompt="What this score means at your site. Text up to 40 characters." sqref="D29:D134">
      <formula1>0</formula1>
      <formula2>40</formula2>
    </dataValidation>
    <dataValidation type="textLength" allowBlank="1" showInputMessage="1" showErrorMessage="1" errorTitle="Check this entry" error="Text up to 40 characters." promptTitle="Score 3" prompt="What this score means at your site. Text up to 40 characters." sqref="E29:E134">
      <formula1>0</formula1>
      <formula2>40</formula2>
    </dataValidation>
    <dataValidation type="textLength" allowBlank="1" showInputMessage="1" showErrorMessage="1" errorTitle="Check this entry" error="Text up to 40 characters." promptTitle="Score 4" prompt="What this score means at your site. Text up to 40 characters." sqref="F29:F134">
      <formula1>0</formula1>
      <formula2>40</formula2>
    </dataValidation>
    <dataValidation type="textLength" allowBlank="1" showInputMessage="1" showErrorMessage="1" errorTitle="Check this entry" error="Text up to 40 characters." promptTitle="Score 5" prompt="What this score means at your site. Text up to 40 characters." sqref="G29:G134">
      <formula1>0</formula1>
      <formula2>40</formula2>
    </dataValidation>
    <dataValidation type="textLength" allowBlank="1" showInputMessage="1" showErrorMessage="1" errorTitle="Check this entry" error="Text up to 4 characters." promptTitle="Class" prompt="Text up to 4 characters." sqref="B38:B140">
      <formula1>0</formula1>
      <formula2>4</formula2>
    </dataValidation>
    <dataValidation type="textLength" allowBlank="1" showInputMessage="1" showErrorMessage="1" errorTitle="Check this entry" error="Text up to 60 characters." promptTitle="Maintenance" prompt="Example maintenance approach for the class; write your own. Text up to 60 characters." sqref="C38:C140">
      <formula1>0</formula1>
      <formula2>60</formula2>
    </dataValidation>
    <dataValidation type="textLength" allowBlank="1" showInputMessage="1" showErrorMessage="1" errorTitle="Check this entry" error="Text up to 60 characters." promptTitle="Spares" prompt="Example spares policy for the class; write your own. Text up to 60 characters." sqref="D38:D140">
      <formula1>0</formula1>
      <formula2>60</formula2>
    </dataValidation>
    <dataValidation type="textLength" allowBlank="1" showInputMessage="1" showErrorMessage="1" errorTitle="Check this entry" error="Text up to 60 characters." promptTitle="Failures" prompt="Example failure follow-up for the class; write your own. Text up to 60 characters." sqref="E38:E140">
      <formula1>0</formula1>
      <formula2>60</formula2>
    </dataValidation>
    <dataValidation type="textLength" allowBlank="1" showInputMessage="1" showErrorMessage="1" errorTitle="Check this entry" error="Text up to 40 characters." promptTitle="Area" prompt="Text up to 40 characters." sqref="B44:B148">
      <formula1>0</formula1>
      <formula2>40</formula2>
    </dataValidation>
    <dataValidation type="textLength" allowBlank="1" showInputMessage="1" showErrorMessage="1" errorTitle="Check this entry" error="Text up to 120 characters." promptTitle="Description" prompt="Text up to 120 characters." sqref="C44:C148">
      <formula1>0</formula1>
      <formula2>120</formula2>
    </dataValidation>
  </dataValidations>
  <hyperlinks>
    <hyperlink ref="G2" r:id="rId1" tooltip="Free manufacturing calculators and templates"/>
  </hyperlinks>
  <pageMargins left="0.4" right="0.4" top="0.7" bottom="0.65" header="0.3" footer="0.3"/>
  <pageSetup fitToHeight="0" orientation="landscape"/>
  <headerFooter>
    <oddHeader>&amp;L&amp;8MFG Calcs - Asset Criticality Ranking&amp;R&amp;8&amp;A</oddHeader>
    <oddFooter>&amp;L&amp;8mfgcalcs.com - free manufacturing templates&amp;R&amp;8Page &amp;P of &amp;N</oddFooter>
  </headerFooter>
  <rowBreaks count="1" manualBreakCount="1">
    <brk id="24"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V35"/>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2" width="9.7109375" customWidth="1"/>
    <col min="3" max="3" width="23.7109375" customWidth="1"/>
    <col min="4" max="4" width="11.28515625" customWidth="1"/>
    <col min="5" max="5" width="9.28515625" customWidth="1"/>
    <col min="6" max="6" width="12.28515625" customWidth="1"/>
    <col min="7" max="7" width="11.28515625" customWidth="1"/>
    <col min="8" max="8" width="9.28515625" customWidth="1"/>
    <col min="9" max="9" width="10.28515625" customWidth="1"/>
    <col min="10" max="10" width="10.7109375" customWidth="1"/>
    <col min="11" max="11" width="12.7109375" customWidth="1"/>
    <col min="12" max="12" width="11.7109375" customWidth="1"/>
    <col min="13" max="13" width="7.28515625" customWidth="1"/>
    <col min="14" max="14" width="6.7109375" customWidth="1"/>
    <col min="15" max="16" width="9.28515625" customWidth="1"/>
    <col min="17" max="19" width="10.28515625" customWidth="1"/>
    <col min="20" max="20" width="11.28515625" customWidth="1"/>
    <col min="21" max="21" width="22.7109375" customWidth="1"/>
    <col min="22" max="22" width="28.7109375" customWidth="1"/>
  </cols>
  <sheetData>
    <row r="1" spans="1:22" ht="30" customHeight="1" x14ac:dyDescent="0.25">
      <c r="A1" s="1" t="s">
        <v>0</v>
      </c>
      <c r="B1" s="1"/>
      <c r="C1" s="1"/>
      <c r="D1" s="1"/>
      <c r="E1" s="1"/>
      <c r="F1" s="1"/>
      <c r="G1" s="1"/>
      <c r="H1" s="1"/>
      <c r="I1" s="1"/>
      <c r="J1" s="1"/>
      <c r="K1" s="1"/>
      <c r="L1" s="1"/>
      <c r="M1" s="1"/>
      <c r="N1" s="1"/>
      <c r="O1" s="1"/>
      <c r="P1" s="1"/>
      <c r="Q1" s="1"/>
      <c r="R1" s="1"/>
      <c r="S1" s="1"/>
      <c r="T1" s="1"/>
      <c r="U1" s="1"/>
      <c r="V1" s="1"/>
    </row>
    <row r="2" spans="1:22" ht="21" customHeight="1" x14ac:dyDescent="0.25">
      <c r="B2" s="2" t="s">
        <v>22</v>
      </c>
      <c r="C2" s="2"/>
      <c r="D2" s="2"/>
      <c r="E2" s="2"/>
      <c r="F2" s="2"/>
      <c r="G2" s="2"/>
      <c r="H2" s="2"/>
      <c r="I2" s="2"/>
      <c r="J2" s="2"/>
      <c r="K2" s="2"/>
      <c r="L2" s="2"/>
      <c r="M2" s="2"/>
      <c r="N2" s="2"/>
      <c r="O2" s="2"/>
      <c r="P2" s="2"/>
      <c r="Q2" s="2"/>
      <c r="R2" s="2"/>
      <c r="S2" s="2"/>
      <c r="T2" s="2"/>
      <c r="U2" s="2"/>
      <c r="V2" s="3" t="s">
        <v>2</v>
      </c>
    </row>
    <row r="3" spans="1:22" ht="6" customHeight="1" x14ac:dyDescent="0.25"/>
    <row r="4" spans="1:22" ht="18" customHeight="1" x14ac:dyDescent="0.25">
      <c r="B4" s="35" t="s">
        <v>170</v>
      </c>
      <c r="C4" s="35"/>
      <c r="D4" s="35"/>
      <c r="E4" s="35"/>
      <c r="F4" s="35"/>
      <c r="G4" s="35"/>
      <c r="H4" s="35"/>
      <c r="I4" s="35"/>
      <c r="J4" s="35"/>
      <c r="K4" s="35"/>
      <c r="L4" s="35"/>
      <c r="M4" s="35"/>
      <c r="N4" s="35"/>
      <c r="O4" s="35"/>
      <c r="P4" s="35"/>
      <c r="Q4" s="35"/>
      <c r="R4" s="35"/>
      <c r="S4" s="35"/>
      <c r="T4" s="35"/>
      <c r="U4" s="35"/>
      <c r="V4" s="35"/>
    </row>
    <row r="5" spans="1:22" ht="14" customHeight="1" x14ac:dyDescent="0.25">
      <c r="B5" s="36"/>
      <c r="C5" s="36"/>
      <c r="D5" s="36"/>
      <c r="E5" s="36"/>
      <c r="F5" s="36"/>
      <c r="G5" s="36"/>
      <c r="H5" s="36"/>
      <c r="I5" s="36"/>
      <c r="J5" s="36"/>
      <c r="K5" s="36"/>
      <c r="L5" s="36"/>
      <c r="M5" s="36"/>
      <c r="N5" s="36"/>
      <c r="O5" s="36"/>
      <c r="P5" s="36"/>
      <c r="Q5" s="36" t="str">
        <f>Currency&amp;"/h"</f>
        <v>EUR/h</v>
      </c>
      <c r="R5" s="36" t="str">
        <f>Currency</f>
        <v>EUR</v>
      </c>
      <c r="S5" s="36" t="str">
        <f>Currency</f>
        <v>EUR</v>
      </c>
      <c r="T5" s="36" t="str">
        <f>Currency&amp;"/yr"</f>
        <v>EUR/yr</v>
      </c>
      <c r="U5" s="36"/>
      <c r="V5" s="36"/>
    </row>
    <row r="6" spans="1:22" ht="45.5" customHeight="1" x14ac:dyDescent="0.25">
      <c r="B6" s="34" t="s">
        <v>151</v>
      </c>
      <c r="C6" s="34" t="s">
        <v>152</v>
      </c>
      <c r="D6" s="34" t="s">
        <v>72</v>
      </c>
      <c r="E6" s="34" t="s">
        <v>153</v>
      </c>
      <c r="F6" s="34" t="s">
        <v>154</v>
      </c>
      <c r="G6" s="34" t="s">
        <v>155</v>
      </c>
      <c r="H6" s="34" t="s">
        <v>156</v>
      </c>
      <c r="I6" s="34" t="s">
        <v>157</v>
      </c>
      <c r="J6" s="34" t="s">
        <v>158</v>
      </c>
      <c r="K6" s="34" t="s">
        <v>159</v>
      </c>
      <c r="L6" s="34" t="s">
        <v>160</v>
      </c>
      <c r="M6" s="34" t="s">
        <v>68</v>
      </c>
      <c r="N6" s="34" t="s">
        <v>161</v>
      </c>
      <c r="O6" s="34" t="s">
        <v>162</v>
      </c>
      <c r="P6" s="34" t="s">
        <v>163</v>
      </c>
      <c r="Q6" s="34" t="s">
        <v>164</v>
      </c>
      <c r="R6" s="34" t="s">
        <v>165</v>
      </c>
      <c r="S6" s="34" t="s">
        <v>166</v>
      </c>
      <c r="T6" s="34" t="s">
        <v>167</v>
      </c>
      <c r="U6" s="34" t="s">
        <v>168</v>
      </c>
      <c r="V6" s="34" t="s">
        <v>169</v>
      </c>
    </row>
    <row r="7" spans="1:22" x14ac:dyDescent="0.25">
      <c r="B7" s="28" t="s">
        <v>171</v>
      </c>
      <c r="C7" s="28" t="s">
        <v>172</v>
      </c>
      <c r="D7" s="28" t="s">
        <v>141</v>
      </c>
      <c r="E7" s="37">
        <v>3</v>
      </c>
      <c r="F7" s="37">
        <v>3</v>
      </c>
      <c r="G7" s="37">
        <v>5</v>
      </c>
      <c r="H7" s="37">
        <v>4</v>
      </c>
      <c r="I7" s="37">
        <v>4</v>
      </c>
      <c r="J7" s="37">
        <v>4</v>
      </c>
      <c r="K7"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3.8</v>
      </c>
      <c r="L7" s="38">
        <f>IF(tblAssets[[#This Row],[Asset ID]]="","",IF(OR(tblAssets[[#This Row],[Consequence (1-5)]]="",N(tblAssets[[#This Row],[Likelihood (1-5)]])=0),"",ROUND(tblAssets[[#This Row],[Consequence (1-5)]]*tblAssets[[#This Row],[Likelihood (1-5)]],1)))</f>
        <v>15.2</v>
      </c>
      <c r="M7" s="39" t="str">
        <f>IF(tblAssets[[#This Row],[Asset ID]]="","",IF(tblAssets[[#This Row],[Criticality (1-25)]]="","",IF(OR(tblAssets[[#This Row],[Criticality (1-25)]]&gt;=ClassA,AND(SafetyRule="Yes",MAX(tblAssets[[#This Row],[Safety (1-5)]],tblAssets[[#This Row],[Environment (1-5)]])&gt;=5)),"A",IF(tblAssets[[#This Row],[Criticality (1-25)]]&gt;=ClassB,"B","C"))))</f>
        <v>A</v>
      </c>
      <c r="N7" s="40">
        <f>IF(tblAssets[[#This Row],[Asset ID]]="","",IF(tblAssets[[#This Row],[Criticality (1-25)]]="","",COUNTIF(tblAssets[Criticality (1-25)],"&gt;"&amp;tblAssets[[#This Row],[Criticality (1-25)]])+COUNTIFS(tblAssets[Criticality (1-25)],tblAssets[[#This Row],[Criticality (1-25)]],tblAssets[Asset ID],"&lt;"&amp;tblAssets[[#This Row],[Asset ID]])+1))</f>
        <v>1</v>
      </c>
      <c r="O7" s="29">
        <v>3</v>
      </c>
      <c r="P7" s="29">
        <v>10</v>
      </c>
      <c r="Q7" s="37">
        <v>4500</v>
      </c>
      <c r="R7" s="37">
        <v>6000</v>
      </c>
      <c r="S7" s="40">
        <f>IF(tblAssets[[#This Row],[Asset ID]]="","",IF(OR(tblAssets[[#This Row],[Hours per failure]]="",tblAssets[[#This Row],[Lost output per hour]]=""),"",tblAssets[[#This Row],[Hours per failure]]*tblAssets[[#This Row],[Lost output per hour]]+N(tblAssets[[#This Row],[Repair cost per failure]])))</f>
        <v>51000</v>
      </c>
      <c r="T7" s="40">
        <f>IF(tblAssets[[#This Row],[Asset ID]]="","",IF(OR(tblAssets[[#This Row],[Cost per failure]]="",tblAssets[[#This Row],[Failures per year]]=""),"",tblAssets[[#This Row],[Failures per year]]*tblAssets[[#This Row],[Cost per failure]]))</f>
        <v>153000</v>
      </c>
      <c r="U7"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7" s="28" t="s">
        <v>173</v>
      </c>
    </row>
    <row r="8" spans="1:22" x14ac:dyDescent="0.25">
      <c r="B8" s="28" t="s">
        <v>174</v>
      </c>
      <c r="C8" s="28" t="s">
        <v>175</v>
      </c>
      <c r="D8" s="28" t="s">
        <v>141</v>
      </c>
      <c r="E8" s="37">
        <v>3</v>
      </c>
      <c r="F8" s="37">
        <v>3</v>
      </c>
      <c r="G8" s="37">
        <v>5</v>
      </c>
      <c r="H8" s="37">
        <v>4</v>
      </c>
      <c r="I8" s="37">
        <v>4</v>
      </c>
      <c r="J8" s="37">
        <v>2</v>
      </c>
      <c r="K8"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3.8</v>
      </c>
      <c r="L8" s="38">
        <f>IF(tblAssets[[#This Row],[Asset ID]]="","",IF(OR(tblAssets[[#This Row],[Consequence (1-5)]]="",N(tblAssets[[#This Row],[Likelihood (1-5)]])=0),"",ROUND(tblAssets[[#This Row],[Consequence (1-5)]]*tblAssets[[#This Row],[Likelihood (1-5)]],1)))</f>
        <v>7.6</v>
      </c>
      <c r="M8" s="39" t="str">
        <f>IF(tblAssets[[#This Row],[Asset ID]]="","",IF(tblAssets[[#This Row],[Criticality (1-25)]]="","",IF(OR(tblAssets[[#This Row],[Criticality (1-25)]]&gt;=ClassA,AND(SafetyRule="Yes",MAX(tblAssets[[#This Row],[Safety (1-5)]],tblAssets[[#This Row],[Environment (1-5)]])&gt;=5)),"A",IF(tblAssets[[#This Row],[Criticality (1-25)]]&gt;=ClassB,"B","C"))))</f>
        <v>B</v>
      </c>
      <c r="N8" s="40">
        <f>IF(tblAssets[[#This Row],[Asset ID]]="","",IF(tblAssets[[#This Row],[Criticality (1-25)]]="","",COUNTIF(tblAssets[Criticality (1-25)],"&gt;"&amp;tblAssets[[#This Row],[Criticality (1-25)]])+COUNTIFS(tblAssets[Criticality (1-25)],tblAssets[[#This Row],[Criticality (1-25)]],tblAssets[Asset ID],"&lt;"&amp;tblAssets[[#This Row],[Asset ID]])+1))</f>
        <v>13</v>
      </c>
      <c r="O8" s="29">
        <v>0.5</v>
      </c>
      <c r="P8" s="29">
        <v>12</v>
      </c>
      <c r="Q8" s="37">
        <v>4500</v>
      </c>
      <c r="R8" s="37">
        <v>6000</v>
      </c>
      <c r="S8" s="40">
        <f>IF(tblAssets[[#This Row],[Asset ID]]="","",IF(OR(tblAssets[[#This Row],[Hours per failure]]="",tblAssets[[#This Row],[Lost output per hour]]=""),"",tblAssets[[#This Row],[Hours per failure]]*tblAssets[[#This Row],[Lost output per hour]]+N(tblAssets[[#This Row],[Repair cost per failure]])))</f>
        <v>60000</v>
      </c>
      <c r="T8" s="40">
        <f>IF(tblAssets[[#This Row],[Asset ID]]="","",IF(OR(tblAssets[[#This Row],[Cost per failure]]="",tblAssets[[#This Row],[Failures per year]]=""),"",tblAssets[[#This Row],[Failures per year]]*tblAssets[[#This Row],[Cost per failure]]))</f>
        <v>30000</v>
      </c>
      <c r="U8"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8" s="28" t="s">
        <v>173</v>
      </c>
    </row>
    <row r="9" spans="1:22" x14ac:dyDescent="0.25">
      <c r="B9" s="28" t="s">
        <v>176</v>
      </c>
      <c r="C9" s="28" t="s">
        <v>177</v>
      </c>
      <c r="D9" s="28" t="s">
        <v>141</v>
      </c>
      <c r="E9" s="37">
        <v>2</v>
      </c>
      <c r="F9" s="37">
        <v>2</v>
      </c>
      <c r="G9" s="37">
        <v>4</v>
      </c>
      <c r="H9" s="37">
        <v>4</v>
      </c>
      <c r="I9" s="37">
        <v>3</v>
      </c>
      <c r="J9" s="37">
        <v>3</v>
      </c>
      <c r="K9"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2.9</v>
      </c>
      <c r="L9" s="38">
        <f>IF(tblAssets[[#This Row],[Asset ID]]="","",IF(OR(tblAssets[[#This Row],[Consequence (1-5)]]="",N(tblAssets[[#This Row],[Likelihood (1-5)]])=0),"",ROUND(tblAssets[[#This Row],[Consequence (1-5)]]*tblAssets[[#This Row],[Likelihood (1-5)]],1)))</f>
        <v>8.7</v>
      </c>
      <c r="M9" s="39" t="str">
        <f>IF(tblAssets[[#This Row],[Asset ID]]="","",IF(tblAssets[[#This Row],[Criticality (1-25)]]="","",IF(OR(tblAssets[[#This Row],[Criticality (1-25)]]&gt;=ClassA,AND(SafetyRule="Yes",MAX(tblAssets[[#This Row],[Safety (1-5)]],tblAssets[[#This Row],[Environment (1-5)]])&gt;=5)),"A",IF(tblAssets[[#This Row],[Criticality (1-25)]]&gt;=ClassB,"B","C"))))</f>
        <v>B</v>
      </c>
      <c r="N9" s="40">
        <f>IF(tblAssets[[#This Row],[Asset ID]]="","",IF(tblAssets[[#This Row],[Criticality (1-25)]]="","",COUNTIF(tblAssets[Criticality (1-25)],"&gt;"&amp;tblAssets[[#This Row],[Criticality (1-25)]])+COUNTIFS(tblAssets[Criticality (1-25)],tblAssets[[#This Row],[Criticality (1-25)]],tblAssets[Asset ID],"&lt;"&amp;tblAssets[[#This Row],[Asset ID]])+1))</f>
        <v>8</v>
      </c>
      <c r="O9" s="29">
        <v>1</v>
      </c>
      <c r="P9" s="29">
        <v>16</v>
      </c>
      <c r="Q9" s="37">
        <v>4500</v>
      </c>
      <c r="R9" s="37">
        <v>9000</v>
      </c>
      <c r="S9" s="40">
        <f>IF(tblAssets[[#This Row],[Asset ID]]="","",IF(OR(tblAssets[[#This Row],[Hours per failure]]="",tblAssets[[#This Row],[Lost output per hour]]=""),"",tblAssets[[#This Row],[Hours per failure]]*tblAssets[[#This Row],[Lost output per hour]]+N(tblAssets[[#This Row],[Repair cost per failure]])))</f>
        <v>81000</v>
      </c>
      <c r="T9" s="40">
        <f>IF(tblAssets[[#This Row],[Asset ID]]="","",IF(OR(tblAssets[[#This Row],[Cost per failure]]="",tblAssets[[#This Row],[Failures per year]]=""),"",tblAssets[[#This Row],[Failures per year]]*tblAssets[[#This Row],[Cost per failure]]))</f>
        <v>81000</v>
      </c>
      <c r="U9"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9" s="28" t="s">
        <v>173</v>
      </c>
    </row>
    <row r="10" spans="1:22" x14ac:dyDescent="0.25">
      <c r="B10" s="28" t="s">
        <v>178</v>
      </c>
      <c r="C10" s="28" t="s">
        <v>179</v>
      </c>
      <c r="D10" s="28" t="s">
        <v>141</v>
      </c>
      <c r="E10" s="37">
        <v>2</v>
      </c>
      <c r="F10" s="37">
        <v>3</v>
      </c>
      <c r="G10" s="37">
        <v>4</v>
      </c>
      <c r="H10" s="37">
        <v>3</v>
      </c>
      <c r="I10" s="37">
        <v>2</v>
      </c>
      <c r="J10" s="37">
        <v>4</v>
      </c>
      <c r="K10"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2.9</v>
      </c>
      <c r="L10" s="38">
        <f>IF(tblAssets[[#This Row],[Asset ID]]="","",IF(OR(tblAssets[[#This Row],[Consequence (1-5)]]="",N(tblAssets[[#This Row],[Likelihood (1-5)]])=0),"",ROUND(tblAssets[[#This Row],[Consequence (1-5)]]*tblAssets[[#This Row],[Likelihood (1-5)]],1)))</f>
        <v>11.6</v>
      </c>
      <c r="M10" s="39" t="str">
        <f>IF(tblAssets[[#This Row],[Asset ID]]="","",IF(tblAssets[[#This Row],[Criticality (1-25)]]="","",IF(OR(tblAssets[[#This Row],[Criticality (1-25)]]&gt;=ClassA,AND(SafetyRule="Yes",MAX(tblAssets[[#This Row],[Safety (1-5)]],tblAssets[[#This Row],[Environment (1-5)]])&gt;=5)),"A",IF(tblAssets[[#This Row],[Criticality (1-25)]]&gt;=ClassB,"B","C"))))</f>
        <v>B</v>
      </c>
      <c r="N10" s="40">
        <f>IF(tblAssets[[#This Row],[Asset ID]]="","",IF(tblAssets[[#This Row],[Criticality (1-25)]]="","",COUNTIF(tblAssets[Criticality (1-25)],"&gt;"&amp;tblAssets[[#This Row],[Criticality (1-25)]])+COUNTIFS(tblAssets[Criticality (1-25)],tblAssets[[#This Row],[Criticality (1-25)]],tblAssets[Asset ID],"&lt;"&amp;tblAssets[[#This Row],[Asset ID]])+1))</f>
        <v>3</v>
      </c>
      <c r="O10" s="29">
        <v>4</v>
      </c>
      <c r="P10" s="29">
        <v>4</v>
      </c>
      <c r="Q10" s="37">
        <v>4500</v>
      </c>
      <c r="R10" s="37">
        <v>1800</v>
      </c>
      <c r="S10" s="40">
        <f>IF(tblAssets[[#This Row],[Asset ID]]="","",IF(OR(tblAssets[[#This Row],[Hours per failure]]="",tblAssets[[#This Row],[Lost output per hour]]=""),"",tblAssets[[#This Row],[Hours per failure]]*tblAssets[[#This Row],[Lost output per hour]]+N(tblAssets[[#This Row],[Repair cost per failure]])))</f>
        <v>19800</v>
      </c>
      <c r="T10" s="40">
        <f>IF(tblAssets[[#This Row],[Asset ID]]="","",IF(OR(tblAssets[[#This Row],[Cost per failure]]="",tblAssets[[#This Row],[Failures per year]]=""),"",tblAssets[[#This Row],[Failures per year]]*tblAssets[[#This Row],[Cost per failure]]))</f>
        <v>79200</v>
      </c>
      <c r="U10"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0" s="28" t="s">
        <v>173</v>
      </c>
    </row>
    <row r="11" spans="1:22" x14ac:dyDescent="0.25">
      <c r="B11" s="28" t="s">
        <v>180</v>
      </c>
      <c r="C11" s="28" t="s">
        <v>181</v>
      </c>
      <c r="D11" s="28" t="s">
        <v>141</v>
      </c>
      <c r="E11" s="37">
        <v>4</v>
      </c>
      <c r="F11" s="37">
        <v>3</v>
      </c>
      <c r="G11" s="37">
        <v>5</v>
      </c>
      <c r="H11" s="37">
        <v>3</v>
      </c>
      <c r="I11" s="37">
        <v>5</v>
      </c>
      <c r="J11" s="37">
        <v>2</v>
      </c>
      <c r="K11"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4.1</v>
      </c>
      <c r="L11" s="38">
        <f>IF(tblAssets[[#This Row],[Asset ID]]="","",IF(OR(tblAssets[[#This Row],[Consequence (1-5)]]="",N(tblAssets[[#This Row],[Likelihood (1-5)]])=0),"",ROUND(tblAssets[[#This Row],[Consequence (1-5)]]*tblAssets[[#This Row],[Likelihood (1-5)]],1)))</f>
        <v>8.2</v>
      </c>
      <c r="M11" s="39" t="str">
        <f>IF(tblAssets[[#This Row],[Asset ID]]="","",IF(tblAssets[[#This Row],[Criticality (1-25)]]="","",IF(OR(tblAssets[[#This Row],[Criticality (1-25)]]&gt;=ClassA,AND(SafetyRule="Yes",MAX(tblAssets[[#This Row],[Safety (1-5)]],tblAssets[[#This Row],[Environment (1-5)]])&gt;=5)),"A",IF(tblAssets[[#This Row],[Criticality (1-25)]]&gt;=ClassB,"B","C"))))</f>
        <v>B</v>
      </c>
      <c r="N11" s="40">
        <f>IF(tblAssets[[#This Row],[Asset ID]]="","",IF(tblAssets[[#This Row],[Criticality (1-25)]]="","",COUNTIF(tblAssets[Criticality (1-25)],"&gt;"&amp;tblAssets[[#This Row],[Criticality (1-25)]])+COUNTIFS(tblAssets[Criticality (1-25)],tblAssets[[#This Row],[Criticality (1-25)]],tblAssets[Asset ID],"&lt;"&amp;tblAssets[[#This Row],[Asset ID]])+1))</f>
        <v>11</v>
      </c>
      <c r="O11" s="29">
        <v>0.5</v>
      </c>
      <c r="P11" s="29">
        <v>36</v>
      </c>
      <c r="Q11" s="37">
        <v>4500</v>
      </c>
      <c r="R11" s="37">
        <v>40000</v>
      </c>
      <c r="S11" s="40">
        <f>IF(tblAssets[[#This Row],[Asset ID]]="","",IF(OR(tblAssets[[#This Row],[Hours per failure]]="",tblAssets[[#This Row],[Lost output per hour]]=""),"",tblAssets[[#This Row],[Hours per failure]]*tblAssets[[#This Row],[Lost output per hour]]+N(tblAssets[[#This Row],[Repair cost per failure]])))</f>
        <v>202000</v>
      </c>
      <c r="T11" s="40">
        <f>IF(tblAssets[[#This Row],[Asset ID]]="","",IF(OR(tblAssets[[#This Row],[Cost per failure]]="",tblAssets[[#This Row],[Failures per year]]=""),"",tblAssets[[#This Row],[Failures per year]]*tblAssets[[#This Row],[Cost per failure]]))</f>
        <v>101000</v>
      </c>
      <c r="U11"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1" s="28" t="s">
        <v>173</v>
      </c>
    </row>
    <row r="12" spans="1:22" x14ac:dyDescent="0.25">
      <c r="B12" s="28" t="s">
        <v>182</v>
      </c>
      <c r="C12" s="28" t="s">
        <v>183</v>
      </c>
      <c r="D12" s="28" t="s">
        <v>141</v>
      </c>
      <c r="E12" s="37">
        <v>5</v>
      </c>
      <c r="F12" s="37">
        <v>5</v>
      </c>
      <c r="G12" s="37">
        <v>2</v>
      </c>
      <c r="H12" s="37">
        <v>1</v>
      </c>
      <c r="I12" s="37">
        <v>2</v>
      </c>
      <c r="J12" s="37">
        <v>1</v>
      </c>
      <c r="K12"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3.4</v>
      </c>
      <c r="L12" s="38">
        <f>IF(tblAssets[[#This Row],[Asset ID]]="","",IF(OR(tblAssets[[#This Row],[Consequence (1-5)]]="",N(tblAssets[[#This Row],[Likelihood (1-5)]])=0),"",ROUND(tblAssets[[#This Row],[Consequence (1-5)]]*tblAssets[[#This Row],[Likelihood (1-5)]],1)))</f>
        <v>3.4</v>
      </c>
      <c r="M12" s="39" t="str">
        <f>IF(tblAssets[[#This Row],[Asset ID]]="","",IF(tblAssets[[#This Row],[Criticality (1-25)]]="","",IF(OR(tblAssets[[#This Row],[Criticality (1-25)]]&gt;=ClassA,AND(SafetyRule="Yes",MAX(tblAssets[[#This Row],[Safety (1-5)]],tblAssets[[#This Row],[Environment (1-5)]])&gt;=5)),"A",IF(tblAssets[[#This Row],[Criticality (1-25)]]&gt;=ClassB,"B","C"))))</f>
        <v>A</v>
      </c>
      <c r="N12" s="40">
        <f>IF(tblAssets[[#This Row],[Asset ID]]="","",IF(tblAssets[[#This Row],[Criticality (1-25)]]="","",COUNTIF(tblAssets[Criticality (1-25)],"&gt;"&amp;tblAssets[[#This Row],[Criticality (1-25)]])+COUNTIFS(tblAssets[Criticality (1-25)],tblAssets[[#This Row],[Criticality (1-25)]],tblAssets[Asset ID],"&lt;"&amp;tblAssets[[#This Row],[Asset ID]])+1))</f>
        <v>27</v>
      </c>
      <c r="O12" s="29">
        <v>0</v>
      </c>
      <c r="P12" s="29">
        <v>0</v>
      </c>
      <c r="Q12" s="37">
        <v>0</v>
      </c>
      <c r="R12" s="37">
        <v>0</v>
      </c>
      <c r="S12" s="40">
        <f>IF(tblAssets[[#This Row],[Asset ID]]="","",IF(OR(tblAssets[[#This Row],[Hours per failure]]="",tblAssets[[#This Row],[Lost output per hour]]=""),"",tblAssets[[#This Row],[Hours per failure]]*tblAssets[[#This Row],[Lost output per hour]]+N(tblAssets[[#This Row],[Repair cost per failure]])))</f>
        <v>0</v>
      </c>
      <c r="T12" s="40">
        <f>IF(tblAssets[[#This Row],[Asset ID]]="","",IF(OR(tblAssets[[#This Row],[Cost per failure]]="",tblAssets[[#This Row],[Failures per year]]=""),"",tblAssets[[#This Row],[Failures per year]]*tblAssets[[#This Row],[Cost per failure]]))</f>
        <v>0</v>
      </c>
      <c r="U12"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2" s="28" t="s">
        <v>184</v>
      </c>
    </row>
    <row r="13" spans="1:22" x14ac:dyDescent="0.25">
      <c r="B13" s="28" t="s">
        <v>185</v>
      </c>
      <c r="C13" s="28" t="s">
        <v>186</v>
      </c>
      <c r="D13" s="28" t="s">
        <v>143</v>
      </c>
      <c r="E13" s="37">
        <v>2</v>
      </c>
      <c r="F13" s="37">
        <v>2</v>
      </c>
      <c r="G13" s="37">
        <v>4</v>
      </c>
      <c r="H13" s="37">
        <v>4</v>
      </c>
      <c r="I13" s="37">
        <v>5</v>
      </c>
      <c r="J13" s="37">
        <v>4</v>
      </c>
      <c r="K13"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3.1</v>
      </c>
      <c r="L13" s="38">
        <f>IF(tblAssets[[#This Row],[Asset ID]]="","",IF(OR(tblAssets[[#This Row],[Consequence (1-5)]]="",N(tblAssets[[#This Row],[Likelihood (1-5)]])=0),"",ROUND(tblAssets[[#This Row],[Consequence (1-5)]]*tblAssets[[#This Row],[Likelihood (1-5)]],1)))</f>
        <v>12.4</v>
      </c>
      <c r="M13" s="39" t="str">
        <f>IF(tblAssets[[#This Row],[Asset ID]]="","",IF(tblAssets[[#This Row],[Criticality (1-25)]]="","",IF(OR(tblAssets[[#This Row],[Criticality (1-25)]]&gt;=ClassA,AND(SafetyRule="Yes",MAX(tblAssets[[#This Row],[Safety (1-5)]],tblAssets[[#This Row],[Environment (1-5)]])&gt;=5)),"A",IF(tblAssets[[#This Row],[Criticality (1-25)]]&gt;=ClassB,"B","C"))))</f>
        <v>A</v>
      </c>
      <c r="N13" s="40">
        <f>IF(tblAssets[[#This Row],[Asset ID]]="","",IF(tblAssets[[#This Row],[Criticality (1-25)]]="","",COUNTIF(tblAssets[Criticality (1-25)],"&gt;"&amp;tblAssets[[#This Row],[Criticality (1-25)]])+COUNTIFS(tblAssets[Criticality (1-25)],tblAssets[[#This Row],[Criticality (1-25)]],tblAssets[Asset ID],"&lt;"&amp;tblAssets[[#This Row],[Asset ID]])+1))</f>
        <v>2</v>
      </c>
      <c r="O13" s="29">
        <v>3</v>
      </c>
      <c r="P13" s="29">
        <v>14</v>
      </c>
      <c r="Q13" s="37">
        <v>2600</v>
      </c>
      <c r="R13" s="37">
        <v>12000</v>
      </c>
      <c r="S13" s="40">
        <f>IF(tblAssets[[#This Row],[Asset ID]]="","",IF(OR(tblAssets[[#This Row],[Hours per failure]]="",tblAssets[[#This Row],[Lost output per hour]]=""),"",tblAssets[[#This Row],[Hours per failure]]*tblAssets[[#This Row],[Lost output per hour]]+N(tblAssets[[#This Row],[Repair cost per failure]])))</f>
        <v>48400</v>
      </c>
      <c r="T13" s="40">
        <f>IF(tblAssets[[#This Row],[Asset ID]]="","",IF(OR(tblAssets[[#This Row],[Cost per failure]]="",tblAssets[[#This Row],[Failures per year]]=""),"",tblAssets[[#This Row],[Failures per year]]*tblAssets[[#This Row],[Cost per failure]]))</f>
        <v>145200</v>
      </c>
      <c r="U13"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3" s="28" t="s">
        <v>173</v>
      </c>
    </row>
    <row r="14" spans="1:22" x14ac:dyDescent="0.25">
      <c r="B14" s="28" t="s">
        <v>187</v>
      </c>
      <c r="C14" s="28" t="s">
        <v>188</v>
      </c>
      <c r="D14" s="28" t="s">
        <v>143</v>
      </c>
      <c r="E14" s="37">
        <v>2</v>
      </c>
      <c r="F14" s="37">
        <v>2</v>
      </c>
      <c r="G14" s="37">
        <v>3</v>
      </c>
      <c r="H14" s="37">
        <v>3</v>
      </c>
      <c r="I14" s="37">
        <v>3</v>
      </c>
      <c r="J14" s="37">
        <v>3</v>
      </c>
      <c r="K14"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2.5</v>
      </c>
      <c r="L14" s="38">
        <f>IF(tblAssets[[#This Row],[Asset ID]]="","",IF(OR(tblAssets[[#This Row],[Consequence (1-5)]]="",N(tblAssets[[#This Row],[Likelihood (1-5)]])=0),"",ROUND(tblAssets[[#This Row],[Consequence (1-5)]]*tblAssets[[#This Row],[Likelihood (1-5)]],1)))</f>
        <v>7.5</v>
      </c>
      <c r="M14" s="39" t="str">
        <f>IF(tblAssets[[#This Row],[Asset ID]]="","",IF(tblAssets[[#This Row],[Criticality (1-25)]]="","",IF(OR(tblAssets[[#This Row],[Criticality (1-25)]]&gt;=ClassA,AND(SafetyRule="Yes",MAX(tblAssets[[#This Row],[Safety (1-5)]],tblAssets[[#This Row],[Environment (1-5)]])&gt;=5)),"A",IF(tblAssets[[#This Row],[Criticality (1-25)]]&gt;=ClassB,"B","C"))))</f>
        <v>B</v>
      </c>
      <c r="N14" s="40">
        <f>IF(tblAssets[[#This Row],[Asset ID]]="","",IF(tblAssets[[#This Row],[Criticality (1-25)]]="","",COUNTIF(tblAssets[Criticality (1-25)],"&gt;"&amp;tblAssets[[#This Row],[Criticality (1-25)]])+COUNTIFS(tblAssets[Criticality (1-25)],tblAssets[[#This Row],[Criticality (1-25)]],tblAssets[Asset ID],"&lt;"&amp;tblAssets[[#This Row],[Asset ID]])+1))</f>
        <v>14</v>
      </c>
      <c r="O14" s="29">
        <v>2</v>
      </c>
      <c r="P14" s="29">
        <v>6</v>
      </c>
      <c r="Q14" s="37">
        <v>2600</v>
      </c>
      <c r="R14" s="37">
        <v>2500</v>
      </c>
      <c r="S14" s="40">
        <f>IF(tblAssets[[#This Row],[Asset ID]]="","",IF(OR(tblAssets[[#This Row],[Hours per failure]]="",tblAssets[[#This Row],[Lost output per hour]]=""),"",tblAssets[[#This Row],[Hours per failure]]*tblAssets[[#This Row],[Lost output per hour]]+N(tblAssets[[#This Row],[Repair cost per failure]])))</f>
        <v>18100</v>
      </c>
      <c r="T14" s="40">
        <f>IF(tblAssets[[#This Row],[Asset ID]]="","",IF(OR(tblAssets[[#This Row],[Cost per failure]]="",tblAssets[[#This Row],[Failures per year]]=""),"",tblAssets[[#This Row],[Failures per year]]*tblAssets[[#This Row],[Cost per failure]]))</f>
        <v>36200</v>
      </c>
      <c r="U14"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4" s="28" t="s">
        <v>173</v>
      </c>
    </row>
    <row r="15" spans="1:22" x14ac:dyDescent="0.25">
      <c r="B15" s="28" t="s">
        <v>189</v>
      </c>
      <c r="C15" s="28" t="s">
        <v>190</v>
      </c>
      <c r="D15" s="28" t="s">
        <v>143</v>
      </c>
      <c r="E15" s="37">
        <v>2</v>
      </c>
      <c r="F15" s="37">
        <v>2</v>
      </c>
      <c r="G15" s="37">
        <v>4</v>
      </c>
      <c r="H15" s="37">
        <v>4</v>
      </c>
      <c r="I15" s="37">
        <v>4</v>
      </c>
      <c r="J15" s="37">
        <v>3</v>
      </c>
      <c r="K15"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3</v>
      </c>
      <c r="L15" s="38">
        <f>IF(tblAssets[[#This Row],[Asset ID]]="","",IF(OR(tblAssets[[#This Row],[Consequence (1-5)]]="",N(tblAssets[[#This Row],[Likelihood (1-5)]])=0),"",ROUND(tblAssets[[#This Row],[Consequence (1-5)]]*tblAssets[[#This Row],[Likelihood (1-5)]],1)))</f>
        <v>9</v>
      </c>
      <c r="M15" s="39" t="str">
        <f>IF(tblAssets[[#This Row],[Asset ID]]="","",IF(tblAssets[[#This Row],[Criticality (1-25)]]="","",IF(OR(tblAssets[[#This Row],[Criticality (1-25)]]&gt;=ClassA,AND(SafetyRule="Yes",MAX(tblAssets[[#This Row],[Safety (1-5)]],tblAssets[[#This Row],[Environment (1-5)]])&gt;=5)),"A",IF(tblAssets[[#This Row],[Criticality (1-25)]]&gt;=ClassB,"B","C"))))</f>
        <v>B</v>
      </c>
      <c r="N15" s="40">
        <f>IF(tblAssets[[#This Row],[Asset ID]]="","",IF(tblAssets[[#This Row],[Criticality (1-25)]]="","",COUNTIF(tblAssets[Criticality (1-25)],"&gt;"&amp;tblAssets[[#This Row],[Criticality (1-25)]])+COUNTIFS(tblAssets[Criticality (1-25)],tblAssets[[#This Row],[Criticality (1-25)]],tblAssets[Asset ID],"&lt;"&amp;tblAssets[[#This Row],[Asset ID]])+1))</f>
        <v>6</v>
      </c>
      <c r="O15" s="29">
        <v>1</v>
      </c>
      <c r="P15" s="29">
        <v>20</v>
      </c>
      <c r="Q15" s="37">
        <v>2600</v>
      </c>
      <c r="R15" s="37">
        <v>15000</v>
      </c>
      <c r="S15" s="40">
        <f>IF(tblAssets[[#This Row],[Asset ID]]="","",IF(OR(tblAssets[[#This Row],[Hours per failure]]="",tblAssets[[#This Row],[Lost output per hour]]=""),"",tblAssets[[#This Row],[Hours per failure]]*tblAssets[[#This Row],[Lost output per hour]]+N(tblAssets[[#This Row],[Repair cost per failure]])))</f>
        <v>67000</v>
      </c>
      <c r="T15" s="40">
        <f>IF(tblAssets[[#This Row],[Asset ID]]="","",IF(OR(tblAssets[[#This Row],[Cost per failure]]="",tblAssets[[#This Row],[Failures per year]]=""),"",tblAssets[[#This Row],[Failures per year]]*tblAssets[[#This Row],[Cost per failure]]))</f>
        <v>67000</v>
      </c>
      <c r="U15"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5" s="28" t="s">
        <v>173</v>
      </c>
    </row>
    <row r="16" spans="1:22" x14ac:dyDescent="0.25">
      <c r="B16" s="28" t="s">
        <v>191</v>
      </c>
      <c r="C16" s="28" t="s">
        <v>192</v>
      </c>
      <c r="D16" s="28" t="s">
        <v>143</v>
      </c>
      <c r="E16" s="37">
        <v>1</v>
      </c>
      <c r="F16" s="37">
        <v>2</v>
      </c>
      <c r="G16" s="37">
        <v>4</v>
      </c>
      <c r="H16" s="37">
        <v>3</v>
      </c>
      <c r="I16" s="37">
        <v>3</v>
      </c>
      <c r="J16" s="37">
        <v>4</v>
      </c>
      <c r="K16"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2.5</v>
      </c>
      <c r="L16" s="38">
        <f>IF(tblAssets[[#This Row],[Asset ID]]="","",IF(OR(tblAssets[[#This Row],[Consequence (1-5)]]="",N(tblAssets[[#This Row],[Likelihood (1-5)]])=0),"",ROUND(tblAssets[[#This Row],[Consequence (1-5)]]*tblAssets[[#This Row],[Likelihood (1-5)]],1)))</f>
        <v>10</v>
      </c>
      <c r="M16" s="39" t="str">
        <f>IF(tblAssets[[#This Row],[Asset ID]]="","",IF(tblAssets[[#This Row],[Criticality (1-25)]]="","",IF(OR(tblAssets[[#This Row],[Criticality (1-25)]]&gt;=ClassA,AND(SafetyRule="Yes",MAX(tblAssets[[#This Row],[Safety (1-5)]],tblAssets[[#This Row],[Environment (1-5)]])&gt;=5)),"A",IF(tblAssets[[#This Row],[Criticality (1-25)]]&gt;=ClassB,"B","C"))))</f>
        <v>B</v>
      </c>
      <c r="N16" s="40">
        <f>IF(tblAssets[[#This Row],[Asset ID]]="","",IF(tblAssets[[#This Row],[Criticality (1-25)]]="","",COUNTIF(tblAssets[Criticality (1-25)],"&gt;"&amp;tblAssets[[#This Row],[Criticality (1-25)]])+COUNTIFS(tblAssets[Criticality (1-25)],tblAssets[[#This Row],[Criticality (1-25)]],tblAssets[Asset ID],"&lt;"&amp;tblAssets[[#This Row],[Asset ID]])+1))</f>
        <v>5</v>
      </c>
      <c r="O16" s="29">
        <v>3</v>
      </c>
      <c r="P16" s="29">
        <v>5</v>
      </c>
      <c r="Q16" s="37">
        <v>2600</v>
      </c>
      <c r="R16" s="37">
        <v>3500</v>
      </c>
      <c r="S16" s="40">
        <f>IF(tblAssets[[#This Row],[Asset ID]]="","",IF(OR(tblAssets[[#This Row],[Hours per failure]]="",tblAssets[[#This Row],[Lost output per hour]]=""),"",tblAssets[[#This Row],[Hours per failure]]*tblAssets[[#This Row],[Lost output per hour]]+N(tblAssets[[#This Row],[Repair cost per failure]])))</f>
        <v>16500</v>
      </c>
      <c r="T16" s="40">
        <f>IF(tblAssets[[#This Row],[Asset ID]]="","",IF(OR(tblAssets[[#This Row],[Cost per failure]]="",tblAssets[[#This Row],[Failures per year]]=""),"",tblAssets[[#This Row],[Failures per year]]*tblAssets[[#This Row],[Cost per failure]]))</f>
        <v>49500</v>
      </c>
      <c r="U16"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6" s="28" t="s">
        <v>173</v>
      </c>
    </row>
    <row r="17" spans="2:22" x14ac:dyDescent="0.25">
      <c r="B17" s="28" t="s">
        <v>193</v>
      </c>
      <c r="C17" s="28" t="s">
        <v>194</v>
      </c>
      <c r="D17" s="28" t="s">
        <v>143</v>
      </c>
      <c r="E17" s="37">
        <v>3</v>
      </c>
      <c r="F17" s="37">
        <v>3</v>
      </c>
      <c r="G17" s="37">
        <v>4</v>
      </c>
      <c r="H17" s="37">
        <v>4</v>
      </c>
      <c r="I17" s="37">
        <v>4</v>
      </c>
      <c r="J17" s="37">
        <v>2</v>
      </c>
      <c r="K17"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3.5</v>
      </c>
      <c r="L17" s="38">
        <f>IF(tblAssets[[#This Row],[Asset ID]]="","",IF(OR(tblAssets[[#This Row],[Consequence (1-5)]]="",N(tblAssets[[#This Row],[Likelihood (1-5)]])=0),"",ROUND(tblAssets[[#This Row],[Consequence (1-5)]]*tblAssets[[#This Row],[Likelihood (1-5)]],1)))</f>
        <v>7</v>
      </c>
      <c r="M17" s="39" t="str">
        <f>IF(tblAssets[[#This Row],[Asset ID]]="","",IF(tblAssets[[#This Row],[Criticality (1-25)]]="","",IF(OR(tblAssets[[#This Row],[Criticality (1-25)]]&gt;=ClassA,AND(SafetyRule="Yes",MAX(tblAssets[[#This Row],[Safety (1-5)]],tblAssets[[#This Row],[Environment (1-5)]])&gt;=5)),"A",IF(tblAssets[[#This Row],[Criticality (1-25)]]&gt;=ClassB,"B","C"))))</f>
        <v>B</v>
      </c>
      <c r="N17" s="40">
        <f>IF(tblAssets[[#This Row],[Asset ID]]="","",IF(tblAssets[[#This Row],[Criticality (1-25)]]="","",COUNTIF(tblAssets[Criticality (1-25)],"&gt;"&amp;tblAssets[[#This Row],[Criticality (1-25)]])+COUNTIFS(tblAssets[Criticality (1-25)],tblAssets[[#This Row],[Criticality (1-25)]],tblAssets[Asset ID],"&lt;"&amp;tblAssets[[#This Row],[Asset ID]])+1))</f>
        <v>16</v>
      </c>
      <c r="O17" s="29">
        <v>0.4</v>
      </c>
      <c r="P17" s="29">
        <v>30</v>
      </c>
      <c r="Q17" s="37">
        <v>2600</v>
      </c>
      <c r="R17" s="37">
        <v>25000</v>
      </c>
      <c r="S17" s="40">
        <f>IF(tblAssets[[#This Row],[Asset ID]]="","",IF(OR(tblAssets[[#This Row],[Hours per failure]]="",tblAssets[[#This Row],[Lost output per hour]]=""),"",tblAssets[[#This Row],[Hours per failure]]*tblAssets[[#This Row],[Lost output per hour]]+N(tblAssets[[#This Row],[Repair cost per failure]])))</f>
        <v>103000</v>
      </c>
      <c r="T17" s="40">
        <f>IF(tblAssets[[#This Row],[Asset ID]]="","",IF(OR(tblAssets[[#This Row],[Cost per failure]]="",tblAssets[[#This Row],[Failures per year]]=""),"",tblAssets[[#This Row],[Failures per year]]*tblAssets[[#This Row],[Cost per failure]]))</f>
        <v>41200</v>
      </c>
      <c r="U17"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7" s="28" t="s">
        <v>173</v>
      </c>
    </row>
    <row r="18" spans="2:22" x14ac:dyDescent="0.25">
      <c r="B18" s="28" t="s">
        <v>195</v>
      </c>
      <c r="C18" s="28" t="s">
        <v>196</v>
      </c>
      <c r="D18" s="28" t="s">
        <v>145</v>
      </c>
      <c r="E18" s="37">
        <v>2</v>
      </c>
      <c r="F18" s="37">
        <v>1</v>
      </c>
      <c r="G18" s="37">
        <v>5</v>
      </c>
      <c r="H18" s="37">
        <v>2</v>
      </c>
      <c r="I18" s="37">
        <v>3</v>
      </c>
      <c r="J18" s="37">
        <v>3</v>
      </c>
      <c r="K18"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2.8</v>
      </c>
      <c r="L18" s="38">
        <f>IF(tblAssets[[#This Row],[Asset ID]]="","",IF(OR(tblAssets[[#This Row],[Consequence (1-5)]]="",N(tblAssets[[#This Row],[Likelihood (1-5)]])=0),"",ROUND(tblAssets[[#This Row],[Consequence (1-5)]]*tblAssets[[#This Row],[Likelihood (1-5)]],1)))</f>
        <v>8.4</v>
      </c>
      <c r="M18" s="39" t="str">
        <f>IF(tblAssets[[#This Row],[Asset ID]]="","",IF(tblAssets[[#This Row],[Criticality (1-25)]]="","",IF(OR(tblAssets[[#This Row],[Criticality (1-25)]]&gt;=ClassA,AND(SafetyRule="Yes",MAX(tblAssets[[#This Row],[Safety (1-5)]],tblAssets[[#This Row],[Environment (1-5)]])&gt;=5)),"A",IF(tblAssets[[#This Row],[Criticality (1-25)]]&gt;=ClassB,"B","C"))))</f>
        <v>B</v>
      </c>
      <c r="N18" s="40">
        <f>IF(tblAssets[[#This Row],[Asset ID]]="","",IF(tblAssets[[#This Row],[Criticality (1-25)]]="","",COUNTIF(tblAssets[Criticality (1-25)],"&gt;"&amp;tblAssets[[#This Row],[Criticality (1-25)]])+COUNTIFS(tblAssets[Criticality (1-25)],tblAssets[[#This Row],[Criticality (1-25)]],tblAssets[Asset ID],"&lt;"&amp;tblAssets[[#This Row],[Asset ID]])+1))</f>
        <v>9</v>
      </c>
      <c r="O18" s="29">
        <v>1.5</v>
      </c>
      <c r="P18" s="29">
        <v>8</v>
      </c>
      <c r="Q18" s="37">
        <v>6000</v>
      </c>
      <c r="R18" s="37">
        <v>5000</v>
      </c>
      <c r="S18" s="40">
        <f>IF(tblAssets[[#This Row],[Asset ID]]="","",IF(OR(tblAssets[[#This Row],[Hours per failure]]="",tblAssets[[#This Row],[Lost output per hour]]=""),"",tblAssets[[#This Row],[Hours per failure]]*tblAssets[[#This Row],[Lost output per hour]]+N(tblAssets[[#This Row],[Repair cost per failure]])))</f>
        <v>53000</v>
      </c>
      <c r="T18" s="40">
        <f>IF(tblAssets[[#This Row],[Asset ID]]="","",IF(OR(tblAssets[[#This Row],[Cost per failure]]="",tblAssets[[#This Row],[Failures per year]]=""),"",tblAssets[[#This Row],[Failures per year]]*tblAssets[[#This Row],[Cost per failure]]))</f>
        <v>79500</v>
      </c>
      <c r="U18"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8" s="28" t="s">
        <v>173</v>
      </c>
    </row>
    <row r="19" spans="2:22" x14ac:dyDescent="0.25">
      <c r="B19" s="28" t="s">
        <v>197</v>
      </c>
      <c r="C19" s="28" t="s">
        <v>198</v>
      </c>
      <c r="D19" s="28" t="s">
        <v>145</v>
      </c>
      <c r="E19" s="37">
        <v>1</v>
      </c>
      <c r="F19" s="37">
        <v>1</v>
      </c>
      <c r="G19" s="37">
        <v>1</v>
      </c>
      <c r="H19" s="37">
        <v>1</v>
      </c>
      <c r="I19" s="37">
        <v>3</v>
      </c>
      <c r="J19" s="37">
        <v>2</v>
      </c>
      <c r="K19"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1.2</v>
      </c>
      <c r="L19" s="38">
        <f>IF(tblAssets[[#This Row],[Asset ID]]="","",IF(OR(tblAssets[[#This Row],[Consequence (1-5)]]="",N(tblAssets[[#This Row],[Likelihood (1-5)]])=0),"",ROUND(tblAssets[[#This Row],[Consequence (1-5)]]*tblAssets[[#This Row],[Likelihood (1-5)]],1)))</f>
        <v>2.4</v>
      </c>
      <c r="M19" s="39" t="str">
        <f>IF(tblAssets[[#This Row],[Asset ID]]="","",IF(tblAssets[[#This Row],[Criticality (1-25)]]="","",IF(OR(tblAssets[[#This Row],[Criticality (1-25)]]&gt;=ClassA,AND(SafetyRule="Yes",MAX(tblAssets[[#This Row],[Safety (1-5)]],tblAssets[[#This Row],[Environment (1-5)]])&gt;=5)),"A",IF(tblAssets[[#This Row],[Criticality (1-25)]]&gt;=ClassB,"B","C"))))</f>
        <v>C</v>
      </c>
      <c r="N19" s="40">
        <f>IF(tblAssets[[#This Row],[Asset ID]]="","",IF(tblAssets[[#This Row],[Criticality (1-25)]]="","",COUNTIF(tblAssets[Criticality (1-25)],"&gt;"&amp;tblAssets[[#This Row],[Criticality (1-25)]])+COUNTIFS(tblAssets[Criticality (1-25)],tblAssets[[#This Row],[Criticality (1-25)]],tblAssets[Asset ID],"&lt;"&amp;tblAssets[[#This Row],[Asset ID]])+1))</f>
        <v>29</v>
      </c>
      <c r="O19" s="29">
        <v>0.4</v>
      </c>
      <c r="P19" s="29">
        <v>8</v>
      </c>
      <c r="Q19" s="37">
        <v>0</v>
      </c>
      <c r="R19" s="37">
        <v>5000</v>
      </c>
      <c r="S19" s="40">
        <f>IF(tblAssets[[#This Row],[Asset ID]]="","",IF(OR(tblAssets[[#This Row],[Hours per failure]]="",tblAssets[[#This Row],[Lost output per hour]]=""),"",tblAssets[[#This Row],[Hours per failure]]*tblAssets[[#This Row],[Lost output per hour]]+N(tblAssets[[#This Row],[Repair cost per failure]])))</f>
        <v>5000</v>
      </c>
      <c r="T19" s="40">
        <f>IF(tblAssets[[#This Row],[Asset ID]]="","",IF(OR(tblAssets[[#This Row],[Cost per failure]]="",tblAssets[[#This Row],[Failures per year]]=""),"",tblAssets[[#This Row],[Failures per year]]*tblAssets[[#This Row],[Cost per failure]]))</f>
        <v>2000</v>
      </c>
      <c r="U19"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19" s="28" t="s">
        <v>199</v>
      </c>
    </row>
    <row r="20" spans="2:22" x14ac:dyDescent="0.25">
      <c r="B20" s="28" t="s">
        <v>200</v>
      </c>
      <c r="C20" s="28" t="s">
        <v>201</v>
      </c>
      <c r="D20" s="28" t="s">
        <v>145</v>
      </c>
      <c r="E20" s="37">
        <v>4</v>
      </c>
      <c r="F20" s="37">
        <v>3</v>
      </c>
      <c r="G20" s="37">
        <v>5</v>
      </c>
      <c r="H20" s="37">
        <v>2</v>
      </c>
      <c r="I20" s="37">
        <v>5</v>
      </c>
      <c r="J20" s="37">
        <v>2</v>
      </c>
      <c r="K20"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4</v>
      </c>
      <c r="L20" s="38">
        <f>IF(tblAssets[[#This Row],[Asset ID]]="","",IF(OR(tblAssets[[#This Row],[Consequence (1-5)]]="",N(tblAssets[[#This Row],[Likelihood (1-5)]])=0),"",ROUND(tblAssets[[#This Row],[Consequence (1-5)]]*tblAssets[[#This Row],[Likelihood (1-5)]],1)))</f>
        <v>8</v>
      </c>
      <c r="M20" s="39" t="str">
        <f>IF(tblAssets[[#This Row],[Asset ID]]="","",IF(tblAssets[[#This Row],[Criticality (1-25)]]="","",IF(OR(tblAssets[[#This Row],[Criticality (1-25)]]&gt;=ClassA,AND(SafetyRule="Yes",MAX(tblAssets[[#This Row],[Safety (1-5)]],tblAssets[[#This Row],[Environment (1-5)]])&gt;=5)),"A",IF(tblAssets[[#This Row],[Criticality (1-25)]]&gt;=ClassB,"B","C"))))</f>
        <v>B</v>
      </c>
      <c r="N20" s="40">
        <f>IF(tblAssets[[#This Row],[Asset ID]]="","",IF(tblAssets[[#This Row],[Criticality (1-25)]]="","",COUNTIF(tblAssets[Criticality (1-25)],"&gt;"&amp;tblAssets[[#This Row],[Criticality (1-25)]])+COUNTIFS(tblAssets[Criticality (1-25)],tblAssets[[#This Row],[Criticality (1-25)]],tblAssets[Asset ID],"&lt;"&amp;tblAssets[[#This Row],[Asset ID]])+1))</f>
        <v>12</v>
      </c>
      <c r="O20" s="29">
        <v>0.4</v>
      </c>
      <c r="P20" s="29">
        <v>24</v>
      </c>
      <c r="Q20" s="37">
        <v>6000</v>
      </c>
      <c r="R20" s="37">
        <v>30000</v>
      </c>
      <c r="S20" s="40">
        <f>IF(tblAssets[[#This Row],[Asset ID]]="","",IF(OR(tblAssets[[#This Row],[Hours per failure]]="",tblAssets[[#This Row],[Lost output per hour]]=""),"",tblAssets[[#This Row],[Hours per failure]]*tblAssets[[#This Row],[Lost output per hour]]+N(tblAssets[[#This Row],[Repair cost per failure]])))</f>
        <v>174000</v>
      </c>
      <c r="T20" s="40">
        <f>IF(tblAssets[[#This Row],[Asset ID]]="","",IF(OR(tblAssets[[#This Row],[Cost per failure]]="",tblAssets[[#This Row],[Failures per year]]=""),"",tblAssets[[#This Row],[Failures per year]]*tblAssets[[#This Row],[Cost per failure]]))</f>
        <v>69600</v>
      </c>
      <c r="U20"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0" s="28" t="s">
        <v>173</v>
      </c>
    </row>
    <row r="21" spans="2:22" x14ac:dyDescent="0.25">
      <c r="B21" s="28" t="s">
        <v>202</v>
      </c>
      <c r="C21" s="28" t="s">
        <v>203</v>
      </c>
      <c r="D21" s="28" t="s">
        <v>145</v>
      </c>
      <c r="E21" s="37">
        <v>1</v>
      </c>
      <c r="F21" s="37">
        <v>1</v>
      </c>
      <c r="G21" s="37">
        <v>3</v>
      </c>
      <c r="H21" s="37">
        <v>2</v>
      </c>
      <c r="I21" s="37">
        <v>2</v>
      </c>
      <c r="J21" s="37">
        <v>4</v>
      </c>
      <c r="K21"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1.8</v>
      </c>
      <c r="L21" s="38">
        <f>IF(tblAssets[[#This Row],[Asset ID]]="","",IF(OR(tblAssets[[#This Row],[Consequence (1-5)]]="",N(tblAssets[[#This Row],[Likelihood (1-5)]])=0),"",ROUND(tblAssets[[#This Row],[Consequence (1-5)]]*tblAssets[[#This Row],[Likelihood (1-5)]],1)))</f>
        <v>7.2</v>
      </c>
      <c r="M21" s="39" t="str">
        <f>IF(tblAssets[[#This Row],[Asset ID]]="","",IF(tblAssets[[#This Row],[Criticality (1-25)]]="","",IF(OR(tblAssets[[#This Row],[Criticality (1-25)]]&gt;=ClassA,AND(SafetyRule="Yes",MAX(tblAssets[[#This Row],[Safety (1-5)]],tblAssets[[#This Row],[Environment (1-5)]])&gt;=5)),"A",IF(tblAssets[[#This Row],[Criticality (1-25)]]&gt;=ClassB,"B","C"))))</f>
        <v>B</v>
      </c>
      <c r="N21" s="40">
        <f>IF(tblAssets[[#This Row],[Asset ID]]="","",IF(tblAssets[[#This Row],[Criticality (1-25)]]="","",COUNTIF(tblAssets[Criticality (1-25)],"&gt;"&amp;tblAssets[[#This Row],[Criticality (1-25)]])+COUNTIFS(tblAssets[Criticality (1-25)],tblAssets[[#This Row],[Criticality (1-25)]],tblAssets[Asset ID],"&lt;"&amp;tblAssets[[#This Row],[Asset ID]])+1))</f>
        <v>15</v>
      </c>
      <c r="O21" s="29">
        <v>4</v>
      </c>
      <c r="P21" s="29">
        <v>4</v>
      </c>
      <c r="Q21" s="37">
        <v>1500</v>
      </c>
      <c r="R21" s="37">
        <v>1200</v>
      </c>
      <c r="S21" s="40">
        <f>IF(tblAssets[[#This Row],[Asset ID]]="","",IF(OR(tblAssets[[#This Row],[Hours per failure]]="",tblAssets[[#This Row],[Lost output per hour]]=""),"",tblAssets[[#This Row],[Hours per failure]]*tblAssets[[#This Row],[Lost output per hour]]+N(tblAssets[[#This Row],[Repair cost per failure]])))</f>
        <v>7200</v>
      </c>
      <c r="T21" s="40">
        <f>IF(tblAssets[[#This Row],[Asset ID]]="","",IF(OR(tblAssets[[#This Row],[Cost per failure]]="",tblAssets[[#This Row],[Failures per year]]=""),"",tblAssets[[#This Row],[Failures per year]]*tblAssets[[#This Row],[Cost per failure]]))</f>
        <v>28800</v>
      </c>
      <c r="U21"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1" s="28" t="s">
        <v>173</v>
      </c>
    </row>
    <row r="22" spans="2:22" x14ac:dyDescent="0.25">
      <c r="B22" s="28" t="s">
        <v>204</v>
      </c>
      <c r="C22" s="28" t="s">
        <v>205</v>
      </c>
      <c r="D22" s="28" t="s">
        <v>145</v>
      </c>
      <c r="E22" s="37">
        <v>1</v>
      </c>
      <c r="F22" s="37">
        <v>3</v>
      </c>
      <c r="G22" s="37">
        <v>4</v>
      </c>
      <c r="H22" s="37">
        <v>3</v>
      </c>
      <c r="I22" s="37">
        <v>4</v>
      </c>
      <c r="J22" s="37">
        <v>3</v>
      </c>
      <c r="K22"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2.8</v>
      </c>
      <c r="L22" s="38">
        <f>IF(tblAssets[[#This Row],[Asset ID]]="","",IF(OR(tblAssets[[#This Row],[Consequence (1-5)]]="",N(tblAssets[[#This Row],[Likelihood (1-5)]])=0),"",ROUND(tblAssets[[#This Row],[Consequence (1-5)]]*tblAssets[[#This Row],[Likelihood (1-5)]],1)))</f>
        <v>8.4</v>
      </c>
      <c r="M22" s="39" t="str">
        <f>IF(tblAssets[[#This Row],[Asset ID]]="","",IF(tblAssets[[#This Row],[Criticality (1-25)]]="","",IF(OR(tblAssets[[#This Row],[Criticality (1-25)]]&gt;=ClassA,AND(SafetyRule="Yes",MAX(tblAssets[[#This Row],[Safety (1-5)]],tblAssets[[#This Row],[Environment (1-5)]])&gt;=5)),"A",IF(tblAssets[[#This Row],[Criticality (1-25)]]&gt;=ClassB,"B","C"))))</f>
        <v>B</v>
      </c>
      <c r="N22" s="40">
        <f>IF(tblAssets[[#This Row],[Asset ID]]="","",IF(tblAssets[[#This Row],[Criticality (1-25)]]="","",COUNTIF(tblAssets[Criticality (1-25)],"&gt;"&amp;tblAssets[[#This Row],[Criticality (1-25)]])+COUNTIFS(tblAssets[Criticality (1-25)],tblAssets[[#This Row],[Criticality (1-25)]],tblAssets[Asset ID],"&lt;"&amp;tblAssets[[#This Row],[Asset ID]])+1))</f>
        <v>10</v>
      </c>
      <c r="O22" s="29">
        <v>1</v>
      </c>
      <c r="P22" s="29">
        <v>18</v>
      </c>
      <c r="Q22" s="37">
        <v>3000</v>
      </c>
      <c r="R22" s="37">
        <v>14000</v>
      </c>
      <c r="S22" s="40">
        <f>IF(tblAssets[[#This Row],[Asset ID]]="","",IF(OR(tblAssets[[#This Row],[Hours per failure]]="",tblAssets[[#This Row],[Lost output per hour]]=""),"",tblAssets[[#This Row],[Hours per failure]]*tblAssets[[#This Row],[Lost output per hour]]+N(tblAssets[[#This Row],[Repair cost per failure]])))</f>
        <v>68000</v>
      </c>
      <c r="T22" s="40">
        <f>IF(tblAssets[[#This Row],[Asset ID]]="","",IF(OR(tblAssets[[#This Row],[Cost per failure]]="",tblAssets[[#This Row],[Failures per year]]=""),"",tblAssets[[#This Row],[Failures per year]]*tblAssets[[#This Row],[Cost per failure]]))</f>
        <v>68000</v>
      </c>
      <c r="U22"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2" s="28" t="s">
        <v>173</v>
      </c>
    </row>
    <row r="23" spans="2:22" x14ac:dyDescent="0.25">
      <c r="B23" s="28" t="s">
        <v>206</v>
      </c>
      <c r="C23" s="28" t="s">
        <v>207</v>
      </c>
      <c r="D23" s="28" t="s">
        <v>145</v>
      </c>
      <c r="E23" s="37">
        <v>3</v>
      </c>
      <c r="F23" s="37">
        <v>1</v>
      </c>
      <c r="G23" s="37">
        <v>4</v>
      </c>
      <c r="H23" s="37">
        <v>3</v>
      </c>
      <c r="I23" s="37">
        <v>3</v>
      </c>
      <c r="J23" s="37">
        <v>2</v>
      </c>
      <c r="K23"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2.9</v>
      </c>
      <c r="L23" s="38">
        <f>IF(tblAssets[[#This Row],[Asset ID]]="","",IF(OR(tblAssets[[#This Row],[Consequence (1-5)]]="",N(tblAssets[[#This Row],[Likelihood (1-5)]])=0),"",ROUND(tblAssets[[#This Row],[Consequence (1-5)]]*tblAssets[[#This Row],[Likelihood (1-5)]],1)))</f>
        <v>5.8</v>
      </c>
      <c r="M23" s="39" t="str">
        <f>IF(tblAssets[[#This Row],[Asset ID]]="","",IF(tblAssets[[#This Row],[Criticality (1-25)]]="","",IF(OR(tblAssets[[#This Row],[Criticality (1-25)]]&gt;=ClassA,AND(SafetyRule="Yes",MAX(tblAssets[[#This Row],[Safety (1-5)]],tblAssets[[#This Row],[Environment (1-5)]])&gt;=5)),"A",IF(tblAssets[[#This Row],[Criticality (1-25)]]&gt;=ClassB,"B","C"))))</f>
        <v>C</v>
      </c>
      <c r="N23" s="40">
        <f>IF(tblAssets[[#This Row],[Asset ID]]="","",IF(tblAssets[[#This Row],[Criticality (1-25)]]="","",COUNTIF(tblAssets[Criticality (1-25)],"&gt;"&amp;tblAssets[[#This Row],[Criticality (1-25)]])+COUNTIFS(tblAssets[Criticality (1-25)],tblAssets[[#This Row],[Criticality (1-25)]],tblAssets[Asset ID],"&lt;"&amp;tblAssets[[#This Row],[Asset ID]])+1))</f>
        <v>22</v>
      </c>
      <c r="O23" s="29">
        <v>0.5</v>
      </c>
      <c r="P23" s="29">
        <v>10</v>
      </c>
      <c r="Q23" s="37">
        <v>4000</v>
      </c>
      <c r="R23" s="37">
        <v>6000</v>
      </c>
      <c r="S23" s="40">
        <f>IF(tblAssets[[#This Row],[Asset ID]]="","",IF(OR(tblAssets[[#This Row],[Hours per failure]]="",tblAssets[[#This Row],[Lost output per hour]]=""),"",tblAssets[[#This Row],[Hours per failure]]*tblAssets[[#This Row],[Lost output per hour]]+N(tblAssets[[#This Row],[Repair cost per failure]])))</f>
        <v>46000</v>
      </c>
      <c r="T23" s="40">
        <f>IF(tblAssets[[#This Row],[Asset ID]]="","",IF(OR(tblAssets[[#This Row],[Cost per failure]]="",tblAssets[[#This Row],[Failures per year]]=""),"",tblAssets[[#This Row],[Failures per year]]*tblAssets[[#This Row],[Cost per failure]]))</f>
        <v>23000</v>
      </c>
      <c r="U23"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3" s="28" t="s">
        <v>173</v>
      </c>
    </row>
    <row r="24" spans="2:22" x14ac:dyDescent="0.25">
      <c r="B24" s="28" t="s">
        <v>208</v>
      </c>
      <c r="C24" s="28" t="s">
        <v>209</v>
      </c>
      <c r="D24" s="28" t="s">
        <v>145</v>
      </c>
      <c r="E24" s="37">
        <v>5</v>
      </c>
      <c r="F24" s="37">
        <v>3</v>
      </c>
      <c r="G24" s="37">
        <v>1</v>
      </c>
      <c r="H24" s="37">
        <v>1</v>
      </c>
      <c r="I24" s="37">
        <v>3</v>
      </c>
      <c r="J24" s="37">
        <v>1</v>
      </c>
      <c r="K24"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2.8</v>
      </c>
      <c r="L24" s="38">
        <f>IF(tblAssets[[#This Row],[Asset ID]]="","",IF(OR(tblAssets[[#This Row],[Consequence (1-5)]]="",N(tblAssets[[#This Row],[Likelihood (1-5)]])=0),"",ROUND(tblAssets[[#This Row],[Consequence (1-5)]]*tblAssets[[#This Row],[Likelihood (1-5)]],1)))</f>
        <v>2.8</v>
      </c>
      <c r="M24" s="39" t="str">
        <f>IF(tblAssets[[#This Row],[Asset ID]]="","",IF(tblAssets[[#This Row],[Criticality (1-25)]]="","",IF(OR(tblAssets[[#This Row],[Criticality (1-25)]]&gt;=ClassA,AND(SafetyRule="Yes",MAX(tblAssets[[#This Row],[Safety (1-5)]],tblAssets[[#This Row],[Environment (1-5)]])&gt;=5)),"A",IF(tblAssets[[#This Row],[Criticality (1-25)]]&gt;=ClassB,"B","C"))))</f>
        <v>A</v>
      </c>
      <c r="N24" s="40">
        <f>IF(tblAssets[[#This Row],[Asset ID]]="","",IF(tblAssets[[#This Row],[Criticality (1-25)]]="","",COUNTIF(tblAssets[Criticality (1-25)],"&gt;"&amp;tblAssets[[#This Row],[Criticality (1-25)]])+COUNTIFS(tblAssets[Criticality (1-25)],tblAssets[[#This Row],[Criticality (1-25)]],tblAssets[Asset ID],"&lt;"&amp;tblAssets[[#This Row],[Asset ID]])+1))</f>
        <v>28</v>
      </c>
      <c r="O24" s="29">
        <v>0.1</v>
      </c>
      <c r="P24" s="29">
        <v>8</v>
      </c>
      <c r="Q24" s="37">
        <v>0</v>
      </c>
      <c r="R24" s="37">
        <v>4000</v>
      </c>
      <c r="S24" s="40">
        <f>IF(tblAssets[[#This Row],[Asset ID]]="","",IF(OR(tblAssets[[#This Row],[Hours per failure]]="",tblAssets[[#This Row],[Lost output per hour]]=""),"",tblAssets[[#This Row],[Hours per failure]]*tblAssets[[#This Row],[Lost output per hour]]+N(tblAssets[[#This Row],[Repair cost per failure]])))</f>
        <v>4000</v>
      </c>
      <c r="T24" s="40">
        <f>IF(tblAssets[[#This Row],[Asset ID]]="","",IF(OR(tblAssets[[#This Row],[Cost per failure]]="",tblAssets[[#This Row],[Failures per year]]=""),"",tblAssets[[#This Row],[Failures per year]]*tblAssets[[#This Row],[Cost per failure]]))</f>
        <v>400</v>
      </c>
      <c r="U24"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4" s="28" t="s">
        <v>184</v>
      </c>
    </row>
    <row r="25" spans="2:22" x14ac:dyDescent="0.25">
      <c r="B25" s="28" t="s">
        <v>210</v>
      </c>
      <c r="C25" s="28" t="s">
        <v>211</v>
      </c>
      <c r="D25" s="28" t="s">
        <v>145</v>
      </c>
      <c r="E25" s="37">
        <v>1</v>
      </c>
      <c r="F25" s="37">
        <v>4</v>
      </c>
      <c r="G25" s="37">
        <v>2</v>
      </c>
      <c r="H25" s="37">
        <v>1</v>
      </c>
      <c r="I25" s="37">
        <v>2</v>
      </c>
      <c r="J25" s="37">
        <v>3</v>
      </c>
      <c r="K25"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v>
      </c>
      <c r="L25" s="38">
        <f>IF(tblAssets[[#This Row],[Asset ID]]="","",IF(OR(tblAssets[[#This Row],[Consequence (1-5)]]="",N(tblAssets[[#This Row],[Likelihood (1-5)]])=0),"",ROUND(tblAssets[[#This Row],[Consequence (1-5)]]*tblAssets[[#This Row],[Likelihood (1-5)]],1)))</f>
        <v>6</v>
      </c>
      <c r="M25" s="39" t="str">
        <f>IF(tblAssets[[#This Row],[Asset ID]]="","",IF(tblAssets[[#This Row],[Criticality (1-25)]]="","",IF(OR(tblAssets[[#This Row],[Criticality (1-25)]]&gt;=ClassA,AND(SafetyRule="Yes",MAX(tblAssets[[#This Row],[Safety (1-5)]],tblAssets[[#This Row],[Environment (1-5)]])&gt;=5)),"A",IF(tblAssets[[#This Row],[Criticality (1-25)]]&gt;=ClassB,"B","C"))))</f>
        <v>B</v>
      </c>
      <c r="N25" s="40">
        <f>IF(tblAssets[[#This Row],[Asset ID]]="","",IF(tblAssets[[#This Row],[Criticality (1-25)]]="","",COUNTIF(tblAssets[Criticality (1-25)],"&gt;"&amp;tblAssets[[#This Row],[Criticality (1-25)]])+COUNTIFS(tblAssets[Criticality (1-25)],tblAssets[[#This Row],[Criticality (1-25)]],tblAssets[Asset ID],"&lt;"&amp;tblAssets[[#This Row],[Asset ID]])+1))</f>
        <v>21</v>
      </c>
      <c r="O25" s="29">
        <v>1.5</v>
      </c>
      <c r="P25" s="29">
        <v>6</v>
      </c>
      <c r="Q25" s="37">
        <v>0</v>
      </c>
      <c r="R25" s="37">
        <v>1500</v>
      </c>
      <c r="S25" s="40">
        <f>IF(tblAssets[[#This Row],[Asset ID]]="","",IF(OR(tblAssets[[#This Row],[Hours per failure]]="",tblAssets[[#This Row],[Lost output per hour]]=""),"",tblAssets[[#This Row],[Hours per failure]]*tblAssets[[#This Row],[Lost output per hour]]+N(tblAssets[[#This Row],[Repair cost per failure]])))</f>
        <v>1500</v>
      </c>
      <c r="T25" s="40">
        <f>IF(tblAssets[[#This Row],[Asset ID]]="","",IF(OR(tblAssets[[#This Row],[Cost per failure]]="",tblAssets[[#This Row],[Failures per year]]=""),"",tblAssets[[#This Row],[Failures per year]]*tblAssets[[#This Row],[Cost per failure]]))</f>
        <v>2250</v>
      </c>
      <c r="U25"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5" s="28" t="s">
        <v>173</v>
      </c>
    </row>
    <row r="26" spans="2:22" x14ac:dyDescent="0.25">
      <c r="B26" s="28" t="s">
        <v>212</v>
      </c>
      <c r="C26" s="28" t="s">
        <v>213</v>
      </c>
      <c r="D26" s="28" t="s">
        <v>147</v>
      </c>
      <c r="E26" s="37">
        <v>4</v>
      </c>
      <c r="F26" s="37">
        <v>5</v>
      </c>
      <c r="G26" s="37">
        <v>3</v>
      </c>
      <c r="H26" s="37">
        <v>1</v>
      </c>
      <c r="I26" s="37">
        <v>3</v>
      </c>
      <c r="J26" s="37">
        <v>2</v>
      </c>
      <c r="K26"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3.5</v>
      </c>
      <c r="L26" s="38">
        <f>IF(tblAssets[[#This Row],[Asset ID]]="","",IF(OR(tblAssets[[#This Row],[Consequence (1-5)]]="",N(tblAssets[[#This Row],[Likelihood (1-5)]])=0),"",ROUND(tblAssets[[#This Row],[Consequence (1-5)]]*tblAssets[[#This Row],[Likelihood (1-5)]],1)))</f>
        <v>7</v>
      </c>
      <c r="M26" s="39" t="str">
        <f>IF(tblAssets[[#This Row],[Asset ID]]="","",IF(tblAssets[[#This Row],[Criticality (1-25)]]="","",IF(OR(tblAssets[[#This Row],[Criticality (1-25)]]&gt;=ClassA,AND(SafetyRule="Yes",MAX(tblAssets[[#This Row],[Safety (1-5)]],tblAssets[[#This Row],[Environment (1-5)]])&gt;=5)),"A",IF(tblAssets[[#This Row],[Criticality (1-25)]]&gt;=ClassB,"B","C"))))</f>
        <v>A</v>
      </c>
      <c r="N26" s="40">
        <f>IF(tblAssets[[#This Row],[Asset ID]]="","",IF(tblAssets[[#This Row],[Criticality (1-25)]]="","",COUNTIF(tblAssets[Criticality (1-25)],"&gt;"&amp;tblAssets[[#This Row],[Criticality (1-25)]])+COUNTIFS(tblAssets[Criticality (1-25)],tblAssets[[#This Row],[Criticality (1-25)]],tblAssets[Asset ID],"&lt;"&amp;tblAssets[[#This Row],[Asset ID]])+1))</f>
        <v>17</v>
      </c>
      <c r="O26" s="29">
        <v>0.5</v>
      </c>
      <c r="P26" s="29">
        <v>12</v>
      </c>
      <c r="Q26" s="37">
        <v>2000</v>
      </c>
      <c r="R26" s="37">
        <v>5000</v>
      </c>
      <c r="S26" s="40">
        <f>IF(tblAssets[[#This Row],[Asset ID]]="","",IF(OR(tblAssets[[#This Row],[Hours per failure]]="",tblAssets[[#This Row],[Lost output per hour]]=""),"",tblAssets[[#This Row],[Hours per failure]]*tblAssets[[#This Row],[Lost output per hour]]+N(tblAssets[[#This Row],[Repair cost per failure]])))</f>
        <v>29000</v>
      </c>
      <c r="T26" s="40">
        <f>IF(tblAssets[[#This Row],[Asset ID]]="","",IF(OR(tblAssets[[#This Row],[Cost per failure]]="",tblAssets[[#This Row],[Failures per year]]=""),"",tblAssets[[#This Row],[Failures per year]]*tblAssets[[#This Row],[Cost per failure]]))</f>
        <v>14500</v>
      </c>
      <c r="U26"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6" s="28" t="s">
        <v>184</v>
      </c>
    </row>
    <row r="27" spans="2:22" x14ac:dyDescent="0.25">
      <c r="B27" s="28" t="s">
        <v>214</v>
      </c>
      <c r="C27" s="28" t="s">
        <v>215</v>
      </c>
      <c r="D27" s="28" t="s">
        <v>147</v>
      </c>
      <c r="E27" s="37">
        <v>3</v>
      </c>
      <c r="F27" s="37">
        <v>4</v>
      </c>
      <c r="G27" s="37">
        <v>3</v>
      </c>
      <c r="H27" s="37">
        <v>2</v>
      </c>
      <c r="I27" s="37">
        <v>2</v>
      </c>
      <c r="J27" s="37">
        <v>3</v>
      </c>
      <c r="K27"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3</v>
      </c>
      <c r="L27" s="38">
        <f>IF(tblAssets[[#This Row],[Asset ID]]="","",IF(OR(tblAssets[[#This Row],[Consequence (1-5)]]="",N(tblAssets[[#This Row],[Likelihood (1-5)]])=0),"",ROUND(tblAssets[[#This Row],[Consequence (1-5)]]*tblAssets[[#This Row],[Likelihood (1-5)]],1)))</f>
        <v>9</v>
      </c>
      <c r="M27" s="39" t="str">
        <f>IF(tblAssets[[#This Row],[Asset ID]]="","",IF(tblAssets[[#This Row],[Criticality (1-25)]]="","",IF(OR(tblAssets[[#This Row],[Criticality (1-25)]]&gt;=ClassA,AND(SafetyRule="Yes",MAX(tblAssets[[#This Row],[Safety (1-5)]],tblAssets[[#This Row],[Environment (1-5)]])&gt;=5)),"A",IF(tblAssets[[#This Row],[Criticality (1-25)]]&gt;=ClassB,"B","C"))))</f>
        <v>B</v>
      </c>
      <c r="N27" s="40">
        <f>IF(tblAssets[[#This Row],[Asset ID]]="","",IF(tblAssets[[#This Row],[Criticality (1-25)]]="","",COUNTIF(tblAssets[Criticality (1-25)],"&gt;"&amp;tblAssets[[#This Row],[Criticality (1-25)]])+COUNTIFS(tblAssets[Criticality (1-25)],tblAssets[[#This Row],[Criticality (1-25)]],tblAssets[Asset ID],"&lt;"&amp;tblAssets[[#This Row],[Asset ID]])+1))</f>
        <v>7</v>
      </c>
      <c r="O27" s="29">
        <v>2</v>
      </c>
      <c r="P27" s="29">
        <v>4</v>
      </c>
      <c r="Q27" s="37">
        <v>1500</v>
      </c>
      <c r="R27" s="37">
        <v>1500</v>
      </c>
      <c r="S27" s="40">
        <f>IF(tblAssets[[#This Row],[Asset ID]]="","",IF(OR(tblAssets[[#This Row],[Hours per failure]]="",tblAssets[[#This Row],[Lost output per hour]]=""),"",tblAssets[[#This Row],[Hours per failure]]*tblAssets[[#This Row],[Lost output per hour]]+N(tblAssets[[#This Row],[Repair cost per failure]])))</f>
        <v>7500</v>
      </c>
      <c r="T27" s="40">
        <f>IF(tblAssets[[#This Row],[Asset ID]]="","",IF(OR(tblAssets[[#This Row],[Cost per failure]]="",tblAssets[[#This Row],[Failures per year]]=""),"",tblAssets[[#This Row],[Failures per year]]*tblAssets[[#This Row],[Cost per failure]]))</f>
        <v>15000</v>
      </c>
      <c r="U27"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7" s="28" t="s">
        <v>173</v>
      </c>
    </row>
    <row r="28" spans="2:22" x14ac:dyDescent="0.25">
      <c r="B28" s="28" t="s">
        <v>216</v>
      </c>
      <c r="C28" s="28" t="s">
        <v>217</v>
      </c>
      <c r="D28" s="28" t="s">
        <v>147</v>
      </c>
      <c r="E28" s="37">
        <v>4</v>
      </c>
      <c r="F28" s="37">
        <v>4</v>
      </c>
      <c r="G28" s="37">
        <v>2</v>
      </c>
      <c r="H28" s="37">
        <v>2</v>
      </c>
      <c r="I28" s="37">
        <v>2</v>
      </c>
      <c r="J28" s="37">
        <v>2</v>
      </c>
      <c r="K28"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3</v>
      </c>
      <c r="L28" s="38">
        <f>IF(tblAssets[[#This Row],[Asset ID]]="","",IF(OR(tblAssets[[#This Row],[Consequence (1-5)]]="",N(tblAssets[[#This Row],[Likelihood (1-5)]])=0),"",ROUND(tblAssets[[#This Row],[Consequence (1-5)]]*tblAssets[[#This Row],[Likelihood (1-5)]],1)))</f>
        <v>6</v>
      </c>
      <c r="M28" s="39" t="str">
        <f>IF(tblAssets[[#This Row],[Asset ID]]="","",IF(tblAssets[[#This Row],[Criticality (1-25)]]="","",IF(OR(tblAssets[[#This Row],[Criticality (1-25)]]&gt;=ClassA,AND(SafetyRule="Yes",MAX(tblAssets[[#This Row],[Safety (1-5)]],tblAssets[[#This Row],[Environment (1-5)]])&gt;=5)),"A",IF(tblAssets[[#This Row],[Criticality (1-25)]]&gt;=ClassB,"B","C"))))</f>
        <v>B</v>
      </c>
      <c r="N28" s="40">
        <f>IF(tblAssets[[#This Row],[Asset ID]]="","",IF(tblAssets[[#This Row],[Criticality (1-25)]]="","",COUNTIF(tblAssets[Criticality (1-25)],"&gt;"&amp;tblAssets[[#This Row],[Criticality (1-25)]])+COUNTIFS(tblAssets[Criticality (1-25)],tblAssets[[#This Row],[Criticality (1-25)]],tblAssets[Asset ID],"&lt;"&amp;tblAssets[[#This Row],[Asset ID]])+1))</f>
        <v>20</v>
      </c>
      <c r="O28" s="29">
        <v>0.5</v>
      </c>
      <c r="P28" s="29">
        <v>3</v>
      </c>
      <c r="Q28" s="37">
        <v>500</v>
      </c>
      <c r="R28" s="37">
        <v>800</v>
      </c>
      <c r="S28" s="40">
        <f>IF(tblAssets[[#This Row],[Asset ID]]="","",IF(OR(tblAssets[[#This Row],[Hours per failure]]="",tblAssets[[#This Row],[Lost output per hour]]=""),"",tblAssets[[#This Row],[Hours per failure]]*tblAssets[[#This Row],[Lost output per hour]]+N(tblAssets[[#This Row],[Repair cost per failure]])))</f>
        <v>2300</v>
      </c>
      <c r="T28" s="40">
        <f>IF(tblAssets[[#This Row],[Asset ID]]="","",IF(OR(tblAssets[[#This Row],[Cost per failure]]="",tblAssets[[#This Row],[Failures per year]]=""),"",tblAssets[[#This Row],[Failures per year]]*tblAssets[[#This Row],[Cost per failure]]))</f>
        <v>1150</v>
      </c>
      <c r="U28"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8" s="28" t="s">
        <v>173</v>
      </c>
    </row>
    <row r="29" spans="2:22" x14ac:dyDescent="0.25">
      <c r="B29" s="28" t="s">
        <v>218</v>
      </c>
      <c r="C29" s="28" t="s">
        <v>219</v>
      </c>
      <c r="D29" s="28" t="s">
        <v>147</v>
      </c>
      <c r="E29" s="37">
        <v>3</v>
      </c>
      <c r="F29" s="37">
        <v>4</v>
      </c>
      <c r="G29" s="37">
        <v>2</v>
      </c>
      <c r="H29" s="37">
        <v>1</v>
      </c>
      <c r="I29" s="37">
        <v>2</v>
      </c>
      <c r="J29" s="37">
        <v>2</v>
      </c>
      <c r="K29"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2.6</v>
      </c>
      <c r="L29" s="38">
        <f>IF(tblAssets[[#This Row],[Asset ID]]="","",IF(OR(tblAssets[[#This Row],[Consequence (1-5)]]="",N(tblAssets[[#This Row],[Likelihood (1-5)]])=0),"",ROUND(tblAssets[[#This Row],[Consequence (1-5)]]*tblAssets[[#This Row],[Likelihood (1-5)]],1)))</f>
        <v>5.2</v>
      </c>
      <c r="M29" s="39" t="str">
        <f>IF(tblAssets[[#This Row],[Asset ID]]="","",IF(tblAssets[[#This Row],[Criticality (1-25)]]="","",IF(OR(tblAssets[[#This Row],[Criticality (1-25)]]&gt;=ClassA,AND(SafetyRule="Yes",MAX(tblAssets[[#This Row],[Safety (1-5)]],tblAssets[[#This Row],[Environment (1-5)]])&gt;=5)),"A",IF(tblAssets[[#This Row],[Criticality (1-25)]]&gt;=ClassB,"B","C"))))</f>
        <v>C</v>
      </c>
      <c r="N29" s="40">
        <f>IF(tblAssets[[#This Row],[Asset ID]]="","",IF(tblAssets[[#This Row],[Criticality (1-25)]]="","",COUNTIF(tblAssets[Criticality (1-25)],"&gt;"&amp;tblAssets[[#This Row],[Criticality (1-25)]])+COUNTIFS(tblAssets[Criticality (1-25)],tblAssets[[#This Row],[Criticality (1-25)]],tblAssets[Asset ID],"&lt;"&amp;tblAssets[[#This Row],[Asset ID]])+1))</f>
        <v>23</v>
      </c>
      <c r="O29" s="29">
        <v>0.5</v>
      </c>
      <c r="P29" s="29">
        <v>6</v>
      </c>
      <c r="Q29" s="37">
        <v>800</v>
      </c>
      <c r="R29" s="37">
        <v>2000</v>
      </c>
      <c r="S29" s="40">
        <f>IF(tblAssets[[#This Row],[Asset ID]]="","",IF(OR(tblAssets[[#This Row],[Hours per failure]]="",tblAssets[[#This Row],[Lost output per hour]]=""),"",tblAssets[[#This Row],[Hours per failure]]*tblAssets[[#This Row],[Lost output per hour]]+N(tblAssets[[#This Row],[Repair cost per failure]])))</f>
        <v>6800</v>
      </c>
      <c r="T29" s="40">
        <f>IF(tblAssets[[#This Row],[Asset ID]]="","",IF(OR(tblAssets[[#This Row],[Cost per failure]]="",tblAssets[[#This Row],[Failures per year]]=""),"",tblAssets[[#This Row],[Failures per year]]*tblAssets[[#This Row],[Cost per failure]]))</f>
        <v>3400</v>
      </c>
      <c r="U29"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29" s="28" t="s">
        <v>173</v>
      </c>
    </row>
    <row r="30" spans="2:22" x14ac:dyDescent="0.25">
      <c r="B30" s="28" t="s">
        <v>220</v>
      </c>
      <c r="C30" s="28" t="s">
        <v>221</v>
      </c>
      <c r="D30" s="28" t="s">
        <v>149</v>
      </c>
      <c r="E30" s="37">
        <v>2</v>
      </c>
      <c r="F30" s="37">
        <v>2</v>
      </c>
      <c r="G30" s="37">
        <v>3</v>
      </c>
      <c r="H30" s="37">
        <v>3</v>
      </c>
      <c r="I30" s="37">
        <v>3</v>
      </c>
      <c r="J30" s="37">
        <v>4</v>
      </c>
      <c r="K30"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2.5</v>
      </c>
      <c r="L30" s="38">
        <f>IF(tblAssets[[#This Row],[Asset ID]]="","",IF(OR(tblAssets[[#This Row],[Consequence (1-5)]]="",N(tblAssets[[#This Row],[Likelihood (1-5)]])=0),"",ROUND(tblAssets[[#This Row],[Consequence (1-5)]]*tblAssets[[#This Row],[Likelihood (1-5)]],1)))</f>
        <v>10</v>
      </c>
      <c r="M30" s="39" t="str">
        <f>IF(tblAssets[[#This Row],[Asset ID]]="","",IF(tblAssets[[#This Row],[Criticality (1-25)]]="","",IF(OR(tblAssets[[#This Row],[Criticality (1-25)]]&gt;=ClassA,AND(SafetyRule="Yes",MAX(tblAssets[[#This Row],[Safety (1-5)]],tblAssets[[#This Row],[Environment (1-5)]])&gt;=5)),"A",IF(tblAssets[[#This Row],[Criticality (1-25)]]&gt;=ClassB,"B","C"))))</f>
        <v>B</v>
      </c>
      <c r="N30" s="40">
        <f>IF(tblAssets[[#This Row],[Asset ID]]="","",IF(tblAssets[[#This Row],[Criticality (1-25)]]="","",COUNTIF(tblAssets[Criticality (1-25)],"&gt;"&amp;tblAssets[[#This Row],[Criticality (1-25)]])+COUNTIFS(tblAssets[Criticality (1-25)],tblAssets[[#This Row],[Criticality (1-25)]],tblAssets[Asset ID],"&lt;"&amp;tblAssets[[#This Row],[Asset ID]])+1))</f>
        <v>4</v>
      </c>
      <c r="O30" s="29">
        <v>5</v>
      </c>
      <c r="P30" s="29">
        <v>3</v>
      </c>
      <c r="Q30" s="37">
        <v>1800</v>
      </c>
      <c r="R30" s="37">
        <v>900</v>
      </c>
      <c r="S30" s="40">
        <f>IF(tblAssets[[#This Row],[Asset ID]]="","",IF(OR(tblAssets[[#This Row],[Hours per failure]]="",tblAssets[[#This Row],[Lost output per hour]]=""),"",tblAssets[[#This Row],[Hours per failure]]*tblAssets[[#This Row],[Lost output per hour]]+N(tblAssets[[#This Row],[Repair cost per failure]])))</f>
        <v>6300</v>
      </c>
      <c r="T30" s="40">
        <f>IF(tblAssets[[#This Row],[Asset ID]]="","",IF(OR(tblAssets[[#This Row],[Cost per failure]]="",tblAssets[[#This Row],[Failures per year]]=""),"",tblAssets[[#This Row],[Failures per year]]*tblAssets[[#This Row],[Cost per failure]]))</f>
        <v>31500</v>
      </c>
      <c r="U30"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30" s="28" t="s">
        <v>173</v>
      </c>
    </row>
    <row r="31" spans="2:22" x14ac:dyDescent="0.25">
      <c r="B31" s="28" t="s">
        <v>222</v>
      </c>
      <c r="C31" s="28" t="s">
        <v>223</v>
      </c>
      <c r="D31" s="28" t="s">
        <v>149</v>
      </c>
      <c r="E31" s="37">
        <v>2</v>
      </c>
      <c r="F31" s="37">
        <v>2</v>
      </c>
      <c r="G31" s="37">
        <v>2</v>
      </c>
      <c r="H31" s="37">
        <v>3</v>
      </c>
      <c r="I31" s="37">
        <v>2</v>
      </c>
      <c r="J31" s="37">
        <v>3</v>
      </c>
      <c r="K31"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2.1</v>
      </c>
      <c r="L31" s="38">
        <f>IF(tblAssets[[#This Row],[Asset ID]]="","",IF(OR(tblAssets[[#This Row],[Consequence (1-5)]]="",N(tblAssets[[#This Row],[Likelihood (1-5)]])=0),"",ROUND(tblAssets[[#This Row],[Consequence (1-5)]]*tblAssets[[#This Row],[Likelihood (1-5)]],1)))</f>
        <v>6.3</v>
      </c>
      <c r="M31" s="39" t="str">
        <f>IF(tblAssets[[#This Row],[Asset ID]]="","",IF(tblAssets[[#This Row],[Criticality (1-25)]]="","",IF(OR(tblAssets[[#This Row],[Criticality (1-25)]]&gt;=ClassA,AND(SafetyRule="Yes",MAX(tblAssets[[#This Row],[Safety (1-5)]],tblAssets[[#This Row],[Environment (1-5)]])&gt;=5)),"A",IF(tblAssets[[#This Row],[Criticality (1-25)]]&gt;=ClassB,"B","C"))))</f>
        <v>B</v>
      </c>
      <c r="N31" s="40">
        <f>IF(tblAssets[[#This Row],[Asset ID]]="","",IF(tblAssets[[#This Row],[Criticality (1-25)]]="","",COUNTIF(tblAssets[Criticality (1-25)],"&gt;"&amp;tblAssets[[#This Row],[Criticality (1-25)]])+COUNTIFS(tblAssets[Criticality (1-25)],tblAssets[[#This Row],[Criticality (1-25)]],tblAssets[Asset ID],"&lt;"&amp;tblAssets[[#This Row],[Asset ID]])+1))</f>
        <v>18</v>
      </c>
      <c r="O31" s="29">
        <v>2</v>
      </c>
      <c r="P31" s="29">
        <v>3</v>
      </c>
      <c r="Q31" s="37">
        <v>1200</v>
      </c>
      <c r="R31" s="37">
        <v>700</v>
      </c>
      <c r="S31" s="40">
        <f>IF(tblAssets[[#This Row],[Asset ID]]="","",IF(OR(tblAssets[[#This Row],[Hours per failure]]="",tblAssets[[#This Row],[Lost output per hour]]=""),"",tblAssets[[#This Row],[Hours per failure]]*tblAssets[[#This Row],[Lost output per hour]]+N(tblAssets[[#This Row],[Repair cost per failure]])))</f>
        <v>4300</v>
      </c>
      <c r="T31" s="40">
        <f>IF(tblAssets[[#This Row],[Asset ID]]="","",IF(OR(tblAssets[[#This Row],[Cost per failure]]="",tblAssets[[#This Row],[Failures per year]]=""),"",tblAssets[[#This Row],[Failures per year]]*tblAssets[[#This Row],[Cost per failure]]))</f>
        <v>8600</v>
      </c>
      <c r="U31"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31" s="28" t="s">
        <v>173</v>
      </c>
    </row>
    <row r="32" spans="2:22" x14ac:dyDescent="0.25">
      <c r="B32" s="28" t="s">
        <v>224</v>
      </c>
      <c r="C32" s="28" t="s">
        <v>225</v>
      </c>
      <c r="D32" s="28" t="s">
        <v>149</v>
      </c>
      <c r="E32" s="37">
        <v>1</v>
      </c>
      <c r="F32" s="37">
        <v>1</v>
      </c>
      <c r="G32" s="37">
        <v>2</v>
      </c>
      <c r="H32" s="37">
        <v>3</v>
      </c>
      <c r="I32" s="37">
        <v>1</v>
      </c>
      <c r="J32" s="37">
        <v>4</v>
      </c>
      <c r="K32"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1.5</v>
      </c>
      <c r="L32" s="38">
        <f>IF(tblAssets[[#This Row],[Asset ID]]="","",IF(OR(tblAssets[[#This Row],[Consequence (1-5)]]="",N(tblAssets[[#This Row],[Likelihood (1-5)]])=0),"",ROUND(tblAssets[[#This Row],[Consequence (1-5)]]*tblAssets[[#This Row],[Likelihood (1-5)]],1)))</f>
        <v>6</v>
      </c>
      <c r="M32" s="39" t="str">
        <f>IF(tblAssets[[#This Row],[Asset ID]]="","",IF(tblAssets[[#This Row],[Criticality (1-25)]]="","",IF(OR(tblAssets[[#This Row],[Criticality (1-25)]]&gt;=ClassA,AND(SafetyRule="Yes",MAX(tblAssets[[#This Row],[Safety (1-5)]],tblAssets[[#This Row],[Environment (1-5)]])&gt;=5)),"A",IF(tblAssets[[#This Row],[Criticality (1-25)]]&gt;=ClassB,"B","C"))))</f>
        <v>B</v>
      </c>
      <c r="N32" s="40">
        <f>IF(tblAssets[[#This Row],[Asset ID]]="","",IF(tblAssets[[#This Row],[Criticality (1-25)]]="","",COUNTIF(tblAssets[Criticality (1-25)],"&gt;"&amp;tblAssets[[#This Row],[Criticality (1-25)]])+COUNTIFS(tblAssets[Criticality (1-25)],tblAssets[[#This Row],[Criticality (1-25)]],tblAssets[Asset ID],"&lt;"&amp;tblAssets[[#This Row],[Asset ID]])+1))</f>
        <v>19</v>
      </c>
      <c r="O32" s="29">
        <v>6</v>
      </c>
      <c r="P32" s="29">
        <v>1</v>
      </c>
      <c r="Q32" s="37">
        <v>1800</v>
      </c>
      <c r="R32" s="37">
        <v>150</v>
      </c>
      <c r="S32" s="40">
        <f>IF(tblAssets[[#This Row],[Asset ID]]="","",IF(OR(tblAssets[[#This Row],[Hours per failure]]="",tblAssets[[#This Row],[Lost output per hour]]=""),"",tblAssets[[#This Row],[Hours per failure]]*tblAssets[[#This Row],[Lost output per hour]]+N(tblAssets[[#This Row],[Repair cost per failure]])))</f>
        <v>1950</v>
      </c>
      <c r="T32" s="40">
        <f>IF(tblAssets[[#This Row],[Asset ID]]="","",IF(OR(tblAssets[[#This Row],[Cost per failure]]="",tblAssets[[#This Row],[Failures per year]]=""),"",tblAssets[[#This Row],[Failures per year]]*tblAssets[[#This Row],[Cost per failure]]))</f>
        <v>11700</v>
      </c>
      <c r="U32"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32" s="28" t="s">
        <v>173</v>
      </c>
    </row>
    <row r="33" spans="2:22" x14ac:dyDescent="0.25">
      <c r="B33" s="28" t="s">
        <v>226</v>
      </c>
      <c r="C33" s="28" t="s">
        <v>227</v>
      </c>
      <c r="D33" s="28" t="s">
        <v>149</v>
      </c>
      <c r="E33" s="37">
        <v>1</v>
      </c>
      <c r="F33" s="37">
        <v>1</v>
      </c>
      <c r="G33" s="37">
        <v>2</v>
      </c>
      <c r="H33" s="37">
        <v>1</v>
      </c>
      <c r="I33" s="37">
        <v>1</v>
      </c>
      <c r="J33" s="37">
        <v>3</v>
      </c>
      <c r="K33"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1.3</v>
      </c>
      <c r="L33" s="38">
        <f>IF(tblAssets[[#This Row],[Asset ID]]="","",IF(OR(tblAssets[[#This Row],[Consequence (1-5)]]="",N(tblAssets[[#This Row],[Likelihood (1-5)]])=0),"",ROUND(tblAssets[[#This Row],[Consequence (1-5)]]*tblAssets[[#This Row],[Likelihood (1-5)]],1)))</f>
        <v>3.9</v>
      </c>
      <c r="M33" s="39" t="str">
        <f>IF(tblAssets[[#This Row],[Asset ID]]="","",IF(tblAssets[[#This Row],[Criticality (1-25)]]="","",IF(OR(tblAssets[[#This Row],[Criticality (1-25)]]&gt;=ClassA,AND(SafetyRule="Yes",MAX(tblAssets[[#This Row],[Safety (1-5)]],tblAssets[[#This Row],[Environment (1-5)]])&gt;=5)),"A",IF(tblAssets[[#This Row],[Criticality (1-25)]]&gt;=ClassB,"B","C"))))</f>
        <v>C</v>
      </c>
      <c r="N33" s="40">
        <f>IF(tblAssets[[#This Row],[Asset ID]]="","",IF(tblAssets[[#This Row],[Criticality (1-25)]]="","",COUNTIF(tblAssets[Criticality (1-25)],"&gt;"&amp;tblAssets[[#This Row],[Criticality (1-25)]])+COUNTIFS(tblAssets[Criticality (1-25)],tblAssets[[#This Row],[Criticality (1-25)]],tblAssets[Asset ID],"&lt;"&amp;tblAssets[[#This Row],[Asset ID]])+1))</f>
        <v>26</v>
      </c>
      <c r="O33" s="29">
        <v>2</v>
      </c>
      <c r="P33" s="29">
        <v>2</v>
      </c>
      <c r="Q33" s="37">
        <v>1800</v>
      </c>
      <c r="R33" s="37">
        <v>400</v>
      </c>
      <c r="S33" s="40">
        <f>IF(tblAssets[[#This Row],[Asset ID]]="","",IF(OR(tblAssets[[#This Row],[Hours per failure]]="",tblAssets[[#This Row],[Lost output per hour]]=""),"",tblAssets[[#This Row],[Hours per failure]]*tblAssets[[#This Row],[Lost output per hour]]+N(tblAssets[[#This Row],[Repair cost per failure]])))</f>
        <v>4000</v>
      </c>
      <c r="T33" s="40">
        <f>IF(tblAssets[[#This Row],[Asset ID]]="","",IF(OR(tblAssets[[#This Row],[Cost per failure]]="",tblAssets[[#This Row],[Failures per year]]=""),"",tblAssets[[#This Row],[Failures per year]]*tblAssets[[#This Row],[Cost per failure]]))</f>
        <v>8000</v>
      </c>
      <c r="U33"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33" s="28" t="s">
        <v>173</v>
      </c>
    </row>
    <row r="34" spans="2:22" x14ac:dyDescent="0.25">
      <c r="B34" s="28" t="s">
        <v>228</v>
      </c>
      <c r="C34" s="28" t="s">
        <v>229</v>
      </c>
      <c r="D34" s="28" t="s">
        <v>149</v>
      </c>
      <c r="E34" s="37">
        <v>3</v>
      </c>
      <c r="F34" s="37">
        <v>1</v>
      </c>
      <c r="G34" s="37">
        <v>1</v>
      </c>
      <c r="H34" s="37">
        <v>1</v>
      </c>
      <c r="I34" s="37">
        <v>2</v>
      </c>
      <c r="J34" s="37">
        <v>3</v>
      </c>
      <c r="K34"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1.7</v>
      </c>
      <c r="L34" s="38">
        <f>IF(tblAssets[[#This Row],[Asset ID]]="","",IF(OR(tblAssets[[#This Row],[Consequence (1-5)]]="",N(tblAssets[[#This Row],[Likelihood (1-5)]])=0),"",ROUND(tblAssets[[#This Row],[Consequence (1-5)]]*tblAssets[[#This Row],[Likelihood (1-5)]],1)))</f>
        <v>5.1</v>
      </c>
      <c r="M34" s="39" t="str">
        <f>IF(tblAssets[[#This Row],[Asset ID]]="","",IF(tblAssets[[#This Row],[Criticality (1-25)]]="","",IF(OR(tblAssets[[#This Row],[Criticality (1-25)]]&gt;=ClassA,AND(SafetyRule="Yes",MAX(tblAssets[[#This Row],[Safety (1-5)]],tblAssets[[#This Row],[Environment (1-5)]])&gt;=5)),"A",IF(tblAssets[[#This Row],[Criticality (1-25)]]&gt;=ClassB,"B","C"))))</f>
        <v>C</v>
      </c>
      <c r="N34" s="40">
        <f>IF(tblAssets[[#This Row],[Asset ID]]="","",IF(tblAssets[[#This Row],[Criticality (1-25)]]="","",COUNTIF(tblAssets[Criticality (1-25)],"&gt;"&amp;tblAssets[[#This Row],[Criticality (1-25)]])+COUNTIFS(tblAssets[Criticality (1-25)],tblAssets[[#This Row],[Criticality (1-25)]],tblAssets[Asset ID],"&lt;"&amp;tblAssets[[#This Row],[Asset ID]])+1))</f>
        <v>24</v>
      </c>
      <c r="O34" s="29">
        <v>2</v>
      </c>
      <c r="P34" s="29">
        <v>8</v>
      </c>
      <c r="Q34" s="37">
        <v>0</v>
      </c>
      <c r="R34" s="37">
        <v>1200</v>
      </c>
      <c r="S34" s="40">
        <f>IF(tblAssets[[#This Row],[Asset ID]]="","",IF(OR(tblAssets[[#This Row],[Hours per failure]]="",tblAssets[[#This Row],[Lost output per hour]]=""),"",tblAssets[[#This Row],[Hours per failure]]*tblAssets[[#This Row],[Lost output per hour]]+N(tblAssets[[#This Row],[Repair cost per failure]])))</f>
        <v>1200</v>
      </c>
      <c r="T34" s="40">
        <f>IF(tblAssets[[#This Row],[Asset ID]]="","",IF(OR(tblAssets[[#This Row],[Cost per failure]]="",tblAssets[[#This Row],[Failures per year]]=""),"",tblAssets[[#This Row],[Failures per year]]*tblAssets[[#This Row],[Cost per failure]]))</f>
        <v>2400</v>
      </c>
      <c r="U34"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34" s="28" t="s">
        <v>230</v>
      </c>
    </row>
    <row r="35" spans="2:22" x14ac:dyDescent="0.25">
      <c r="B35" s="28" t="s">
        <v>231</v>
      </c>
      <c r="C35" s="28" t="s">
        <v>232</v>
      </c>
      <c r="D35" s="28" t="s">
        <v>149</v>
      </c>
      <c r="E35" s="37">
        <v>1</v>
      </c>
      <c r="F35" s="37">
        <v>1</v>
      </c>
      <c r="G35" s="37">
        <v>2</v>
      </c>
      <c r="H35" s="37">
        <v>1</v>
      </c>
      <c r="I35" s="37">
        <v>2</v>
      </c>
      <c r="J35" s="37">
        <v>3</v>
      </c>
      <c r="K35" s="38">
        <f>IF(tblAssets[[#This Row],[Asset ID]]="","",IF(COUNT(tblAssets[[#This Row],[Safety (1-5)]],tblAssets[[#This Row],[Environment (1-5)]],tblAssets[[#This Row],[Production (1-5)]],tblAssets[[#This Row],[Quality (1-5)]],tblAssets[[#This Row],[Repair cost (1-5)]])&lt;5,"",IF(ConsMethod="Highest score",MAX(tblAssets[[#This Row],[Safety (1-5)]],tblAssets[[#This Row],[Environment (1-5)]],tblAssets[[#This Row],[Production (1-5)]],tblAssets[[#This Row],[Quality (1-5)]],tblAssets[[#This Row],[Repair cost (1-5)]]),IFERROR(ROUND((tblAssets[[#This Row],[Safety (1-5)]]*WSafety+tblAssets[[#This Row],[Environment (1-5)]]*WEnv+tblAssets[[#This Row],[Production (1-5)]]*WProd+tblAssets[[#This Row],[Quality (1-5)]]*WQual+tblAssets[[#This Row],[Repair cost (1-5)]]*WCost)/(WSafety+WEnv+WProd+WQual+WCost),1),""))))</f>
        <v>1.4</v>
      </c>
      <c r="L35" s="38">
        <f>IF(tblAssets[[#This Row],[Asset ID]]="","",IF(OR(tblAssets[[#This Row],[Consequence (1-5)]]="",N(tblAssets[[#This Row],[Likelihood (1-5)]])=0),"",ROUND(tblAssets[[#This Row],[Consequence (1-5)]]*tblAssets[[#This Row],[Likelihood (1-5)]],1)))</f>
        <v>4.2</v>
      </c>
      <c r="M35" s="39" t="str">
        <f>IF(tblAssets[[#This Row],[Asset ID]]="","",IF(tblAssets[[#This Row],[Criticality (1-25)]]="","",IF(OR(tblAssets[[#This Row],[Criticality (1-25)]]&gt;=ClassA,AND(SafetyRule="Yes",MAX(tblAssets[[#This Row],[Safety (1-5)]],tblAssets[[#This Row],[Environment (1-5)]])&gt;=5)),"A",IF(tblAssets[[#This Row],[Criticality (1-25)]]&gt;=ClassB,"B","C"))))</f>
        <v>C</v>
      </c>
      <c r="N35" s="40">
        <f>IF(tblAssets[[#This Row],[Asset ID]]="","",IF(tblAssets[[#This Row],[Criticality (1-25)]]="","",COUNTIF(tblAssets[Criticality (1-25)],"&gt;"&amp;tblAssets[[#This Row],[Criticality (1-25)]])+COUNTIFS(tblAssets[Criticality (1-25)],tblAssets[[#This Row],[Criticality (1-25)]],tblAssets[Asset ID],"&lt;"&amp;tblAssets[[#This Row],[Asset ID]])+1))</f>
        <v>25</v>
      </c>
      <c r="O35" s="29">
        <v>1.5</v>
      </c>
      <c r="P35" s="29">
        <v>3</v>
      </c>
      <c r="Q35" s="37">
        <v>600</v>
      </c>
      <c r="R35" s="37">
        <v>600</v>
      </c>
      <c r="S35" s="40">
        <f>IF(tblAssets[[#This Row],[Asset ID]]="","",IF(OR(tblAssets[[#This Row],[Hours per failure]]="",tblAssets[[#This Row],[Lost output per hour]]=""),"",tblAssets[[#This Row],[Hours per failure]]*tblAssets[[#This Row],[Lost output per hour]]+N(tblAssets[[#This Row],[Repair cost per failure]])))</f>
        <v>2400</v>
      </c>
      <c r="T35" s="40">
        <f>IF(tblAssets[[#This Row],[Asset ID]]="","",IF(OR(tblAssets[[#This Row],[Cost per failure]]="",tblAssets[[#This Row],[Failures per year]]=""),"",tblAssets[[#This Row],[Failures per year]]*tblAssets[[#This Row],[Cost per failure]]))</f>
        <v>3600</v>
      </c>
      <c r="U35" s="41" t="str">
        <f>IF(tblAssets[[#This Row],[Asset ID]]="","",IF(tblAssets[[#This Row],[Asset]]="","Missing asset",IF(tblAssets[[#This Row],[Area]]="","Missing area",IF(COUNT(tblAssets[[#This Row],[Safety (1-5)]],tblAssets[[#This Row],[Environment (1-5)]],tblAssets[[#This Row],[Production (1-5)]],tblAssets[[#This Row],[Quality (1-5)]],tblAssets[[#This Row],[Repair cost (1-5)]],tblAssets[[#This Row],[Likelihood (1-5)]])&lt;6,"Missing a score",IF(COUNTIF(tblAssets[Asset ID],tblAssets[[#This Row],[Asset ID]])&gt;1,"Duplicate asset ID",IF(OR(MAX(tblAssets[[#This Row],[Safety (1-5)]],tblAssets[[#This Row],[Environment (1-5)]],tblAssets[[#This Row],[Production (1-5)]],tblAssets[[#This Row],[Quality (1-5)]],tblAssets[[#This Row],[Repair cost (1-5)]],tblAssets[[#This Row],[Likelihood (1-5)]])&gt;5,MIN(tblAssets[[#This Row],[Safety (1-5)]],tblAssets[[#This Row],[Environment (1-5)]],tblAssets[[#This Row],[Production (1-5)]],tblAssets[[#This Row],[Quality (1-5)]],tblAssets[[#This Row],[Repair cost (1-5)]],tblAssets[[#This Row],[Likelihood (1-5)]])&lt;1),"Score outside 1 to 5",IF(AND(N(tblAssets[[#This Row],[Failures per year]])&gt;0,N(tblAssets[[#This Row],[Hours per failure]])=0),"Failures but no hours per failure","OK")))))))</f>
        <v>OK</v>
      </c>
      <c r="V35" s="28" t="s">
        <v>173</v>
      </c>
    </row>
  </sheetData>
  <mergeCells count="3">
    <mergeCell ref="A1:V1"/>
    <mergeCell ref="B2:U2"/>
    <mergeCell ref="B4:V4"/>
  </mergeCells>
  <conditionalFormatting sqref="L7:L535">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U7:U535">
    <cfRule type="expression" dxfId="3" priority="2">
      <formula>$U7="OK"</formula>
    </cfRule>
    <cfRule type="expression" dxfId="1" priority="3">
      <formula>AND($U7&lt;&gt;"",$U7&lt;&gt;"OK")</formula>
    </cfRule>
  </conditionalFormatting>
  <dataValidations count="14">
    <dataValidation type="textLength" allowBlank="1" showInputMessage="1" showErrorMessage="1" errorTitle="Check this entry" error="Text up to 30 characters." promptTitle="Asset ID" prompt="Your tag or asset number. Keep it unique; the rank uses it to order equal scores. Text up to 30 characters." sqref="B7:B535">
      <formula1>0</formula1>
      <formula2>30</formula2>
    </dataValidation>
    <dataValidation type="textLength" allowBlank="1" showInputMessage="1" showErrorMessage="1" errorTitle="Check this entry" error="Text up to 80 characters." promptTitle="Asset" prompt="Text up to 80 characters." sqref="C7:C535">
      <formula1>0</formula1>
      <formula2>80</formula2>
    </dataValidation>
    <dataValidation type="list" allowBlank="1" showInputMessage="1" showErrorMessage="1" errorTitle="Check this entry" error="Pick from the list (edit the list on Setup: Areas)." promptTitle="Area" prompt="Pick from the list (edit the list on Setup: Areas)." sqref="D7:D535">
      <formula1>Areas</formula1>
    </dataValidation>
    <dataValidation type="whole" allowBlank="1" showInputMessage="1" showErrorMessage="1" errorTitle="Check this entry" error="Enter a whole number from 1 to 5." promptTitle="Safety (1-5)" prompt="1 (least) to 5 (worst). The meaning of each score is on Setup. Enter a whole number from 1 to 5." sqref="E7:E535">
      <formula1>1</formula1>
      <formula2>5</formula2>
    </dataValidation>
    <dataValidation type="whole" allowBlank="1" showInputMessage="1" showErrorMessage="1" errorTitle="Check this entry" error="Enter a whole number from 1 to 5." promptTitle="Environment (1-5)" prompt="1 (least) to 5 (worst). The meaning of each score is on Setup. Enter a whole number from 1 to 5." sqref="F7:F535">
      <formula1>1</formula1>
      <formula2>5</formula2>
    </dataValidation>
    <dataValidation type="whole" allowBlank="1" showInputMessage="1" showErrorMessage="1" errorTitle="Check this entry" error="Enter a whole number from 1 to 5." promptTitle="Production (1-5)" prompt="1 (least) to 5 (worst). The meaning of each score is on Setup. Score with any standby in mind: a full standby lowers it. Enter a whole number from 1 to 5." sqref="G7:G535">
      <formula1>1</formula1>
      <formula2>5</formula2>
    </dataValidation>
    <dataValidation type="whole" allowBlank="1" showInputMessage="1" showErrorMessage="1" errorTitle="Check this entry" error="Enter a whole number from 1 to 5." promptTitle="Quality (1-5)" prompt="1 (least) to 5 (worst). The meaning of each score is on Setup. Enter a whole number from 1 to 5." sqref="H7:H535">
      <formula1>1</formula1>
      <formula2>5</formula2>
    </dataValidation>
    <dataValidation type="whole" allowBlank="1" showInputMessage="1" showErrorMessage="1" errorTitle="Check this entry" error="Enter a whole number from 1 to 5." promptTitle="Repair cost (1-5)" prompt="1 (least) to 5 (worst). The meaning of each score is on Setup. Enter a whole number from 1 to 5." sqref="I7:I535">
      <formula1>1</formula1>
      <formula2>5</formula2>
    </dataValidation>
    <dataValidation type="whole" allowBlank="1" showInputMessage="1" showErrorMessage="1" errorTitle="Check this entry" error="Enter a whole number from 1 to 5." promptTitle="Likelihood (1-5)" prompt="How often this asset fails in a way that has these consequences. 1 (rare) to 5 (often); bands on Setup. Enter a whole number from 1 to 5." sqref="J7:J535">
      <formula1>1</formula1>
      <formula2>5</formula2>
    </dataValidation>
    <dataValidation type="decimal" allowBlank="1" showInputMessage="1" showErrorMessage="1" errorTitle="Check this entry" error="Enter a number from 0 to 1,000." promptTitle="Failures per year" prompt="From the last few years of work orders, or your best estimate. 0.5 = once in two years. Enter a number from 0 to 1,000." sqref="O7:O535">
      <formula1>0</formula1>
      <formula2>1000</formula2>
    </dataValidation>
    <dataValidation type="decimal" allowBlank="1" showInputMessage="1" showErrorMessage="1" errorTitle="Check this entry" error="Enter a number from 0 to 10,000." promptTitle="Hours per failure" prompt="Hours of lost output per failure, from the stop to production back at rate (longer than the repair itself if the process needs restarting). Enter a number from 0 to 10,000." sqref="P7:P535">
      <formula1>0</formula1>
      <formula2>10000</formula2>
    </dataValidation>
    <dataValidation type="decimal" allowBlank="1" showInputMessage="1" showErrorMessage="1" errorTitle="Check this entry" error="Enter a number of at least 0." promptTitle="Lost output per hour" prompt="Margin or value of output lost per hour while this asset is down. 0 when a standby takes over. Enter a number of at least 0." sqref="Q7:Q535">
      <formula1>0</formula1>
      <formula2>1000000000.0</formula2>
    </dataValidation>
    <dataValidation type="decimal" allowBlank="1" showInputMessage="1" showErrorMessage="1" errorTitle="Check this entry" error="Enter a number of at least 0." promptTitle="Repair cost per failure" prompt="Parts, labour, contractors and any recovery cost for one failure. Enter a number of at least 0." sqref="R7:R535">
      <formula1>0</formula1>
      <formula2>1000000000.0</formula2>
    </dataValidation>
    <dataValidation type="textLength" allowBlank="1" showInputMessage="1" showErrorMessage="1" errorTitle="Check this entry" error="Text up to 255 characters." promptTitle="Notes" prompt="Text up to 255 characters." sqref="V7:V535">
      <formula1>0</formula1>
      <formula2>255</formula2>
    </dataValidation>
  </dataValidations>
  <hyperlinks>
    <hyperlink ref="V2" r:id="rId1" tooltip="Free manufacturing calculators and templates"/>
  </hyperlinks>
  <pageMargins left="0.4" right="0.4" top="0.7" bottom="0.65" header="0.3" footer="0.3"/>
  <pageSetup fitToHeight="0" orientation="landscape"/>
  <headerFooter>
    <oddHeader>&amp;L&amp;8MFG Calcs - Asset Criticality Ranking&amp;R&amp;8&amp;A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L7:L535</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3"/>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42" t="str">
        <f>SiteName&amp;": "&amp;COUNT(tblAssets[Criticality (1-25)])&amp;" of "&amp;COUNTA(tblAssets[Asset ID])&amp;" assets scored. Class A from a score of "&amp;ClassA&amp;", class B from "&amp;ClassB&amp;"; consequence by "&amp;LOWER(ConsMethod)&amp;". Money in "&amp;Currency&amp;"."</f>
        <v>Harbour Chemicals (example): 29 of 29 assets scored. Class A from a score of 12, class B from 6; consequence by weighted average. Money in EUR.</v>
      </c>
      <c r="C4" s="42"/>
      <c r="D4" s="42"/>
      <c r="E4" s="42"/>
      <c r="F4" s="42"/>
      <c r="G4" s="42"/>
      <c r="H4" s="42"/>
      <c r="I4" s="42"/>
      <c r="J4" s="42"/>
      <c r="K4" s="42"/>
      <c r="L4" s="42"/>
    </row>
    <row r="6" spans="1:12" ht="18" customHeight="1">
      <c r="B6" s="43" t="s">
        <v>233</v>
      </c>
      <c r="C6" s="43"/>
      <c r="D6" s="43" t="s">
        <v>234</v>
      </c>
      <c r="E6" s="43"/>
      <c r="F6" s="43"/>
      <c r="G6" s="43" t="s">
        <v>235</v>
      </c>
      <c r="H6" s="43"/>
      <c r="I6" s="43"/>
      <c r="J6" s="43" t="str">
        <f>"CLASS A DOWNTIME COST ("&amp;Currency&amp;"/YR)"</f>
        <v>CLASS A DOWNTIME COST (EUR/YR)</v>
      </c>
      <c r="K6" s="43"/>
      <c r="L6" s="43"/>
    </row>
    <row r="7" spans="1:12" ht="21" customHeight="1">
      <c r="B7" s="44">
        <f>COUNT(tblAssets[Criticality (1-25)])</f>
        <v>29</v>
      </c>
      <c r="C7" s="44"/>
      <c r="D7" s="44">
        <f>COUNTIFS(tblAssets[Class],"A")</f>
        <v>5</v>
      </c>
      <c r="E7" s="44"/>
      <c r="F7" s="44"/>
      <c r="G7" s="45" t="str">
        <f>IFERROR(INDEX(tblAssets[Asset],MATCH(1,tblAssets[Rank],0)),"None scored")</f>
        <v>Reactor R-201 agitator</v>
      </c>
      <c r="H7" s="45"/>
      <c r="I7" s="45"/>
      <c r="J7" s="44">
        <f>SUMIFS(tblAssets[Annual downtime cost],tblAssets[Class],"A")</f>
        <v>313100</v>
      </c>
      <c r="K7" s="44"/>
      <c r="L7" s="44"/>
    </row>
    <row r="8" spans="1:12" ht="21" customHeight="1">
      <c r="B8" s="44"/>
      <c r="C8" s="44"/>
      <c r="D8" s="44"/>
      <c r="E8" s="44"/>
      <c r="F8" s="44"/>
      <c r="G8" s="45"/>
      <c r="H8" s="45"/>
      <c r="I8" s="45"/>
      <c r="J8" s="44"/>
      <c r="K8" s="44"/>
      <c r="L8" s="44"/>
    </row>
    <row r="9" spans="1:12">
      <c r="B9" s="46" t="s">
        <v>236</v>
      </c>
      <c r="C9" s="46"/>
      <c r="D9" s="46" t="s">
        <v>237</v>
      </c>
      <c r="E9" s="46"/>
      <c r="F9" s="46"/>
      <c r="G9" s="46" t="s">
        <v>238</v>
      </c>
      <c r="H9" s="46"/>
      <c r="I9" s="46"/>
      <c r="J9" s="46" t="s">
        <v>239</v>
      </c>
      <c r="K9" s="46"/>
      <c r="L9" s="46"/>
    </row>
    <row r="10" spans="1:12" ht="18" customHeight="1">
      <c r="B10" s="47"/>
      <c r="C10" s="47"/>
      <c r="D10" s="47"/>
      <c r="E10" s="47"/>
      <c r="F10" s="47"/>
      <c r="G10" s="47"/>
      <c r="H10" s="47"/>
      <c r="I10" s="47"/>
      <c r="J10" s="47"/>
      <c r="K10" s="47"/>
      <c r="L10" s="47"/>
    </row>
    <row r="29" spans="2:12" ht="18" customHeight="1">
      <c r="B29" s="43" t="s">
        <v>240</v>
      </c>
      <c r="C29" s="43"/>
      <c r="D29" s="43" t="s">
        <v>241</v>
      </c>
      <c r="E29" s="43"/>
      <c r="F29" s="43"/>
      <c r="G29" s="43" t="str">
        <f>"DOWNTIME COST, ALL ("&amp;Currency&amp;"/YR)"</f>
        <v>DOWNTIME COST, ALL (EUR/YR)</v>
      </c>
      <c r="H29" s="43"/>
      <c r="I29" s="43"/>
      <c r="J29" s="43" t="s">
        <v>242</v>
      </c>
      <c r="K29" s="43"/>
      <c r="L29" s="43"/>
    </row>
    <row r="30" spans="2:12" ht="21" customHeight="1">
      <c r="B30" s="44">
        <f>COUNTIFS(tblAssets[Class],"B")</f>
        <v>18</v>
      </c>
      <c r="C30" s="44"/>
      <c r="D30" s="44">
        <f>COUNTIFS(tblAssets[Class],"C")</f>
        <v>6</v>
      </c>
      <c r="E30" s="44"/>
      <c r="F30" s="44"/>
      <c r="G30" s="44">
        <f>SUM(tblAssets[Annual downtime cost])</f>
        <v>1156700</v>
      </c>
      <c r="H30" s="44"/>
      <c r="I30" s="44"/>
      <c r="J30" s="44">
        <f>COUNTIFS(tblAssets[Check],"&lt;&gt;OK",tblAssets[Asset ID],"&lt;&gt;")</f>
        <v>0</v>
      </c>
      <c r="K30" s="44"/>
      <c r="L30" s="44"/>
    </row>
    <row r="31" spans="2:12" ht="21" customHeight="1">
      <c r="B31" s="44"/>
      <c r="C31" s="44"/>
      <c r="D31" s="44"/>
      <c r="E31" s="44"/>
      <c r="F31" s="44"/>
      <c r="G31" s="44"/>
      <c r="H31" s="44"/>
      <c r="I31" s="44"/>
      <c r="J31" s="44"/>
      <c r="K31" s="44"/>
      <c r="L31" s="44"/>
    </row>
    <row r="32" spans="2:12">
      <c r="B32" s="46" t="s">
        <v>243</v>
      </c>
      <c r="C32" s="46"/>
      <c r="D32" s="46" t="s">
        <v>244</v>
      </c>
      <c r="E32" s="46"/>
      <c r="F32" s="46"/>
      <c r="G32" s="46" t="s">
        <v>245</v>
      </c>
      <c r="H32" s="46"/>
      <c r="I32" s="46"/>
      <c r="J32" s="48">
        <f>0</f>
        <v>0</v>
      </c>
      <c r="K32" s="48"/>
      <c r="L32" s="48"/>
    </row>
    <row r="33" spans="2:12" ht="18" customHeight="1">
      <c r="B33" s="47"/>
      <c r="C33" s="47"/>
      <c r="D33" s="47"/>
      <c r="E33" s="47"/>
      <c r="F33" s="47"/>
      <c r="G33" s="47"/>
      <c r="H33" s="47"/>
      <c r="I33" s="47"/>
      <c r="J33" s="47" t="str">
        <f>IF(NOT(ISNUMBER(KpiFix)),"No data",IF(KpiFix&lt;=(0),"On target",IF(KpiFix&lt;=(0)*(1+0.05),"Near target","Above target")))</f>
        <v>On target</v>
      </c>
      <c r="K33" s="47"/>
      <c r="L33" s="47"/>
    </row>
    <row r="35" spans="2:12">
      <c r="B35" s="33" t="s">
        <v>246</v>
      </c>
      <c r="C35" s="33"/>
      <c r="D35" s="33"/>
      <c r="E35" s="33"/>
      <c r="F35" s="33"/>
      <c r="G35" s="33"/>
      <c r="I35" s="33" t="s">
        <v>247</v>
      </c>
      <c r="J35" s="33"/>
      <c r="K35" s="33"/>
      <c r="L35" s="33"/>
    </row>
    <row r="36" spans="2:12" ht="32" customHeight="1">
      <c r="B36" s="49" t="s">
        <v>248</v>
      </c>
      <c r="C36" s="34">
        <v>1</v>
      </c>
      <c r="D36" s="34">
        <v>2</v>
      </c>
      <c r="E36" s="34">
        <v>3</v>
      </c>
      <c r="F36" s="34">
        <v>4</v>
      </c>
      <c r="G36" s="34">
        <v>5</v>
      </c>
      <c r="I36" s="49" t="s">
        <v>68</v>
      </c>
      <c r="J36" s="34" t="s">
        <v>249</v>
      </c>
      <c r="K36" s="34" t="s">
        <v>250</v>
      </c>
      <c r="L36" s="34" t="s">
        <v>251</v>
      </c>
    </row>
    <row r="37" spans="2:12" ht="14" customHeight="1">
      <c r="B37" s="50">
        <v>5</v>
      </c>
      <c r="C37" s="51">
        <f>COUNTIFS(tblAssets[Likelihood (1-5)],$B$37,tblAssets[Consequence (1-5)],"&gt;="&amp;($C$36-0.5),tblAssets[Consequence (1-5)],"&lt;"&amp;($C$36+0.5))</f>
        <v>0</v>
      </c>
      <c r="D37" s="51">
        <f>COUNTIFS(tblAssets[Likelihood (1-5)],$B$37,tblAssets[Consequence (1-5)],"&gt;="&amp;($D$36-0.5),tblAssets[Consequence (1-5)],"&lt;"&amp;($D$36+0.5))</f>
        <v>0</v>
      </c>
      <c r="E37" s="51">
        <f>COUNTIFS(tblAssets[Likelihood (1-5)],$B$37,tblAssets[Consequence (1-5)],"&gt;="&amp;($E$36-0.5),tblAssets[Consequence (1-5)],"&lt;"&amp;($E$36+0.5))</f>
        <v>0</v>
      </c>
      <c r="F37" s="51">
        <f>COUNTIFS(tblAssets[Likelihood (1-5)],$B$37,tblAssets[Consequence (1-5)],"&gt;="&amp;($F$36-0.5),tblAssets[Consequence (1-5)],"&lt;"&amp;($F$36+0.5))</f>
        <v>0</v>
      </c>
      <c r="G37" s="51">
        <f>COUNTIFS(tblAssets[Likelihood (1-5)],$B$37,tblAssets[Consequence (1-5)],"&gt;="&amp;($G$36-0.5),tblAssets[Consequence (1-5)],"&lt;"&amp;($G$36+0.5))</f>
        <v>0</v>
      </c>
      <c r="I37" s="36"/>
      <c r="J37" s="36"/>
      <c r="K37" s="36" t="str">
        <f>Currency&amp;"/yr"</f>
        <v>EUR/yr</v>
      </c>
      <c r="L37" s="36"/>
    </row>
    <row r="38" spans="2:12">
      <c r="B38" s="50">
        <v>4</v>
      </c>
      <c r="C38" s="51">
        <f>COUNTIFS(tblAssets[Likelihood (1-5)],$B$38,tblAssets[Consequence (1-5)],"&gt;="&amp;($C$36-0.5),tblAssets[Consequence (1-5)],"&lt;"&amp;($C$36+0.5))</f>
        <v>0</v>
      </c>
      <c r="D38" s="51">
        <f>COUNTIFS(tblAssets[Likelihood (1-5)],$B$38,tblAssets[Consequence (1-5)],"&gt;="&amp;($D$36-0.5),tblAssets[Consequence (1-5)],"&lt;"&amp;($D$36+0.5))</f>
        <v>2</v>
      </c>
      <c r="E38" s="51">
        <f>COUNTIFS(tblAssets[Likelihood (1-5)],$B$38,tblAssets[Consequence (1-5)],"&gt;="&amp;($E$36-0.5),tblAssets[Consequence (1-5)],"&lt;"&amp;($E$36+0.5))</f>
        <v>4</v>
      </c>
      <c r="F38" s="51">
        <f>COUNTIFS(tblAssets[Likelihood (1-5)],$B$38,tblAssets[Consequence (1-5)],"&gt;="&amp;($F$36-0.5),tblAssets[Consequence (1-5)],"&lt;"&amp;($F$36+0.5))</f>
        <v>1</v>
      </c>
      <c r="G38" s="51">
        <f>COUNTIFS(tblAssets[Likelihood (1-5)],$B$38,tblAssets[Consequence (1-5)],"&gt;="&amp;($G$36-0.5),tblAssets[Consequence (1-5)],"&lt;"&amp;($G$36+0.5))</f>
        <v>0</v>
      </c>
      <c r="I38" s="50" t="s">
        <v>128</v>
      </c>
      <c r="J38" s="40">
        <f>COUNTIFS(tblAssets[Class],$I$38)</f>
        <v>5</v>
      </c>
      <c r="K38" s="40">
        <f>SUMIFS(tblAssets[Annual downtime cost],tblAssets[Class],$I$38)</f>
        <v>313100</v>
      </c>
      <c r="L38" s="31">
        <f>IF((SUM(tblAssets[Annual downtime cost]))=0,"",(SUMIFS(tblAssets[Annual downtime cost],tblAssets[Class],$I$38))/(SUM(tblAssets[Annual downtime cost])))</f>
        <v>0.270683841964209</v>
      </c>
    </row>
    <row r="39" spans="2:12">
      <c r="B39" s="50">
        <v>3</v>
      </c>
      <c r="C39" s="51">
        <f>COUNTIFS(tblAssets[Likelihood (1-5)],$B$39,tblAssets[Consequence (1-5)],"&gt;="&amp;($C$36-0.5),tblAssets[Consequence (1-5)],"&lt;"&amp;($C$36+0.5))</f>
        <v>2</v>
      </c>
      <c r="D39" s="51">
        <f>COUNTIFS(tblAssets[Likelihood (1-5)],$B$39,tblAssets[Consequence (1-5)],"&gt;="&amp;($D$36-0.5),tblAssets[Consequence (1-5)],"&lt;"&amp;($D$36+0.5))</f>
        <v>3</v>
      </c>
      <c r="E39" s="51">
        <f>COUNTIFS(tblAssets[Likelihood (1-5)],$B$39,tblAssets[Consequence (1-5)],"&gt;="&amp;($E$36-0.5),tblAssets[Consequence (1-5)],"&lt;"&amp;($E$36+0.5))</f>
        <v>6</v>
      </c>
      <c r="F39" s="51">
        <f>COUNTIFS(tblAssets[Likelihood (1-5)],$B$39,tblAssets[Consequence (1-5)],"&gt;="&amp;($F$36-0.5),tblAssets[Consequence (1-5)],"&lt;"&amp;($F$36+0.5))</f>
        <v>0</v>
      </c>
      <c r="G39" s="51">
        <f>COUNTIFS(tblAssets[Likelihood (1-5)],$B$39,tblAssets[Consequence (1-5)],"&gt;="&amp;($G$36-0.5),tblAssets[Consequence (1-5)],"&lt;"&amp;($G$36+0.5))</f>
        <v>0</v>
      </c>
      <c r="I39" s="50" t="s">
        <v>132</v>
      </c>
      <c r="J39" s="40">
        <f>COUNTIFS(tblAssets[Class],$I$39)</f>
        <v>18</v>
      </c>
      <c r="K39" s="40">
        <f>SUMIFS(tblAssets[Annual downtime cost],tblAssets[Class],$I$39)</f>
        <v>801200</v>
      </c>
      <c r="L39" s="31">
        <f>IF((SUM(tblAssets[Annual downtime cost]))=0,"",(SUMIFS(tblAssets[Annual downtime cost],tblAssets[Class],$I$39))/(SUM(tblAssets[Annual downtime cost])))</f>
        <v>0.692660153886055</v>
      </c>
    </row>
    <row r="40" spans="2:12">
      <c r="B40" s="50">
        <v>2</v>
      </c>
      <c r="C40" s="51">
        <f>COUNTIFS(tblAssets[Likelihood (1-5)],$B$40,tblAssets[Consequence (1-5)],"&gt;="&amp;($C$36-0.5),tblAssets[Consequence (1-5)],"&lt;"&amp;($C$36+0.5))</f>
        <v>1</v>
      </c>
      <c r="D40" s="51">
        <f>COUNTIFS(tblAssets[Likelihood (1-5)],$B$40,tblAssets[Consequence (1-5)],"&gt;="&amp;($D$36-0.5),tblAssets[Consequence (1-5)],"&lt;"&amp;($D$36+0.5))</f>
        <v>0</v>
      </c>
      <c r="E40" s="51">
        <f>COUNTIFS(tblAssets[Likelihood (1-5)],$B$40,tblAssets[Consequence (1-5)],"&gt;="&amp;($E$36-0.5),tblAssets[Consequence (1-5)],"&lt;"&amp;($E$36+0.5))</f>
        <v>3</v>
      </c>
      <c r="F40" s="51">
        <f>COUNTIFS(tblAssets[Likelihood (1-5)],$B$40,tblAssets[Consequence (1-5)],"&gt;="&amp;($F$36-0.5),tblAssets[Consequence (1-5)],"&lt;"&amp;($F$36+0.5))</f>
        <v>5</v>
      </c>
      <c r="G40" s="51">
        <f>COUNTIFS(tblAssets[Likelihood (1-5)],$B$40,tblAssets[Consequence (1-5)],"&gt;="&amp;($G$36-0.5),tblAssets[Consequence (1-5)],"&lt;"&amp;($G$36+0.5))</f>
        <v>0</v>
      </c>
      <c r="I40" s="50" t="s">
        <v>136</v>
      </c>
      <c r="J40" s="40">
        <f>COUNTIFS(tblAssets[Class],$I$40)</f>
        <v>6</v>
      </c>
      <c r="K40" s="40">
        <f>SUMIFS(tblAssets[Annual downtime cost],tblAssets[Class],$I$40)</f>
        <v>42400</v>
      </c>
      <c r="L40" s="31">
        <f>IF((SUM(tblAssets[Annual downtime cost]))=0,"",(SUMIFS(tblAssets[Annual downtime cost],tblAssets[Class],$I$40))/(SUM(tblAssets[Annual downtime cost])))</f>
        <v>0.0366560041497363</v>
      </c>
    </row>
    <row r="41" spans="2:12">
      <c r="B41" s="50">
        <v>1</v>
      </c>
      <c r="C41" s="51">
        <f>COUNTIFS(tblAssets[Likelihood (1-5)],$B$41,tblAssets[Consequence (1-5)],"&gt;="&amp;($C$36-0.5),tblAssets[Consequence (1-5)],"&lt;"&amp;($C$36+0.5))</f>
        <v>0</v>
      </c>
      <c r="D41" s="51">
        <f>COUNTIFS(tblAssets[Likelihood (1-5)],$B$41,tblAssets[Consequence (1-5)],"&gt;="&amp;($D$36-0.5),tblAssets[Consequence (1-5)],"&lt;"&amp;($D$36+0.5))</f>
        <v>0</v>
      </c>
      <c r="E41" s="51">
        <f>COUNTIFS(tblAssets[Likelihood (1-5)],$B$41,tblAssets[Consequence (1-5)],"&gt;="&amp;($E$36-0.5),tblAssets[Consequence (1-5)],"&lt;"&amp;($E$36+0.5))</f>
        <v>2</v>
      </c>
      <c r="F41" s="51">
        <f>COUNTIFS(tblAssets[Likelihood (1-5)],$B$41,tblAssets[Consequence (1-5)],"&gt;="&amp;($F$36-0.5),tblAssets[Consequence (1-5)],"&lt;"&amp;($F$36+0.5))</f>
        <v>0</v>
      </c>
      <c r="G41" s="51">
        <f>COUNTIFS(tblAssets[Likelihood (1-5)],$B$41,tblAssets[Consequence (1-5)],"&gt;="&amp;($G$36-0.5),tblAssets[Consequence (1-5)],"&lt;"&amp;($G$36+0.5))</f>
        <v>0</v>
      </c>
    </row>
    <row r="42" spans="2:12">
      <c r="B42" s="52" t="s">
        <v>252</v>
      </c>
      <c r="C42" s="53">
        <f>SUM($C$37:$C$41)</f>
        <v>3</v>
      </c>
      <c r="D42" s="53">
        <f>SUM($D$37:$D$41)</f>
        <v>5</v>
      </c>
      <c r="E42" s="53">
        <f>SUM($E$37:$E$41)</f>
        <v>15</v>
      </c>
      <c r="F42" s="53">
        <f>SUM($F$37:$F$41)</f>
        <v>6</v>
      </c>
      <c r="G42" s="53">
        <f>SUM($G$37:$G$41)</f>
        <v>0</v>
      </c>
    </row>
    <row r="44" spans="2:12">
      <c r="B44" s="33" t="s">
        <v>253</v>
      </c>
      <c r="C44" s="33"/>
      <c r="D44" s="33"/>
      <c r="E44" s="33"/>
      <c r="F44" s="33"/>
      <c r="G44" s="33"/>
      <c r="H44" s="33"/>
    </row>
    <row r="45" spans="2:12" ht="32" customHeight="1">
      <c r="B45" s="49" t="s">
        <v>72</v>
      </c>
      <c r="C45" s="34" t="s">
        <v>249</v>
      </c>
      <c r="D45" s="34" t="s">
        <v>254</v>
      </c>
      <c r="E45" s="34" t="s">
        <v>255</v>
      </c>
      <c r="F45" s="34" t="s">
        <v>256</v>
      </c>
      <c r="G45" s="34" t="s">
        <v>250</v>
      </c>
      <c r="H45" s="34" t="s">
        <v>251</v>
      </c>
    </row>
    <row r="46" spans="2:12" ht="14" customHeight="1">
      <c r="B46" s="36"/>
      <c r="C46" s="36"/>
      <c r="D46" s="36"/>
      <c r="E46" s="36"/>
      <c r="F46" s="36"/>
      <c r="G46" s="36" t="str">
        <f>Currency&amp;"/yr"</f>
        <v>EUR/yr</v>
      </c>
      <c r="H46" s="36"/>
    </row>
    <row r="47" spans="2:12">
      <c r="B47" s="50" t="str">
        <f>IFERROR(INDEX(tblAreas[Area],1)&amp;"","")</f>
        <v>Reaction</v>
      </c>
      <c r="C47" s="40">
        <f>IF($B$47="","",COUNTIFS(tblAssets[Area],$B$47,tblAssets[Criticality (1-25)],"&gt;0"))</f>
        <v>6</v>
      </c>
      <c r="D47" s="40">
        <f>IF($B$47="","",COUNTIFS(tblAssets[Area],$B$47,tblAssets[Class],"A"))</f>
        <v>2</v>
      </c>
      <c r="E47" s="40">
        <f>IF($B$47="","",COUNTIFS(tblAssets[Area],$B$47,tblAssets[Class],"B"))</f>
        <v>4</v>
      </c>
      <c r="F47" s="40">
        <f>IF($B$47="","",COUNTIFS(tblAssets[Area],$B$47,tblAssets[Class],"C"))</f>
        <v>0</v>
      </c>
      <c r="G47" s="40">
        <f>IF($B$47="","",SUMIFS(tblAssets[Annual downtime cost],tblAssets[Area],$B$47))</f>
        <v>444200</v>
      </c>
      <c r="H47" s="31">
        <f>IF($B$47="","",IF((SUM(tblAssets[Annual downtime cost]))=0,"",(SUMIFS(tblAssets[Annual downtime cost],tblAssets[Area],$B$47))/(SUM(tblAssets[Annual downtime cost]))))</f>
        <v>0.384023515172473</v>
      </c>
    </row>
    <row r="48" spans="2:12">
      <c r="B48" s="50" t="str">
        <f>IFERROR(INDEX(tblAreas[Area],2)&amp;"","")</f>
        <v>Separation</v>
      </c>
      <c r="C48" s="40">
        <f>IF($B$48="","",COUNTIFS(tblAssets[Area],$B$48,tblAssets[Criticality (1-25)],"&gt;0"))</f>
        <v>5</v>
      </c>
      <c r="D48" s="40">
        <f>IF($B$48="","",COUNTIFS(tblAssets[Area],$B$48,tblAssets[Class],"A"))</f>
        <v>1</v>
      </c>
      <c r="E48" s="40">
        <f>IF($B$48="","",COUNTIFS(tblAssets[Area],$B$48,tblAssets[Class],"B"))</f>
        <v>4</v>
      </c>
      <c r="F48" s="40">
        <f>IF($B$48="","",COUNTIFS(tblAssets[Area],$B$48,tblAssets[Class],"C"))</f>
        <v>0</v>
      </c>
      <c r="G48" s="40">
        <f>IF($B$48="","",SUMIFS(tblAssets[Annual downtime cost],tblAssets[Area],$B$48))</f>
        <v>339100</v>
      </c>
      <c r="H48" s="31">
        <f>IF($B$48="","",IF((SUM(tblAssets[Annual downtime cost]))=0,"",(SUMIFS(tblAssets[Annual downtime cost],tblAssets[Area],$B$48))/(SUM(tblAssets[Annual downtime cost]))))</f>
        <v>0.293161580357915</v>
      </c>
    </row>
    <row r="49" spans="2:12">
      <c r="B49" s="50" t="str">
        <f>IFERROR(INDEX(tblAreas[Area],3)&amp;"","")</f>
        <v>Utilities</v>
      </c>
      <c r="C49" s="40">
        <f>IF($B$49="","",COUNTIFS(tblAssets[Area],$B$49,tblAssets[Criticality (1-25)],"&gt;0"))</f>
        <v>8</v>
      </c>
      <c r="D49" s="40">
        <f>IF($B$49="","",COUNTIFS(tblAssets[Area],$B$49,tblAssets[Class],"A"))</f>
        <v>1</v>
      </c>
      <c r="E49" s="40">
        <f>IF($B$49="","",COUNTIFS(tblAssets[Area],$B$49,tblAssets[Class],"B"))</f>
        <v>5</v>
      </c>
      <c r="F49" s="40">
        <f>IF($B$49="","",COUNTIFS(tblAssets[Area],$B$49,tblAssets[Class],"C"))</f>
        <v>2</v>
      </c>
      <c r="G49" s="40">
        <f>IF($B$49="","",SUMIFS(tblAssets[Annual downtime cost],tblAssets[Area],$B$49))</f>
        <v>273550</v>
      </c>
      <c r="H49" s="31">
        <f>IF($B$49="","",IF((SUM(tblAssets[Annual downtime cost]))=0,"",(SUMIFS(tblAssets[Annual downtime cost],tblAssets[Area],$B$49))/(SUM(tblAssets[Annual downtime cost]))))</f>
        <v>0.236491743753782</v>
      </c>
    </row>
    <row r="50" spans="2:12">
      <c r="B50" s="50" t="str">
        <f>IFERROR(INDEX(tblAreas[Area],4)&amp;"","")</f>
        <v>Tank farm</v>
      </c>
      <c r="C50" s="40">
        <f>IF($B$50="","",COUNTIFS(tblAssets[Area],$B$50,tblAssets[Criticality (1-25)],"&gt;0"))</f>
        <v>4</v>
      </c>
      <c r="D50" s="40">
        <f>IF($B$50="","",COUNTIFS(tblAssets[Area],$B$50,tblAssets[Class],"A"))</f>
        <v>1</v>
      </c>
      <c r="E50" s="40">
        <f>IF($B$50="","",COUNTIFS(tblAssets[Area],$B$50,tblAssets[Class],"B"))</f>
        <v>2</v>
      </c>
      <c r="F50" s="40">
        <f>IF($B$50="","",COUNTIFS(tblAssets[Area],$B$50,tblAssets[Class],"C"))</f>
        <v>1</v>
      </c>
      <c r="G50" s="40">
        <f>IF($B$50="","",SUMIFS(tblAssets[Annual downtime cost],tblAssets[Area],$B$50))</f>
        <v>34050</v>
      </c>
      <c r="H50" s="31">
        <f>IF($B$50="","",IF((SUM(tblAssets[Annual downtime cost]))=0,"",(SUMIFS(tblAssets[Annual downtime cost],tblAssets[Area],$B$50))/(SUM(tblAssets[Annual downtime cost]))))</f>
        <v>0.0294371920117576</v>
      </c>
    </row>
    <row r="51" spans="2:12">
      <c r="B51" s="50" t="str">
        <f>IFERROR(INDEX(tblAreas[Area],5)&amp;"","")</f>
        <v>Packaging</v>
      </c>
      <c r="C51" s="40">
        <f>IF($B$51="","",COUNTIFS(tblAssets[Area],$B$51,tblAssets[Criticality (1-25)],"&gt;0"))</f>
        <v>6</v>
      </c>
      <c r="D51" s="40">
        <f>IF($B$51="","",COUNTIFS(tblAssets[Area],$B$51,tblAssets[Class],"A"))</f>
        <v>0</v>
      </c>
      <c r="E51" s="40">
        <f>IF($B$51="","",COUNTIFS(tblAssets[Area],$B$51,tblAssets[Class],"B"))</f>
        <v>3</v>
      </c>
      <c r="F51" s="40">
        <f>IF($B$51="","",COUNTIFS(tblAssets[Area],$B$51,tblAssets[Class],"C"))</f>
        <v>3</v>
      </c>
      <c r="G51" s="40">
        <f>IF($B$51="","",SUMIFS(tblAssets[Annual downtime cost],tblAssets[Area],$B$51))</f>
        <v>65800</v>
      </c>
      <c r="H51" s="31">
        <f>IF($B$51="","",IF((SUM(tblAssets[Annual downtime cost]))=0,"",(SUMIFS(tblAssets[Annual downtime cost],tblAssets[Area],$B$51))/(SUM(tblAssets[Annual downtime cost]))))</f>
        <v>0.0568859687040719</v>
      </c>
    </row>
    <row r="53" spans="2:12">
      <c r="B53" s="33" t="s">
        <v>257</v>
      </c>
      <c r="C53" s="33"/>
      <c r="D53" s="33"/>
      <c r="E53" s="33"/>
      <c r="F53" s="33"/>
      <c r="G53" s="33"/>
      <c r="H53" s="33"/>
      <c r="I53" s="33"/>
      <c r="J53" s="33"/>
      <c r="K53" s="33"/>
      <c r="L53" s="33"/>
    </row>
    <row r="54" spans="2:12" ht="32" customHeight="1">
      <c r="B54" s="49" t="s">
        <v>161</v>
      </c>
      <c r="C54" s="34" t="s">
        <v>151</v>
      </c>
      <c r="D54" s="34" t="s">
        <v>152</v>
      </c>
      <c r="E54" s="34"/>
      <c r="F54" s="34"/>
      <c r="G54" s="34" t="s">
        <v>72</v>
      </c>
      <c r="H54" s="34" t="s">
        <v>258</v>
      </c>
      <c r="I54" s="34" t="s">
        <v>121</v>
      </c>
      <c r="J54" s="34" t="s">
        <v>259</v>
      </c>
      <c r="K54" s="34" t="s">
        <v>68</v>
      </c>
      <c r="L54" s="34" t="s">
        <v>250</v>
      </c>
    </row>
    <row r="55" spans="2:12" ht="14" customHeight="1">
      <c r="B55" s="36"/>
      <c r="C55" s="36"/>
      <c r="D55" s="36"/>
      <c r="E55" s="36"/>
      <c r="F55" s="36"/>
      <c r="G55" s="36"/>
      <c r="H55" s="36"/>
      <c r="I55" s="36"/>
      <c r="J55" s="36"/>
      <c r="K55" s="36"/>
      <c r="L55" s="36" t="str">
        <f>Currency&amp;"/yr"</f>
        <v>EUR/yr</v>
      </c>
    </row>
    <row r="56" spans="2:12">
      <c r="B56" s="54">
        <v>1</v>
      </c>
      <c r="C56" s="32" t="str">
        <f>IFERROR(INDEX(tblAssets[Asset ID],MATCH($B$56,tblAssets[Rank],0)),"")</f>
        <v>R-201</v>
      </c>
      <c r="D56" s="32" t="str">
        <f>IF($C$56="","",INDEX(tblAssets[Asset],MATCH($B$56,tblAssets[Rank],0)))</f>
        <v>Reactor R-201 agitator</v>
      </c>
      <c r="E56" s="32"/>
      <c r="F56" s="32"/>
      <c r="G56" s="32" t="str">
        <f>IF($C$56="","",INDEX(tblAssets[Area],MATCH($B$56,tblAssets[Rank],0)))</f>
        <v>Reaction</v>
      </c>
      <c r="H56" s="38">
        <f>IF($C$56="","",INDEX(tblAssets[Consequence (1-5)],MATCH($B$56,tblAssets[Rank],0)))</f>
        <v>3.8</v>
      </c>
      <c r="I56" s="40">
        <f>IF($C$56="","",INDEX(tblAssets[Likelihood (1-5)],MATCH($B$56,tblAssets[Rank],0)))</f>
        <v>4</v>
      </c>
      <c r="J56" s="38">
        <f>IF($C$56="","",INDEX(tblAssets[Criticality (1-25)],MATCH($B$56,tblAssets[Rank],0)))</f>
        <v>15.2</v>
      </c>
      <c r="K56" s="32" t="str">
        <f>IF($C$56="","",INDEX(tblAssets[Class],MATCH($B$56,tblAssets[Rank],0)))</f>
        <v>A</v>
      </c>
      <c r="L56" s="40">
        <f>IF($C$56="","",INDEX(tblAssets[Annual downtime cost],MATCH($B$56,tblAssets[Rank],0)))</f>
        <v>153000</v>
      </c>
    </row>
    <row r="57" spans="2:12">
      <c r="B57" s="54">
        <v>2</v>
      </c>
      <c r="C57" s="32" t="str">
        <f>IFERROR(INDEX(tblAssets[Asset ID],MATCH($B$57,tblAssets[Rank],0)),"")</f>
        <v>CF-301</v>
      </c>
      <c r="D57" s="32" t="str">
        <f>IF($C$57="","",INDEX(tblAssets[Asset],MATCH($B$57,tblAssets[Rank],0)))</f>
        <v>Decanter centrifuge</v>
      </c>
      <c r="E57" s="32"/>
      <c r="F57" s="32"/>
      <c r="G57" s="32" t="str">
        <f>IF($C$57="","",INDEX(tblAssets[Area],MATCH($B$57,tblAssets[Rank],0)))</f>
        <v>Separation</v>
      </c>
      <c r="H57" s="38">
        <f>IF($C$57="","",INDEX(tblAssets[Consequence (1-5)],MATCH($B$57,tblAssets[Rank],0)))</f>
        <v>3.1</v>
      </c>
      <c r="I57" s="40">
        <f>IF($C$57="","",INDEX(tblAssets[Likelihood (1-5)],MATCH($B$57,tblAssets[Rank],0)))</f>
        <v>4</v>
      </c>
      <c r="J57" s="38">
        <f>IF($C$57="","",INDEX(tblAssets[Criticality (1-25)],MATCH($B$57,tblAssets[Rank],0)))</f>
        <v>12.4</v>
      </c>
      <c r="K57" s="32" t="str">
        <f>IF($C$57="","",INDEX(tblAssets[Class],MATCH($B$57,tblAssets[Rank],0)))</f>
        <v>A</v>
      </c>
      <c r="L57" s="40">
        <f>IF($C$57="","",INDEX(tblAssets[Annual downtime cost],MATCH($B$57,tblAssets[Rank],0)))</f>
        <v>145200</v>
      </c>
    </row>
    <row r="58" spans="2:12">
      <c r="B58" s="54">
        <v>3</v>
      </c>
      <c r="C58" s="32" t="str">
        <f>IFERROR(INDEX(tblAssets[Asset ID],MATCH($B$58,tblAssets[Rank],0)),"")</f>
        <v>P-215</v>
      </c>
      <c r="D58" s="32" t="str">
        <f>IF($C$58="","",INDEX(tblAssets[Asset],MATCH($B$58,tblAssets[Rank],0)))</f>
        <v>Reactor feed pump</v>
      </c>
      <c r="E58" s="32"/>
      <c r="F58" s="32"/>
      <c r="G58" s="32" t="str">
        <f>IF($C$58="","",INDEX(tblAssets[Area],MATCH($B$58,tblAssets[Rank],0)))</f>
        <v>Reaction</v>
      </c>
      <c r="H58" s="38">
        <f>IF($C$58="","",INDEX(tblAssets[Consequence (1-5)],MATCH($B$58,tblAssets[Rank],0)))</f>
        <v>2.9</v>
      </c>
      <c r="I58" s="40">
        <f>IF($C$58="","",INDEX(tblAssets[Likelihood (1-5)],MATCH($B$58,tblAssets[Rank],0)))</f>
        <v>4</v>
      </c>
      <c r="J58" s="38">
        <f>IF($C$58="","",INDEX(tblAssets[Criticality (1-25)],MATCH($B$58,tblAssets[Rank],0)))</f>
        <v>11.6</v>
      </c>
      <c r="K58" s="32" t="str">
        <f>IF($C$58="","",INDEX(tblAssets[Class],MATCH($B$58,tblAssets[Rank],0)))</f>
        <v>B</v>
      </c>
      <c r="L58" s="40">
        <f>IF($C$58="","",INDEX(tblAssets[Annual downtime cost],MATCH($B$58,tblAssets[Rank],0)))</f>
        <v>79200</v>
      </c>
    </row>
    <row r="59" spans="2:12">
      <c r="B59" s="54">
        <v>4</v>
      </c>
      <c r="C59" s="32" t="str">
        <f>IFERROR(INDEX(tblAssets[Asset ID],MATCH($B$59,tblAssets[Rank],0)),"")</f>
        <v>FL-601</v>
      </c>
      <c r="D59" s="32" t="str">
        <f>IF($C$59="","",INDEX(tblAssets[Asset],MATCH($B$59,tblAssets[Rank],0)))</f>
        <v>Drum filling line</v>
      </c>
      <c r="E59" s="32"/>
      <c r="F59" s="32"/>
      <c r="G59" s="32" t="str">
        <f>IF($C$59="","",INDEX(tblAssets[Area],MATCH($B$59,tblAssets[Rank],0)))</f>
        <v>Packaging</v>
      </c>
      <c r="H59" s="38">
        <f>IF($C$59="","",INDEX(tblAssets[Consequence (1-5)],MATCH($B$59,tblAssets[Rank],0)))</f>
        <v>2.5</v>
      </c>
      <c r="I59" s="40">
        <f>IF($C$59="","",INDEX(tblAssets[Likelihood (1-5)],MATCH($B$59,tblAssets[Rank],0)))</f>
        <v>4</v>
      </c>
      <c r="J59" s="38">
        <f>IF($C$59="","",INDEX(tblAssets[Criticality (1-25)],MATCH($B$59,tblAssets[Rank],0)))</f>
        <v>10</v>
      </c>
      <c r="K59" s="32" t="str">
        <f>IF($C$59="","",INDEX(tblAssets[Class],MATCH($B$59,tblAssets[Rank],0)))</f>
        <v>B</v>
      </c>
      <c r="L59" s="40">
        <f>IF($C$59="","",INDEX(tblAssets[Annual downtime cost],MATCH($B$59,tblAssets[Rank],0)))</f>
        <v>31500</v>
      </c>
    </row>
    <row r="60" spans="2:12">
      <c r="B60" s="54">
        <v>5</v>
      </c>
      <c r="C60" s="32" t="str">
        <f>IFERROR(INDEX(tblAssets[Asset ID],MATCH($B$60,tblAssets[Rank],0)),"")</f>
        <v>VP-311</v>
      </c>
      <c r="D60" s="32" t="str">
        <f>IF($C$60="","",INDEX(tblAssets[Asset],MATCH($B$60,tblAssets[Rank],0)))</f>
        <v>Dryer vacuum pump</v>
      </c>
      <c r="E60" s="32"/>
      <c r="F60" s="32"/>
      <c r="G60" s="32" t="str">
        <f>IF($C$60="","",INDEX(tblAssets[Area],MATCH($B$60,tblAssets[Rank],0)))</f>
        <v>Separation</v>
      </c>
      <c r="H60" s="38">
        <f>IF($C$60="","",INDEX(tblAssets[Consequence (1-5)],MATCH($B$60,tblAssets[Rank],0)))</f>
        <v>2.5</v>
      </c>
      <c r="I60" s="40">
        <f>IF($C$60="","",INDEX(tblAssets[Likelihood (1-5)],MATCH($B$60,tblAssets[Rank],0)))</f>
        <v>4</v>
      </c>
      <c r="J60" s="38">
        <f>IF($C$60="","",INDEX(tblAssets[Criticality (1-25)],MATCH($B$60,tblAssets[Rank],0)))</f>
        <v>10</v>
      </c>
      <c r="K60" s="32" t="str">
        <f>IF($C$60="","",INDEX(tblAssets[Class],MATCH($B$60,tblAssets[Rank],0)))</f>
        <v>B</v>
      </c>
      <c r="L60" s="40">
        <f>IF($C$60="","",INDEX(tblAssets[Annual downtime cost],MATCH($B$60,tblAssets[Rank],0)))</f>
        <v>49500</v>
      </c>
    </row>
    <row r="61" spans="2:12">
      <c r="B61" s="54">
        <v>6</v>
      </c>
      <c r="C61" s="32" t="str">
        <f>IFERROR(INDEX(tblAssets[Asset ID],MATCH($B$61,tblAssets[Rank],0)),"")</f>
        <v>D-310</v>
      </c>
      <c r="D61" s="32" t="str">
        <f>IF($C$61="","",INDEX(tblAssets[Asset],MATCH($B$61,tblAssets[Rank],0)))</f>
        <v>Vacuum dryer</v>
      </c>
      <c r="E61" s="32"/>
      <c r="F61" s="32"/>
      <c r="G61" s="32" t="str">
        <f>IF($C$61="","",INDEX(tblAssets[Area],MATCH($B$61,tblAssets[Rank],0)))</f>
        <v>Separation</v>
      </c>
      <c r="H61" s="38">
        <f>IF($C$61="","",INDEX(tblAssets[Consequence (1-5)],MATCH($B$61,tblAssets[Rank],0)))</f>
        <v>3</v>
      </c>
      <c r="I61" s="40">
        <f>IF($C$61="","",INDEX(tblAssets[Likelihood (1-5)],MATCH($B$61,tblAssets[Rank],0)))</f>
        <v>3</v>
      </c>
      <c r="J61" s="38">
        <f>IF($C$61="","",INDEX(tblAssets[Criticality (1-25)],MATCH($B$61,tblAssets[Rank],0)))</f>
        <v>9</v>
      </c>
      <c r="K61" s="32" t="str">
        <f>IF($C$61="","",INDEX(tblAssets[Class],MATCH($B$61,tblAssets[Rank],0)))</f>
        <v>B</v>
      </c>
      <c r="L61" s="40">
        <f>IF($C$61="","",INDEX(tblAssets[Annual downtime cost],MATCH($B$61,tblAssets[Rank],0)))</f>
        <v>67000</v>
      </c>
    </row>
    <row r="62" spans="2:12">
      <c r="B62" s="54">
        <v>7</v>
      </c>
      <c r="C62" s="32" t="str">
        <f>IFERROR(INDEX(tblAssets[Asset ID],MATCH($B$62,tblAssets[Rank],0)),"")</f>
        <v>P-510</v>
      </c>
      <c r="D62" s="32" t="str">
        <f>IF($C$62="","",INDEX(tblAssets[Asset],MATCH($B$62,tblAssets[Rank],0)))</f>
        <v>Solvent transfer pump</v>
      </c>
      <c r="E62" s="32"/>
      <c r="F62" s="32"/>
      <c r="G62" s="32" t="str">
        <f>IF($C$62="","",INDEX(tblAssets[Area],MATCH($B$62,tblAssets[Rank],0)))</f>
        <v>Tank farm</v>
      </c>
      <c r="H62" s="38">
        <f>IF($C$62="","",INDEX(tblAssets[Consequence (1-5)],MATCH($B$62,tblAssets[Rank],0)))</f>
        <v>3</v>
      </c>
      <c r="I62" s="40">
        <f>IF($C$62="","",INDEX(tblAssets[Likelihood (1-5)],MATCH($B$62,tblAssets[Rank],0)))</f>
        <v>3</v>
      </c>
      <c r="J62" s="38">
        <f>IF($C$62="","",INDEX(tblAssets[Criticality (1-25)],MATCH($B$62,tblAssets[Rank],0)))</f>
        <v>9</v>
      </c>
      <c r="K62" s="32" t="str">
        <f>IF($C$62="","",INDEX(tblAssets[Class],MATCH($B$62,tblAssets[Rank],0)))</f>
        <v>B</v>
      </c>
      <c r="L62" s="40">
        <f>IF($C$62="","",INDEX(tblAssets[Annual downtime cost],MATCH($B$62,tblAssets[Rank],0)))</f>
        <v>15000</v>
      </c>
    </row>
    <row r="63" spans="2:12">
      <c r="B63" s="54">
        <v>8</v>
      </c>
      <c r="C63" s="32" t="str">
        <f>IFERROR(INDEX(tblAssets[Asset ID],MATCH($B$63,tblAssets[Rank],0)),"")</f>
        <v>HX-210</v>
      </c>
      <c r="D63" s="32" t="str">
        <f>IF($C$63="","",INDEX(tblAssets[Asset],MATCH($B$63,tblAssets[Rank],0)))</f>
        <v>Reactor cooling exchanger</v>
      </c>
      <c r="E63" s="32"/>
      <c r="F63" s="32"/>
      <c r="G63" s="32" t="str">
        <f>IF($C$63="","",INDEX(tblAssets[Area],MATCH($B$63,tblAssets[Rank],0)))</f>
        <v>Reaction</v>
      </c>
      <c r="H63" s="38">
        <f>IF($C$63="","",INDEX(tblAssets[Consequence (1-5)],MATCH($B$63,tblAssets[Rank],0)))</f>
        <v>2.9</v>
      </c>
      <c r="I63" s="40">
        <f>IF($C$63="","",INDEX(tblAssets[Likelihood (1-5)],MATCH($B$63,tblAssets[Rank],0)))</f>
        <v>3</v>
      </c>
      <c r="J63" s="38">
        <f>IF($C$63="","",INDEX(tblAssets[Criticality (1-25)],MATCH($B$63,tblAssets[Rank],0)))</f>
        <v>8.7</v>
      </c>
      <c r="K63" s="32" t="str">
        <f>IF($C$63="","",INDEX(tblAssets[Class],MATCH($B$63,tblAssets[Rank],0)))</f>
        <v>B</v>
      </c>
      <c r="L63" s="40">
        <f>IF($C$63="","",INDEX(tblAssets[Annual downtime cost],MATCH($B$63,tblAssets[Rank],0)))</f>
        <v>81000</v>
      </c>
    </row>
    <row r="64" spans="2:12">
      <c r="B64" s="54">
        <v>9</v>
      </c>
      <c r="C64" s="32" t="str">
        <f>IFERROR(INDEX(tblAssets[Asset ID],MATCH($B$64,tblAssets[Rank],0)),"")</f>
        <v>AC-401</v>
      </c>
      <c r="D64" s="32" t="str">
        <f>IF($C$64="","",INDEX(tblAssets[Asset],MATCH($B$64,tblAssets[Rank],0)))</f>
        <v>Instrument air compressor</v>
      </c>
      <c r="E64" s="32"/>
      <c r="F64" s="32"/>
      <c r="G64" s="32" t="str">
        <f>IF($C$64="","",INDEX(tblAssets[Area],MATCH($B$64,tblAssets[Rank],0)))</f>
        <v>Utilities</v>
      </c>
      <c r="H64" s="38">
        <f>IF($C$64="","",INDEX(tblAssets[Consequence (1-5)],MATCH($B$64,tblAssets[Rank],0)))</f>
        <v>2.8</v>
      </c>
      <c r="I64" s="40">
        <f>IF($C$64="","",INDEX(tblAssets[Likelihood (1-5)],MATCH($B$64,tblAssets[Rank],0)))</f>
        <v>3</v>
      </c>
      <c r="J64" s="38">
        <f>IF($C$64="","",INDEX(tblAssets[Criticality (1-25)],MATCH($B$64,tblAssets[Rank],0)))</f>
        <v>8.4</v>
      </c>
      <c r="K64" s="32" t="str">
        <f>IF($C$64="","",INDEX(tblAssets[Class],MATCH($B$64,tblAssets[Rank],0)))</f>
        <v>B</v>
      </c>
      <c r="L64" s="40">
        <f>IF($C$64="","",INDEX(tblAssets[Annual downtime cost],MATCH($B$64,tblAssets[Rank],0)))</f>
        <v>79500</v>
      </c>
    </row>
    <row r="65" spans="2:12">
      <c r="B65" s="54">
        <v>10</v>
      </c>
      <c r="C65" s="32" t="str">
        <f>IFERROR(INDEX(tblAssets[Asset ID],MATCH($B$65,tblAssets[Rank],0)),"")</f>
        <v>CH-430</v>
      </c>
      <c r="D65" s="32" t="str">
        <f>IF($C$65="","",INDEX(tblAssets[Asset],MATCH($B$65,tblAssets[Rank],0)))</f>
        <v>Process chiller</v>
      </c>
      <c r="E65" s="32"/>
      <c r="F65" s="32"/>
      <c r="G65" s="32" t="str">
        <f>IF($C$65="","",INDEX(tblAssets[Area],MATCH($B$65,tblAssets[Rank],0)))</f>
        <v>Utilities</v>
      </c>
      <c r="H65" s="38">
        <f>IF($C$65="","",INDEX(tblAssets[Consequence (1-5)],MATCH($B$65,tblAssets[Rank],0)))</f>
        <v>2.8</v>
      </c>
      <c r="I65" s="40">
        <f>IF($C$65="","",INDEX(tblAssets[Likelihood (1-5)],MATCH($B$65,tblAssets[Rank],0)))</f>
        <v>3</v>
      </c>
      <c r="J65" s="38">
        <f>IF($C$65="","",INDEX(tblAssets[Criticality (1-25)],MATCH($B$65,tblAssets[Rank],0)))</f>
        <v>8.4</v>
      </c>
      <c r="K65" s="32" t="str">
        <f>IF($C$65="","",INDEX(tblAssets[Class],MATCH($B$65,tblAssets[Rank],0)))</f>
        <v>B</v>
      </c>
      <c r="L65" s="40">
        <f>IF($C$65="","",INDEX(tblAssets[Annual downtime cost],MATCH($B$65,tblAssets[Rank],0)))</f>
        <v>68000</v>
      </c>
    </row>
    <row r="66" spans="2:12">
      <c r="B66" s="54">
        <v>11</v>
      </c>
      <c r="C66" s="32" t="str">
        <f>IFERROR(INDEX(tblAssets[Asset ID],MATCH($B$66,tblAssets[Rank],0)),"")</f>
        <v>TO-220</v>
      </c>
      <c r="D66" s="32" t="str">
        <f>IF($C$66="","",INDEX(tblAssets[Asset],MATCH($B$66,tblAssets[Rank],0)))</f>
        <v>Thermal oil heater</v>
      </c>
      <c r="E66" s="32"/>
      <c r="F66" s="32"/>
      <c r="G66" s="32" t="str">
        <f>IF($C$66="","",INDEX(tblAssets[Area],MATCH($B$66,tblAssets[Rank],0)))</f>
        <v>Reaction</v>
      </c>
      <c r="H66" s="38">
        <f>IF($C$66="","",INDEX(tblAssets[Consequence (1-5)],MATCH($B$66,tblAssets[Rank],0)))</f>
        <v>4.1</v>
      </c>
      <c r="I66" s="40">
        <f>IF($C$66="","",INDEX(tblAssets[Likelihood (1-5)],MATCH($B$66,tblAssets[Rank],0)))</f>
        <v>2</v>
      </c>
      <c r="J66" s="38">
        <f>IF($C$66="","",INDEX(tblAssets[Criticality (1-25)],MATCH($B$66,tblAssets[Rank],0)))</f>
        <v>8.2</v>
      </c>
      <c r="K66" s="32" t="str">
        <f>IF($C$66="","",INDEX(tblAssets[Class],MATCH($B$66,tblAssets[Rank],0)))</f>
        <v>B</v>
      </c>
      <c r="L66" s="40">
        <f>IF($C$66="","",INDEX(tblAssets[Annual downtime cost],MATCH($B$66,tblAssets[Rank],0)))</f>
        <v>101000</v>
      </c>
    </row>
    <row r="67" spans="2:12">
      <c r="B67" s="54">
        <v>12</v>
      </c>
      <c r="C67" s="32" t="str">
        <f>IFERROR(INDEX(tblAssets[Asset ID],MATCH($B$67,tblAssets[Rank],0)),"")</f>
        <v>B-410</v>
      </c>
      <c r="D67" s="32" t="str">
        <f>IF($C$67="","",INDEX(tblAssets[Asset],MATCH($B$67,tblAssets[Rank],0)))</f>
        <v>Steam boiler</v>
      </c>
      <c r="E67" s="32"/>
      <c r="F67" s="32"/>
      <c r="G67" s="32" t="str">
        <f>IF($C$67="","",INDEX(tblAssets[Area],MATCH($B$67,tblAssets[Rank],0)))</f>
        <v>Utilities</v>
      </c>
      <c r="H67" s="38">
        <f>IF($C$67="","",INDEX(tblAssets[Consequence (1-5)],MATCH($B$67,tblAssets[Rank],0)))</f>
        <v>4</v>
      </c>
      <c r="I67" s="40">
        <f>IF($C$67="","",INDEX(tblAssets[Likelihood (1-5)],MATCH($B$67,tblAssets[Rank],0)))</f>
        <v>2</v>
      </c>
      <c r="J67" s="38">
        <f>IF($C$67="","",INDEX(tblAssets[Criticality (1-25)],MATCH($B$67,tblAssets[Rank],0)))</f>
        <v>8</v>
      </c>
      <c r="K67" s="32" t="str">
        <f>IF($C$67="","",INDEX(tblAssets[Class],MATCH($B$67,tblAssets[Rank],0)))</f>
        <v>B</v>
      </c>
      <c r="L67" s="40">
        <f>IF($C$67="","",INDEX(tblAssets[Annual downtime cost],MATCH($B$67,tblAssets[Rank],0)))</f>
        <v>69600</v>
      </c>
    </row>
    <row r="68" spans="2:12">
      <c r="B68" s="54">
        <v>13</v>
      </c>
      <c r="C68" s="32" t="str">
        <f>IFERROR(INDEX(tblAssets[Asset ID],MATCH($B$68,tblAssets[Rank],0)),"")</f>
        <v>R-202</v>
      </c>
      <c r="D68" s="32" t="str">
        <f>IF($C$68="","",INDEX(tblAssets[Asset],MATCH($B$68,tblAssets[Rank],0)))</f>
        <v>Reactor R-202 agitator</v>
      </c>
      <c r="E68" s="32"/>
      <c r="F68" s="32"/>
      <c r="G68" s="32" t="str">
        <f>IF($C$68="","",INDEX(tblAssets[Area],MATCH($B$68,tblAssets[Rank],0)))</f>
        <v>Reaction</v>
      </c>
      <c r="H68" s="38">
        <f>IF($C$68="","",INDEX(tblAssets[Consequence (1-5)],MATCH($B$68,tblAssets[Rank],0)))</f>
        <v>3.8</v>
      </c>
      <c r="I68" s="40">
        <f>IF($C$68="","",INDEX(tblAssets[Likelihood (1-5)],MATCH($B$68,tblAssets[Rank],0)))</f>
        <v>2</v>
      </c>
      <c r="J68" s="38">
        <f>IF($C$68="","",INDEX(tblAssets[Criticality (1-25)],MATCH($B$68,tblAssets[Rank],0)))</f>
        <v>7.6</v>
      </c>
      <c r="K68" s="32" t="str">
        <f>IF($C$68="","",INDEX(tblAssets[Class],MATCH($B$68,tblAssets[Rank],0)))</f>
        <v>B</v>
      </c>
      <c r="L68" s="40">
        <f>IF($C$68="","",INDEX(tblAssets[Annual downtime cost],MATCH($B$68,tblAssets[Rank],0)))</f>
        <v>30000</v>
      </c>
    </row>
    <row r="69" spans="2:12">
      <c r="B69" s="54">
        <v>14</v>
      </c>
      <c r="C69" s="32" t="str">
        <f>IFERROR(INDEX(tblAssets[Asset ID],MATCH($B$69,tblAssets[Rank],0)),"")</f>
        <v>FP-302</v>
      </c>
      <c r="D69" s="32" t="str">
        <f>IF($C$69="","",INDEX(tblAssets[Asset],MATCH($B$69,tblAssets[Rank],0)))</f>
        <v>Filter press</v>
      </c>
      <c r="E69" s="32"/>
      <c r="F69" s="32"/>
      <c r="G69" s="32" t="str">
        <f>IF($C$69="","",INDEX(tblAssets[Area],MATCH($B$69,tblAssets[Rank],0)))</f>
        <v>Separation</v>
      </c>
      <c r="H69" s="38">
        <f>IF($C$69="","",INDEX(tblAssets[Consequence (1-5)],MATCH($B$69,tblAssets[Rank],0)))</f>
        <v>2.5</v>
      </c>
      <c r="I69" s="40">
        <f>IF($C$69="","",INDEX(tblAssets[Likelihood (1-5)],MATCH($B$69,tblAssets[Rank],0)))</f>
        <v>3</v>
      </c>
      <c r="J69" s="38">
        <f>IF($C$69="","",INDEX(tblAssets[Criticality (1-25)],MATCH($B$69,tblAssets[Rank],0)))</f>
        <v>7.5</v>
      </c>
      <c r="K69" s="32" t="str">
        <f>IF($C$69="","",INDEX(tblAssets[Class],MATCH($B$69,tblAssets[Rank],0)))</f>
        <v>B</v>
      </c>
      <c r="L69" s="40">
        <f>IF($C$69="","",INDEX(tblAssets[Annual downtime cost],MATCH($B$69,tblAssets[Rank],0)))</f>
        <v>36200</v>
      </c>
    </row>
    <row r="70" spans="2:12">
      <c r="B70" s="54">
        <v>15</v>
      </c>
      <c r="C70" s="32" t="str">
        <f>IFERROR(INDEX(tblAssets[Asset ID],MATCH($B$70,tblAssets[Rank],0)),"")</f>
        <v>CT-420</v>
      </c>
      <c r="D70" s="32" t="str">
        <f>IF($C$70="","",INDEX(tblAssets[Asset],MATCH($B$70,tblAssets[Rank],0)))</f>
        <v>Cooling tower fan</v>
      </c>
      <c r="E70" s="32"/>
      <c r="F70" s="32"/>
      <c r="G70" s="32" t="str">
        <f>IF($C$70="","",INDEX(tblAssets[Area],MATCH($B$70,tblAssets[Rank],0)))</f>
        <v>Utilities</v>
      </c>
      <c r="H70" s="38">
        <f>IF($C$70="","",INDEX(tblAssets[Consequence (1-5)],MATCH($B$70,tblAssets[Rank],0)))</f>
        <v>1.8</v>
      </c>
      <c r="I70" s="40">
        <f>IF($C$70="","",INDEX(tblAssets[Likelihood (1-5)],MATCH($B$70,tblAssets[Rank],0)))</f>
        <v>4</v>
      </c>
      <c r="J70" s="38">
        <f>IF($C$70="","",INDEX(tblAssets[Criticality (1-25)],MATCH($B$70,tblAssets[Rank],0)))</f>
        <v>7.2</v>
      </c>
      <c r="K70" s="32" t="str">
        <f>IF($C$70="","",INDEX(tblAssets[Class],MATCH($B$70,tblAssets[Rank],0)))</f>
        <v>B</v>
      </c>
      <c r="L70" s="40">
        <f>IF($C$70="","",INDEX(tblAssets[Annual downtime cost],MATCH($B$70,tblAssets[Rank],0)))</f>
        <v>28800</v>
      </c>
    </row>
    <row r="71" spans="2:12" ht="8" customHeight="1"/>
    <row r="72" spans="2:12" ht="26.76" customHeight="1">
      <c r="B72" s="21" t="s">
        <v>260</v>
      </c>
      <c r="C72" s="21"/>
      <c r="D72" s="21"/>
      <c r="E72" s="21"/>
      <c r="F72" s="21"/>
      <c r="G72" s="21"/>
      <c r="H72" s="21"/>
      <c r="I72" s="21"/>
      <c r="J72" s="21"/>
      <c r="K72" s="21"/>
      <c r="L72" s="21"/>
    </row>
    <row r="73" spans="2:12">
      <c r="B73" s="55">
        <f>IF(COUNTA(tblAreas[Area])&gt;5,"The Areas list is longer than the By area block: some areas are not shown.","")</f>
        <v/>
      </c>
      <c r="C73" s="55"/>
      <c r="D73" s="55"/>
      <c r="E73" s="55"/>
      <c r="F73" s="55"/>
      <c r="G73" s="55"/>
      <c r="H73" s="55"/>
      <c r="I73" s="55"/>
      <c r="J73" s="55"/>
      <c r="K73" s="55"/>
      <c r="L73" s="55"/>
    </row>
  </sheetData>
  <sheetProtection sheet="1" formatColumns="0" formatRows="0"/>
  <mergeCells count="59">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G35"/>
    <mergeCell ref="I35:L35"/>
    <mergeCell ref="B44:H44"/>
    <mergeCell ref="B53:L53"/>
    <mergeCell ref="D54:F54"/>
    <mergeCell ref="D55:F55"/>
    <mergeCell ref="D56:F56"/>
    <mergeCell ref="D57:F57"/>
    <mergeCell ref="D58:F58"/>
    <mergeCell ref="D59:F59"/>
    <mergeCell ref="D60:F60"/>
    <mergeCell ref="D61:F61"/>
    <mergeCell ref="D62:F62"/>
    <mergeCell ref="D63:F63"/>
    <mergeCell ref="D64:F64"/>
    <mergeCell ref="D65:F65"/>
    <mergeCell ref="D66:F66"/>
    <mergeCell ref="D67:F67"/>
    <mergeCell ref="D68:F68"/>
    <mergeCell ref="D69:F69"/>
    <mergeCell ref="D70:F70"/>
    <mergeCell ref="B72:L72"/>
    <mergeCell ref="B73:L73"/>
  </mergeCells>
  <conditionalFormatting sqref="C37:G41">
    <cfRule type="expression" dxfId="2" priority="21" stopIfTrue="1">
      <formula>$B37*C$36&gt;=ClassA</formula>
    </cfRule>
    <cfRule type="expression" dxfId="1" priority="22" stopIfTrue="1">
      <formula>$B37*C$36&gt;=ClassB</formula>
    </cfRule>
    <cfRule type="expression" dxfId="0" priority="23">
      <formula>ISNUMBER($B37*C$36)</formula>
    </cfRule>
  </conditionalFormatting>
  <conditionalFormatting sqref="J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Asset Criticality Ranking&amp;R&amp;8&amp;A</oddHeader>
    <oddFooter>&amp;L&amp;8mfgcalcs.com - free manufacturing templates&amp;R&amp;8Page &amp;P of &amp;N</oddFooter>
  </headerFooter>
  <rowBreaks count="2" manualBreakCount="2">
    <brk id="28" max="16383" man="1"/>
    <brk id="52"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261</v>
      </c>
      <c r="C4" s="8"/>
      <c r="D4" s="8"/>
    </row>
    <row r="5" spans="1:4" ht="5" customHeight="1"/>
    <row r="6" spans="1:4" ht="55.8" customHeight="1">
      <c r="B6" s="10" t="s">
        <v>262</v>
      </c>
      <c r="C6" s="10"/>
      <c r="D6" s="10"/>
    </row>
    <row r="8" spans="1:4" ht="21" customHeight="1">
      <c r="B8" s="8" t="s">
        <v>263</v>
      </c>
      <c r="C8" s="8"/>
      <c r="D8" s="8"/>
    </row>
    <row r="9" spans="1:4" ht="5" customHeight="1"/>
    <row r="10" spans="1:4" ht="20" customHeight="1">
      <c r="B10" s="49" t="s">
        <v>264</v>
      </c>
      <c r="C10" s="49" t="s">
        <v>265</v>
      </c>
      <c r="D10" s="34" t="s">
        <v>266</v>
      </c>
    </row>
    <row r="11" spans="1:4" ht="43.6" customHeight="1">
      <c r="B11" s="56" t="s">
        <v>258</v>
      </c>
      <c r="C11" s="57" t="s">
        <v>267</v>
      </c>
      <c r="D11" s="58" t="s">
        <v>268</v>
      </c>
    </row>
    <row r="12" spans="1:4" ht="17.2" customHeight="1">
      <c r="B12" s="56" t="s">
        <v>269</v>
      </c>
      <c r="C12" s="57" t="s">
        <v>270</v>
      </c>
      <c r="D12" s="58" t="s">
        <v>271</v>
      </c>
    </row>
    <row r="13" spans="1:4" ht="43.6" customHeight="1">
      <c r="B13" s="56" t="s">
        <v>68</v>
      </c>
      <c r="C13" s="57" t="s">
        <v>272</v>
      </c>
      <c r="D13" s="58" t="s">
        <v>273</v>
      </c>
    </row>
    <row r="14" spans="1:4" ht="30.4" customHeight="1">
      <c r="B14" s="56" t="s">
        <v>161</v>
      </c>
      <c r="C14" s="57" t="s">
        <v>274</v>
      </c>
      <c r="D14" s="58" t="s">
        <v>273</v>
      </c>
    </row>
    <row r="15" spans="1:4" ht="17.2" customHeight="1">
      <c r="B15" s="56" t="s">
        <v>275</v>
      </c>
      <c r="C15" s="57" t="s">
        <v>276</v>
      </c>
      <c r="D15" s="58" t="s">
        <v>277</v>
      </c>
    </row>
    <row r="16" spans="1:4" ht="30.4" customHeight="1">
      <c r="B16" s="56" t="s">
        <v>278</v>
      </c>
      <c r="C16" s="57" t="s">
        <v>279</v>
      </c>
      <c r="D16" s="58" t="s">
        <v>280</v>
      </c>
    </row>
    <row r="17" spans="2:4" ht="17.2" customHeight="1">
      <c r="B17" s="56" t="s">
        <v>281</v>
      </c>
      <c r="C17" s="57" t="s">
        <v>282</v>
      </c>
      <c r="D17" s="58" t="s">
        <v>273</v>
      </c>
    </row>
    <row r="18" spans="2:4" ht="43.6" customHeight="1">
      <c r="B18" s="56" t="s">
        <v>283</v>
      </c>
      <c r="C18" s="57" t="s">
        <v>284</v>
      </c>
      <c r="D18" s="58" t="s">
        <v>285</v>
      </c>
    </row>
    <row r="19" spans="2:4" ht="30.4" customHeight="1">
      <c r="B19" s="56" t="s">
        <v>286</v>
      </c>
      <c r="C19" s="57" t="s">
        <v>287</v>
      </c>
      <c r="D19" s="58" t="s">
        <v>273</v>
      </c>
    </row>
    <row r="21" spans="2:4" ht="21" customHeight="1">
      <c r="B21" s="8" t="s">
        <v>288</v>
      </c>
      <c r="C21" s="8"/>
      <c r="D21" s="8"/>
    </row>
    <row r="22" spans="2:4" ht="5" customHeight="1"/>
    <row r="23" spans="2:4" ht="16.2" customHeight="1">
      <c r="B23" s="26" t="s">
        <v>55</v>
      </c>
      <c r="C23" s="10" t="s">
        <v>289</v>
      </c>
      <c r="D23" s="10"/>
    </row>
    <row r="24" spans="2:4" ht="29.4" customHeight="1">
      <c r="B24" s="26" t="s">
        <v>55</v>
      </c>
      <c r="C24" s="10" t="s">
        <v>290</v>
      </c>
      <c r="D24" s="10"/>
    </row>
    <row r="25" spans="2:4" ht="16.2" customHeight="1">
      <c r="B25" s="26" t="s">
        <v>55</v>
      </c>
      <c r="C25" s="10" t="s">
        <v>291</v>
      </c>
      <c r="D25" s="10"/>
    </row>
    <row r="26" spans="2:4" ht="29.4" customHeight="1">
      <c r="B26" s="26" t="s">
        <v>55</v>
      </c>
      <c r="C26" s="10" t="s">
        <v>292</v>
      </c>
      <c r="D26" s="10"/>
    </row>
    <row r="28" spans="2:4" ht="21" customHeight="1">
      <c r="B28" s="8" t="s">
        <v>293</v>
      </c>
      <c r="C28" s="8"/>
      <c r="D28" s="8"/>
    </row>
    <row r="29" spans="2:4" ht="5" customHeight="1"/>
    <row r="30" spans="2:4" ht="29.4" customHeight="1">
      <c r="B30" s="26" t="s">
        <v>55</v>
      </c>
      <c r="C30" s="10" t="s">
        <v>294</v>
      </c>
      <c r="D30" s="10"/>
    </row>
    <row r="31" spans="2:4" ht="29.4" customHeight="1">
      <c r="B31" s="26" t="s">
        <v>55</v>
      </c>
      <c r="C31" s="10" t="s">
        <v>295</v>
      </c>
      <c r="D31" s="10"/>
    </row>
    <row r="32" spans="2:4" ht="29.4" customHeight="1">
      <c r="B32" s="26" t="s">
        <v>55</v>
      </c>
      <c r="C32" s="10" t="s">
        <v>296</v>
      </c>
      <c r="D32" s="10"/>
    </row>
    <row r="33" spans="2:4" ht="29.4" customHeight="1">
      <c r="B33" s="26" t="s">
        <v>55</v>
      </c>
      <c r="C33" s="10" t="s">
        <v>297</v>
      </c>
      <c r="D33" s="10"/>
    </row>
    <row r="34" spans="2:4" ht="29.4" customHeight="1">
      <c r="B34" s="26" t="s">
        <v>55</v>
      </c>
      <c r="C34" s="10" t="s">
        <v>298</v>
      </c>
      <c r="D34" s="10"/>
    </row>
    <row r="36" spans="2:4" ht="21" customHeight="1">
      <c r="B36" s="8" t="s">
        <v>299</v>
      </c>
      <c r="C36" s="8"/>
      <c r="D36" s="8"/>
    </row>
    <row r="37" spans="2:4" ht="5" customHeight="1"/>
    <row r="38" spans="2:4" ht="69" customHeight="1">
      <c r="B38" s="10" t="s">
        <v>300</v>
      </c>
      <c r="C38" s="10"/>
      <c r="D38" s="10"/>
    </row>
    <row r="39" spans="2:4">
      <c r="B39" s="24" t="s">
        <v>301</v>
      </c>
      <c r="C39" s="24"/>
      <c r="D39" s="24"/>
    </row>
    <row r="41" spans="2:4" ht="21" customHeight="1">
      <c r="B41" s="8" t="s">
        <v>42</v>
      </c>
      <c r="C41" s="8"/>
      <c r="D41" s="8"/>
    </row>
    <row r="42" spans="2:4" ht="5" customHeight="1"/>
    <row r="43" spans="2:4" ht="42.6" customHeight="1">
      <c r="B43" s="10" t="s">
        <v>302</v>
      </c>
      <c r="C43" s="10"/>
      <c r="D43" s="10"/>
    </row>
    <row r="45" spans="2:4" ht="21" customHeight="1">
      <c r="B45" s="8" t="s">
        <v>303</v>
      </c>
      <c r="C45" s="8"/>
      <c r="D45" s="8"/>
    </row>
    <row r="46" spans="2:4" ht="5" customHeight="1"/>
    <row r="47" spans="2:4" ht="29.4" customHeight="1">
      <c r="B47" s="26" t="s">
        <v>55</v>
      </c>
      <c r="C47" s="10" t="s">
        <v>304</v>
      </c>
      <c r="D47" s="10"/>
    </row>
    <row r="48" spans="2:4" ht="29.4" customHeight="1">
      <c r="B48" s="26" t="s">
        <v>55</v>
      </c>
      <c r="C48" s="10" t="s">
        <v>305</v>
      </c>
      <c r="D48" s="10"/>
    </row>
    <row r="49" spans="2:4" ht="16.2" customHeight="1">
      <c r="B49" s="26" t="s">
        <v>55</v>
      </c>
      <c r="C49" s="10" t="s">
        <v>306</v>
      </c>
      <c r="D49" s="10"/>
    </row>
    <row r="50" spans="2:4" ht="29.4" customHeight="1">
      <c r="B50" s="26" t="s">
        <v>55</v>
      </c>
      <c r="C50" s="10" t="s">
        <v>307</v>
      </c>
      <c r="D50" s="10"/>
    </row>
    <row r="51" spans="2:4" ht="29.4" customHeight="1">
      <c r="B51" s="26" t="s">
        <v>55</v>
      </c>
      <c r="C51" s="10" t="s">
        <v>308</v>
      </c>
      <c r="D51" s="10"/>
    </row>
    <row r="52" spans="2:4">
      <c r="B52" s="21" t="s">
        <v>309</v>
      </c>
      <c r="C52" s="21"/>
      <c r="D52" s="21"/>
    </row>
    <row r="54" spans="2:4" ht="21" customHeight="1">
      <c r="B54" s="8" t="s">
        <v>310</v>
      </c>
      <c r="C54" s="8"/>
      <c r="D54" s="8"/>
    </row>
    <row r="55" spans="2:4" ht="5" customHeight="1"/>
    <row r="56" spans="2:4">
      <c r="B56" s="49" t="s">
        <v>50</v>
      </c>
      <c r="C56" s="49" t="s">
        <v>311</v>
      </c>
      <c r="D56" s="34" t="s">
        <v>312</v>
      </c>
    </row>
    <row r="57" spans="2:4" ht="16.2" customHeight="1">
      <c r="B57" s="59" t="s">
        <v>313</v>
      </c>
      <c r="C57" s="60" t="s">
        <v>314</v>
      </c>
      <c r="D57" s="61" t="s">
        <v>315</v>
      </c>
    </row>
    <row r="59" spans="2:4">
      <c r="B59" s="21" t="s">
        <v>61</v>
      </c>
      <c r="C59" s="21"/>
      <c r="D59" s="21"/>
    </row>
  </sheetData>
  <sheetProtection sheet="1" formatColumns="0" formatRows="0"/>
  <mergeCells count="30">
    <mergeCell ref="A1:D1"/>
    <mergeCell ref="B2:C2"/>
    <mergeCell ref="B4:D4"/>
    <mergeCell ref="B6:D6"/>
    <mergeCell ref="B8:D8"/>
    <mergeCell ref="B21:D21"/>
    <mergeCell ref="C23:D23"/>
    <mergeCell ref="C24:D24"/>
    <mergeCell ref="C25:D25"/>
    <mergeCell ref="C26:D26"/>
    <mergeCell ref="B28:D28"/>
    <mergeCell ref="C30:D30"/>
    <mergeCell ref="C31:D31"/>
    <mergeCell ref="C32:D32"/>
    <mergeCell ref="C33:D33"/>
    <mergeCell ref="C34:D34"/>
    <mergeCell ref="B36:D36"/>
    <mergeCell ref="B38:D38"/>
    <mergeCell ref="B39:D39"/>
    <mergeCell ref="B41:D41"/>
    <mergeCell ref="B43:D43"/>
    <mergeCell ref="B45:D45"/>
    <mergeCell ref="C47:D47"/>
    <mergeCell ref="C48:D48"/>
    <mergeCell ref="C49:D49"/>
    <mergeCell ref="C50:D50"/>
    <mergeCell ref="C51:D51"/>
    <mergeCell ref="B52:D52"/>
    <mergeCell ref="B54:D54"/>
    <mergeCell ref="B59:D59"/>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Asset Criticality Ranking&amp;R&amp;8&amp;A</oddHeader>
    <oddFooter>&amp;L&amp;8mfgcalcs.com - free manufacturing templates&amp;R&amp;8Page &amp;P of &amp;N</oddFooter>
  </headerFooter>
  <rowBreaks count="2" manualBreakCount="2">
    <brk id="27" max="16383" man="1"/>
    <brk id="53"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V61"/>
  <sheetViews>
    <sheetView showGridLines="0" workbookViewId="0"/>
  </sheetViews>
  <sheetFormatPr defaultRowHeight="15"/>
  <cols>
    <col min="1" max="1" width="2.7109375" customWidth="1"/>
    <col min="2" max="19" width="12.7109375" customWidth="1"/>
    <col min="20" max="20" width="11.28515625" customWidth="1"/>
    <col min="21" max="21" width="22.7109375" customWidth="1"/>
    <col min="22" max="22" width="28.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28</v>
      </c>
      <c r="C2" s="2"/>
      <c r="D2" s="2"/>
      <c r="E2" s="2"/>
      <c r="F2" s="2"/>
      <c r="G2" s="2"/>
      <c r="H2" s="2"/>
      <c r="I2" s="2"/>
      <c r="J2" s="2"/>
      <c r="K2" s="2"/>
      <c r="L2" s="2"/>
      <c r="M2" s="2"/>
      <c r="N2" s="2"/>
      <c r="O2" s="2"/>
      <c r="P2" s="2"/>
      <c r="Q2" s="2"/>
      <c r="R2" s="2"/>
      <c r="S2" s="2"/>
      <c r="T2" s="2"/>
      <c r="U2" s="2"/>
      <c r="V2" s="3" t="s">
        <v>2</v>
      </c>
    </row>
    <row r="3" spans="1:22" ht="6" customHeight="1"/>
    <row r="4" spans="1:22" ht="30" customHeight="1">
      <c r="B4" s="62" t="s">
        <v>316</v>
      </c>
      <c r="C4" s="62"/>
      <c r="D4" s="22" t="str">
        <f>IF(COUNTIF($K$11:$K$37,"PASS")=27,"PASS","FAIL")</f>
        <v>PASS</v>
      </c>
      <c r="E4" s="22"/>
      <c r="F4" s="23" t="str">
        <f>COUNTIF($K$11:$K$37,"PASS")&amp;" of 27 checks pass"</f>
        <v>27 of 27 checks pass</v>
      </c>
      <c r="G4" s="23"/>
      <c r="H4" s="23"/>
      <c r="I4" s="23"/>
      <c r="J4" s="23"/>
    </row>
    <row r="6" spans="1:22" ht="29.4" customHeight="1">
      <c r="B6" s="10" t="s">
        <v>317</v>
      </c>
      <c r="C6" s="10"/>
      <c r="D6" s="10"/>
      <c r="E6" s="10"/>
      <c r="F6" s="10"/>
      <c r="G6" s="10"/>
      <c r="H6" s="10"/>
      <c r="I6" s="10"/>
      <c r="J6" s="10"/>
      <c r="K6" s="10"/>
      <c r="L6" s="10"/>
    </row>
    <row r="8" spans="1:22" ht="21" customHeight="1">
      <c r="B8" s="8" t="s">
        <v>318</v>
      </c>
      <c r="C8" s="8"/>
      <c r="D8" s="8"/>
      <c r="E8" s="8"/>
      <c r="F8" s="8"/>
      <c r="G8" s="8"/>
      <c r="H8" s="8"/>
      <c r="I8" s="8"/>
      <c r="J8" s="8"/>
      <c r="K8" s="8"/>
      <c r="L8" s="8"/>
    </row>
    <row r="9" spans="1:22" ht="5" customHeight="1"/>
    <row r="10" spans="1:22" ht="30" customHeight="1">
      <c r="B10" s="34" t="s">
        <v>319</v>
      </c>
      <c r="C10" s="49" t="s">
        <v>168</v>
      </c>
      <c r="D10" s="49"/>
      <c r="E10" s="49"/>
      <c r="F10" s="49"/>
      <c r="G10" s="34" t="s">
        <v>320</v>
      </c>
      <c r="H10" s="34" t="s">
        <v>321</v>
      </c>
      <c r="I10" s="34" t="s">
        <v>322</v>
      </c>
      <c r="J10" s="34" t="s">
        <v>323</v>
      </c>
      <c r="K10" s="34" t="s">
        <v>324</v>
      </c>
    </row>
    <row r="11" spans="1:22" ht="16.2" customHeight="1">
      <c r="B11" s="63">
        <v>1</v>
      </c>
      <c r="C11" s="60" t="s">
        <v>325</v>
      </c>
      <c r="D11" s="60"/>
      <c r="E11" s="60"/>
      <c r="F11" s="60"/>
      <c r="G11" s="64">
        <v>3.8</v>
      </c>
      <c r="H11" s="38">
        <f>$K$56</f>
        <v>3.8</v>
      </c>
      <c r="I11" s="65">
        <f>IF(AND(ISNUMBER($G$11),ISNUMBER($H$11)),ABS($H$11-$G$11),"")</f>
        <v>0</v>
      </c>
      <c r="J11" s="66">
        <v>1E-09</v>
      </c>
      <c r="K11" s="39" t="str">
        <f>IF(AND(ISNUMBER($G$11),ISNUMBER($H$11)),IF(ABS($H$11-$G$11)&lt;=$J$11,"PASS","FAIL"),"FAIL")</f>
        <v>PASS</v>
      </c>
    </row>
    <row r="12" spans="1:22" ht="16.2" customHeight="1">
      <c r="B12" s="63">
        <v>2</v>
      </c>
      <c r="C12" s="60" t="s">
        <v>326</v>
      </c>
      <c r="D12" s="60"/>
      <c r="E12" s="60"/>
      <c r="F12" s="60"/>
      <c r="G12" s="64">
        <v>15.2</v>
      </c>
      <c r="H12" s="38">
        <f>$L$56</f>
        <v>15.2</v>
      </c>
      <c r="I12" s="65">
        <f>IF(AND(ISNUMBER($G$12),ISNUMBER($H$12)),ABS($H$12-$G$12),"")</f>
        <v>0</v>
      </c>
      <c r="J12" s="66">
        <v>1E-09</v>
      </c>
      <c r="K12" s="39" t="str">
        <f>IF(AND(ISNUMBER($G$12),ISNUMBER($H$12)),IF(ABS($H$12-$G$12)&lt;=$J$12,"PASS","FAIL"),"FAIL")</f>
        <v>PASS</v>
      </c>
    </row>
    <row r="13" spans="1:22" ht="16.2" customHeight="1">
      <c r="B13" s="63">
        <v>3</v>
      </c>
      <c r="C13" s="60" t="s">
        <v>327</v>
      </c>
      <c r="D13" s="60"/>
      <c r="E13" s="60"/>
      <c r="F13" s="60"/>
      <c r="G13" s="59" t="s">
        <v>128</v>
      </c>
      <c r="H13" s="32" t="str">
        <f>$M$56</f>
        <v>A</v>
      </c>
      <c r="I13" s="32"/>
      <c r="J13" s="61" t="s">
        <v>328</v>
      </c>
      <c r="K13" s="39" t="str">
        <f>IF($H$13&amp;""=$G$13&amp;"","PASS","FAIL")</f>
        <v>PASS</v>
      </c>
    </row>
    <row r="14" spans="1:22" ht="16.2" customHeight="1">
      <c r="B14" s="63">
        <v>4</v>
      </c>
      <c r="C14" s="60" t="s">
        <v>329</v>
      </c>
      <c r="D14" s="60"/>
      <c r="E14" s="60"/>
      <c r="F14" s="60"/>
      <c r="G14" s="67">
        <v>1</v>
      </c>
      <c r="H14" s="40">
        <f>$N$56</f>
        <v>1</v>
      </c>
      <c r="I14" s="65">
        <f>IF(AND(ISNUMBER($G$14),ISNUMBER($H$14)),ABS($H$14-$G$14),"")</f>
        <v>0</v>
      </c>
      <c r="J14" s="66">
        <v>1E-09</v>
      </c>
      <c r="K14" s="39" t="str">
        <f>IF(AND(ISNUMBER($G$14),ISNUMBER($H$14)),IF(ABS($H$14-$G$14)&lt;=$J$14,"PASS","FAIL"),"FAIL")</f>
        <v>PASS</v>
      </c>
    </row>
    <row r="15" spans="1:22" ht="16.2" customHeight="1">
      <c r="B15" s="63">
        <v>5</v>
      </c>
      <c r="C15" s="60" t="s">
        <v>330</v>
      </c>
      <c r="D15" s="60"/>
      <c r="E15" s="60"/>
      <c r="F15" s="60"/>
      <c r="G15" s="64">
        <v>3.8</v>
      </c>
      <c r="H15" s="38">
        <f>$K$57</f>
        <v>3.8</v>
      </c>
      <c r="I15" s="65">
        <f>IF(AND(ISNUMBER($G$15),ISNUMBER($H$15)),ABS($H$15-$G$15),"")</f>
        <v>0</v>
      </c>
      <c r="J15" s="66">
        <v>1E-09</v>
      </c>
      <c r="K15" s="39" t="str">
        <f>IF(AND(ISNUMBER($G$15),ISNUMBER($H$15)),IF(ABS($H$15-$G$15)&lt;=$J$15,"PASS","FAIL"),"FAIL")</f>
        <v>PASS</v>
      </c>
    </row>
    <row r="16" spans="1:22" ht="16.2" customHeight="1">
      <c r="B16" s="63">
        <v>6</v>
      </c>
      <c r="C16" s="60" t="s">
        <v>331</v>
      </c>
      <c r="D16" s="60"/>
      <c r="E16" s="60"/>
      <c r="F16" s="60"/>
      <c r="G16" s="64">
        <v>15.2</v>
      </c>
      <c r="H16" s="38">
        <f>$L$57</f>
        <v>15.2</v>
      </c>
      <c r="I16" s="65">
        <f>IF(AND(ISNUMBER($G$16),ISNUMBER($H$16)),ABS($H$16-$G$16),"")</f>
        <v>0</v>
      </c>
      <c r="J16" s="66">
        <v>1E-09</v>
      </c>
      <c r="K16" s="39" t="str">
        <f>IF(AND(ISNUMBER($G$16),ISNUMBER($H$16)),IF(ABS($H$16-$G$16)&lt;=$J$16,"PASS","FAIL"),"FAIL")</f>
        <v>PASS</v>
      </c>
    </row>
    <row r="17" spans="2:11" ht="16.2" customHeight="1">
      <c r="B17" s="63">
        <v>7</v>
      </c>
      <c r="C17" s="60" t="s">
        <v>332</v>
      </c>
      <c r="D17" s="60"/>
      <c r="E17" s="60"/>
      <c r="F17" s="60"/>
      <c r="G17" s="59" t="s">
        <v>128</v>
      </c>
      <c r="H17" s="32" t="str">
        <f>$M$57</f>
        <v>A</v>
      </c>
      <c r="I17" s="32"/>
      <c r="J17" s="61" t="s">
        <v>328</v>
      </c>
      <c r="K17" s="39" t="str">
        <f>IF($H$17&amp;""=$G$17&amp;"","PASS","FAIL")</f>
        <v>PASS</v>
      </c>
    </row>
    <row r="18" spans="2:11" ht="16.2" customHeight="1">
      <c r="B18" s="63">
        <v>8</v>
      </c>
      <c r="C18" s="60" t="s">
        <v>333</v>
      </c>
      <c r="D18" s="60"/>
      <c r="E18" s="60"/>
      <c r="F18" s="60"/>
      <c r="G18" s="67">
        <v>2</v>
      </c>
      <c r="H18" s="40">
        <f>$N$57</f>
        <v>2</v>
      </c>
      <c r="I18" s="65">
        <f>IF(AND(ISNUMBER($G$18),ISNUMBER($H$18)),ABS($H$18-$G$18),"")</f>
        <v>0</v>
      </c>
      <c r="J18" s="66">
        <v>1E-09</v>
      </c>
      <c r="K18" s="39" t="str">
        <f>IF(AND(ISNUMBER($G$18),ISNUMBER($H$18)),IF(ABS($H$18-$G$18)&lt;=$J$18,"PASS","FAIL"),"FAIL")</f>
        <v>PASS</v>
      </c>
    </row>
    <row r="19" spans="2:11" ht="16.2" customHeight="1">
      <c r="B19" s="63">
        <v>9</v>
      </c>
      <c r="C19" s="60" t="s">
        <v>334</v>
      </c>
      <c r="D19" s="60"/>
      <c r="E19" s="60"/>
      <c r="F19" s="60"/>
      <c r="G19" s="64">
        <v>2.9</v>
      </c>
      <c r="H19" s="38">
        <f>$K$58</f>
        <v>2.9</v>
      </c>
      <c r="I19" s="65">
        <f>IF(AND(ISNUMBER($G$19),ISNUMBER($H$19)),ABS($H$19-$G$19),"")</f>
        <v>0</v>
      </c>
      <c r="J19" s="66">
        <v>1E-09</v>
      </c>
      <c r="K19" s="39" t="str">
        <f>IF(AND(ISNUMBER($G$19),ISNUMBER($H$19)),IF(ABS($H$19-$G$19)&lt;=$J$19,"PASS","FAIL"),"FAIL")</f>
        <v>PASS</v>
      </c>
    </row>
    <row r="20" spans="2:11" ht="16.2" customHeight="1">
      <c r="B20" s="63">
        <v>10</v>
      </c>
      <c r="C20" s="60" t="s">
        <v>335</v>
      </c>
      <c r="D20" s="60"/>
      <c r="E20" s="60"/>
      <c r="F20" s="60"/>
      <c r="G20" s="64">
        <v>2.9</v>
      </c>
      <c r="H20" s="38">
        <f>$L$58</f>
        <v>2.9</v>
      </c>
      <c r="I20" s="65">
        <f>IF(AND(ISNUMBER($G$20),ISNUMBER($H$20)),ABS($H$20-$G$20),"")</f>
        <v>0</v>
      </c>
      <c r="J20" s="66">
        <v>1E-09</v>
      </c>
      <c r="K20" s="39" t="str">
        <f>IF(AND(ISNUMBER($G$20),ISNUMBER($H$20)),IF(ABS($H$20-$G$20)&lt;=$J$20,"PASS","FAIL"),"FAIL")</f>
        <v>PASS</v>
      </c>
    </row>
    <row r="21" spans="2:11" ht="16.2" customHeight="1">
      <c r="B21" s="63">
        <v>11</v>
      </c>
      <c r="C21" s="60" t="s">
        <v>336</v>
      </c>
      <c r="D21" s="60"/>
      <c r="E21" s="60"/>
      <c r="F21" s="60"/>
      <c r="G21" s="59" t="s">
        <v>128</v>
      </c>
      <c r="H21" s="32" t="str">
        <f>$M$58</f>
        <v>A</v>
      </c>
      <c r="I21" s="32"/>
      <c r="J21" s="61" t="s">
        <v>328</v>
      </c>
      <c r="K21" s="39" t="str">
        <f>IF($H$21&amp;""=$G$21&amp;"","PASS","FAIL")</f>
        <v>PASS</v>
      </c>
    </row>
    <row r="22" spans="2:11" ht="16.2" customHeight="1">
      <c r="B22" s="63">
        <v>12</v>
      </c>
      <c r="C22" s="60" t="s">
        <v>337</v>
      </c>
      <c r="D22" s="60"/>
      <c r="E22" s="60"/>
      <c r="F22" s="60"/>
      <c r="G22" s="67">
        <v>5</v>
      </c>
      <c r="H22" s="40">
        <f>$N$58</f>
        <v>5</v>
      </c>
      <c r="I22" s="65">
        <f>IF(AND(ISNUMBER($G$22),ISNUMBER($H$22)),ABS($H$22-$G$22),"")</f>
        <v>0</v>
      </c>
      <c r="J22" s="66">
        <v>1E-09</v>
      </c>
      <c r="K22" s="39" t="str">
        <f>IF(AND(ISNUMBER($G$22),ISNUMBER($H$22)),IF(ABS($H$22-$G$22)&lt;=$J$22,"PASS","FAIL"),"FAIL")</f>
        <v>PASS</v>
      </c>
    </row>
    <row r="23" spans="2:11" ht="16.2" customHeight="1">
      <c r="B23" s="63">
        <v>13</v>
      </c>
      <c r="C23" s="60" t="s">
        <v>338</v>
      </c>
      <c r="D23" s="60"/>
      <c r="E23" s="60"/>
      <c r="F23" s="60"/>
      <c r="G23" s="64">
        <v>2.9</v>
      </c>
      <c r="H23" s="38">
        <f>$K$59</f>
        <v>2.9</v>
      </c>
      <c r="I23" s="65">
        <f>IF(AND(ISNUMBER($G$23),ISNUMBER($H$23)),ABS($H$23-$G$23),"")</f>
        <v>0</v>
      </c>
      <c r="J23" s="66">
        <v>1E-09</v>
      </c>
      <c r="K23" s="39" t="str">
        <f>IF(AND(ISNUMBER($G$23),ISNUMBER($H$23)),IF(ABS($H$23-$G$23)&lt;=$J$23,"PASS","FAIL"),"FAIL")</f>
        <v>PASS</v>
      </c>
    </row>
    <row r="24" spans="2:11" ht="16.2" customHeight="1">
      <c r="B24" s="63">
        <v>14</v>
      </c>
      <c r="C24" s="60" t="s">
        <v>339</v>
      </c>
      <c r="D24" s="60"/>
      <c r="E24" s="60"/>
      <c r="F24" s="60"/>
      <c r="G24" s="64">
        <v>8.699999999999999</v>
      </c>
      <c r="H24" s="38">
        <f>$L$59</f>
        <v>8.7</v>
      </c>
      <c r="I24" s="65">
        <f>IF(AND(ISNUMBER($G$24),ISNUMBER($H$24)),ABS($H$24-$G$24),"")</f>
        <v>0</v>
      </c>
      <c r="J24" s="66">
        <v>1E-09</v>
      </c>
      <c r="K24" s="39" t="str">
        <f>IF(AND(ISNUMBER($G$24),ISNUMBER($H$24)),IF(ABS($H$24-$G$24)&lt;=$J$24,"PASS","FAIL"),"FAIL")</f>
        <v>PASS</v>
      </c>
    </row>
    <row r="25" spans="2:11" ht="16.2" customHeight="1">
      <c r="B25" s="63">
        <v>15</v>
      </c>
      <c r="C25" s="60" t="s">
        <v>340</v>
      </c>
      <c r="D25" s="60"/>
      <c r="E25" s="60"/>
      <c r="F25" s="60"/>
      <c r="G25" s="59" t="s">
        <v>132</v>
      </c>
      <c r="H25" s="32" t="str">
        <f>$M$59</f>
        <v>B</v>
      </c>
      <c r="I25" s="32"/>
      <c r="J25" s="61" t="s">
        <v>328</v>
      </c>
      <c r="K25" s="39" t="str">
        <f>IF($H$25&amp;""=$G$25&amp;"","PASS","FAIL")</f>
        <v>PASS</v>
      </c>
    </row>
    <row r="26" spans="2:11" ht="16.2" customHeight="1">
      <c r="B26" s="63">
        <v>16</v>
      </c>
      <c r="C26" s="60" t="s">
        <v>341</v>
      </c>
      <c r="D26" s="60"/>
      <c r="E26" s="60"/>
      <c r="F26" s="60"/>
      <c r="G26" s="67">
        <v>3</v>
      </c>
      <c r="H26" s="40">
        <f>$N$59</f>
        <v>3</v>
      </c>
      <c r="I26" s="65">
        <f>IF(AND(ISNUMBER($G$26),ISNUMBER($H$26)),ABS($H$26-$G$26),"")</f>
        <v>0</v>
      </c>
      <c r="J26" s="66">
        <v>1E-09</v>
      </c>
      <c r="K26" s="39" t="str">
        <f>IF(AND(ISNUMBER($G$26),ISNUMBER($H$26)),IF(ABS($H$26-$G$26)&lt;=$J$26,"PASS","FAIL"),"FAIL")</f>
        <v>PASS</v>
      </c>
    </row>
    <row r="27" spans="2:11" ht="16.2" customHeight="1">
      <c r="B27" s="63">
        <v>17</v>
      </c>
      <c r="C27" s="60" t="s">
        <v>342</v>
      </c>
      <c r="D27" s="60"/>
      <c r="E27" s="60"/>
      <c r="F27" s="60"/>
      <c r="G27" s="64">
        <v>1.3</v>
      </c>
      <c r="H27" s="38">
        <f>$K$60</f>
        <v>1.3</v>
      </c>
      <c r="I27" s="65">
        <f>IF(AND(ISNUMBER($G$27),ISNUMBER($H$27)),ABS($H$27-$G$27),"")</f>
        <v>0</v>
      </c>
      <c r="J27" s="66">
        <v>1E-09</v>
      </c>
      <c r="K27" s="39" t="str">
        <f>IF(AND(ISNUMBER($G$27),ISNUMBER($H$27)),IF(ABS($H$27-$G$27)&lt;=$J$27,"PASS","FAIL"),"FAIL")</f>
        <v>PASS</v>
      </c>
    </row>
    <row r="28" spans="2:11" ht="16.2" customHeight="1">
      <c r="B28" s="63">
        <v>18</v>
      </c>
      <c r="C28" s="60" t="s">
        <v>343</v>
      </c>
      <c r="D28" s="60"/>
      <c r="E28" s="60"/>
      <c r="F28" s="60"/>
      <c r="G28" s="64">
        <v>3.9</v>
      </c>
      <c r="H28" s="38">
        <f>$L$60</f>
        <v>3.9</v>
      </c>
      <c r="I28" s="65">
        <f>IF(AND(ISNUMBER($G$28),ISNUMBER($H$28)),ABS($H$28-$G$28),"")</f>
        <v>0</v>
      </c>
      <c r="J28" s="66">
        <v>1E-09</v>
      </c>
      <c r="K28" s="39" t="str">
        <f>IF(AND(ISNUMBER($G$28),ISNUMBER($H$28)),IF(ABS($H$28-$G$28)&lt;=$J$28,"PASS","FAIL"),"FAIL")</f>
        <v>PASS</v>
      </c>
    </row>
    <row r="29" spans="2:11" ht="16.2" customHeight="1">
      <c r="B29" s="63">
        <v>19</v>
      </c>
      <c r="C29" s="60" t="s">
        <v>344</v>
      </c>
      <c r="D29" s="60"/>
      <c r="E29" s="60"/>
      <c r="F29" s="60"/>
      <c r="G29" s="59" t="s">
        <v>136</v>
      </c>
      <c r="H29" s="32" t="str">
        <f>$M$60</f>
        <v>C</v>
      </c>
      <c r="I29" s="32"/>
      <c r="J29" s="61" t="s">
        <v>328</v>
      </c>
      <c r="K29" s="39" t="str">
        <f>IF($H$29&amp;""=$G$29&amp;"","PASS","FAIL")</f>
        <v>PASS</v>
      </c>
    </row>
    <row r="30" spans="2:11" ht="16.2" customHeight="1">
      <c r="B30" s="63">
        <v>20</v>
      </c>
      <c r="C30" s="60" t="s">
        <v>345</v>
      </c>
      <c r="D30" s="60"/>
      <c r="E30" s="60"/>
      <c r="F30" s="60"/>
      <c r="G30" s="67">
        <v>4</v>
      </c>
      <c r="H30" s="40">
        <f>$N$60</f>
        <v>4</v>
      </c>
      <c r="I30" s="65">
        <f>IF(AND(ISNUMBER($G$30),ISNUMBER($H$30)),ABS($H$30-$G$30),"")</f>
        <v>0</v>
      </c>
      <c r="J30" s="66">
        <v>1E-09</v>
      </c>
      <c r="K30" s="39" t="str">
        <f>IF(AND(ISNUMBER($G$30),ISNUMBER($H$30)),IF(ABS($H$30-$G$30)&lt;=$J$30,"PASS","FAIL"),"FAIL")</f>
        <v>PASS</v>
      </c>
    </row>
    <row r="31" spans="2:11" ht="16.2" customHeight="1">
      <c r="B31" s="63">
        <v>21</v>
      </c>
      <c r="C31" s="60" t="s">
        <v>346</v>
      </c>
      <c r="D31" s="60"/>
      <c r="E31" s="60"/>
      <c r="F31" s="60"/>
      <c r="G31" s="67">
        <v>68000</v>
      </c>
      <c r="H31" s="40">
        <f>$S$56</f>
        <v>68000</v>
      </c>
      <c r="I31" s="65">
        <f>IF(AND(ISNUMBER($G$31),ISNUMBER($H$31)),ABS($H$31-$G$31),"")</f>
        <v>0</v>
      </c>
      <c r="J31" s="66">
        <v>1E-06</v>
      </c>
      <c r="K31" s="39" t="str">
        <f>IF(AND(ISNUMBER($G$31),ISNUMBER($H$31)),IF(ABS($H$31-$G$31)&lt;=$J$31,"PASS","FAIL"),"FAIL")</f>
        <v>PASS</v>
      </c>
    </row>
    <row r="32" spans="2:11" ht="16.2" customHeight="1">
      <c r="B32" s="63">
        <v>22</v>
      </c>
      <c r="C32" s="60" t="s">
        <v>347</v>
      </c>
      <c r="D32" s="60"/>
      <c r="E32" s="60"/>
      <c r="F32" s="60"/>
      <c r="G32" s="67">
        <v>136000</v>
      </c>
      <c r="H32" s="40">
        <f>$T$56</f>
        <v>136000</v>
      </c>
      <c r="I32" s="65">
        <f>IF(AND(ISNUMBER($G$32),ISNUMBER($H$32)),ABS($H$32-$G$32),"")</f>
        <v>0</v>
      </c>
      <c r="J32" s="66">
        <v>1E-06</v>
      </c>
      <c r="K32" s="39" t="str">
        <f>IF(AND(ISNUMBER($G$32),ISNUMBER($H$32)),IF(ABS($H$32-$G$32)&lt;=$J$32,"PASS","FAIL"),"FAIL")</f>
        <v>PASS</v>
      </c>
    </row>
    <row r="33" spans="2:12" ht="16.2" customHeight="1">
      <c r="B33" s="63">
        <v>23</v>
      </c>
      <c r="C33" s="60" t="s">
        <v>348</v>
      </c>
      <c r="D33" s="60"/>
      <c r="E33" s="60"/>
      <c r="F33" s="60"/>
      <c r="G33" s="67">
        <v>79200</v>
      </c>
      <c r="H33" s="40">
        <f>$T$59</f>
        <v>79200</v>
      </c>
      <c r="I33" s="65">
        <f>IF(AND(ISNUMBER($G$33),ISNUMBER($H$33)),ABS($H$33-$G$33),"")</f>
        <v>0</v>
      </c>
      <c r="J33" s="66">
        <v>1E-06</v>
      </c>
      <c r="K33" s="39" t="str">
        <f>IF(AND(ISNUMBER($G$33),ISNUMBER($H$33)),IF(ABS($H$33-$G$33)&lt;=$J$33,"PASS","FAIL"),"FAIL")</f>
        <v>PASS</v>
      </c>
    </row>
    <row r="34" spans="2:12" ht="16.2" customHeight="1">
      <c r="B34" s="63">
        <v>24</v>
      </c>
      <c r="C34" s="60" t="s">
        <v>349</v>
      </c>
      <c r="D34" s="60"/>
      <c r="E34" s="60"/>
      <c r="F34" s="60"/>
      <c r="G34" s="59" t="s">
        <v>350</v>
      </c>
      <c r="H34" s="32" t="str">
        <f>$U$61</f>
        <v>Failures but no hours per failure</v>
      </c>
      <c r="I34" s="32"/>
      <c r="J34" s="61" t="s">
        <v>328</v>
      </c>
      <c r="K34" s="39" t="str">
        <f>IF($H$34&amp;""=$G$34&amp;"","PASS","FAIL")</f>
        <v>PASS</v>
      </c>
    </row>
    <row r="35" spans="2:12" ht="16.2" customHeight="1">
      <c r="B35" s="63">
        <v>25</v>
      </c>
      <c r="C35" s="60" t="s">
        <v>351</v>
      </c>
      <c r="D35" s="60"/>
      <c r="E35" s="60"/>
      <c r="F35" s="60"/>
      <c r="G35" s="67">
        <v>3</v>
      </c>
      <c r="H35" s="40">
        <f>COUNTIFS(tblVerifyAssets[Class],"A")</f>
        <v>3</v>
      </c>
      <c r="I35" s="65">
        <f>IF(AND(ISNUMBER($G$35),ISNUMBER($H$35)),ABS($H$35-$G$35),"")</f>
        <v>0</v>
      </c>
      <c r="J35" s="66">
        <v>1E-09</v>
      </c>
      <c r="K35" s="39" t="str">
        <f>IF(AND(ISNUMBER($G$35),ISNUMBER($H$35)),IF(ABS($H$35-$G$35)&lt;=$J$35,"PASS","FAIL"),"FAIL")</f>
        <v>PASS</v>
      </c>
    </row>
    <row r="36" spans="2:12" ht="16.2" customHeight="1">
      <c r="B36" s="63">
        <v>26</v>
      </c>
      <c r="C36" s="60" t="s">
        <v>352</v>
      </c>
      <c r="D36" s="60"/>
      <c r="E36" s="60"/>
      <c r="F36" s="60"/>
      <c r="G36" s="67">
        <v>138250</v>
      </c>
      <c r="H36" s="40">
        <f>SUMIFS(tblVerifyAssets[Annual downtime cost],tblVerifyAssets[Class],"A")</f>
        <v>138250</v>
      </c>
      <c r="I36" s="65">
        <f>IF(AND(ISNUMBER($G$36),ISNUMBER($H$36)),ABS($H$36-$G$36),"")</f>
        <v>0</v>
      </c>
      <c r="J36" s="66">
        <v>1E-06</v>
      </c>
      <c r="K36" s="39" t="str">
        <f>IF(AND(ISNUMBER($G$36),ISNUMBER($H$36)),IF(ABS($H$36-$G$36)&lt;=$J$36,"PASS","FAIL"),"FAIL")</f>
        <v>PASS</v>
      </c>
    </row>
    <row r="37" spans="2:12" ht="16.2" customHeight="1">
      <c r="B37" s="63">
        <v>27</v>
      </c>
      <c r="C37" s="60" t="s">
        <v>353</v>
      </c>
      <c r="D37" s="60"/>
      <c r="E37" s="60"/>
      <c r="F37" s="60"/>
      <c r="G37" s="59" t="s">
        <v>354</v>
      </c>
      <c r="H37" s="32" t="str">
        <f>IFERROR(INDEX(tblVerifyAssets[Asset],MATCH(1,tblVerifyAssets[Rank],0)),"None scored")</f>
        <v>Calculator example</v>
      </c>
      <c r="I37" s="32"/>
      <c r="J37" s="61" t="s">
        <v>328</v>
      </c>
      <c r="K37" s="39" t="str">
        <f>IF($H$37&amp;""=$G$37&amp;"","PASS","FAIL")</f>
        <v>PASS</v>
      </c>
    </row>
    <row r="39" spans="2:12" ht="21" customHeight="1">
      <c r="B39" s="8" t="s">
        <v>355</v>
      </c>
      <c r="C39" s="8"/>
      <c r="D39" s="8"/>
      <c r="E39" s="8"/>
      <c r="F39" s="8"/>
      <c r="G39" s="8"/>
      <c r="H39" s="8"/>
      <c r="I39" s="8"/>
      <c r="J39" s="8"/>
      <c r="K39" s="8"/>
      <c r="L39" s="8"/>
    </row>
    <row r="40" spans="2:12" ht="5" customHeight="1"/>
    <row r="41" spans="2:12">
      <c r="B41" s="21" t="s">
        <v>356</v>
      </c>
      <c r="C41" s="21"/>
      <c r="D41" s="21"/>
      <c r="E41" s="21"/>
      <c r="F41" s="21"/>
      <c r="G41" s="21"/>
      <c r="H41" s="21"/>
      <c r="I41" s="21"/>
      <c r="J41" s="21"/>
      <c r="K41" s="21"/>
      <c r="L41" s="21"/>
    </row>
    <row r="42" spans="2:12">
      <c r="B42" s="33" t="s">
        <v>357</v>
      </c>
      <c r="C42" s="33"/>
      <c r="D42" s="33"/>
      <c r="E42" s="33"/>
      <c r="F42" s="33"/>
    </row>
    <row r="43" spans="2:12">
      <c r="B43" s="27" t="s">
        <v>79</v>
      </c>
      <c r="C43" s="27"/>
      <c r="D43" s="27"/>
      <c r="E43" s="59" t="s">
        <v>80</v>
      </c>
      <c r="F43" s="59"/>
    </row>
    <row r="44" spans="2:12">
      <c r="B44" s="27" t="s">
        <v>83</v>
      </c>
      <c r="C44" s="27"/>
      <c r="D44" s="27"/>
      <c r="E44" s="59" t="s">
        <v>84</v>
      </c>
      <c r="F44" s="59"/>
    </row>
    <row r="45" spans="2:12">
      <c r="B45" s="27" t="s">
        <v>81</v>
      </c>
      <c r="C45" s="27"/>
      <c r="D45" s="27"/>
      <c r="E45" s="64">
        <v>12</v>
      </c>
      <c r="F45" s="7"/>
    </row>
    <row r="46" spans="2:12">
      <c r="B46" s="27" t="s">
        <v>82</v>
      </c>
      <c r="C46" s="27"/>
      <c r="D46" s="27"/>
      <c r="E46" s="64">
        <v>6</v>
      </c>
      <c r="F46" s="7"/>
    </row>
    <row r="47" spans="2:12">
      <c r="B47" s="27" t="s">
        <v>358</v>
      </c>
      <c r="C47" s="27"/>
      <c r="D47" s="27"/>
      <c r="E47" s="68">
        <v>0.3</v>
      </c>
      <c r="F47" s="7"/>
    </row>
    <row r="48" spans="2:12">
      <c r="B48" s="27" t="s">
        <v>359</v>
      </c>
      <c r="C48" s="27"/>
      <c r="D48" s="27"/>
      <c r="E48" s="68">
        <v>0.2</v>
      </c>
      <c r="F48" s="7"/>
    </row>
    <row r="49" spans="2:22">
      <c r="B49" s="27" t="s">
        <v>360</v>
      </c>
      <c r="C49" s="27"/>
      <c r="D49" s="27"/>
      <c r="E49" s="68">
        <v>0.3</v>
      </c>
      <c r="F49" s="7"/>
    </row>
    <row r="50" spans="2:22">
      <c r="B50" s="27" t="s">
        <v>361</v>
      </c>
      <c r="C50" s="27"/>
      <c r="D50" s="27"/>
      <c r="E50" s="68">
        <v>0.1</v>
      </c>
      <c r="F50" s="7"/>
    </row>
    <row r="51" spans="2:22">
      <c r="B51" s="27" t="s">
        <v>362</v>
      </c>
      <c r="C51" s="27"/>
      <c r="D51" s="27"/>
      <c r="E51" s="68">
        <v>0.1</v>
      </c>
      <c r="F51" s="7"/>
    </row>
    <row r="53" spans="2:22">
      <c r="B53" s="33" t="s">
        <v>363</v>
      </c>
      <c r="C53" s="33"/>
      <c r="D53" s="33"/>
      <c r="E53" s="33"/>
      <c r="F53" s="33"/>
      <c r="G53" s="33"/>
      <c r="H53" s="33"/>
      <c r="I53" s="33"/>
      <c r="J53" s="33"/>
      <c r="K53" s="33"/>
      <c r="L53" s="33"/>
    </row>
    <row r="54" spans="2:22" ht="14" customHeight="1">
      <c r="B54" s="36"/>
      <c r="C54" s="36"/>
      <c r="D54" s="36"/>
      <c r="E54" s="36"/>
      <c r="F54" s="36"/>
      <c r="G54" s="36"/>
      <c r="H54" s="36"/>
      <c r="I54" s="36"/>
      <c r="J54" s="36"/>
      <c r="K54" s="36"/>
      <c r="L54" s="36"/>
      <c r="M54" s="36"/>
      <c r="N54" s="36"/>
      <c r="O54" s="36"/>
      <c r="P54" s="36"/>
      <c r="Q54" s="36" t="str">
        <f>Currency&amp;"/h"</f>
        <v>EUR/h</v>
      </c>
      <c r="R54" s="36" t="str">
        <f>Currency</f>
        <v>EUR</v>
      </c>
      <c r="S54" s="36" t="str">
        <f>Currency</f>
        <v>EUR</v>
      </c>
      <c r="T54" s="36" t="str">
        <f>Currency&amp;"/yr"</f>
        <v>EUR/yr</v>
      </c>
      <c r="U54" s="36"/>
      <c r="V54" s="36"/>
    </row>
    <row r="55" spans="2:22" ht="45.5" customHeight="1">
      <c r="B55" s="34" t="s">
        <v>151</v>
      </c>
      <c r="C55" s="34" t="s">
        <v>152</v>
      </c>
      <c r="D55" s="34" t="s">
        <v>72</v>
      </c>
      <c r="E55" s="34" t="s">
        <v>153</v>
      </c>
      <c r="F55" s="34" t="s">
        <v>154</v>
      </c>
      <c r="G55" s="34" t="s">
        <v>155</v>
      </c>
      <c r="H55" s="34" t="s">
        <v>156</v>
      </c>
      <c r="I55" s="34" t="s">
        <v>157</v>
      </c>
      <c r="J55" s="34" t="s">
        <v>158</v>
      </c>
      <c r="K55" s="34" t="s">
        <v>159</v>
      </c>
      <c r="L55" s="34" t="s">
        <v>160</v>
      </c>
      <c r="M55" s="34" t="s">
        <v>68</v>
      </c>
      <c r="N55" s="34" t="s">
        <v>161</v>
      </c>
      <c r="O55" s="34" t="s">
        <v>162</v>
      </c>
      <c r="P55" s="34" t="s">
        <v>163</v>
      </c>
      <c r="Q55" s="34" t="s">
        <v>164</v>
      </c>
      <c r="R55" s="34" t="s">
        <v>165</v>
      </c>
      <c r="S55" s="34" t="s">
        <v>166</v>
      </c>
      <c r="T55" s="34" t="s">
        <v>167</v>
      </c>
      <c r="U55" s="34" t="s">
        <v>168</v>
      </c>
      <c r="V55" s="34" t="s">
        <v>169</v>
      </c>
    </row>
    <row r="56" spans="2:22">
      <c r="B56" s="59" t="s">
        <v>364</v>
      </c>
      <c r="C56" s="59" t="s">
        <v>354</v>
      </c>
      <c r="D56" s="59" t="s">
        <v>365</v>
      </c>
      <c r="E56" s="67">
        <v>3</v>
      </c>
      <c r="F56" s="67">
        <v>3</v>
      </c>
      <c r="G56" s="67">
        <v>5</v>
      </c>
      <c r="H56" s="67">
        <v>4</v>
      </c>
      <c r="I56" s="67">
        <v>4</v>
      </c>
      <c r="J56" s="67">
        <v>4</v>
      </c>
      <c r="K56" s="38">
        <f>IF(tblVerifyAssets[[#This Row],[Asset ID]]="","",IF(COUNT(tblVerifyAssets[[#This Row],[Safety (1-5)]],tblVerifyAssets[[#This Row],[Environment (1-5)]],tblVerifyAssets[[#This Row],[Production (1-5)]],tblVerifyAssets[[#This Row],[Quality (1-5)]],tblVerifyAssets[[#This Row],[Repair cost (1-5)]])&lt;5,"",IF($E$43="Highest score",MAX(tblVerifyAssets[[#This Row],[Safety (1-5)]],tblVerifyAssets[[#This Row],[Environment (1-5)]],tblVerifyAssets[[#This Row],[Production (1-5)]],tblVerifyAssets[[#This Row],[Quality (1-5)]],tblVerifyAssets[[#This Row],[Repair cost (1-5)]]),IFERROR(ROUND((tblVerifyAssets[[#This Row],[Safety (1-5)]]*$E$47+tblVerifyAssets[[#This Row],[Environment (1-5)]]*$E$48+tblVerifyAssets[[#This Row],[Production (1-5)]]*$E$49+tblVerifyAssets[[#This Row],[Quality (1-5)]]*$E$50+tblVerifyAssets[[#This Row],[Repair cost (1-5)]]*$E$51)/($E$47+$E$48+$E$49+$E$50+$E$51),1),""))))</f>
        <v>3.8</v>
      </c>
      <c r="L56" s="38">
        <f>IF(tblVerifyAssets[[#This Row],[Asset ID]]="","",IF(OR(tblVerifyAssets[[#This Row],[Consequence (1-5)]]="",N(tblVerifyAssets[[#This Row],[Likelihood (1-5)]])=0),"",ROUND(tblVerifyAssets[[#This Row],[Consequence (1-5)]]*tblVerifyAssets[[#This Row],[Likelihood (1-5)]],1)))</f>
        <v>15.2</v>
      </c>
      <c r="M56" s="39" t="str">
        <f>IF(tblVerifyAssets[[#This Row],[Asset ID]]="","",IF(tblVerifyAssets[[#This Row],[Criticality (1-25)]]="","",IF(OR(tblVerifyAssets[[#This Row],[Criticality (1-25)]]&gt;=$E$45,AND($E$44="Yes",MAX(tblVerifyAssets[[#This Row],[Safety (1-5)]],tblVerifyAssets[[#This Row],[Environment (1-5)]])&gt;=5)),"A",IF(tblVerifyAssets[[#This Row],[Criticality (1-25)]]&gt;=$E$46,"B","C"))))</f>
        <v>A</v>
      </c>
      <c r="N56" s="40">
        <f>IF(tblVerifyAssets[[#This Row],[Asset ID]]="","",IF(tblVerifyAssets[[#This Row],[Criticality (1-25)]]="","",COUNTIF(tblVerifyAssets[Criticality (1-25)],"&gt;"&amp;tblVerifyAssets[[#This Row],[Criticality (1-25)]])+COUNTIFS(tblVerifyAssets[Criticality (1-25)],tblVerifyAssets[[#This Row],[Criticality (1-25)]],tblVerifyAssets[Asset ID],"&lt;"&amp;tblVerifyAssets[[#This Row],[Asset ID]])+1))</f>
        <v>1</v>
      </c>
      <c r="O56" s="64">
        <v>2</v>
      </c>
      <c r="P56" s="64">
        <v>6</v>
      </c>
      <c r="Q56" s="67">
        <v>9000</v>
      </c>
      <c r="R56" s="67">
        <v>14000</v>
      </c>
      <c r="S56" s="40">
        <f>IF(tblVerifyAssets[[#This Row],[Asset ID]]="","",IF(OR(tblVerifyAssets[[#This Row],[Hours per failure]]="",tblVerifyAssets[[#This Row],[Lost output per hour]]=""),"",tblVerifyAssets[[#This Row],[Hours per failure]]*tblVerifyAssets[[#This Row],[Lost output per hour]]+N(tblVerifyAssets[[#This Row],[Repair cost per failure]])))</f>
        <v>68000</v>
      </c>
      <c r="T56" s="40">
        <f>IF(tblVerifyAssets[[#This Row],[Asset ID]]="","",IF(OR(tblVerifyAssets[[#This Row],[Cost per failure]]="",tblVerifyAssets[[#This Row],[Failures per year]]=""),"",tblVerifyAssets[[#This Row],[Failures per year]]*tblVerifyAssets[[#This Row],[Cost per failure]]))</f>
        <v>136000</v>
      </c>
      <c r="U56" s="41" t="str">
        <f>IF(tblVerifyAssets[[#This Row],[Asset ID]]="","",IF(tblVerifyAssets[[#This Row],[Asset]]="","Missing asset",IF(tblVerifyAssets[[#This Row],[Area]]="","Missing area",IF(COUNT(tblVerifyAssets[[#This Row],[Safety (1-5)]],tblVerifyAssets[[#This Row],[Environment (1-5)]],tblVerifyAssets[[#This Row],[Production (1-5)]],tblVerifyAssets[[#This Row],[Quality (1-5)]],tblVerifyAssets[[#This Row],[Repair cost (1-5)]],tblVerifyAssets[[#This Row],[Likelihood (1-5)]])&lt;6,"Missing a score",IF(COUNTIF(tblVerifyAssets[Asset ID],tblVerifyAssets[[#This Row],[Asset ID]])&gt;1,"Duplicate asset ID",IF(OR(MAX(tblVerifyAssets[[#This Row],[Safety (1-5)]],tblVerifyAssets[[#This Row],[Environment (1-5)]],tblVerifyAssets[[#This Row],[Production (1-5)]],tblVerifyAssets[[#This Row],[Quality (1-5)]],tblVerifyAssets[[#This Row],[Repair cost (1-5)]],tblVerifyAssets[[#This Row],[Likelihood (1-5)]])&gt;5,MIN(tblVerifyAssets[[#This Row],[Safety (1-5)]],tblVerifyAssets[[#This Row],[Environment (1-5)]],tblVerifyAssets[[#This Row],[Production (1-5)]],tblVerifyAssets[[#This Row],[Quality (1-5)]],tblVerifyAssets[[#This Row],[Repair cost (1-5)]],tblVerifyAssets[[#This Row],[Likelihood (1-5)]])&lt;1),"Score outside 1 to 5",IF(AND(N(tblVerifyAssets[[#This Row],[Failures per year]])&gt;0,N(tblVerifyAssets[[#This Row],[Hours per failure]])=0),"Failures but no hours per failure","OK")))))))</f>
        <v>OK</v>
      </c>
      <c r="V56" s="59" t="s">
        <v>173</v>
      </c>
    </row>
    <row r="57" spans="2:22">
      <c r="B57" s="59" t="s">
        <v>366</v>
      </c>
      <c r="C57" s="59" t="s">
        <v>367</v>
      </c>
      <c r="D57" s="59" t="s">
        <v>365</v>
      </c>
      <c r="E57" s="67">
        <v>3</v>
      </c>
      <c r="F57" s="67">
        <v>3</v>
      </c>
      <c r="G57" s="67">
        <v>5</v>
      </c>
      <c r="H57" s="67">
        <v>4</v>
      </c>
      <c r="I57" s="67">
        <v>4</v>
      </c>
      <c r="J57" s="67">
        <v>4</v>
      </c>
      <c r="K57" s="38">
        <f>IF(tblVerifyAssets[[#This Row],[Asset ID]]="","",IF(COUNT(tblVerifyAssets[[#This Row],[Safety (1-5)]],tblVerifyAssets[[#This Row],[Environment (1-5)]],tblVerifyAssets[[#This Row],[Production (1-5)]],tblVerifyAssets[[#This Row],[Quality (1-5)]],tblVerifyAssets[[#This Row],[Repair cost (1-5)]])&lt;5,"",IF($E$43="Highest score",MAX(tblVerifyAssets[[#This Row],[Safety (1-5)]],tblVerifyAssets[[#This Row],[Environment (1-5)]],tblVerifyAssets[[#This Row],[Production (1-5)]],tblVerifyAssets[[#This Row],[Quality (1-5)]],tblVerifyAssets[[#This Row],[Repair cost (1-5)]]),IFERROR(ROUND((tblVerifyAssets[[#This Row],[Safety (1-5)]]*$E$47+tblVerifyAssets[[#This Row],[Environment (1-5)]]*$E$48+tblVerifyAssets[[#This Row],[Production (1-5)]]*$E$49+tblVerifyAssets[[#This Row],[Quality (1-5)]]*$E$50+tblVerifyAssets[[#This Row],[Repair cost (1-5)]]*$E$51)/($E$47+$E$48+$E$49+$E$50+$E$51),1),""))))</f>
        <v>3.8</v>
      </c>
      <c r="L57" s="38">
        <f>IF(tblVerifyAssets[[#This Row],[Asset ID]]="","",IF(OR(tblVerifyAssets[[#This Row],[Consequence (1-5)]]="",N(tblVerifyAssets[[#This Row],[Likelihood (1-5)]])=0),"",ROUND(tblVerifyAssets[[#This Row],[Consequence (1-5)]]*tblVerifyAssets[[#This Row],[Likelihood (1-5)]],1)))</f>
        <v>15.2</v>
      </c>
      <c r="M57" s="39" t="str">
        <f>IF(tblVerifyAssets[[#This Row],[Asset ID]]="","",IF(tblVerifyAssets[[#This Row],[Criticality (1-25)]]="","",IF(OR(tblVerifyAssets[[#This Row],[Criticality (1-25)]]&gt;=$E$45,AND($E$44="Yes",MAX(tblVerifyAssets[[#This Row],[Safety (1-5)]],tblVerifyAssets[[#This Row],[Environment (1-5)]])&gt;=5)),"A",IF(tblVerifyAssets[[#This Row],[Criticality (1-25)]]&gt;=$E$46,"B","C"))))</f>
        <v>A</v>
      </c>
      <c r="N57" s="40">
        <f>IF(tblVerifyAssets[[#This Row],[Asset ID]]="","",IF(tblVerifyAssets[[#This Row],[Criticality (1-25)]]="","",COUNTIF(tblVerifyAssets[Criticality (1-25)],"&gt;"&amp;tblVerifyAssets[[#This Row],[Criticality (1-25)]])+COUNTIFS(tblVerifyAssets[Criticality (1-25)],tblVerifyAssets[[#This Row],[Criticality (1-25)]],tblVerifyAssets[Asset ID],"&lt;"&amp;tblVerifyAssets[[#This Row],[Asset ID]])+1))</f>
        <v>2</v>
      </c>
      <c r="O57" s="64">
        <v>0.5</v>
      </c>
      <c r="P57" s="64">
        <v>4</v>
      </c>
      <c r="Q57" s="67">
        <v>1000</v>
      </c>
      <c r="R57" s="67">
        <v>500</v>
      </c>
      <c r="S57" s="40">
        <f>IF(tblVerifyAssets[[#This Row],[Asset ID]]="","",IF(OR(tblVerifyAssets[[#This Row],[Hours per failure]]="",tblVerifyAssets[[#This Row],[Lost output per hour]]=""),"",tblVerifyAssets[[#This Row],[Hours per failure]]*tblVerifyAssets[[#This Row],[Lost output per hour]]+N(tblVerifyAssets[[#This Row],[Repair cost per failure]])))</f>
        <v>4500</v>
      </c>
      <c r="T57" s="40">
        <f>IF(tblVerifyAssets[[#This Row],[Asset ID]]="","",IF(OR(tblVerifyAssets[[#This Row],[Cost per failure]]="",tblVerifyAssets[[#This Row],[Failures per year]]=""),"",tblVerifyAssets[[#This Row],[Failures per year]]*tblVerifyAssets[[#This Row],[Cost per failure]]))</f>
        <v>2250</v>
      </c>
      <c r="U57" s="41" t="str">
        <f>IF(tblVerifyAssets[[#This Row],[Asset ID]]="","",IF(tblVerifyAssets[[#This Row],[Asset]]="","Missing asset",IF(tblVerifyAssets[[#This Row],[Area]]="","Missing area",IF(COUNT(tblVerifyAssets[[#This Row],[Safety (1-5)]],tblVerifyAssets[[#This Row],[Environment (1-5)]],tblVerifyAssets[[#This Row],[Production (1-5)]],tblVerifyAssets[[#This Row],[Quality (1-5)]],tblVerifyAssets[[#This Row],[Repair cost (1-5)]],tblVerifyAssets[[#This Row],[Likelihood (1-5)]])&lt;6,"Missing a score",IF(COUNTIF(tblVerifyAssets[Asset ID],tblVerifyAssets[[#This Row],[Asset ID]])&gt;1,"Duplicate asset ID",IF(OR(MAX(tblVerifyAssets[[#This Row],[Safety (1-5)]],tblVerifyAssets[[#This Row],[Environment (1-5)]],tblVerifyAssets[[#This Row],[Production (1-5)]],tblVerifyAssets[[#This Row],[Quality (1-5)]],tblVerifyAssets[[#This Row],[Repair cost (1-5)]],tblVerifyAssets[[#This Row],[Likelihood (1-5)]])&gt;5,MIN(tblVerifyAssets[[#This Row],[Safety (1-5)]],tblVerifyAssets[[#This Row],[Environment (1-5)]],tblVerifyAssets[[#This Row],[Production (1-5)]],tblVerifyAssets[[#This Row],[Quality (1-5)]],tblVerifyAssets[[#This Row],[Repair cost (1-5)]],tblVerifyAssets[[#This Row],[Likelihood (1-5)]])&lt;1),"Score outside 1 to 5",IF(AND(N(tblVerifyAssets[[#This Row],[Failures per year]])&gt;0,N(tblVerifyAssets[[#This Row],[Hours per failure]])=0),"Failures but no hours per failure","OK")))))))</f>
        <v>OK</v>
      </c>
      <c r="V57" s="59" t="s">
        <v>173</v>
      </c>
    </row>
    <row r="58" spans="2:22">
      <c r="B58" s="59" t="s">
        <v>368</v>
      </c>
      <c r="C58" s="59" t="s">
        <v>369</v>
      </c>
      <c r="D58" s="59" t="s">
        <v>370</v>
      </c>
      <c r="E58" s="67">
        <v>5</v>
      </c>
      <c r="F58" s="67">
        <v>4</v>
      </c>
      <c r="G58" s="67">
        <v>1</v>
      </c>
      <c r="H58" s="67">
        <v>1</v>
      </c>
      <c r="I58" s="67">
        <v>2</v>
      </c>
      <c r="J58" s="67">
        <v>1</v>
      </c>
      <c r="K58" s="38">
        <f>IF(tblVerifyAssets[[#This Row],[Asset ID]]="","",IF(COUNT(tblVerifyAssets[[#This Row],[Safety (1-5)]],tblVerifyAssets[[#This Row],[Environment (1-5)]],tblVerifyAssets[[#This Row],[Production (1-5)]],tblVerifyAssets[[#This Row],[Quality (1-5)]],tblVerifyAssets[[#This Row],[Repair cost (1-5)]])&lt;5,"",IF($E$43="Highest score",MAX(tblVerifyAssets[[#This Row],[Safety (1-5)]],tblVerifyAssets[[#This Row],[Environment (1-5)]],tblVerifyAssets[[#This Row],[Production (1-5)]],tblVerifyAssets[[#This Row],[Quality (1-5)]],tblVerifyAssets[[#This Row],[Repair cost (1-5)]]),IFERROR(ROUND((tblVerifyAssets[[#This Row],[Safety (1-5)]]*$E$47+tblVerifyAssets[[#This Row],[Environment (1-5)]]*$E$48+tblVerifyAssets[[#This Row],[Production (1-5)]]*$E$49+tblVerifyAssets[[#This Row],[Quality (1-5)]]*$E$50+tblVerifyAssets[[#This Row],[Repair cost (1-5)]]*$E$51)/($E$47+$E$48+$E$49+$E$50+$E$51),1),""))))</f>
        <v>2.9</v>
      </c>
      <c r="L58" s="38">
        <f>IF(tblVerifyAssets[[#This Row],[Asset ID]]="","",IF(OR(tblVerifyAssets[[#This Row],[Consequence (1-5)]]="",N(tblVerifyAssets[[#This Row],[Likelihood (1-5)]])=0),"",ROUND(tblVerifyAssets[[#This Row],[Consequence (1-5)]]*tblVerifyAssets[[#This Row],[Likelihood (1-5)]],1)))</f>
        <v>2.9</v>
      </c>
      <c r="M58" s="39" t="str">
        <f>IF(tblVerifyAssets[[#This Row],[Asset ID]]="","",IF(tblVerifyAssets[[#This Row],[Criticality (1-25)]]="","",IF(OR(tblVerifyAssets[[#This Row],[Criticality (1-25)]]&gt;=$E$45,AND($E$44="Yes",MAX(tblVerifyAssets[[#This Row],[Safety (1-5)]],tblVerifyAssets[[#This Row],[Environment (1-5)]])&gt;=5)),"A",IF(tblVerifyAssets[[#This Row],[Criticality (1-25)]]&gt;=$E$46,"B","C"))))</f>
        <v>A</v>
      </c>
      <c r="N58" s="40">
        <f>IF(tblVerifyAssets[[#This Row],[Asset ID]]="","",IF(tblVerifyAssets[[#This Row],[Criticality (1-25)]]="","",COUNTIF(tblVerifyAssets[Criticality (1-25)],"&gt;"&amp;tblVerifyAssets[[#This Row],[Criticality (1-25)]])+COUNTIFS(tblVerifyAssets[Criticality (1-25)],tblVerifyAssets[[#This Row],[Criticality (1-25)]],tblVerifyAssets[Asset ID],"&lt;"&amp;tblVerifyAssets[[#This Row],[Asset ID]])+1))</f>
        <v>5</v>
      </c>
      <c r="O58" s="64">
        <v>0</v>
      </c>
      <c r="P58" s="64">
        <v>0</v>
      </c>
      <c r="Q58" s="67">
        <v>0</v>
      </c>
      <c r="R58" s="67">
        <v>0</v>
      </c>
      <c r="S58" s="40">
        <f>IF(tblVerifyAssets[[#This Row],[Asset ID]]="","",IF(OR(tblVerifyAssets[[#This Row],[Hours per failure]]="",tblVerifyAssets[[#This Row],[Lost output per hour]]=""),"",tblVerifyAssets[[#This Row],[Hours per failure]]*tblVerifyAssets[[#This Row],[Lost output per hour]]+N(tblVerifyAssets[[#This Row],[Repair cost per failure]])))</f>
        <v>0</v>
      </c>
      <c r="T58" s="40">
        <f>IF(tblVerifyAssets[[#This Row],[Asset ID]]="","",IF(OR(tblVerifyAssets[[#This Row],[Cost per failure]]="",tblVerifyAssets[[#This Row],[Failures per year]]=""),"",tblVerifyAssets[[#This Row],[Failures per year]]*tblVerifyAssets[[#This Row],[Cost per failure]]))</f>
        <v>0</v>
      </c>
      <c r="U58" s="41" t="str">
        <f>IF(tblVerifyAssets[[#This Row],[Asset ID]]="","",IF(tblVerifyAssets[[#This Row],[Asset]]="","Missing asset",IF(tblVerifyAssets[[#This Row],[Area]]="","Missing area",IF(COUNT(tblVerifyAssets[[#This Row],[Safety (1-5)]],tblVerifyAssets[[#This Row],[Environment (1-5)]],tblVerifyAssets[[#This Row],[Production (1-5)]],tblVerifyAssets[[#This Row],[Quality (1-5)]],tblVerifyAssets[[#This Row],[Repair cost (1-5)]],tblVerifyAssets[[#This Row],[Likelihood (1-5)]])&lt;6,"Missing a score",IF(COUNTIF(tblVerifyAssets[Asset ID],tblVerifyAssets[[#This Row],[Asset ID]])&gt;1,"Duplicate asset ID",IF(OR(MAX(tblVerifyAssets[[#This Row],[Safety (1-5)]],tblVerifyAssets[[#This Row],[Environment (1-5)]],tblVerifyAssets[[#This Row],[Production (1-5)]],tblVerifyAssets[[#This Row],[Quality (1-5)]],tblVerifyAssets[[#This Row],[Repair cost (1-5)]],tblVerifyAssets[[#This Row],[Likelihood (1-5)]])&gt;5,MIN(tblVerifyAssets[[#This Row],[Safety (1-5)]],tblVerifyAssets[[#This Row],[Environment (1-5)]],tblVerifyAssets[[#This Row],[Production (1-5)]],tblVerifyAssets[[#This Row],[Quality (1-5)]],tblVerifyAssets[[#This Row],[Repair cost (1-5)]],tblVerifyAssets[[#This Row],[Likelihood (1-5)]])&lt;1),"Score outside 1 to 5",IF(AND(N(tblVerifyAssets[[#This Row],[Failures per year]])&gt;0,N(tblVerifyAssets[[#This Row],[Hours per failure]])=0),"Failures but no hours per failure","OK")))))))</f>
        <v>OK</v>
      </c>
      <c r="V58" s="59" t="s">
        <v>173</v>
      </c>
    </row>
    <row r="59" spans="2:22">
      <c r="B59" s="59" t="s">
        <v>371</v>
      </c>
      <c r="C59" s="59" t="s">
        <v>372</v>
      </c>
      <c r="D59" s="59" t="s">
        <v>370</v>
      </c>
      <c r="E59" s="67">
        <v>2</v>
      </c>
      <c r="F59" s="67">
        <v>3</v>
      </c>
      <c r="G59" s="67">
        <v>4</v>
      </c>
      <c r="H59" s="67">
        <v>3</v>
      </c>
      <c r="I59" s="67">
        <v>2</v>
      </c>
      <c r="J59" s="67">
        <v>3</v>
      </c>
      <c r="K59" s="38">
        <f>IF(tblVerifyAssets[[#This Row],[Asset ID]]="","",IF(COUNT(tblVerifyAssets[[#This Row],[Safety (1-5)]],tblVerifyAssets[[#This Row],[Environment (1-5)]],tblVerifyAssets[[#This Row],[Production (1-5)]],tblVerifyAssets[[#This Row],[Quality (1-5)]],tblVerifyAssets[[#This Row],[Repair cost (1-5)]])&lt;5,"",IF($E$43="Highest score",MAX(tblVerifyAssets[[#This Row],[Safety (1-5)]],tblVerifyAssets[[#This Row],[Environment (1-5)]],tblVerifyAssets[[#This Row],[Production (1-5)]],tblVerifyAssets[[#This Row],[Quality (1-5)]],tblVerifyAssets[[#This Row],[Repair cost (1-5)]]),IFERROR(ROUND((tblVerifyAssets[[#This Row],[Safety (1-5)]]*$E$47+tblVerifyAssets[[#This Row],[Environment (1-5)]]*$E$48+tblVerifyAssets[[#This Row],[Production (1-5)]]*$E$49+tblVerifyAssets[[#This Row],[Quality (1-5)]]*$E$50+tblVerifyAssets[[#This Row],[Repair cost (1-5)]]*$E$51)/($E$47+$E$48+$E$49+$E$50+$E$51),1),""))))</f>
        <v>2.9</v>
      </c>
      <c r="L59" s="38">
        <f>IF(tblVerifyAssets[[#This Row],[Asset ID]]="","",IF(OR(tblVerifyAssets[[#This Row],[Consequence (1-5)]]="",N(tblVerifyAssets[[#This Row],[Likelihood (1-5)]])=0),"",ROUND(tblVerifyAssets[[#This Row],[Consequence (1-5)]]*tblVerifyAssets[[#This Row],[Likelihood (1-5)]],1)))</f>
        <v>8.7</v>
      </c>
      <c r="M59" s="39" t="str">
        <f>IF(tblVerifyAssets[[#This Row],[Asset ID]]="","",IF(tblVerifyAssets[[#This Row],[Criticality (1-25)]]="","",IF(OR(tblVerifyAssets[[#This Row],[Criticality (1-25)]]&gt;=$E$45,AND($E$44="Yes",MAX(tblVerifyAssets[[#This Row],[Safety (1-5)]],tblVerifyAssets[[#This Row],[Environment (1-5)]])&gt;=5)),"A",IF(tblVerifyAssets[[#This Row],[Criticality (1-25)]]&gt;=$E$46,"B","C"))))</f>
        <v>B</v>
      </c>
      <c r="N59" s="40">
        <f>IF(tblVerifyAssets[[#This Row],[Asset ID]]="","",IF(tblVerifyAssets[[#This Row],[Criticality (1-25)]]="","",COUNTIF(tblVerifyAssets[Criticality (1-25)],"&gt;"&amp;tblVerifyAssets[[#This Row],[Criticality (1-25)]])+COUNTIFS(tblVerifyAssets[Criticality (1-25)],tblVerifyAssets[[#This Row],[Criticality (1-25)]],tblVerifyAssets[Asset ID],"&lt;"&amp;tblVerifyAssets[[#This Row],[Asset ID]])+1))</f>
        <v>3</v>
      </c>
      <c r="O59" s="64">
        <v>4</v>
      </c>
      <c r="P59" s="64">
        <v>4</v>
      </c>
      <c r="Q59" s="67">
        <v>4500</v>
      </c>
      <c r="R59" s="67">
        <v>1800</v>
      </c>
      <c r="S59" s="40">
        <f>IF(tblVerifyAssets[[#This Row],[Asset ID]]="","",IF(OR(tblVerifyAssets[[#This Row],[Hours per failure]]="",tblVerifyAssets[[#This Row],[Lost output per hour]]=""),"",tblVerifyAssets[[#This Row],[Hours per failure]]*tblVerifyAssets[[#This Row],[Lost output per hour]]+N(tblVerifyAssets[[#This Row],[Repair cost per failure]])))</f>
        <v>19800</v>
      </c>
      <c r="T59" s="40">
        <f>IF(tblVerifyAssets[[#This Row],[Asset ID]]="","",IF(OR(tblVerifyAssets[[#This Row],[Cost per failure]]="",tblVerifyAssets[[#This Row],[Failures per year]]=""),"",tblVerifyAssets[[#This Row],[Failures per year]]*tblVerifyAssets[[#This Row],[Cost per failure]]))</f>
        <v>79200</v>
      </c>
      <c r="U59" s="41" t="str">
        <f>IF(tblVerifyAssets[[#This Row],[Asset ID]]="","",IF(tblVerifyAssets[[#This Row],[Asset]]="","Missing asset",IF(tblVerifyAssets[[#This Row],[Area]]="","Missing area",IF(COUNT(tblVerifyAssets[[#This Row],[Safety (1-5)]],tblVerifyAssets[[#This Row],[Environment (1-5)]],tblVerifyAssets[[#This Row],[Production (1-5)]],tblVerifyAssets[[#This Row],[Quality (1-5)]],tblVerifyAssets[[#This Row],[Repair cost (1-5)]],tblVerifyAssets[[#This Row],[Likelihood (1-5)]])&lt;6,"Missing a score",IF(COUNTIF(tblVerifyAssets[Asset ID],tblVerifyAssets[[#This Row],[Asset ID]])&gt;1,"Duplicate asset ID",IF(OR(MAX(tblVerifyAssets[[#This Row],[Safety (1-5)]],tblVerifyAssets[[#This Row],[Environment (1-5)]],tblVerifyAssets[[#This Row],[Production (1-5)]],tblVerifyAssets[[#This Row],[Quality (1-5)]],tblVerifyAssets[[#This Row],[Repair cost (1-5)]],tblVerifyAssets[[#This Row],[Likelihood (1-5)]])&gt;5,MIN(tblVerifyAssets[[#This Row],[Safety (1-5)]],tblVerifyAssets[[#This Row],[Environment (1-5)]],tblVerifyAssets[[#This Row],[Production (1-5)]],tblVerifyAssets[[#This Row],[Quality (1-5)]],tblVerifyAssets[[#This Row],[Repair cost (1-5)]],tblVerifyAssets[[#This Row],[Likelihood (1-5)]])&lt;1),"Score outside 1 to 5",IF(AND(N(tblVerifyAssets[[#This Row],[Failures per year]])&gt;0,N(tblVerifyAssets[[#This Row],[Hours per failure]])=0),"Failures but no hours per failure","OK")))))))</f>
        <v>OK</v>
      </c>
      <c r="V59" s="59" t="s">
        <v>173</v>
      </c>
    </row>
    <row r="60" spans="2:22">
      <c r="B60" s="59" t="s">
        <v>373</v>
      </c>
      <c r="C60" s="59" t="s">
        <v>374</v>
      </c>
      <c r="D60" s="59" t="s">
        <v>370</v>
      </c>
      <c r="E60" s="67">
        <v>1</v>
      </c>
      <c r="F60" s="67">
        <v>1</v>
      </c>
      <c r="G60" s="67">
        <v>2</v>
      </c>
      <c r="H60" s="67">
        <v>1</v>
      </c>
      <c r="I60" s="67">
        <v>1</v>
      </c>
      <c r="J60" s="67">
        <v>3</v>
      </c>
      <c r="K60" s="38">
        <f>IF(tblVerifyAssets[[#This Row],[Asset ID]]="","",IF(COUNT(tblVerifyAssets[[#This Row],[Safety (1-5)]],tblVerifyAssets[[#This Row],[Environment (1-5)]],tblVerifyAssets[[#This Row],[Production (1-5)]],tblVerifyAssets[[#This Row],[Quality (1-5)]],tblVerifyAssets[[#This Row],[Repair cost (1-5)]])&lt;5,"",IF($E$43="Highest score",MAX(tblVerifyAssets[[#This Row],[Safety (1-5)]],tblVerifyAssets[[#This Row],[Environment (1-5)]],tblVerifyAssets[[#This Row],[Production (1-5)]],tblVerifyAssets[[#This Row],[Quality (1-5)]],tblVerifyAssets[[#This Row],[Repair cost (1-5)]]),IFERROR(ROUND((tblVerifyAssets[[#This Row],[Safety (1-5)]]*$E$47+tblVerifyAssets[[#This Row],[Environment (1-5)]]*$E$48+tblVerifyAssets[[#This Row],[Production (1-5)]]*$E$49+tblVerifyAssets[[#This Row],[Quality (1-5)]]*$E$50+tblVerifyAssets[[#This Row],[Repair cost (1-5)]]*$E$51)/($E$47+$E$48+$E$49+$E$50+$E$51),1),""))))</f>
        <v>1.3</v>
      </c>
      <c r="L60" s="38">
        <f>IF(tblVerifyAssets[[#This Row],[Asset ID]]="","",IF(OR(tblVerifyAssets[[#This Row],[Consequence (1-5)]]="",N(tblVerifyAssets[[#This Row],[Likelihood (1-5)]])=0),"",ROUND(tblVerifyAssets[[#This Row],[Consequence (1-5)]]*tblVerifyAssets[[#This Row],[Likelihood (1-5)]],1)))</f>
        <v>3.9</v>
      </c>
      <c r="M60" s="39" t="str">
        <f>IF(tblVerifyAssets[[#This Row],[Asset ID]]="","",IF(tblVerifyAssets[[#This Row],[Criticality (1-25)]]="","",IF(OR(tblVerifyAssets[[#This Row],[Criticality (1-25)]]&gt;=$E$45,AND($E$44="Yes",MAX(tblVerifyAssets[[#This Row],[Safety (1-5)]],tblVerifyAssets[[#This Row],[Environment (1-5)]])&gt;=5)),"A",IF(tblVerifyAssets[[#This Row],[Criticality (1-25)]]&gt;=$E$46,"B","C"))))</f>
        <v>C</v>
      </c>
      <c r="N60" s="40">
        <f>IF(tblVerifyAssets[[#This Row],[Asset ID]]="","",IF(tblVerifyAssets[[#This Row],[Criticality (1-25)]]="","",COUNTIF(tblVerifyAssets[Criticality (1-25)],"&gt;"&amp;tblVerifyAssets[[#This Row],[Criticality (1-25)]])+COUNTIFS(tblVerifyAssets[Criticality (1-25)],tblVerifyAssets[[#This Row],[Criticality (1-25)]],tblVerifyAssets[Asset ID],"&lt;"&amp;tblVerifyAssets[[#This Row],[Asset ID]])+1))</f>
        <v>4</v>
      </c>
      <c r="O60" s="64">
        <v>2</v>
      </c>
      <c r="P60" s="64">
        <v>2</v>
      </c>
      <c r="Q60" s="67">
        <v>1800</v>
      </c>
      <c r="R60" s="67">
        <v>400</v>
      </c>
      <c r="S60" s="40">
        <f>IF(tblVerifyAssets[[#This Row],[Asset ID]]="","",IF(OR(tblVerifyAssets[[#This Row],[Hours per failure]]="",tblVerifyAssets[[#This Row],[Lost output per hour]]=""),"",tblVerifyAssets[[#This Row],[Hours per failure]]*tblVerifyAssets[[#This Row],[Lost output per hour]]+N(tblVerifyAssets[[#This Row],[Repair cost per failure]])))</f>
        <v>4000</v>
      </c>
      <c r="T60" s="40">
        <f>IF(tblVerifyAssets[[#This Row],[Asset ID]]="","",IF(OR(tblVerifyAssets[[#This Row],[Cost per failure]]="",tblVerifyAssets[[#This Row],[Failures per year]]=""),"",tblVerifyAssets[[#This Row],[Failures per year]]*tblVerifyAssets[[#This Row],[Cost per failure]]))</f>
        <v>8000</v>
      </c>
      <c r="U60" s="41" t="str">
        <f>IF(tblVerifyAssets[[#This Row],[Asset ID]]="","",IF(tblVerifyAssets[[#This Row],[Asset]]="","Missing asset",IF(tblVerifyAssets[[#This Row],[Area]]="","Missing area",IF(COUNT(tblVerifyAssets[[#This Row],[Safety (1-5)]],tblVerifyAssets[[#This Row],[Environment (1-5)]],tblVerifyAssets[[#This Row],[Production (1-5)]],tblVerifyAssets[[#This Row],[Quality (1-5)]],tblVerifyAssets[[#This Row],[Repair cost (1-5)]],tblVerifyAssets[[#This Row],[Likelihood (1-5)]])&lt;6,"Missing a score",IF(COUNTIF(tblVerifyAssets[Asset ID],tblVerifyAssets[[#This Row],[Asset ID]])&gt;1,"Duplicate asset ID",IF(OR(MAX(tblVerifyAssets[[#This Row],[Safety (1-5)]],tblVerifyAssets[[#This Row],[Environment (1-5)]],tblVerifyAssets[[#This Row],[Production (1-5)]],tblVerifyAssets[[#This Row],[Quality (1-5)]],tblVerifyAssets[[#This Row],[Repair cost (1-5)]],tblVerifyAssets[[#This Row],[Likelihood (1-5)]])&gt;5,MIN(tblVerifyAssets[[#This Row],[Safety (1-5)]],tblVerifyAssets[[#This Row],[Environment (1-5)]],tblVerifyAssets[[#This Row],[Production (1-5)]],tblVerifyAssets[[#This Row],[Quality (1-5)]],tblVerifyAssets[[#This Row],[Repair cost (1-5)]],tblVerifyAssets[[#This Row],[Likelihood (1-5)]])&lt;1),"Score outside 1 to 5",IF(AND(N(tblVerifyAssets[[#This Row],[Failures per year]])&gt;0,N(tblVerifyAssets[[#This Row],[Hours per failure]])=0),"Failures but no hours per failure","OK")))))))</f>
        <v>OK</v>
      </c>
      <c r="V60" s="59" t="s">
        <v>173</v>
      </c>
    </row>
    <row r="61" spans="2:22">
      <c r="B61" s="59" t="s">
        <v>375</v>
      </c>
      <c r="C61" s="59" t="s">
        <v>376</v>
      </c>
      <c r="D61" s="59" t="s">
        <v>370</v>
      </c>
      <c r="E61" s="67">
        <v>1</v>
      </c>
      <c r="F61" s="67">
        <v>1</v>
      </c>
      <c r="G61" s="67">
        <v>2</v>
      </c>
      <c r="H61" s="67">
        <v>1</v>
      </c>
      <c r="I61" s="67">
        <v>1</v>
      </c>
      <c r="J61" s="67">
        <v>2</v>
      </c>
      <c r="K61" s="38">
        <f>IF(tblVerifyAssets[[#This Row],[Asset ID]]="","",IF(COUNT(tblVerifyAssets[[#This Row],[Safety (1-5)]],tblVerifyAssets[[#This Row],[Environment (1-5)]],tblVerifyAssets[[#This Row],[Production (1-5)]],tblVerifyAssets[[#This Row],[Quality (1-5)]],tblVerifyAssets[[#This Row],[Repair cost (1-5)]])&lt;5,"",IF($E$43="Highest score",MAX(tblVerifyAssets[[#This Row],[Safety (1-5)]],tblVerifyAssets[[#This Row],[Environment (1-5)]],tblVerifyAssets[[#This Row],[Production (1-5)]],tblVerifyAssets[[#This Row],[Quality (1-5)]],tblVerifyAssets[[#This Row],[Repair cost (1-5)]]),IFERROR(ROUND((tblVerifyAssets[[#This Row],[Safety (1-5)]]*$E$47+tblVerifyAssets[[#This Row],[Environment (1-5)]]*$E$48+tblVerifyAssets[[#This Row],[Production (1-5)]]*$E$49+tblVerifyAssets[[#This Row],[Quality (1-5)]]*$E$50+tblVerifyAssets[[#This Row],[Repair cost (1-5)]]*$E$51)/($E$47+$E$48+$E$49+$E$50+$E$51),1),""))))</f>
        <v>1.3</v>
      </c>
      <c r="L61" s="38">
        <f>IF(tblVerifyAssets[[#This Row],[Asset ID]]="","",IF(OR(tblVerifyAssets[[#This Row],[Consequence (1-5)]]="",N(tblVerifyAssets[[#This Row],[Likelihood (1-5)]])=0),"",ROUND(tblVerifyAssets[[#This Row],[Consequence (1-5)]]*tblVerifyAssets[[#This Row],[Likelihood (1-5)]],1)))</f>
        <v>2.6</v>
      </c>
      <c r="M61" s="39" t="str">
        <f>IF(tblVerifyAssets[[#This Row],[Asset ID]]="","",IF(tblVerifyAssets[[#This Row],[Criticality (1-25)]]="","",IF(OR(tblVerifyAssets[[#This Row],[Criticality (1-25)]]&gt;=$E$45,AND($E$44="Yes",MAX(tblVerifyAssets[[#This Row],[Safety (1-5)]],tblVerifyAssets[[#This Row],[Environment (1-5)]])&gt;=5)),"A",IF(tblVerifyAssets[[#This Row],[Criticality (1-25)]]&gt;=$E$46,"B","C"))))</f>
        <v>C</v>
      </c>
      <c r="N61" s="40">
        <f>IF(tblVerifyAssets[[#This Row],[Asset ID]]="","",IF(tblVerifyAssets[[#This Row],[Criticality (1-25)]]="","",COUNTIF(tblVerifyAssets[Criticality (1-25)],"&gt;"&amp;tblVerifyAssets[[#This Row],[Criticality (1-25)]])+COUNTIFS(tblVerifyAssets[Criticality (1-25)],tblVerifyAssets[[#This Row],[Criticality (1-25)]],tblVerifyAssets[Asset ID],"&lt;"&amp;tblVerifyAssets[[#This Row],[Asset ID]])+1))</f>
        <v>6</v>
      </c>
      <c r="O61" s="64">
        <v>3</v>
      </c>
      <c r="P61" s="64">
        <v>0</v>
      </c>
      <c r="Q61" s="67">
        <v>1800</v>
      </c>
      <c r="R61" s="67">
        <v>400</v>
      </c>
      <c r="S61" s="40">
        <f>IF(tblVerifyAssets[[#This Row],[Asset ID]]="","",IF(OR(tblVerifyAssets[[#This Row],[Hours per failure]]="",tblVerifyAssets[[#This Row],[Lost output per hour]]=""),"",tblVerifyAssets[[#This Row],[Hours per failure]]*tblVerifyAssets[[#This Row],[Lost output per hour]]+N(tblVerifyAssets[[#This Row],[Repair cost per failure]])))</f>
        <v>400</v>
      </c>
      <c r="T61" s="40">
        <f>IF(tblVerifyAssets[[#This Row],[Asset ID]]="","",IF(OR(tblVerifyAssets[[#This Row],[Cost per failure]]="",tblVerifyAssets[[#This Row],[Failures per year]]=""),"",tblVerifyAssets[[#This Row],[Failures per year]]*tblVerifyAssets[[#This Row],[Cost per failure]]))</f>
        <v>1200</v>
      </c>
      <c r="U61" s="41" t="str">
        <f>IF(tblVerifyAssets[[#This Row],[Asset ID]]="","",IF(tblVerifyAssets[[#This Row],[Asset]]="","Missing asset",IF(tblVerifyAssets[[#This Row],[Area]]="","Missing area",IF(COUNT(tblVerifyAssets[[#This Row],[Safety (1-5)]],tblVerifyAssets[[#This Row],[Environment (1-5)]],tblVerifyAssets[[#This Row],[Production (1-5)]],tblVerifyAssets[[#This Row],[Quality (1-5)]],tblVerifyAssets[[#This Row],[Repair cost (1-5)]],tblVerifyAssets[[#This Row],[Likelihood (1-5)]])&lt;6,"Missing a score",IF(COUNTIF(tblVerifyAssets[Asset ID],tblVerifyAssets[[#This Row],[Asset ID]])&gt;1,"Duplicate asset ID",IF(OR(MAX(tblVerifyAssets[[#This Row],[Safety (1-5)]],tblVerifyAssets[[#This Row],[Environment (1-5)]],tblVerifyAssets[[#This Row],[Production (1-5)]],tblVerifyAssets[[#This Row],[Quality (1-5)]],tblVerifyAssets[[#This Row],[Repair cost (1-5)]],tblVerifyAssets[[#This Row],[Likelihood (1-5)]])&gt;5,MIN(tblVerifyAssets[[#This Row],[Safety (1-5)]],tblVerifyAssets[[#This Row],[Environment (1-5)]],tblVerifyAssets[[#This Row],[Production (1-5)]],tblVerifyAssets[[#This Row],[Quality (1-5)]],tblVerifyAssets[[#This Row],[Repair cost (1-5)]],tblVerifyAssets[[#This Row],[Likelihood (1-5)]])&lt;1),"Score outside 1 to 5",IF(AND(N(tblVerifyAssets[[#This Row],[Failures per year]])&gt;0,N(tblVerifyAssets[[#This Row],[Hours per failure]])=0),"Failures but no hours per failure","OK")))))))</f>
        <v>Failures but no hours per failure</v>
      </c>
      <c r="V61" s="59" t="s">
        <v>173</v>
      </c>
    </row>
  </sheetData>
  <sheetProtection sheet="1" formatColumns="0" formatRows="0"/>
  <mergeCells count="50">
    <mergeCell ref="A1:V1"/>
    <mergeCell ref="B2:U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B39:L39"/>
    <mergeCell ref="B41:L41"/>
    <mergeCell ref="B42:F42"/>
    <mergeCell ref="B43:D43"/>
    <mergeCell ref="E43:F43"/>
    <mergeCell ref="B44:D44"/>
    <mergeCell ref="E44:F44"/>
    <mergeCell ref="B45:D45"/>
    <mergeCell ref="B46:D46"/>
    <mergeCell ref="B47:D47"/>
    <mergeCell ref="B48:D48"/>
    <mergeCell ref="B49:D49"/>
    <mergeCell ref="B50:D50"/>
    <mergeCell ref="B51:D51"/>
    <mergeCell ref="B53:L5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56:U61">
    <cfRule type="expression" dxfId="3" priority="41">
      <formula>$U56="OK"</formula>
    </cfRule>
    <cfRule type="expression" dxfId="1" priority="42">
      <formula>AND($U56&lt;&gt;"",$U56&lt;&gt;"OK")</formula>
    </cfRule>
  </conditionalFormatting>
  <hyperlinks>
    <hyperlink ref="V2" r:id="rId1" tooltip="Free manufacturing calculators and templates"/>
  </hyperlinks>
  <printOptions horizontalCentered="1"/>
  <pageMargins left="0.4" right="0.4" top="0.7" bottom="0.65" header="0.3" footer="0.3"/>
  <pageSetup fitToHeight="0" orientation="landscape"/>
  <headerFooter>
    <oddHeader>&amp;L&amp;8MFG Calcs - Asset Criticality Ranking&amp;R&amp;8&amp;A</oddHeader>
    <oddFooter>&amp;L&amp;8mfgcalcs.com - free manufacturing templates&amp;R&amp;8Page &amp;P of &amp;N</oddFooter>
  </headerFooter>
  <rowBreaks count="1" manualBreakCount="1">
    <brk id="52"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31</vt:i4>
      </vt:variant>
    </vt:vector>
  </HeadingPairs>
  <TitlesOfParts>
    <vt:vector size="37" baseType="lpstr">
      <vt:lpstr>Start Here</vt:lpstr>
      <vt:lpstr>Setup</vt:lpstr>
      <vt:lpstr>Asset Register</vt:lpstr>
      <vt:lpstr>Dashboard</vt:lpstr>
      <vt:lpstr>Method</vt:lpstr>
      <vt:lpstr>Verify</vt:lpstr>
      <vt:lpstr>ClassA</vt:lpstr>
      <vt:lpstr>ClassB</vt:lpstr>
      <vt:lpstr>ConsMethod</vt:lpstr>
      <vt:lpstr>Currency</vt:lpstr>
      <vt:lpstr>KpiA</vt:lpstr>
      <vt:lpstr>KpiB</vt:lpstr>
      <vt:lpstr>KpiC</vt:lpstr>
      <vt:lpstr>KpiCost</vt:lpstr>
      <vt:lpstr>KpiCostA</vt:lpstr>
      <vt:lpstr>KpiFix</vt:lpstr>
      <vt:lpstr>KpiRanked</vt:lpstr>
      <vt:lpstr>KpiTop</vt:lpstr>
      <vt:lpstr>'Asset Register'!Print_Area</vt:lpstr>
      <vt:lpstr>Dashboard!Print_Area</vt:lpstr>
      <vt:lpstr>Method!Print_Area</vt:lpstr>
      <vt:lpstr>Setup!Print_Area</vt:lpstr>
      <vt:lpstr>'Start Here'!Print_Area</vt:lpstr>
      <vt:lpstr>Verify!Print_Area</vt:lpstr>
      <vt:lpstr>'Asset Register'!Print_Titles</vt:lpstr>
      <vt:lpstr>Method!Print_Titles</vt:lpstr>
      <vt:lpstr>SafetyRule</vt:lpstr>
      <vt:lpstr>SelfCheck</vt:lpstr>
      <vt:lpstr>SelfCheckSummary</vt:lpstr>
      <vt:lpstr>SiteName</vt:lpstr>
      <vt:lpstr>WCost</vt:lpstr>
      <vt:lpstr>WeightCheck</vt:lpstr>
      <vt:lpstr>WeightSum</vt:lpstr>
      <vt:lpstr>WEnv</vt:lpstr>
      <vt:lpstr>WProd</vt:lpstr>
      <vt:lpstr>WQual</vt:lpstr>
      <vt:lpstr>WSafety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Asset Criticality Ranking - free Excel template from MFG Calcs</dc:title>
  <dc:subject>Score every asset on safety, environment, production, quality and repair cost and on likelihood of failure, then rank them into A, B and C classes to focus maintenance.</dc:subject>
  <dc:creator>MFG Calcs</dc:creator>
  <cp:keywords>asset criticality, criticality ranking, criticality analysis, risk matrix, maintenance strategy, reliability, RCM, asset register</cp:keywords>
  <dc:description>https://www.mfgcalcs.com/templates/asset-criticality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asset-criticality</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matrix</vt:lpwstr>
  </property>
  <property fmtid="{D5CDD505-2E9C-101B-9397-08002B2CF9AE}" pid="6" name="Template URL">
    <vt:lpwstr>https://www.mfgcalcs.com/templates/asset-criticality</vt:lpwstr>
  </property>
  <property fmtid="{D5CDD505-2E9C-101B-9397-08002B2CF9AE}" pid="7" name="Template sheet roles">
    <vt:lpwstr>Start Here=start;Setup=setup;Asset Register=work;Dashboard=dashboard;Method=method;Verify=verify</vt:lpwstr>
  </property>
</Properties>
</file>