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Batch Log" sheetId="3" r:id="rId3"/>
    <sheet name="Dashboard" sheetId="4" r:id="rId4"/>
    <sheet name="Method" sheetId="5" r:id="rId5"/>
    <sheet name="Verify" sheetId="6" r:id="rId6"/>
  </sheets>
  <definedNames>
    <definedName name="KpiCount">Dashboard!$B$5</definedName>
    <definedName name="KpiOpen">Dashboard!$J$5</definedName>
    <definedName name="KpiOut">Dashboard!$G$5</definedName>
    <definedName name="KpiWithin">Dashboard!$D$5</definedName>
    <definedName name="PlantName">Setup!$C$6</definedName>
    <definedName name="_xlnm.Print_Area" localSheetId="2">'Batch Log'!$A$1:$V$37</definedName>
    <definedName name="_xlnm.Print_Area" localSheetId="3">Dashboard!$A$1:$M$76</definedName>
    <definedName name="_xlnm.Print_Area" localSheetId="4">Method!$A$1:$D$55</definedName>
    <definedName name="_xlnm.Print_Area" localSheetId="1">Setup!$A$1:$H$16</definedName>
    <definedName name="_xlnm.Print_Area" localSheetId="0">'Start Here'!$A$1:$F$56</definedName>
    <definedName name="_xlnm.Print_Area" localSheetId="5">Verify!$A$1:$V$34</definedName>
    <definedName name="_xlnm.Print_Titles" localSheetId="2">'Batch Log'!$1:$5</definedName>
    <definedName name="_xlnm.Print_Titles" localSheetId="4">Method!$1:$2</definedName>
    <definedName name="Products">tblProducts[Product]</definedName>
    <definedName name="SelfCheck">Verify!$D$4</definedName>
    <definedName name="SelfCheckSummary">Verify!$F$4</definedName>
  </definedNames>
  <calcPr calcId="124519" fullCalcOnLoad="1"/>
</workbook>
</file>

<file path=xl/sharedStrings.xml><?xml version="1.0" encoding="utf-8"?>
<sst xmlns="http://schemas.openxmlformats.org/spreadsheetml/2006/main" count="505" uniqueCount="238">
  <si>
    <t>Batch Yield Reconciliation</t>
  </si>
  <si>
    <t>Read this first: what the workbook does and how to use it.</t>
  </si>
  <si>
    <t>mfgcalcs.com</t>
  </si>
  <si>
    <t>Log every batch's theoretical and actual yield, samples, rejects and losses; get yield and reconciliation against each product's limits, and see which batches need investigating.</t>
  </si>
  <si>
    <t>For: QA and production managers, batch record reviewers and process engineers in pharmaceutical, biotech, nutraceutical and food plants.</t>
  </si>
  <si>
    <t>Version 1.0.0  ·  updated 15 October 2026</t>
  </si>
  <si>
    <t>Quick start</t>
  </si>
  <si>
    <t>1.</t>
  </si>
  <si>
    <t>On Setup, list your products with the unit they are counted in and the yield and reconciliation limits from your validated process.</t>
  </si>
  <si>
    <t>2.</t>
  </si>
  <si>
    <t>On Batch Log, add one row per batch: batch number, date, product, theoretical yield and actual yield.</t>
  </si>
  <si>
    <t>3.</t>
  </si>
  <si>
    <t>Add QC samples, rejects and other accounted losses; read yield, reconciliation, unaccounted quantity and the status words.</t>
  </si>
  <si>
    <t>4.</t>
  </si>
  <si>
    <t>For every batch out of limits, enter the deviation or investigation reference; the Check column names any that are missing.</t>
  </si>
  <si>
    <t>5.</t>
  </si>
  <si>
    <t>Open the Dashboard: the latest batches against their limits, and where each product's material goes.</t>
  </si>
  <si>
    <t>What is in this workbook</t>
  </si>
  <si>
    <t>Start Here</t>
  </si>
  <si>
    <t>Setup</t>
  </si>
  <si>
    <t>Site name and the products you reconcile, with their unit and yield and reconciliation limits.</t>
  </si>
  <si>
    <t>Batch Log</t>
  </si>
  <si>
    <t>One row per batch: theoretical and actual yield, samples, rejects and losses, against the product's limits.</t>
  </si>
  <si>
    <t>Dashboard</t>
  </si>
  <si>
    <t>The latest batches against their limits, and where each product's material goes.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</si>
  <si>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</si>
  <si>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</si>
  <si>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</si>
  <si>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</si>
  <si>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</si>
  <si>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</si>
  <si>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</si>
  <si>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</si>
  <si>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</si>
  <si>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</si>
  <si>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</si>
  <si>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</si>
  <si>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</si>
  <si>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</si>
  <si>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</si>
  <si>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</si>
  <si>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</si>
  <si>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</si>
  <si>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</si>
  <si>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</si>
  <si>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Pharma Batch Yield Calculator on mfgcalcs.com</t>
  </si>
  <si>
    <t>Latest version</t>
  </si>
  <si>
    <t>mfgcalcs.com/templates/batch-yield-reconciliation</t>
  </si>
  <si>
    <t>More free templates</t>
  </si>
  <si>
    <t>mfgcalcs.com/templates</t>
  </si>
  <si>
    <t>Version</t>
  </si>
  <si>
    <t>1.0.0 (updated 15 October 2026)</t>
  </si>
  <si>
    <t>About the example data</t>
  </si>
  <si>
    <t>Every number already in this workbook is example data for Alder Valley Health, a fictional business invented for this template, so the dashboard and charts show something meaningful on day one. It logs 32 batches of four over-the-counter products over eight weeks; quantities and limits are invented for the example. One batch is out of its reconciliation limits without a deviation reference so the Check column has something to name.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</si>
  <si>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</si>
  <si>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</si>
  <si>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</si>
  <si>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</si>
  <si>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</si>
  <si>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</si>
  <si>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</si>
  <si>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</si>
  <si>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Product</t>
  </si>
  <si>
    <t>Unit</t>
  </si>
  <si>
    <t>Yield low</t>
  </si>
  <si>
    <t>Yield high</t>
  </si>
  <si>
    <t>Recon low</t>
  </si>
  <si>
    <t>Recon high</t>
  </si>
  <si>
    <t>Check</t>
  </si>
  <si>
    <t>Site</t>
  </si>
  <si>
    <t>Site or plant</t>
  </si>
  <si>
    <t>Alder Valley Health (example)</t>
  </si>
  <si>
    <t>Products and limits</t>
  </si>
  <si>
    <t>Limits come from your own validated process and master batch record (21 CFR 211.186 requires the statement of theoretical yield and of the percentages beyond which investigation is needed; EU GMP Part I Chapter 5 asks for yields to be checked and discrepancies investigated). The example limits are invented. A yield above the upper limit is out of limits too: counting or weighing may be wrong.</t>
  </si>
  <si>
    <t>Products (example limits)</t>
  </si>
  <si>
    <t>Paracetamol 500 mg</t>
  </si>
  <si>
    <t>tablets</t>
  </si>
  <si>
    <t>Ibuprofen 200 mg</t>
  </si>
  <si>
    <t>capsules</t>
  </si>
  <si>
    <t>Vitamin C 1 g effervescent</t>
  </si>
  <si>
    <t>Cough syrup 100 mL</t>
  </si>
  <si>
    <t>bottles</t>
  </si>
  <si>
    <t>Batch no.</t>
  </si>
  <si>
    <t>Date</t>
  </si>
  <si>
    <t>Theoretical yield</t>
  </si>
  <si>
    <t>Actual yield</t>
  </si>
  <si>
    <t>QC samples</t>
  </si>
  <si>
    <t>Rejects</t>
  </si>
  <si>
    <t>Other accounted</t>
  </si>
  <si>
    <t>Deviation ref</t>
  </si>
  <si>
    <t>Yield</t>
  </si>
  <si>
    <t>Reconciliation</t>
  </si>
  <si>
    <t>Unaccounted</t>
  </si>
  <si>
    <t>Yield status</t>
  </si>
  <si>
    <t>Reconciliation status</t>
  </si>
  <si>
    <t>Notes</t>
  </si>
  <si>
    <t>Example data for Alder Valley Health (fictional). One syrup batch is out of its reconciliation limits without a deviation reference, so its Check says so. Replace the data with your own: select the example rows, right-click, Delete &gt; Table Rows. Keep the log in date order.</t>
  </si>
  <si>
    <t>PT26-101</t>
  </si>
  <si>
    <t/>
  </si>
  <si>
    <t>IC26-101</t>
  </si>
  <si>
    <t>PT26-102</t>
  </si>
  <si>
    <t>VC26-101</t>
  </si>
  <si>
    <t>PT26-103</t>
  </si>
  <si>
    <t>IC26-102</t>
  </si>
  <si>
    <t>CS26-101</t>
  </si>
  <si>
    <t>PT26-104</t>
  </si>
  <si>
    <t>PT26-105</t>
  </si>
  <si>
    <t>IC26-103</t>
  </si>
  <si>
    <t>PT26-106</t>
  </si>
  <si>
    <t>VC26-102</t>
  </si>
  <si>
    <t>PT26-107</t>
  </si>
  <si>
    <t>IC26-104</t>
  </si>
  <si>
    <t>DEV-26-041</t>
  </si>
  <si>
    <t>Fill weight drift on capsule filler, 4 h of rejects</t>
  </si>
  <si>
    <t>CS26-102</t>
  </si>
  <si>
    <t>PT26-108</t>
  </si>
  <si>
    <t>PT26-109</t>
  </si>
  <si>
    <t>IC26-105</t>
  </si>
  <si>
    <t>PT26-110</t>
  </si>
  <si>
    <t>VC26-103</t>
  </si>
  <si>
    <t>PT26-111</t>
  </si>
  <si>
    <t>IC26-106</t>
  </si>
  <si>
    <t>CS26-103</t>
  </si>
  <si>
    <t>Count on the labeller does not match; to be investigated</t>
  </si>
  <si>
    <t>PT26-112</t>
  </si>
  <si>
    <t>PT26-113</t>
  </si>
  <si>
    <t>IC26-107</t>
  </si>
  <si>
    <t>PT26-114</t>
  </si>
  <si>
    <t>VC26-104</t>
  </si>
  <si>
    <t>PT26-115</t>
  </si>
  <si>
    <t>IC26-108</t>
  </si>
  <si>
    <t>CS26-104</t>
  </si>
  <si>
    <t>PT26-116</t>
  </si>
  <si>
    <t>BATCHES RECONCILED</t>
  </si>
  <si>
    <t>WITHIN ALL LIMITS</t>
  </si>
  <si>
    <t>BATCHES OUT OF LIMITS</t>
  </si>
  <si>
    <t>OUT OF LIMITS, NO DEVIATION REF</t>
  </si>
  <si>
    <t>Rows with a theoretical yield</t>
  </si>
  <si>
    <t>Yield and reconciliation both within</t>
  </si>
  <si>
    <t>Yield or reconciliation outside</t>
  </si>
  <si>
    <t>By product: yield and reconciliation (Recon) from the sums, in each product's own unit</t>
  </si>
  <si>
    <t>Batches</t>
  </si>
  <si>
    <t>Theoretical</t>
  </si>
  <si>
    <t>Recon</t>
  </si>
  <si>
    <t>Out of limits</t>
  </si>
  <si>
    <t>Not accounted</t>
  </si>
  <si>
    <t>batches</t>
  </si>
  <si>
    <t>product unit</t>
  </si>
  <si>
    <t>%</t>
  </si>
  <si>
    <t>% of theor.</t>
  </si>
  <si>
    <t>Latest 20 batches (last rows of the Batch Log)</t>
  </si>
  <si>
    <t>The charts and the latest-batches table show the last 20 rows of the Batch Log in table order, so keep the log in date order. By product shows the first 4 products on Setup; the tiles cover every batch.</t>
  </si>
  <si>
    <t>What this workbook calculates</t>
  </si>
  <si>
    <t>Yield reconciliation compares what a batch should have given with what it gave, and accounts for the difference. Theoretical yield is the quantity the batch formula would produce with no loss at all; actual yield is the good output. Reconciliation adds everything else that is documented (QC samples, rejects, other recorded losses) to the actual yield: what is left is unaccounted for. Each product's limits come from your validated process; a batch outside them needs an investigation, recorded by its deviation reference.</t>
  </si>
  <si>
    <t>Calculations</t>
  </si>
  <si>
    <t>Quantity</t>
  </si>
  <si>
    <t>How it is calculated</t>
  </si>
  <si>
    <t>Units</t>
  </si>
  <si>
    <t>Actual yield / theoretical yield.</t>
  </si>
  <si>
    <t>(Actual yield + QC samples + rejects + other accounted) / theoretical yield.</t>
  </si>
  <si>
    <t>Theoretical yield - actual - samples - rejects - other accounted; negative means more was counted than theoretical.</t>
  </si>
  <si>
    <t>Within limits when yield low &lt;= yield &lt;= yield high (product's limits, looked up); otherwise Out of limits.</t>
  </si>
  <si>
    <t>words</t>
  </si>
  <si>
    <t>The same test of reconciliation against the product's reconciliation limits.</t>
  </si>
  <si>
    <t>Product not on Setup list; duplicate batch number; out of limits with no deviation reference.</t>
  </si>
  <si>
    <t>Within all limits</t>
  </si>
  <si>
    <t>Batches with both statuses Within limits / batches with a yield (a count ratio).</t>
  </si>
  <si>
    <t>By product</t>
  </si>
  <si>
    <t>Yield and reconciliation from SUMIFS of the product's batches (same unit), not averages of batch percentages; losses as shares of theoretical.</t>
  </si>
  <si>
    <t>Latest batches</t>
  </si>
  <si>
    <t>The last rows of the Batch Log, found by INDEX/MATCH from the last batch number upward.</t>
  </si>
  <si>
    <t>-</t>
  </si>
  <si>
    <t>Assumptions</t>
  </si>
  <si>
    <t>Every quantity of a batch is in the product's unit; mass-based products use mass for every column.</t>
  </si>
  <si>
    <t>Limits apply to the step being reconciled (granulation, compression, filling or packaging); log one row per batch and step if you reconcile several steps.</t>
  </si>
  <si>
    <t>Batch numbers are unique; the log is kept in date order (the latest-batches view reads the last rows).</t>
  </si>
  <si>
    <t>Limitations</t>
  </si>
  <si>
    <t>The workbook does not judge an investigation: it only shows that a reference exists. Your deviation procedure decides.</t>
  </si>
  <si>
    <t>No assay or potency adjustment of theoretical yield: enter the adjusted theoretical quantity if your batch formula uses one.</t>
  </si>
  <si>
    <t>The Dashboard's product block has 4 slots; a warning appears when the list is longer. The tiles cover every batch.</t>
  </si>
  <si>
    <t>This is a review aid, not a validated computerised system: if you use it for GMP records, validate it under your own procedures (e.g. EU GMP Annex 11, 21 CFR Part 11).</t>
  </si>
  <si>
    <t>Agreement with the live calculator</t>
  </si>
  <si>
    <t>The live Pharma Batch Yield calculator computes yield = released good units / total started or filled units x 100 and the gap to a target. The Yield column is that ratio with actual yield / theoretical yield. The build runs the calculator's own example (238 of 250: 95.2%) and example batch IC26-103 through its engine. Reconciliation, the limit statuses and the deviation check are this workbook's additions; the calculator does not compute them.</t>
  </si>
  <si>
    <t>Open the Pharma Batch Yield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</si>
  <si>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</si>
  <si>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</si>
  <si>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21 CFR 211.103 (calculation of yield), 211.186 (master production records: theoretical yield and limits) and 211.192 (investigation of unexplained discrepancies); summarised, not quoted.</t>
  </si>
  <si>
    <t>EU GMP Guide, Part I, Chapter 5 (Production): yields checked and reconciliation of quantities, with discrepancies investigated.</t>
  </si>
  <si>
    <t>ICH Q7, Good Manufacturing Practice for APIs: expected yield ranges and investigation of yield variations.</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</si>
  <si>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</si>
  <si>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</si>
  <si>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</si>
  <si>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</si>
  <si>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</si>
  <si>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</si>
  <si>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</si>
  <si>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</si>
  <si>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</si>
  <si>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</si>
  <si>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</si>
  <si>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</si>
  <si>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</si>
  <si>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</si>
  <si>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</si>
  <si>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T-1: yield (calculator: 95.2%)</t>
  </si>
  <si>
    <t>T-1: reconciliation</t>
  </si>
  <si>
    <t>T-1: unaccounted</t>
  </si>
  <si>
    <t>T-1: yield status at the lower limit edge</t>
  </si>
  <si>
    <t>Within limits</t>
  </si>
  <si>
    <t>exact</t>
  </si>
  <si>
    <t>T-2: yield below its limit</t>
  </si>
  <si>
    <t>T-2: reconciliation within limits</t>
  </si>
  <si>
    <t>T-2: out of limits with a deviation reference: Check</t>
  </si>
  <si>
    <t>OK</t>
  </si>
  <si>
    <t>T-3: reconciliation</t>
  </si>
  <si>
    <t>T-3: reconciliation status</t>
  </si>
  <si>
    <t>T-3: out of limits, no reference: Check</t>
  </si>
  <si>
    <t>Deviation reference missing</t>
  </si>
  <si>
    <t>T-4: Check names the unknown product</t>
  </si>
  <si>
    <t>Product not on Setup list</t>
  </si>
  <si>
    <t>Batches reconciled (Dashboard formula)</t>
  </si>
  <si>
    <t>Within all limits (Dashboard formula; T-4 has no limits)</t>
  </si>
  <si>
    <t>Out of limits, no deviation ref (Dashboard formula)</t>
  </si>
  <si>
    <t>Fixed test inputs</t>
  </si>
  <si>
    <t>White cells are fixed test inputs; blue cells are the workbook's formulas evaluated on them.</t>
  </si>
  <si>
    <t>Test table: Batches</t>
  </si>
  <si>
    <t>T-1</t>
  </si>
  <si>
    <t>P1</t>
  </si>
  <si>
    <t>units</t>
  </si>
  <si>
    <t>Calculator example</t>
  </si>
  <si>
    <t>T-2</t>
  </si>
  <si>
    <t>DEV-1</t>
  </si>
  <si>
    <t>Low yield, investigated</t>
  </si>
  <si>
    <t>T-3</t>
  </si>
  <si>
    <t>Unaccounted 2%</t>
  </si>
  <si>
    <t>T-4</t>
  </si>
  <si>
    <t>Typo</t>
  </si>
  <si>
    <t>Check speaks</t>
  </si>
</sst>
</file>

<file path=xl/styles.xml><?xml version="1.0" encoding="utf-8"?>
<styleSheet xmlns="http://schemas.openxmlformats.org/spreadsheetml/2006/main">
  <numFmts count="6">
    <numFmt numFmtId="164" formatCode="0.0%"/>
    <numFmt numFmtId="165" formatCode="d mmm yyyy"/>
    <numFmt numFmtId="166" formatCode="#,##0"/>
    <numFmt numFmtId="167" formatCode="0.00%"/>
    <numFmt numFmtId="168" formatCode="&quot;Target &quot;#,##0"/>
    <numFmt numFmtId="169"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1B2430"/>
      <name val="Calibri"/>
      <family val="2"/>
      <scheme val="minor"/>
    </font>
    <font>
      <sz val="9"/>
      <color rgb="FF8A4A06"/>
      <name val="Calibri"/>
      <family val="2"/>
      <scheme val="minor"/>
    </font>
    <font>
      <b/>
      <sz val="9"/>
      <color rgb="FF4A5361"/>
      <name val="Calibri"/>
      <family val="2"/>
      <scheme val="minor"/>
    </font>
    <font>
      <sz val="9"/>
      <color rgb="FF4A5361"/>
      <name val="Calibri"/>
      <family val="2"/>
      <scheme val="minor"/>
    </font>
    <font>
      <i/>
      <sz val="9"/>
      <color rgb="FF6B7280"/>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67">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0" fillId="3" borderId="2" xfId="0" applyFont="1" applyFill="1" applyBorder="1" applyAlignment="1" applyProtection="1">
      <alignment vertical="top" wrapText="1"/>
      <protection locked="0"/>
    </xf>
    <xf numFmtId="164" fontId="10" fillId="3" borderId="2" xfId="0" applyNumberFormat="1" applyFont="1" applyFill="1" applyBorder="1" applyAlignment="1" applyProtection="1">
      <alignment vertical="center"/>
      <protection locked="0"/>
    </xf>
    <xf numFmtId="0" fontId="19" fillId="4" borderId="3" xfId="0" applyFont="1" applyFill="1" applyBorder="1" applyAlignment="1">
      <alignment vertical="center"/>
    </xf>
    <xf numFmtId="0" fontId="20" fillId="7" borderId="2" xfId="0" applyFont="1" applyFill="1" applyBorder="1" applyAlignment="1">
      <alignment vertical="center" wrapText="1"/>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0" fillId="4" borderId="3" xfId="0" applyFont="1" applyFill="1" applyBorder="1" applyAlignment="1">
      <alignment vertical="center"/>
    </xf>
    <xf numFmtId="167"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9" borderId="6" xfId="0" applyFont="1" applyFill="1" applyBorder="1" applyAlignment="1">
      <alignment vertical="center" wrapText="1"/>
    </xf>
    <xf numFmtId="166" fontId="4" fillId="9" borderId="7" xfId="0" applyNumberFormat="1" applyFont="1" applyFill="1" applyBorder="1" applyAlignment="1">
      <alignment horizontal="left" vertical="center"/>
    </xf>
    <xf numFmtId="164" fontId="4" fillId="9" borderId="7" xfId="0" applyNumberFormat="1" applyFont="1" applyFill="1" applyBorder="1" applyAlignment="1">
      <alignment horizontal="left" vertical="center"/>
    </xf>
    <xf numFmtId="0" fontId="22" fillId="9" borderId="7" xfId="0" applyFont="1" applyFill="1" applyBorder="1" applyAlignment="1">
      <alignment vertical="center"/>
    </xf>
    <xf numFmtId="168" fontId="22" fillId="9" borderId="7" xfId="0" applyNumberFormat="1" applyFont="1" applyFill="1" applyBorder="1" applyAlignment="1">
      <alignment horizontal="left" vertical="center"/>
    </xf>
    <xf numFmtId="0" fontId="21" fillId="9" borderId="8" xfId="0" applyFont="1" applyFill="1" applyBorder="1" applyAlignment="1">
      <alignment vertical="center"/>
    </xf>
    <xf numFmtId="0" fontId="18" fillId="2" borderId="5" xfId="0" applyFont="1" applyFill="1" applyBorder="1" applyAlignment="1">
      <alignment horizontal="left" vertical="center" wrapText="1"/>
    </xf>
    <xf numFmtId="0" fontId="23" fillId="0" borderId="0" xfId="0" applyFont="1" applyAlignment="1">
      <alignment horizontal="center" vertical="center"/>
    </xf>
    <xf numFmtId="0" fontId="9" fillId="0" borderId="9" xfId="0" applyFont="1" applyBorder="1" applyAlignment="1">
      <alignment vertical="center"/>
    </xf>
    <xf numFmtId="0" fontId="10" fillId="0" borderId="9" xfId="0" applyFont="1" applyBorder="1" applyAlignment="1">
      <alignment vertical="center"/>
    </xf>
    <xf numFmtId="165" fontId="10" fillId="4" borderId="3" xfId="0" applyNumberFormat="1" applyFont="1" applyFill="1" applyBorder="1" applyAlignment="1">
      <alignment vertical="center"/>
    </xf>
    <xf numFmtId="164" fontId="10"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9" fillId="0" borderId="9" xfId="0" applyNumberFormat="1" applyFont="1" applyBorder="1" applyAlignment="1">
      <alignment horizontal="center" vertical="center"/>
    </xf>
    <xf numFmtId="167" fontId="10" fillId="0" borderId="9" xfId="0" applyNumberFormat="1" applyFont="1" applyBorder="1" applyAlignment="1">
      <alignment vertical="center"/>
    </xf>
    <xf numFmtId="169" fontId="10" fillId="4" borderId="3" xfId="0" applyNumberFormat="1" applyFont="1" applyFill="1" applyBorder="1" applyAlignment="1">
      <alignment vertical="center"/>
    </xf>
    <xf numFmtId="169" fontId="10" fillId="0" borderId="9" xfId="0" applyNumberFormat="1" applyFont="1" applyBorder="1" applyAlignment="1">
      <alignment vertical="center"/>
    </xf>
    <xf numFmtId="166" fontId="10" fillId="0" borderId="9" xfId="0" applyNumberFormat="1" applyFont="1" applyBorder="1" applyAlignment="1">
      <alignment vertical="center"/>
    </xf>
    <xf numFmtId="165"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Yield, latest 20 batches, against limits</a:t>
            </a:r>
          </a:p>
        </c:rich>
      </c:tx>
      <c:layout/>
    </c:title>
    <c:plotArea>
      <c:layout/>
      <c:lineChart>
        <c:grouping val="standard"/>
        <c:ser>
          <c:idx val="0"/>
          <c:order val="0"/>
          <c:tx>
            <c:v>Yield</c:v>
          </c:tx>
          <c:spPr>
            <a:ln w="28575">
              <a:solidFill>
                <a:srgbClr val="3B64D8"/>
              </a:solidFill>
            </a:ln>
          </c:spPr>
          <c:marker>
            <c:symbol val="circle"/>
            <c:size val="5"/>
            <c:spPr>
              <a:solidFill>
                <a:srgbClr val="3B64D8"/>
              </a:solidFill>
              <a:ln>
                <a:solidFill>
                  <a:srgbClr val="3B64D8"/>
                </a:solidFill>
              </a:ln>
            </c:spPr>
          </c:marker>
          <c:cat>
            <c:strRef>
              <c:f>Dashboard!$B$53:$B$72</c:f>
              <c:strCache>
                <c:ptCount val="20"/>
                <c:pt idx="0">
                  <c:v>PT26-107</c:v>
                </c:pt>
                <c:pt idx="1">
                  <c:v>IC26-104</c:v>
                </c:pt>
                <c:pt idx="2">
                  <c:v>CS26-102</c:v>
                </c:pt>
                <c:pt idx="3">
                  <c:v>PT26-108</c:v>
                </c:pt>
                <c:pt idx="4">
                  <c:v>PT26-109</c:v>
                </c:pt>
                <c:pt idx="5">
                  <c:v>IC26-105</c:v>
                </c:pt>
                <c:pt idx="6">
                  <c:v>PT26-110</c:v>
                </c:pt>
                <c:pt idx="7">
                  <c:v>VC26-103</c:v>
                </c:pt>
                <c:pt idx="8">
                  <c:v>PT26-111</c:v>
                </c:pt>
                <c:pt idx="9">
                  <c:v>IC26-106</c:v>
                </c:pt>
                <c:pt idx="10">
                  <c:v>CS26-103</c:v>
                </c:pt>
                <c:pt idx="11">
                  <c:v>PT26-112</c:v>
                </c:pt>
                <c:pt idx="12">
                  <c:v>PT26-113</c:v>
                </c:pt>
                <c:pt idx="13">
                  <c:v>IC26-107</c:v>
                </c:pt>
                <c:pt idx="14">
                  <c:v>PT26-114</c:v>
                </c:pt>
                <c:pt idx="15">
                  <c:v>VC26-104</c:v>
                </c:pt>
                <c:pt idx="16">
                  <c:v>PT26-115</c:v>
                </c:pt>
                <c:pt idx="17">
                  <c:v>IC26-108</c:v>
                </c:pt>
                <c:pt idx="18">
                  <c:v>CS26-104</c:v>
                </c:pt>
                <c:pt idx="19">
                  <c:v>PT26-116</c:v>
                </c:pt>
              </c:strCache>
            </c:strRef>
          </c:cat>
          <c:val>
            <c:numRef>
              <c:f>Dashboard!$G$53:$G$72</c:f>
              <c:numCache>
                <c:formatCode>General</c:formatCode>
                <c:ptCount val="20"/>
                <c:pt idx="0">
                  <c:v>0.984160833333333</c:v>
                </c:pt>
                <c:pt idx="1">
                  <c:v>0.92973375</c:v>
                </c:pt>
                <c:pt idx="2">
                  <c:v>0.986153846153846</c:v>
                </c:pt>
                <c:pt idx="3">
                  <c:v>0.9840025</c:v>
                </c:pt>
                <c:pt idx="4">
                  <c:v>0.991030833333333</c:v>
                </c:pt>
                <c:pt idx="5">
                  <c:v>0.9743325</c:v>
                </c:pt>
                <c:pt idx="6">
                  <c:v>0.979276666666667</c:v>
                </c:pt>
                <c:pt idx="7">
                  <c:v>0.9805675</c:v>
                </c:pt>
                <c:pt idx="8">
                  <c:v>0.978395</c:v>
                </c:pt>
                <c:pt idx="9">
                  <c:v>0.97315125</c:v>
                </c:pt>
                <c:pt idx="10">
                  <c:v>0.968821138211382</c:v>
                </c:pt>
                <c:pt idx="11">
                  <c:v>0.979126666666667</c:v>
                </c:pt>
                <c:pt idx="12">
                  <c:v>0.978305</c:v>
                </c:pt>
                <c:pt idx="13">
                  <c:v>0.96826625</c:v>
                </c:pt>
                <c:pt idx="14">
                  <c:v>0.982306666666667</c:v>
                </c:pt>
                <c:pt idx="15">
                  <c:v>0.9784</c:v>
                </c:pt>
                <c:pt idx="16">
                  <c:v>0.985978333333333</c:v>
                </c:pt>
                <c:pt idx="17">
                  <c:v>0.96709625</c:v>
                </c:pt>
                <c:pt idx="18">
                  <c:v>0.982682926829268</c:v>
                </c:pt>
                <c:pt idx="19">
                  <c:v>0.982461666666667</c:v>
                </c:pt>
              </c:numCache>
            </c:numRef>
          </c:val>
        </c:ser>
        <c:ser>
          <c:idx val="1"/>
          <c:order val="1"/>
          <c:tx>
            <c:v>Yield low</c:v>
          </c:tx>
          <c:spPr>
            <a:ln w="19050">
              <a:solidFill>
                <a:srgbClr val="B3000C"/>
              </a:solidFill>
              <a:prstDash val="dash"/>
            </a:ln>
          </c:spPr>
          <c:marker>
            <c:symbol val="none"/>
          </c:marker>
          <c:cat>
            <c:strRef>
              <c:f>Dashboard!$B$53:$B$72</c:f>
              <c:strCache>
                <c:ptCount val="20"/>
                <c:pt idx="0">
                  <c:v>PT26-107</c:v>
                </c:pt>
                <c:pt idx="1">
                  <c:v>IC26-104</c:v>
                </c:pt>
                <c:pt idx="2">
                  <c:v>CS26-102</c:v>
                </c:pt>
                <c:pt idx="3">
                  <c:v>PT26-108</c:v>
                </c:pt>
                <c:pt idx="4">
                  <c:v>PT26-109</c:v>
                </c:pt>
                <c:pt idx="5">
                  <c:v>IC26-105</c:v>
                </c:pt>
                <c:pt idx="6">
                  <c:v>PT26-110</c:v>
                </c:pt>
                <c:pt idx="7">
                  <c:v>VC26-103</c:v>
                </c:pt>
                <c:pt idx="8">
                  <c:v>PT26-111</c:v>
                </c:pt>
                <c:pt idx="9">
                  <c:v>IC26-106</c:v>
                </c:pt>
                <c:pt idx="10">
                  <c:v>CS26-103</c:v>
                </c:pt>
                <c:pt idx="11">
                  <c:v>PT26-112</c:v>
                </c:pt>
                <c:pt idx="12">
                  <c:v>PT26-113</c:v>
                </c:pt>
                <c:pt idx="13">
                  <c:v>IC26-107</c:v>
                </c:pt>
                <c:pt idx="14">
                  <c:v>PT26-114</c:v>
                </c:pt>
                <c:pt idx="15">
                  <c:v>VC26-104</c:v>
                </c:pt>
                <c:pt idx="16">
                  <c:v>PT26-115</c:v>
                </c:pt>
                <c:pt idx="17">
                  <c:v>IC26-108</c:v>
                </c:pt>
                <c:pt idx="18">
                  <c:v>CS26-104</c:v>
                </c:pt>
                <c:pt idx="19">
                  <c:v>PT26-116</c:v>
                </c:pt>
              </c:strCache>
            </c:strRef>
          </c:cat>
          <c:val>
            <c:numRef>
              <c:f>Dashboard!$H$53:$H$72</c:f>
              <c:numCache>
                <c:formatCode>General</c:formatCode>
                <c:ptCount val="20"/>
                <c:pt idx="0">
                  <c:v>0.95</c:v>
                </c:pt>
                <c:pt idx="1">
                  <c:v>0.94</c:v>
                </c:pt>
                <c:pt idx="2">
                  <c:v>0.95</c:v>
                </c:pt>
                <c:pt idx="3">
                  <c:v>0.95</c:v>
                </c:pt>
                <c:pt idx="4">
                  <c:v>0.95</c:v>
                </c:pt>
                <c:pt idx="5">
                  <c:v>0.94</c:v>
                </c:pt>
                <c:pt idx="6">
                  <c:v>0.95</c:v>
                </c:pt>
                <c:pt idx="7">
                  <c:v>0.95</c:v>
                </c:pt>
                <c:pt idx="8">
                  <c:v>0.95</c:v>
                </c:pt>
                <c:pt idx="9">
                  <c:v>0.94</c:v>
                </c:pt>
                <c:pt idx="10">
                  <c:v>0.95</c:v>
                </c:pt>
                <c:pt idx="11">
                  <c:v>0.95</c:v>
                </c:pt>
                <c:pt idx="12">
                  <c:v>0.95</c:v>
                </c:pt>
                <c:pt idx="13">
                  <c:v>0.94</c:v>
                </c:pt>
                <c:pt idx="14">
                  <c:v>0.95</c:v>
                </c:pt>
                <c:pt idx="15">
                  <c:v>0.95</c:v>
                </c:pt>
                <c:pt idx="16">
                  <c:v>0.95</c:v>
                </c:pt>
                <c:pt idx="17">
                  <c:v>0.94</c:v>
                </c:pt>
                <c:pt idx="18">
                  <c:v>0.95</c:v>
                </c:pt>
                <c:pt idx="19">
                  <c:v>0.95</c:v>
                </c:pt>
              </c:numCache>
            </c:numRef>
          </c:val>
        </c:ser>
        <c:ser>
          <c:idx val="2"/>
          <c:order val="2"/>
          <c:tx>
            <c:v>Yield high</c:v>
          </c:tx>
          <c:spPr>
            <a:ln w="19050">
              <a:solidFill>
                <a:srgbClr val="B3000C"/>
              </a:solidFill>
              <a:prstDash val="dash"/>
            </a:ln>
          </c:spPr>
          <c:marker>
            <c:symbol val="none"/>
          </c:marker>
          <c:cat>
            <c:strRef>
              <c:f>Dashboard!$B$53:$B$72</c:f>
              <c:strCache>
                <c:ptCount val="20"/>
                <c:pt idx="0">
                  <c:v>PT26-107</c:v>
                </c:pt>
                <c:pt idx="1">
                  <c:v>IC26-104</c:v>
                </c:pt>
                <c:pt idx="2">
                  <c:v>CS26-102</c:v>
                </c:pt>
                <c:pt idx="3">
                  <c:v>PT26-108</c:v>
                </c:pt>
                <c:pt idx="4">
                  <c:v>PT26-109</c:v>
                </c:pt>
                <c:pt idx="5">
                  <c:v>IC26-105</c:v>
                </c:pt>
                <c:pt idx="6">
                  <c:v>PT26-110</c:v>
                </c:pt>
                <c:pt idx="7">
                  <c:v>VC26-103</c:v>
                </c:pt>
                <c:pt idx="8">
                  <c:v>PT26-111</c:v>
                </c:pt>
                <c:pt idx="9">
                  <c:v>IC26-106</c:v>
                </c:pt>
                <c:pt idx="10">
                  <c:v>CS26-103</c:v>
                </c:pt>
                <c:pt idx="11">
                  <c:v>PT26-112</c:v>
                </c:pt>
                <c:pt idx="12">
                  <c:v>PT26-113</c:v>
                </c:pt>
                <c:pt idx="13">
                  <c:v>IC26-107</c:v>
                </c:pt>
                <c:pt idx="14">
                  <c:v>PT26-114</c:v>
                </c:pt>
                <c:pt idx="15">
                  <c:v>VC26-104</c:v>
                </c:pt>
                <c:pt idx="16">
                  <c:v>PT26-115</c:v>
                </c:pt>
                <c:pt idx="17">
                  <c:v>IC26-108</c:v>
                </c:pt>
                <c:pt idx="18">
                  <c:v>CS26-104</c:v>
                </c:pt>
                <c:pt idx="19">
                  <c:v>PT26-116</c:v>
                </c:pt>
              </c:strCache>
            </c:strRef>
          </c:cat>
          <c:val>
            <c:numRef>
              <c:f>Dashboard!$I$53:$I$72</c:f>
              <c:numCache>
                <c:formatCode>General</c:formatCode>
                <c:ptCount val="20"/>
                <c:pt idx="0">
                  <c:v>1.01</c:v>
                </c:pt>
                <c:pt idx="1">
                  <c:v>1.01</c:v>
                </c:pt>
                <c:pt idx="2">
                  <c:v>1.01</c:v>
                </c:pt>
                <c:pt idx="3">
                  <c:v>1.01</c:v>
                </c:pt>
                <c:pt idx="4">
                  <c:v>1.01</c:v>
                </c:pt>
                <c:pt idx="5">
                  <c:v>1.01</c:v>
                </c:pt>
                <c:pt idx="6">
                  <c:v>1.01</c:v>
                </c:pt>
                <c:pt idx="7">
                  <c:v>1.01</c:v>
                </c:pt>
                <c:pt idx="8">
                  <c:v>1.01</c:v>
                </c:pt>
                <c:pt idx="9">
                  <c:v>1.01</c:v>
                </c:pt>
                <c:pt idx="10">
                  <c:v>1.01</c:v>
                </c:pt>
                <c:pt idx="11">
                  <c:v>1.01</c:v>
                </c:pt>
                <c:pt idx="12">
                  <c:v>1.01</c:v>
                </c:pt>
                <c:pt idx="13">
                  <c:v>1.01</c:v>
                </c:pt>
                <c:pt idx="14">
                  <c:v>1.01</c:v>
                </c:pt>
                <c:pt idx="15">
                  <c:v>1.01</c:v>
                </c:pt>
                <c:pt idx="16">
                  <c:v>1.01</c:v>
                </c:pt>
                <c:pt idx="17">
                  <c:v>1.01</c:v>
                </c:pt>
                <c:pt idx="18">
                  <c:v>1.01</c:v>
                </c:pt>
                <c:pt idx="19">
                  <c:v>1.01</c:v>
                </c:pt>
              </c:numCache>
            </c:numRef>
          </c:val>
        </c:ser>
        <c:marker val="1"/>
        <c:axId val="50010001"/>
        <c:axId val="50010002"/>
      </c:lineChart>
      <c:catAx>
        <c:axId val="5001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Reconciliation, latest 20 batches</a:t>
            </a:r>
          </a:p>
        </c:rich>
      </c:tx>
      <c:layout/>
    </c:title>
    <c:plotArea>
      <c:layout/>
      <c:lineChart>
        <c:grouping val="standard"/>
        <c:ser>
          <c:idx val="0"/>
          <c:order val="0"/>
          <c:tx>
            <c:v>Reconciliation</c:v>
          </c:tx>
          <c:spPr>
            <a:ln w="28575">
              <a:solidFill>
                <a:srgbClr val="3B64D8"/>
              </a:solidFill>
            </a:ln>
          </c:spPr>
          <c:marker>
            <c:symbol val="circle"/>
            <c:size val="5"/>
            <c:spPr>
              <a:solidFill>
                <a:srgbClr val="3B64D8"/>
              </a:solidFill>
              <a:ln>
                <a:solidFill>
                  <a:srgbClr val="3B64D8"/>
                </a:solidFill>
              </a:ln>
            </c:spPr>
          </c:marker>
          <c:cat>
            <c:strRef>
              <c:f>Dashboard!$B$53:$B$72</c:f>
              <c:strCache>
                <c:ptCount val="20"/>
                <c:pt idx="0">
                  <c:v>PT26-107</c:v>
                </c:pt>
                <c:pt idx="1">
                  <c:v>IC26-104</c:v>
                </c:pt>
                <c:pt idx="2">
                  <c:v>CS26-102</c:v>
                </c:pt>
                <c:pt idx="3">
                  <c:v>PT26-108</c:v>
                </c:pt>
                <c:pt idx="4">
                  <c:v>PT26-109</c:v>
                </c:pt>
                <c:pt idx="5">
                  <c:v>IC26-105</c:v>
                </c:pt>
                <c:pt idx="6">
                  <c:v>PT26-110</c:v>
                </c:pt>
                <c:pt idx="7">
                  <c:v>VC26-103</c:v>
                </c:pt>
                <c:pt idx="8">
                  <c:v>PT26-111</c:v>
                </c:pt>
                <c:pt idx="9">
                  <c:v>IC26-106</c:v>
                </c:pt>
                <c:pt idx="10">
                  <c:v>CS26-103</c:v>
                </c:pt>
                <c:pt idx="11">
                  <c:v>PT26-112</c:v>
                </c:pt>
                <c:pt idx="12">
                  <c:v>PT26-113</c:v>
                </c:pt>
                <c:pt idx="13">
                  <c:v>IC26-107</c:v>
                </c:pt>
                <c:pt idx="14">
                  <c:v>PT26-114</c:v>
                </c:pt>
                <c:pt idx="15">
                  <c:v>VC26-104</c:v>
                </c:pt>
                <c:pt idx="16">
                  <c:v>PT26-115</c:v>
                </c:pt>
                <c:pt idx="17">
                  <c:v>IC26-108</c:v>
                </c:pt>
                <c:pt idx="18">
                  <c:v>CS26-104</c:v>
                </c:pt>
                <c:pt idx="19">
                  <c:v>PT26-116</c:v>
                </c:pt>
              </c:strCache>
            </c:strRef>
          </c:cat>
          <c:val>
            <c:numRef>
              <c:f>Dashboard!$J$53:$J$72</c:f>
              <c:numCache>
                <c:formatCode>General</c:formatCode>
                <c:ptCount val="20"/>
                <c:pt idx="0">
                  <c:v>0.998406666666667</c:v>
                </c:pt>
                <c:pt idx="1">
                  <c:v>0.99878</c:v>
                </c:pt>
                <c:pt idx="2">
                  <c:v>0.997905982905983</c:v>
                </c:pt>
                <c:pt idx="3">
                  <c:v>0.99849</c:v>
                </c:pt>
                <c:pt idx="4">
                  <c:v>0.999290833333333</c:v>
                </c:pt>
                <c:pt idx="5">
                  <c:v>0.997775</c:v>
                </c:pt>
                <c:pt idx="6">
                  <c:v>0.9987875</c:v>
                </c:pt>
                <c:pt idx="7">
                  <c:v>0.9983325</c:v>
                </c:pt>
                <c:pt idx="8">
                  <c:v>0.9986275</c:v>
                </c:pt>
                <c:pt idx="9">
                  <c:v>0.99812125</c:v>
                </c:pt>
                <c:pt idx="10">
                  <c:v>0.983983739837398</c:v>
                </c:pt>
                <c:pt idx="11">
                  <c:v>0.997568333333333</c:v>
                </c:pt>
                <c:pt idx="12">
                  <c:v>0.997620833333333</c:v>
                </c:pt>
                <c:pt idx="13">
                  <c:v>0.9980575</c:v>
                </c:pt>
                <c:pt idx="14">
                  <c:v>0.99946</c:v>
                </c:pt>
                <c:pt idx="15">
                  <c:v>0.99951</c:v>
                </c:pt>
                <c:pt idx="16">
                  <c:v>0.9978125</c:v>
                </c:pt>
                <c:pt idx="17">
                  <c:v>0.9995975</c:v>
                </c:pt>
                <c:pt idx="18">
                  <c:v>0.997439024390244</c:v>
                </c:pt>
                <c:pt idx="19">
                  <c:v>0.996921666666667</c:v>
                </c:pt>
              </c:numCache>
            </c:numRef>
          </c:val>
        </c:ser>
        <c:ser>
          <c:idx val="1"/>
          <c:order val="1"/>
          <c:tx>
            <c:v>Recon low</c:v>
          </c:tx>
          <c:spPr>
            <a:ln w="19050">
              <a:solidFill>
                <a:srgbClr val="B3000C"/>
              </a:solidFill>
              <a:prstDash val="dash"/>
            </a:ln>
          </c:spPr>
          <c:marker>
            <c:symbol val="none"/>
          </c:marker>
          <c:cat>
            <c:strRef>
              <c:f>Dashboard!$B$53:$B$72</c:f>
              <c:strCache>
                <c:ptCount val="20"/>
                <c:pt idx="0">
                  <c:v>PT26-107</c:v>
                </c:pt>
                <c:pt idx="1">
                  <c:v>IC26-104</c:v>
                </c:pt>
                <c:pt idx="2">
                  <c:v>CS26-102</c:v>
                </c:pt>
                <c:pt idx="3">
                  <c:v>PT26-108</c:v>
                </c:pt>
                <c:pt idx="4">
                  <c:v>PT26-109</c:v>
                </c:pt>
                <c:pt idx="5">
                  <c:v>IC26-105</c:v>
                </c:pt>
                <c:pt idx="6">
                  <c:v>PT26-110</c:v>
                </c:pt>
                <c:pt idx="7">
                  <c:v>VC26-103</c:v>
                </c:pt>
                <c:pt idx="8">
                  <c:v>PT26-111</c:v>
                </c:pt>
                <c:pt idx="9">
                  <c:v>IC26-106</c:v>
                </c:pt>
                <c:pt idx="10">
                  <c:v>CS26-103</c:v>
                </c:pt>
                <c:pt idx="11">
                  <c:v>PT26-112</c:v>
                </c:pt>
                <c:pt idx="12">
                  <c:v>PT26-113</c:v>
                </c:pt>
                <c:pt idx="13">
                  <c:v>IC26-107</c:v>
                </c:pt>
                <c:pt idx="14">
                  <c:v>PT26-114</c:v>
                </c:pt>
                <c:pt idx="15">
                  <c:v>VC26-104</c:v>
                </c:pt>
                <c:pt idx="16">
                  <c:v>PT26-115</c:v>
                </c:pt>
                <c:pt idx="17">
                  <c:v>IC26-108</c:v>
                </c:pt>
                <c:pt idx="18">
                  <c:v>CS26-104</c:v>
                </c:pt>
                <c:pt idx="19">
                  <c:v>PT26-116</c:v>
                </c:pt>
              </c:strCache>
            </c:strRef>
          </c:cat>
          <c:val>
            <c:numRef>
              <c:f>Dashboard!$K$53:$K$72</c:f>
              <c:numCache>
                <c:formatCode>General</c:formatCode>
                <c:ptCount val="20"/>
                <c:pt idx="0">
                  <c:v>0.99</c:v>
                </c:pt>
                <c:pt idx="1">
                  <c:v>0.985</c:v>
                </c:pt>
                <c:pt idx="2">
                  <c:v>0.99</c:v>
                </c:pt>
                <c:pt idx="3">
                  <c:v>0.99</c:v>
                </c:pt>
                <c:pt idx="4">
                  <c:v>0.99</c:v>
                </c:pt>
                <c:pt idx="5">
                  <c:v>0.985</c:v>
                </c:pt>
                <c:pt idx="6">
                  <c:v>0.99</c:v>
                </c:pt>
                <c:pt idx="7">
                  <c:v>0.99</c:v>
                </c:pt>
                <c:pt idx="8">
                  <c:v>0.99</c:v>
                </c:pt>
                <c:pt idx="9">
                  <c:v>0.985</c:v>
                </c:pt>
                <c:pt idx="10">
                  <c:v>0.99</c:v>
                </c:pt>
                <c:pt idx="11">
                  <c:v>0.99</c:v>
                </c:pt>
                <c:pt idx="12">
                  <c:v>0.99</c:v>
                </c:pt>
                <c:pt idx="13">
                  <c:v>0.985</c:v>
                </c:pt>
                <c:pt idx="14">
                  <c:v>0.99</c:v>
                </c:pt>
                <c:pt idx="15">
                  <c:v>0.99</c:v>
                </c:pt>
                <c:pt idx="16">
                  <c:v>0.99</c:v>
                </c:pt>
                <c:pt idx="17">
                  <c:v>0.985</c:v>
                </c:pt>
                <c:pt idx="18">
                  <c:v>0.99</c:v>
                </c:pt>
                <c:pt idx="19">
                  <c:v>0.99</c:v>
                </c:pt>
              </c:numCache>
            </c:numRef>
          </c:val>
        </c:ser>
        <c:ser>
          <c:idx val="2"/>
          <c:order val="2"/>
          <c:tx>
            <c:v>Recon high</c:v>
          </c:tx>
          <c:spPr>
            <a:ln w="19050">
              <a:solidFill>
                <a:srgbClr val="B3000C"/>
              </a:solidFill>
              <a:prstDash val="dash"/>
            </a:ln>
          </c:spPr>
          <c:marker>
            <c:symbol val="none"/>
          </c:marker>
          <c:cat>
            <c:strRef>
              <c:f>Dashboard!$B$53:$B$72</c:f>
              <c:strCache>
                <c:ptCount val="20"/>
                <c:pt idx="0">
                  <c:v>PT26-107</c:v>
                </c:pt>
                <c:pt idx="1">
                  <c:v>IC26-104</c:v>
                </c:pt>
                <c:pt idx="2">
                  <c:v>CS26-102</c:v>
                </c:pt>
                <c:pt idx="3">
                  <c:v>PT26-108</c:v>
                </c:pt>
                <c:pt idx="4">
                  <c:v>PT26-109</c:v>
                </c:pt>
                <c:pt idx="5">
                  <c:v>IC26-105</c:v>
                </c:pt>
                <c:pt idx="6">
                  <c:v>PT26-110</c:v>
                </c:pt>
                <c:pt idx="7">
                  <c:v>VC26-103</c:v>
                </c:pt>
                <c:pt idx="8">
                  <c:v>PT26-111</c:v>
                </c:pt>
                <c:pt idx="9">
                  <c:v>IC26-106</c:v>
                </c:pt>
                <c:pt idx="10">
                  <c:v>CS26-103</c:v>
                </c:pt>
                <c:pt idx="11">
                  <c:v>PT26-112</c:v>
                </c:pt>
                <c:pt idx="12">
                  <c:v>PT26-113</c:v>
                </c:pt>
                <c:pt idx="13">
                  <c:v>IC26-107</c:v>
                </c:pt>
                <c:pt idx="14">
                  <c:v>PT26-114</c:v>
                </c:pt>
                <c:pt idx="15">
                  <c:v>VC26-104</c:v>
                </c:pt>
                <c:pt idx="16">
                  <c:v>PT26-115</c:v>
                </c:pt>
                <c:pt idx="17">
                  <c:v>IC26-108</c:v>
                </c:pt>
                <c:pt idx="18">
                  <c:v>CS26-104</c:v>
                </c:pt>
                <c:pt idx="19">
                  <c:v>PT26-116</c:v>
                </c:pt>
              </c:strCache>
            </c:strRef>
          </c:cat>
          <c:val>
            <c:numRef>
              <c:f>Dashboard!$L$53:$L$72</c:f>
              <c:numCache>
                <c:formatCode>General</c:formatCode>
                <c:ptCount val="20"/>
                <c:pt idx="0">
                  <c:v>1.005</c:v>
                </c:pt>
                <c:pt idx="1">
                  <c:v>1.005</c:v>
                </c:pt>
                <c:pt idx="2">
                  <c:v>1.005</c:v>
                </c:pt>
                <c:pt idx="3">
                  <c:v>1.005</c:v>
                </c:pt>
                <c:pt idx="4">
                  <c:v>1.005</c:v>
                </c:pt>
                <c:pt idx="5">
                  <c:v>1.005</c:v>
                </c:pt>
                <c:pt idx="6">
                  <c:v>1.005</c:v>
                </c:pt>
                <c:pt idx="7">
                  <c:v>1.005</c:v>
                </c:pt>
                <c:pt idx="8">
                  <c:v>1.005</c:v>
                </c:pt>
                <c:pt idx="9">
                  <c:v>1.005</c:v>
                </c:pt>
                <c:pt idx="10">
                  <c:v>1.005</c:v>
                </c:pt>
                <c:pt idx="11">
                  <c:v>1.005</c:v>
                </c:pt>
                <c:pt idx="12">
                  <c:v>1.005</c:v>
                </c:pt>
                <c:pt idx="13">
                  <c:v>1.005</c:v>
                </c:pt>
                <c:pt idx="14">
                  <c:v>1.005</c:v>
                </c:pt>
                <c:pt idx="15">
                  <c:v>1.005</c:v>
                </c:pt>
                <c:pt idx="16">
                  <c:v>1.005</c:v>
                </c:pt>
                <c:pt idx="17">
                  <c:v>1.005</c:v>
                </c:pt>
                <c:pt idx="18">
                  <c:v>1.005</c:v>
                </c:pt>
                <c:pt idx="19">
                  <c:v>1.005</c:v>
                </c:pt>
              </c:numCache>
            </c:numRef>
          </c:val>
        </c:ser>
        <c:marker val="1"/>
        <c:axId val="50020001"/>
        <c:axId val="5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scaling>
        <c:axPos val="l"/>
        <c:majorGridlines>
          <c:spPr>
            <a:ln w="9525">
              <a:solidFill>
                <a:srgbClr val="E6E9EE"/>
              </a:solidFill>
            </a:ln>
          </c:spPr>
        </c:majorGridlines>
        <c:numFmt formatCode="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each product's losses go (% of theoretical yield)</a:t>
            </a:r>
          </a:p>
        </c:rich>
      </c:tx>
      <c:layout/>
    </c:title>
    <c:plotArea>
      <c:layout/>
      <c:barChart>
        <c:barDir val="bar"/>
        <c:grouping val="stacked"/>
        <c:ser>
          <c:idx val="0"/>
          <c:order val="0"/>
          <c:tx>
            <c:v>QC samples</c:v>
          </c:tx>
          <c:spPr>
            <a:solidFill>
              <a:srgbClr val="3B64D8"/>
            </a:solidFill>
            <a:ln w="9525">
              <a:solidFill>
                <a:srgbClr val="FFFFFF"/>
              </a:solidFill>
            </a:ln>
          </c:spPr>
          <c:cat>
            <c:strRef>
              <c:f>Dashboard!$B$31:$B$34</c:f>
              <c:strCache>
                <c:ptCount val="4"/>
                <c:pt idx="0">
                  <c:v>Paracetamol 500 mg</c:v>
                </c:pt>
                <c:pt idx="1">
                  <c:v>Ibuprofen 200 mg</c:v>
                </c:pt>
                <c:pt idx="2">
                  <c:v>Vitamin C 1 g effervescent</c:v>
                </c:pt>
                <c:pt idx="3">
                  <c:v>Cough syrup 100 mL</c:v>
                </c:pt>
              </c:strCache>
            </c:strRef>
          </c:cat>
          <c:val>
            <c:numRef>
              <c:f>Dashboard!$J$31:$J$34</c:f>
              <c:numCache>
                <c:formatCode>General</c:formatCode>
                <c:ptCount val="4"/>
                <c:pt idx="0">
                  <c:v>0.000259375</c:v>
                </c:pt>
                <c:pt idx="1">
                  <c:v>0.0003875</c:v>
                </c:pt>
                <c:pt idx="2">
                  <c:v>0.0007875</c:v>
                </c:pt>
                <c:pt idx="3">
                  <c:v>0.00165631469979296</c:v>
                </c:pt>
              </c:numCache>
            </c:numRef>
          </c:val>
        </c:ser>
        <c:ser>
          <c:idx val="1"/>
          <c:order val="1"/>
          <c:tx>
            <c:v>Rejects</c:v>
          </c:tx>
          <c:spPr>
            <a:solidFill>
              <a:srgbClr val="E8702A"/>
            </a:solidFill>
            <a:ln w="9525">
              <a:solidFill>
                <a:srgbClr val="FFFFFF"/>
              </a:solidFill>
            </a:ln>
          </c:spPr>
          <c:cat>
            <c:strRef>
              <c:f>Dashboard!$B$31:$B$34</c:f>
              <c:strCache>
                <c:ptCount val="4"/>
                <c:pt idx="0">
                  <c:v>Paracetamol 500 mg</c:v>
                </c:pt>
                <c:pt idx="1">
                  <c:v>Ibuprofen 200 mg</c:v>
                </c:pt>
                <c:pt idx="2">
                  <c:v>Vitamin C 1 g effervescent</c:v>
                </c:pt>
                <c:pt idx="3">
                  <c:v>Cough syrup 100 mL</c:v>
                </c:pt>
              </c:strCache>
            </c:strRef>
          </c:cat>
          <c:val>
            <c:numRef>
              <c:f>Dashboard!$K$31:$K$34</c:f>
              <c:numCache>
                <c:formatCode>General</c:formatCode>
                <c:ptCount val="4"/>
                <c:pt idx="0">
                  <c:v>0.0123783333333333</c:v>
                </c:pt>
                <c:pt idx="1">
                  <c:v>0.02584625</c:v>
                </c:pt>
                <c:pt idx="2">
                  <c:v>0.012385625</c:v>
                </c:pt>
                <c:pt idx="3">
                  <c:v>0.00751552795031056</c:v>
                </c:pt>
              </c:numCache>
            </c:numRef>
          </c:val>
        </c:ser>
        <c:ser>
          <c:idx val="2"/>
          <c:order val="2"/>
          <c:tx>
            <c:v>Other accounted</c:v>
          </c:tx>
          <c:spPr>
            <a:solidFill>
              <a:srgbClr val="1BA37A"/>
            </a:solidFill>
            <a:ln w="9525">
              <a:solidFill>
                <a:srgbClr val="FFFFFF"/>
              </a:solidFill>
            </a:ln>
          </c:spPr>
          <c:cat>
            <c:strRef>
              <c:f>Dashboard!$B$31:$B$34</c:f>
              <c:strCache>
                <c:ptCount val="4"/>
                <c:pt idx="0">
                  <c:v>Paracetamol 500 mg</c:v>
                </c:pt>
                <c:pt idx="1">
                  <c:v>Ibuprofen 200 mg</c:v>
                </c:pt>
                <c:pt idx="2">
                  <c:v>Vitamin C 1 g effervescent</c:v>
                </c:pt>
                <c:pt idx="3">
                  <c:v>Cough syrup 100 mL</c:v>
                </c:pt>
              </c:strCache>
            </c:strRef>
          </c:cat>
          <c:val>
            <c:numRef>
              <c:f>Dashboard!$L$31:$L$34</c:f>
              <c:numCache>
                <c:formatCode>General</c:formatCode>
                <c:ptCount val="4"/>
                <c:pt idx="0">
                  <c:v>0.00388854166666667</c:v>
                </c:pt>
                <c:pt idx="1">
                  <c:v>0.004996875</c:v>
                </c:pt>
                <c:pt idx="2">
                  <c:v>0.007090625</c:v>
                </c:pt>
                <c:pt idx="3">
                  <c:v>0.00564182194616977</c:v>
                </c:pt>
              </c:numCache>
            </c:numRef>
          </c:val>
        </c:ser>
        <c:ser>
          <c:idx val="3"/>
          <c:order val="3"/>
          <c:tx>
            <c:v>Not accounted for</c:v>
          </c:tx>
          <c:spPr>
            <a:solidFill>
              <a:srgbClr val="E0A100"/>
            </a:solidFill>
            <a:ln w="9525">
              <a:solidFill>
                <a:srgbClr val="FFFFFF"/>
              </a:solidFill>
            </a:ln>
          </c:spPr>
          <c:cat>
            <c:strRef>
              <c:f>Dashboard!$B$31:$B$34</c:f>
              <c:strCache>
                <c:ptCount val="4"/>
                <c:pt idx="0">
                  <c:v>Paracetamol 500 mg</c:v>
                </c:pt>
                <c:pt idx="1">
                  <c:v>Ibuprofen 200 mg</c:v>
                </c:pt>
                <c:pt idx="2">
                  <c:v>Vitamin C 1 g effervescent</c:v>
                </c:pt>
                <c:pt idx="3">
                  <c:v>Cough syrup 100 mL</c:v>
                </c:pt>
              </c:strCache>
            </c:strRef>
          </c:cat>
          <c:val>
            <c:numRef>
              <c:f>Dashboard!$M$31:$M$34</c:f>
              <c:numCache>
                <c:formatCode>General</c:formatCode>
                <c:ptCount val="4"/>
                <c:pt idx="0">
                  <c:v>0.00163130208333333</c:v>
                </c:pt>
                <c:pt idx="1">
                  <c:v>0.00157734375</c:v>
                </c:pt>
                <c:pt idx="2">
                  <c:v>0.001721875</c:v>
                </c:pt>
                <c:pt idx="3">
                  <c:v>0.00580745341614907</c:v>
                </c:pt>
              </c:numCache>
            </c:numRef>
          </c:val>
        </c:ser>
        <c:gapWidth val="60"/>
        <c:overlap val="100"/>
        <c:axId val="50030001"/>
        <c:axId val="50030002"/>
      </c:barChart>
      <c:catAx>
        <c:axId val="5003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scaling>
        <c:axPos val="t"/>
        <c:majorGridlines>
          <c:spPr>
            <a:ln w="9525">
              <a:solidFill>
                <a:srgbClr val="E6E9EE"/>
              </a:solidFill>
            </a:ln>
          </c:spPr>
        </c:majorGridlines>
        <c:numFmt formatCode="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9</xdr:row>
      <xdr:rowOff>38100</xdr:rowOff>
    </xdr:from>
    <xdr:to>
      <xdr:col>6</xdr:col>
      <xdr:colOff>676275</xdr:colOff>
      <xdr:row>25</xdr:row>
      <xdr:rowOff>152400</xdr:rowOff>
    </xdr:to>
    <xdr:graphicFrame macro="">
      <xdr:nvGraphicFramePr>
        <xdr:cNvPr id="2" name="Chart 1" descr="Line chart of the yield of the latest batches, with each batch's lower and upper yield limits as dashed red lines; a point below the lower line is out of limit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38100</xdr:colOff>
      <xdr:row>9</xdr:row>
      <xdr:rowOff>38100</xdr:rowOff>
    </xdr:from>
    <xdr:to>
      <xdr:col>11</xdr:col>
      <xdr:colOff>676275</xdr:colOff>
      <xdr:row>25</xdr:row>
      <xdr:rowOff>152400</xdr:rowOff>
    </xdr:to>
    <xdr:graphicFrame macro="">
      <xdr:nvGraphicFramePr>
        <xdr:cNvPr id="3" name="Chart 2" descr="Line chart of the reconciliation of the latest batches, with each batch's lower and upper reconciliation limits as dashed red line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35</xdr:row>
      <xdr:rowOff>38100</xdr:rowOff>
    </xdr:from>
    <xdr:to>
      <xdr:col>11</xdr:col>
      <xdr:colOff>676275</xdr:colOff>
      <xdr:row>47</xdr:row>
      <xdr:rowOff>152400</xdr:rowOff>
    </xdr:to>
    <xdr:graphicFrame macro="">
      <xdr:nvGraphicFramePr>
        <xdr:cNvPr id="4" name="Chart 3" descr="Stacked bar chart of each product's losses as a share of theoretical yield: QC samples, rejects, other accounted losses and the remainder not accounted fo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id="1" name="tblProducts" displayName="tblProducts" ref="B12:H16" totalsRowShown="0">
  <autoFilter ref="B12:H16"/>
  <tableColumns count="7">
    <tableColumn id="1" name="Product"/>
    <tableColumn id="2" name="Unit"/>
    <tableColumn id="3" name="Yield low"/>
    <tableColumn id="4" name="Yield high"/>
    <tableColumn id="5" name="Recon low"/>
    <tableColumn id="6" name="Recon high"/>
    <tableColumn id="7" name="Check">
      <calculatedColumnFormula>IF(tblProducts[[#This Row],[Unit]]="","Missing unit",IF(tblProducts[[#This Row],[Yield low]]="","Missing yield low",IF(tblProducts[[#This Row],[Yield high]]="","Missing yield high",IF(tblProducts[[#This Row],[Recon low]]="","Missing recon low",IF(tblProducts[[#This Row],[Recon high]]="","Missing recon high",IF(tblProducts[[#This Row],[Yield low]]&gt;tblProducts[[#This Row],[Yield high]],"Yield low above high",IF(tblProducts[[#This Row],[Recon low]]&gt;tblProducts[[#This Row],[Recon high]],"Recon low above high","OK")))))))</calculatedColumnFormula>
    </tableColumn>
  </tableColumns>
  <tableStyleInfo name="TableStyleLight1" showFirstColumn="0" showLastColumn="0" showRowStripes="0" showColumnStripes="0"/>
</table>
</file>

<file path=xl/tables/table2.xml><?xml version="1.0" encoding="utf-8"?>
<table xmlns="http://schemas.openxmlformats.org/spreadsheetml/2006/main" id="2" name="tblBatches" displayName="tblBatches" ref="B5:V37" totalsRowShown="0">
  <autoFilter ref="B5:V37"/>
  <tableColumns count="21">
    <tableColumn id="1" name="Batch no."/>
    <tableColumn id="2" name="Date"/>
    <tableColumn id="3" name="Product"/>
    <tableColumn id="4" name="Theoretical yield"/>
    <tableColumn id="5" name="Actual yield"/>
    <tableColumn id="6" name="QC samples"/>
    <tableColumn id="7" name="Rejects"/>
    <tableColumn id="8" name="Other accounted"/>
    <tableColumn id="9" name="Deviation ref"/>
    <tableColumn id="10" name="Unit">
      <calculatedColumnFormula>IF(tblBatches[[#This Row],[Batch no.]]="","",IFERROR(INDEX(tblProducts[Unit],MATCH(tblBatches[[#This Row],[Product]],tblProducts[Product],0)),""))</calculatedColumnFormula>
    </tableColumn>
    <tableColumn id="11" name="Yield">
      <calculatedColumnFormula>IF(tblBatches[[#This Row],[Batch no.]]="","",IF(tblBatches[[#This Row],[Theoretical yield]]&gt;0,tblBatches[[#This Row],[Actual yield]]/tblBatches[[#This Row],[Theoretical yield]],""))</calculatedColumnFormula>
    </tableColumn>
    <tableColumn id="12" name="Reconciliation">
      <calculatedColumnFormula>IF(tblBatches[[#This Row],[Batch no.]]="","",IF(tblBatches[[#This Row],[Theoretical yield]]&gt;0,(tblBatches[[#This Row],[Actual yield]]+tblBatches[[#This Row],[QC samples]]+tblBatches[[#This Row],[Rejects]]+tblBatches[[#This Row],[Other accounted]])/tblBatches[[#This Row],[Theoretical yield]],""))</calculatedColumnFormula>
    </tableColumn>
    <tableColumn id="13" name="Unaccounted">
      <calculatedColumnFormula>IF(tblBatches[[#This Row],[Batch no.]]="","",tblBatches[[#This Row],[Theoretical yield]]-tblBatches[[#This Row],[Actual yield]]-tblBatches[[#This Row],[QC samples]]-tblBatches[[#This Row],[Rejects]]-tblBatches[[#This Row],[Other accounted]])</calculatedColumnFormula>
    </tableColumn>
    <tableColumn id="14" name="Yield low">
      <calculatedColumnFormula>IF(tblBatches[[#This Row],[Batch no.]]="","",IFERROR(INDEX(tblProducts[Yield low],MATCH(tblBatches[[#This Row],[Product]],tblProducts[Product],0)),""))</calculatedColumnFormula>
    </tableColumn>
    <tableColumn id="15" name="Yield high">
      <calculatedColumnFormula>IF(tblBatches[[#This Row],[Batch no.]]="","",IFERROR(INDEX(tblProducts[Yield high],MATCH(tblBatches[[#This Row],[Product]],tblProducts[Product],0)),""))</calculatedColumnFormula>
    </tableColumn>
    <tableColumn id="16" name="Recon low">
      <calculatedColumnFormula>IF(tblBatches[[#This Row],[Batch no.]]="","",IFERROR(INDEX(tblProducts[Recon low],MATCH(tblBatches[[#This Row],[Product]],tblProducts[Product],0)),""))</calculatedColumnFormula>
    </tableColumn>
    <tableColumn id="17" name="Recon high">
      <calculatedColumnFormula>IF(tblBatches[[#This Row],[Batch no.]]="","",IFERROR(INDEX(tblProducts[Recon high],MATCH(tblBatches[[#This Row],[Product]],tblProducts[Product],0)),""))</calculatedColumnFormula>
    </tableColumn>
    <tableColumn id="18" name="Yield status">
      <calculatedColumnFormula>IF(OR(NOT(ISNUMBER(tblBatches[[#This Row],[Yield]])),tblBatches[[#This Row],[Yield low]]=""),"",IF(AND(tblBatches[[#This Row],[Yield]]&gt;=tblBatches[[#This Row],[Yield low]],tblBatches[[#This Row],[Yield]]&lt;=tblBatches[[#This Row],[Yield high]]),"Within limits","Out of limits"))</calculatedColumnFormula>
    </tableColumn>
    <tableColumn id="19" name="Reconciliation status">
      <calculatedColumnFormula>IF(OR(NOT(ISNUMBER(tblBatches[[#This Row],[Reconciliation]])),tblBatches[[#This Row],[Recon low]]=""),"",IF(AND(tblBatches[[#This Row],[Reconciliation]]&gt;=tblBatches[[#This Row],[Recon low]],tblBatches[[#This Row],[Reconciliation]]&lt;=tblBatches[[#This Row],[Recon high]]),"Within limits","Out of limits"))</calculatedColumnFormula>
    </tableColumn>
    <tableColumn id="20" name="Check">
      <calculatedColumnFormula>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calculatedColumnFormula>
    </tableColumn>
    <tableColumn id="21" name="Notes"/>
  </tableColumns>
  <tableStyleInfo name="TableStyleLight1" showFirstColumn="0" showLastColumn="0" showRowStripes="0" showColumnStripes="0"/>
</table>
</file>

<file path=xl/tables/table3.xml><?xml version="1.0" encoding="utf-8"?>
<table xmlns="http://schemas.openxmlformats.org/spreadsheetml/2006/main" id="3" name="tblVerifyBatches" displayName="tblVerifyBatches" ref="B30:V34" totalsRowShown="0">
  <tableColumns count="21">
    <tableColumn id="1" name="Batch no."/>
    <tableColumn id="2" name="Date"/>
    <tableColumn id="3" name="Product"/>
    <tableColumn id="4" name="Theoretical yield"/>
    <tableColumn id="5" name="Actual yield"/>
    <tableColumn id="6" name="QC samples"/>
    <tableColumn id="7" name="Rejects"/>
    <tableColumn id="8" name="Other accounted"/>
    <tableColumn id="9" name="Deviation ref"/>
    <tableColumn id="10" name="Unit"/>
    <tableColumn id="11" name="Yield">
      <calculatedColumnFormula>IF(tblVerifyBatches[[#This Row],[Batch no.]]="","",IF(tblVerifyBatches[[#This Row],[Theoretical yield]]&gt;0,tblVerifyBatches[[#This Row],[Actual yield]]/tblVerifyBatches[[#This Row],[Theoretical yield]],""))</calculatedColumnFormula>
    </tableColumn>
    <tableColumn id="12" name="Reconciliation">
      <calculatedColumnFormula>IF(tblVerifyBatches[[#This Row],[Batch no.]]="","",IF(tblVerifyBatches[[#This Row],[Theoretical yield]]&gt;0,(tblVerifyBatches[[#This Row],[Actual yield]]+tblVerifyBatches[[#This Row],[QC samples]]+tblVerifyBatches[[#This Row],[Rejects]]+tblVerifyBatches[[#This Row],[Other accounted]])/tblVerifyBatches[[#This Row],[Theoretical yield]],""))</calculatedColumnFormula>
    </tableColumn>
    <tableColumn id="13" name="Unaccounted">
      <calculatedColumnFormula>IF(tblVerifyBatches[[#This Row],[Batch no.]]="","",tblVerifyBatches[[#This Row],[Theoretical yield]]-tblVerifyBatches[[#This Row],[Actual yield]]-tblVerifyBatches[[#This Row],[QC samples]]-tblVerifyBatches[[#This Row],[Rejects]]-tblVerifyBatches[[#This Row],[Other accounted]])</calculatedColumnFormula>
    </tableColumn>
    <tableColumn id="14" name="Yield low"/>
    <tableColumn id="15" name="Yield high"/>
    <tableColumn id="16" name="Recon low"/>
    <tableColumn id="17" name="Recon high"/>
    <tableColumn id="18" name="Yield status">
      <calculatedColumnFormula>IF(OR(NOT(ISNUMBER(tblVerifyBatches[[#This Row],[Yield]])),tblVerifyBatches[[#This Row],[Yield low]]=""),"",IF(AND(tblVerifyBatches[[#This Row],[Yield]]&gt;=tblVerifyBatches[[#This Row],[Yield low]],tblVerifyBatches[[#This Row],[Yield]]&lt;=tblVerifyBatches[[#This Row],[Yield high]]),"Within limits","Out of limits"))</calculatedColumnFormula>
    </tableColumn>
    <tableColumn id="19" name="Reconciliation status">
      <calculatedColumnFormula>IF(OR(NOT(ISNUMBER(tblVerifyBatches[[#This Row],[Reconciliation]])),tblVerifyBatches[[#This Row],[Recon low]]=""),"",IF(AND(tblVerifyBatches[[#This Row],[Reconciliation]]&gt;=tblVerifyBatches[[#This Row],[Recon low]],tblVerifyBatches[[#This Row],[Reconciliation]]&lt;=tblVerifyBatches[[#This Row],[Recon high]]),"Within limits","Out of limits"))</calculatedColumnFormula>
    </tableColumn>
    <tableColumn id="20" name="Check">
      <calculatedColumnFormula>IF(tblVerifyBatches[[#This Row],[Batch no.]]="","",IF(tblVerifyBatches[[#This Row],[Date]]="","Missing date",IF(tblVerifyBatches[[#This Row],[Product]]="","Missing product",IF(tblVerifyBatches[[#This Row],[Theoretical yield]]="","Missing theoretical yield",IF(tblVerifyBatches[[#This Row],[Actual yield]]="","Missing actual yield",IF(tblVerifyBatches[[#This Row],[Unit]]="","Product not on Setup list",IF(COUNTIF(tblVerifyBatches[Batch no.],tblVerifyBatches[[#This Row],[Batch no.]])&gt;1,"Duplicate batch number",IF(AND(OR(tblVerifyBatches[[#This Row],[Yield status]]="Out of limits",tblVerifyBatches[[#This Row],[Reconciliation status]]="Out of limits"),tblVerifyBatches[[#This Row],[Deviation ref]]=""),"Deviation reference missing","OK"))))))))</calculatedColumnFormula>
    </tableColumn>
    <tableColumn id="21"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atch-yield-reconciliation" TargetMode="External"/><Relationship Id="rId2" Type="http://schemas.openxmlformats.org/officeDocument/2006/relationships/hyperlink" Target="https://www.mfgcalcs.com/calculators/pharmaceutical-biotech-gmp-manufacturing/pharma-batch-yield?utm_source=mfgcalcs-template&amp;utm_medium=xlsx&amp;utm_campaign=batch-yield-reconciliation" TargetMode="External"/><Relationship Id="rId3" Type="http://schemas.openxmlformats.org/officeDocument/2006/relationships/hyperlink" Target="https://www.mfgcalcs.com/templates/batch-yield-reconciliation?utm_source=mfgcalcs-template&amp;utm_medium=xlsx&amp;utm_campaign=batch-yield-reconciliation" TargetMode="External"/><Relationship Id="rId4" Type="http://schemas.openxmlformats.org/officeDocument/2006/relationships/hyperlink" Target="https://www.mfgcalcs.com/templates?utm_source=mfgcalcs-template&amp;utm_medium=xlsx&amp;utm_campaign=batch-yield-reconciliation"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atch-yield-reconciliation"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atch-yield-reconciliation"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atch-yield-reconciliation"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atch-yield-reconciliation" TargetMode="External"/><Relationship Id="rId2" Type="http://schemas.openxmlformats.org/officeDocument/2006/relationships/hyperlink" Target="https://www.mfgcalcs.com/calculators/pharmaceutical-biotech-gmp-manufacturing/pharma-batch-yield?utm_source=mfgcalcs-template&amp;utm_medium=xlsx&amp;utm_campaign=batch-yield-reconciliatio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batch-yield-reconciliation"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29.4" customHeight="1">
      <c r="B14" s="9" t="s">
        <v>11</v>
      </c>
      <c r="C14" s="10" t="s">
        <v>12</v>
      </c>
      <c r="D14" s="10"/>
      <c r="E14" s="10"/>
      <c r="F14" s="10"/>
    </row>
    <row r="15" spans="1:6" ht="29.4"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14 of 14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88.2"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Batch Log'!A1" tooltip="Go to Batch Log" display="Batch Log"/>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Batch Yield Reconciliation&amp;R&amp;8&amp;A</oddHeader>
    <oddFooter>&amp;L&amp;8mfgcalcs.com - free manufacturing templates&amp;R&amp;8Page &amp;P of &amp;N</oddFooter>
  </headerFooter>
  <rowBreaks count="1" manualBreakCount="1">
    <brk id="26"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H16"/>
  <sheetViews>
    <sheetView showGridLines="0" workbookViewId="0"/>
  </sheetViews>
  <sheetFormatPr defaultRowHeight="15"/>
  <cols>
    <col min="1" max="1" width="2.7109375" customWidth="1"/>
    <col min="2" max="2" width="34.7109375" customWidth="1"/>
    <col min="3" max="3" width="12.7109375" customWidth="1"/>
    <col min="4" max="7" width="11.7109375" customWidth="1"/>
    <col min="8" max="8" width="30.7109375" customWidth="1"/>
  </cols>
  <sheetData>
    <row r="1" spans="1:8" ht="30" customHeight="1">
      <c r="A1" s="1" t="s">
        <v>0</v>
      </c>
      <c r="B1" s="1"/>
      <c r="C1" s="1"/>
      <c r="D1" s="1"/>
      <c r="E1" s="1"/>
      <c r="F1" s="1"/>
      <c r="G1" s="1"/>
      <c r="H1" s="1"/>
    </row>
    <row r="2" spans="1:8" ht="21" customHeight="1">
      <c r="B2" s="2" t="s">
        <v>20</v>
      </c>
      <c r="C2" s="2"/>
      <c r="D2" s="2"/>
      <c r="E2" s="2"/>
      <c r="F2" s="2"/>
      <c r="G2" s="2"/>
      <c r="H2" s="3" t="s">
        <v>2</v>
      </c>
    </row>
    <row r="3" spans="1:8" ht="6" customHeight="1"/>
    <row r="4" spans="1:8" ht="21" customHeight="1">
      <c r="B4" s="8" t="s">
        <v>69</v>
      </c>
      <c r="C4" s="8"/>
      <c r="D4" s="8"/>
      <c r="E4" s="8"/>
      <c r="F4" s="8"/>
      <c r="G4" s="8"/>
      <c r="H4" s="8"/>
    </row>
    <row r="5" spans="1:8" ht="5" customHeight="1"/>
    <row r="6" spans="1:8">
      <c r="B6" s="27" t="s">
        <v>70</v>
      </c>
      <c r="C6" s="28" t="s">
        <v>71</v>
      </c>
      <c r="D6" s="28"/>
    </row>
    <row r="8" spans="1:8" ht="21" customHeight="1">
      <c r="B8" s="8" t="s">
        <v>72</v>
      </c>
      <c r="C8" s="8"/>
      <c r="D8" s="8"/>
      <c r="E8" s="8"/>
      <c r="F8" s="8"/>
      <c r="G8" s="8"/>
      <c r="H8" s="8"/>
    </row>
    <row r="9" spans="1:8" ht="5" customHeight="1"/>
    <row r="10" spans="1:8" ht="38.64" customHeight="1">
      <c r="B10" s="21" t="s">
        <v>73</v>
      </c>
      <c r="C10" s="21"/>
      <c r="D10" s="21"/>
      <c r="E10" s="21"/>
      <c r="F10" s="21"/>
      <c r="G10" s="21"/>
      <c r="H10" s="21"/>
    </row>
    <row r="11" spans="1:8">
      <c r="B11" s="29" t="s">
        <v>74</v>
      </c>
      <c r="C11" s="29"/>
      <c r="D11" s="29"/>
      <c r="E11" s="29"/>
      <c r="F11" s="29"/>
      <c r="G11" s="29"/>
      <c r="H11" s="29"/>
    </row>
    <row r="12" spans="1:8" ht="20" customHeight="1">
      <c r="B12" s="30" t="s">
        <v>62</v>
      </c>
      <c r="C12" s="30" t="s">
        <v>63</v>
      </c>
      <c r="D12" s="30" t="s">
        <v>64</v>
      </c>
      <c r="E12" s="30" t="s">
        <v>65</v>
      </c>
      <c r="F12" s="30" t="s">
        <v>66</v>
      </c>
      <c r="G12" s="30" t="s">
        <v>67</v>
      </c>
      <c r="H12" s="30" t="s">
        <v>68</v>
      </c>
    </row>
    <row r="13" spans="1:8">
      <c r="B13" s="31" t="s">
        <v>75</v>
      </c>
      <c r="C13" s="28" t="s">
        <v>76</v>
      </c>
      <c r="D13" s="32">
        <v>0.95</v>
      </c>
      <c r="E13" s="32">
        <v>1.01</v>
      </c>
      <c r="F13" s="32">
        <v>0.99</v>
      </c>
      <c r="G13" s="32">
        <v>1.005</v>
      </c>
      <c r="H13" s="33" t="str">
        <f>IF(tblProducts[[#This Row],[Unit]]="","Missing unit",IF(tblProducts[[#This Row],[Yield low]]="","Missing yield low",IF(tblProducts[[#This Row],[Yield high]]="","Missing yield high",IF(tblProducts[[#This Row],[Recon low]]="","Missing recon low",IF(tblProducts[[#This Row],[Recon high]]="","Missing recon high",IF(tblProducts[[#This Row],[Yield low]]&gt;tblProducts[[#This Row],[Yield high]],"Yield low above high",IF(tblProducts[[#This Row],[Recon low]]&gt;tblProducts[[#This Row],[Recon high]],"Recon low above high","OK")))))))</f>
        <v>OK</v>
      </c>
    </row>
    <row r="14" spans="1:8">
      <c r="B14" s="31" t="s">
        <v>77</v>
      </c>
      <c r="C14" s="28" t="s">
        <v>78</v>
      </c>
      <c r="D14" s="32">
        <v>0.9399999999999999</v>
      </c>
      <c r="E14" s="32">
        <v>1.01</v>
      </c>
      <c r="F14" s="32">
        <v>0.985</v>
      </c>
      <c r="G14" s="32">
        <v>1.005</v>
      </c>
      <c r="H14" s="33" t="str">
        <f>IF(tblProducts[[#This Row],[Unit]]="","Missing unit",IF(tblProducts[[#This Row],[Yield low]]="","Missing yield low",IF(tblProducts[[#This Row],[Yield high]]="","Missing yield high",IF(tblProducts[[#This Row],[Recon low]]="","Missing recon low",IF(tblProducts[[#This Row],[Recon high]]="","Missing recon high",IF(tblProducts[[#This Row],[Yield low]]&gt;tblProducts[[#This Row],[Yield high]],"Yield low above high",IF(tblProducts[[#This Row],[Recon low]]&gt;tblProducts[[#This Row],[Recon high]],"Recon low above high","OK")))))))</f>
        <v>OK</v>
      </c>
    </row>
    <row r="15" spans="1:8">
      <c r="B15" s="31" t="s">
        <v>79</v>
      </c>
      <c r="C15" s="28" t="s">
        <v>76</v>
      </c>
      <c r="D15" s="32">
        <v>0.95</v>
      </c>
      <c r="E15" s="32">
        <v>1.01</v>
      </c>
      <c r="F15" s="32">
        <v>0.99</v>
      </c>
      <c r="G15" s="32">
        <v>1.005</v>
      </c>
      <c r="H15" s="33" t="str">
        <f>IF(tblProducts[[#This Row],[Unit]]="","Missing unit",IF(tblProducts[[#This Row],[Yield low]]="","Missing yield low",IF(tblProducts[[#This Row],[Yield high]]="","Missing yield high",IF(tblProducts[[#This Row],[Recon low]]="","Missing recon low",IF(tblProducts[[#This Row],[Recon high]]="","Missing recon high",IF(tblProducts[[#This Row],[Yield low]]&gt;tblProducts[[#This Row],[Yield high]],"Yield low above high",IF(tblProducts[[#This Row],[Recon low]]&gt;tblProducts[[#This Row],[Recon high]],"Recon low above high","OK")))))))</f>
        <v>OK</v>
      </c>
    </row>
    <row r="16" spans="1:8">
      <c r="B16" s="31" t="s">
        <v>80</v>
      </c>
      <c r="C16" s="28" t="s">
        <v>81</v>
      </c>
      <c r="D16" s="32">
        <v>0.95</v>
      </c>
      <c r="E16" s="32">
        <v>1.01</v>
      </c>
      <c r="F16" s="32">
        <v>0.99</v>
      </c>
      <c r="G16" s="32">
        <v>1.005</v>
      </c>
      <c r="H16" s="33" t="str">
        <f>IF(tblProducts[[#This Row],[Unit]]="","Missing unit",IF(tblProducts[[#This Row],[Yield low]]="","Missing yield low",IF(tblProducts[[#This Row],[Yield high]]="","Missing yield high",IF(tblProducts[[#This Row],[Recon low]]="","Missing recon low",IF(tblProducts[[#This Row],[Recon high]]="","Missing recon high",IF(tblProducts[[#This Row],[Yield low]]&gt;tblProducts[[#This Row],[Yield high]],"Yield low above high",IF(tblProducts[[#This Row],[Recon low]]&gt;tblProducts[[#This Row],[Recon high]],"Recon low above high","OK")))))))</f>
        <v>OK</v>
      </c>
    </row>
  </sheetData>
  <mergeCells count="7">
    <mergeCell ref="A1:H1"/>
    <mergeCell ref="B2:G2"/>
    <mergeCell ref="B4:H4"/>
    <mergeCell ref="C6:D6"/>
    <mergeCell ref="B8:H8"/>
    <mergeCell ref="B10:H10"/>
    <mergeCell ref="B11:H11"/>
  </mergeCells>
  <conditionalFormatting sqref="H13:H116">
    <cfRule type="expression" dxfId="3" priority="1">
      <formula>$H13="OK"</formula>
    </cfRule>
    <cfRule type="expression" dxfId="1" priority="2">
      <formula>AND($H13&lt;&gt;"",$H13&lt;&gt;"OK")</formula>
    </cfRule>
  </conditionalFormatting>
  <dataValidations count="7">
    <dataValidation type="textLength" allowBlank="1" showInputMessage="1" showErrorMessage="1" errorTitle="Check this entry" error="Text up to 80 characters." promptTitle="Site or plant" prompt="Text up to 80 characters." sqref="C6">
      <formula1>0</formula1>
      <formula2>80</formula2>
    </dataValidation>
    <dataValidation type="textLength" allowBlank="1" showInputMessage="1" showErrorMessage="1" errorTitle="Check this entry" error="Text up to 60 characters." promptTitle="Product" prompt="Text up to 60 characters." sqref="B13:B116">
      <formula1>0</formula1>
      <formula2>60</formula2>
    </dataValidation>
    <dataValidation type="textLength" allowBlank="1" showInputMessage="1" showErrorMessage="1" errorTitle="Check this entry" error="Text up to 20 characters." promptTitle="Unit" prompt="What the batch is counted in: tablets, capsules, bottles, vials, kg, L... Text up to 20 characters." sqref="C13:C116">
      <formula1>0</formula1>
      <formula2>20</formula2>
    </dataValidation>
    <dataValidation type="decimal" allowBlank="1" showInputMessage="1" showErrorMessage="1" errorTitle="Check this entry" error="Enter a percentage from 0% to 200% (type 85% or 0.85)." promptTitle="Yield low" prompt="Lowest acceptable actual yield / theoretical yield. Enter a percentage from 0% to 200% (type 85% or 0.85)." sqref="D13:D116">
      <formula1>0</formula1>
      <formula2>2</formula2>
    </dataValidation>
    <dataValidation type="decimal" allowBlank="1" showInputMessage="1" showErrorMessage="1" errorTitle="Check this entry" error="Enter a percentage from 0% to 200% (type 85% or 0.85)." promptTitle="Yield high" prompt="Highest acceptable yield; above it, check counts and weights. Enter a percentage from 0% to 200% (type 85% or 0.85)." sqref="E13:E116">
      <formula1>0</formula1>
      <formula2>2</formula2>
    </dataValidation>
    <dataValidation type="decimal" allowBlank="1" showInputMessage="1" showErrorMessage="1" errorTitle="Check this entry" error="Enter a percentage from 0% to 200% (type 85% or 0.85)." promptTitle="Recon low" prompt="Lowest acceptable reconciliation: everything accounted for / theoretical. Enter a percentage from 0% to 200% (type 85% or 0.85)." sqref="F13:F116">
      <formula1>0</formula1>
      <formula2>2</formula2>
    </dataValidation>
    <dataValidation type="decimal" allowBlank="1" showInputMessage="1" showErrorMessage="1" errorTitle="Check this entry" error="Enter a percentage from 0% to 200% (type 85% or 0.85)." promptTitle="Recon high" prompt="Highest acceptable reconciliation. Enter a percentage from 0% to 200% (type 85% or 0.85)." sqref="G13:G116">
      <formula1>0</formula1>
      <formula2>2</formula2>
    </dataValidation>
  </dataValidations>
  <hyperlinks>
    <hyperlink ref="H2" r:id="rId1" tooltip="Free manufacturing calculators and templates"/>
  </hyperlinks>
  <pageMargins left="0.4" right="0.4" top="0.7" bottom="0.65" header="0.3" footer="0.3"/>
  <pageSetup fitToHeight="0" orientation="landscape"/>
  <headerFooter>
    <oddHeader>&amp;L&amp;8MFG Calcs - Batch Yield Reconciliation&amp;R&amp;8&amp;A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V37"/>
  <sheetViews>
    <sheetView workbookViewId="0">
      <pane xSplit="2" ySplit="5" topLeftCell="C6" activePane="bottomRight" state="frozen"/>
      <selection pane="topRight" activeCell="C1" sqref="C1"/>
      <selection pane="bottomLeft" activeCell="A6" sqref="A6"/>
      <selection pane="bottomRight"/>
    </sheetView>
  </sheetViews>
  <sheetFormatPr defaultRowHeight="15"/>
  <cols>
    <col min="1" max="1" width="2.7109375" customWidth="1"/>
    <col min="2" max="2" width="10.7109375" customWidth="1"/>
    <col min="3" max="3" width="11.7109375" customWidth="1"/>
    <col min="4" max="4" width="26.7109375" customWidth="1"/>
    <col min="5" max="5" width="11.7109375" customWidth="1"/>
    <col min="6" max="6" width="10.7109375" customWidth="1"/>
    <col min="7" max="8" width="9.28515625" customWidth="1"/>
    <col min="9" max="9" width="10.28515625" customWidth="1"/>
    <col min="10" max="10" width="11.7109375" customWidth="1"/>
    <col min="11" max="12" width="8.7109375" customWidth="1"/>
    <col min="13" max="13" width="12.7109375" customWidth="1"/>
    <col min="14" max="14" width="12.28515625" customWidth="1"/>
    <col min="15" max="18" width="8.28515625" customWidth="1"/>
    <col min="19" max="19" width="11.7109375" customWidth="1"/>
    <col min="20" max="20" width="13.7109375" customWidth="1"/>
    <col min="21" max="21" width="24.7109375" customWidth="1"/>
    <col min="22" max="22" width="30.7109375" customWidth="1"/>
  </cols>
  <sheetData>
    <row r="1" spans="1:22" ht="30" customHeight="1">
      <c r="A1" s="1" t="s">
        <v>0</v>
      </c>
      <c r="B1" s="1"/>
      <c r="C1" s="1"/>
      <c r="D1" s="1"/>
      <c r="E1" s="1"/>
      <c r="F1" s="1"/>
      <c r="G1" s="1"/>
      <c r="H1" s="1"/>
      <c r="I1" s="1"/>
      <c r="J1" s="1"/>
      <c r="K1" s="1"/>
      <c r="L1" s="1"/>
      <c r="M1" s="1"/>
      <c r="N1" s="1"/>
      <c r="O1" s="1"/>
      <c r="P1" s="1"/>
      <c r="Q1" s="1"/>
      <c r="R1" s="1"/>
      <c r="S1" s="1"/>
      <c r="T1" s="1"/>
      <c r="U1" s="1"/>
      <c r="V1" s="1"/>
    </row>
    <row r="2" spans="1:22" ht="21" customHeight="1">
      <c r="B2" s="2" t="s">
        <v>22</v>
      </c>
      <c r="C2" s="2"/>
      <c r="D2" s="2"/>
      <c r="E2" s="2"/>
      <c r="F2" s="2"/>
      <c r="G2" s="2"/>
      <c r="H2" s="2"/>
      <c r="I2" s="2"/>
      <c r="J2" s="2"/>
      <c r="K2" s="2"/>
      <c r="L2" s="2"/>
      <c r="M2" s="2"/>
      <c r="N2" s="2"/>
      <c r="O2" s="2"/>
      <c r="P2" s="2"/>
      <c r="Q2" s="2"/>
      <c r="R2" s="2"/>
      <c r="S2" s="2"/>
      <c r="T2" s="2"/>
      <c r="U2" s="2"/>
      <c r="V2" s="3" t="s">
        <v>2</v>
      </c>
    </row>
    <row r="3" spans="1:22" ht="6" customHeight="1"/>
    <row r="4" spans="1:22" ht="29.76" customHeight="1">
      <c r="B4" s="34" t="s">
        <v>96</v>
      </c>
      <c r="C4" s="34"/>
      <c r="D4" s="34"/>
      <c r="E4" s="34"/>
      <c r="F4" s="34"/>
      <c r="G4" s="34"/>
      <c r="H4" s="34"/>
      <c r="I4" s="34"/>
      <c r="J4" s="34"/>
      <c r="K4" s="34"/>
      <c r="L4" s="34"/>
      <c r="M4" s="34"/>
      <c r="N4" s="34"/>
      <c r="O4" s="34"/>
      <c r="P4" s="34"/>
      <c r="Q4" s="34"/>
      <c r="R4" s="34"/>
      <c r="S4" s="34"/>
      <c r="T4" s="34"/>
      <c r="U4" s="34"/>
      <c r="V4" s="34"/>
    </row>
    <row r="5" spans="1:22" ht="32" customHeight="1">
      <c r="B5" s="30" t="s">
        <v>82</v>
      </c>
      <c r="C5" s="30" t="s">
        <v>83</v>
      </c>
      <c r="D5" s="30" t="s">
        <v>62</v>
      </c>
      <c r="E5" s="30" t="s">
        <v>84</v>
      </c>
      <c r="F5" s="30" t="s">
        <v>85</v>
      </c>
      <c r="G5" s="30" t="s">
        <v>86</v>
      </c>
      <c r="H5" s="30" t="s">
        <v>87</v>
      </c>
      <c r="I5" s="30" t="s">
        <v>88</v>
      </c>
      <c r="J5" s="30" t="s">
        <v>89</v>
      </c>
      <c r="K5" s="30" t="s">
        <v>63</v>
      </c>
      <c r="L5" s="30" t="s">
        <v>90</v>
      </c>
      <c r="M5" s="30" t="s">
        <v>91</v>
      </c>
      <c r="N5" s="30" t="s">
        <v>92</v>
      </c>
      <c r="O5" s="30" t="s">
        <v>64</v>
      </c>
      <c r="P5" s="30" t="s">
        <v>65</v>
      </c>
      <c r="Q5" s="30" t="s">
        <v>66</v>
      </c>
      <c r="R5" s="30" t="s">
        <v>67</v>
      </c>
      <c r="S5" s="30" t="s">
        <v>93</v>
      </c>
      <c r="T5" s="30" t="s">
        <v>94</v>
      </c>
      <c r="U5" s="30" t="s">
        <v>68</v>
      </c>
      <c r="V5" s="30" t="s">
        <v>95</v>
      </c>
    </row>
    <row r="6" spans="1:22">
      <c r="B6" s="28" t="s">
        <v>97</v>
      </c>
      <c r="C6" s="35">
        <v>46237</v>
      </c>
      <c r="D6" s="28" t="s">
        <v>75</v>
      </c>
      <c r="E6" s="36">
        <v>1200000</v>
      </c>
      <c r="F6" s="36">
        <v>1178307</v>
      </c>
      <c r="G6" s="36">
        <v>300</v>
      </c>
      <c r="H6" s="36">
        <v>13634</v>
      </c>
      <c r="I6" s="36">
        <v>4240</v>
      </c>
      <c r="J6" s="28" t="s">
        <v>98</v>
      </c>
      <c r="K6" s="37" t="str">
        <f>IF(tblBatches[[#This Row],[Batch no.]]="","",IFERROR(INDEX(tblProducts[Unit],MATCH(tblBatches[[#This Row],[Product]],tblProducts[Product],0)),""))</f>
        <v>tablets</v>
      </c>
      <c r="L6" s="38">
        <f>IF(tblBatches[[#This Row],[Batch no.]]="","",IF(tblBatches[[#This Row],[Theoretical yield]]&gt;0,tblBatches[[#This Row],[Actual yield]]/tblBatches[[#This Row],[Theoretical yield]],""))</f>
        <v>0.9819225</v>
      </c>
      <c r="M6" s="38">
        <f>IF(tblBatches[[#This Row],[Batch no.]]="","",IF(tblBatches[[#This Row],[Theoretical yield]]&gt;0,(tblBatches[[#This Row],[Actual yield]]+tblBatches[[#This Row],[QC samples]]+tblBatches[[#This Row],[Rejects]]+tblBatches[[#This Row],[Other accounted]])/tblBatches[[#This Row],[Theoretical yield]],""))</f>
        <v>0.9970675</v>
      </c>
      <c r="N6" s="39">
        <f>IF(tblBatches[[#This Row],[Batch no.]]="","",tblBatches[[#This Row],[Theoretical yield]]-tblBatches[[#This Row],[Actual yield]]-tblBatches[[#This Row],[QC samples]]-tblBatches[[#This Row],[Rejects]]-tblBatches[[#This Row],[Other accounted]])</f>
        <v>3519</v>
      </c>
      <c r="O6" s="40">
        <f>IF(tblBatches[[#This Row],[Batch no.]]="","",IFERROR(INDEX(tblProducts[Yield low],MATCH(tblBatches[[#This Row],[Product]],tblProducts[Product],0)),""))</f>
        <v>0.95</v>
      </c>
      <c r="P6" s="40">
        <f>IF(tblBatches[[#This Row],[Batch no.]]="","",IFERROR(INDEX(tblProducts[Yield high],MATCH(tblBatches[[#This Row],[Product]],tblProducts[Product],0)),""))</f>
        <v>1.01</v>
      </c>
      <c r="Q6" s="40">
        <f>IF(tblBatches[[#This Row],[Batch no.]]="","",IFERROR(INDEX(tblProducts[Recon low],MATCH(tblBatches[[#This Row],[Product]],tblProducts[Product],0)),""))</f>
        <v>0.99</v>
      </c>
      <c r="R6" s="40">
        <f>IF(tblBatches[[#This Row],[Batch no.]]="","",IFERROR(INDEX(tblProducts[Recon high],MATCH(tblBatches[[#This Row],[Product]],tblProducts[Product],0)),""))</f>
        <v>1.005</v>
      </c>
      <c r="S6" s="41" t="str">
        <f>IF(OR(NOT(ISNUMBER(tblBatches[[#This Row],[Yield]])),tblBatches[[#This Row],[Yield low]]=""),"",IF(AND(tblBatches[[#This Row],[Yield]]&gt;=tblBatches[[#This Row],[Yield low]],tblBatches[[#This Row],[Yield]]&lt;=tblBatches[[#This Row],[Yield high]]),"Within limits","Out of limits"))</f>
        <v>Within limits</v>
      </c>
      <c r="T6" s="41" t="str">
        <f>IF(OR(NOT(ISNUMBER(tblBatches[[#This Row],[Reconciliation]])),tblBatches[[#This Row],[Recon low]]=""),"",IF(AND(tblBatches[[#This Row],[Reconciliation]]&gt;=tblBatches[[#This Row],[Recon low]],tblBatches[[#This Row],[Reconciliation]]&lt;=tblBatches[[#This Row],[Recon high]]),"Within limits","Out of limits"))</f>
        <v>Within limits</v>
      </c>
      <c r="U6"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6" s="31" t="s">
        <v>98</v>
      </c>
    </row>
    <row r="7" spans="1:22">
      <c r="B7" s="28" t="s">
        <v>99</v>
      </c>
      <c r="C7" s="35">
        <v>46238</v>
      </c>
      <c r="D7" s="28" t="s">
        <v>77</v>
      </c>
      <c r="E7" s="36">
        <v>800000</v>
      </c>
      <c r="F7" s="36">
        <v>778854</v>
      </c>
      <c r="G7" s="36">
        <v>300</v>
      </c>
      <c r="H7" s="36">
        <v>17385</v>
      </c>
      <c r="I7" s="36">
        <v>1719</v>
      </c>
      <c r="J7" s="28" t="s">
        <v>98</v>
      </c>
      <c r="K7" s="37" t="str">
        <f>IF(tblBatches[[#This Row],[Batch no.]]="","",IFERROR(INDEX(tblProducts[Unit],MATCH(tblBatches[[#This Row],[Product]],tblProducts[Product],0)),""))</f>
        <v>capsules</v>
      </c>
      <c r="L7" s="38">
        <f>IF(tblBatches[[#This Row],[Batch no.]]="","",IF(tblBatches[[#This Row],[Theoretical yield]]&gt;0,tblBatches[[#This Row],[Actual yield]]/tblBatches[[#This Row],[Theoretical yield]],""))</f>
        <v>0.9735675</v>
      </c>
      <c r="M7" s="38">
        <f>IF(tblBatches[[#This Row],[Batch no.]]="","",IF(tblBatches[[#This Row],[Theoretical yield]]&gt;0,(tblBatches[[#This Row],[Actual yield]]+tblBatches[[#This Row],[QC samples]]+tblBatches[[#This Row],[Rejects]]+tblBatches[[#This Row],[Other accounted]])/tblBatches[[#This Row],[Theoretical yield]],""))</f>
        <v>0.9978225</v>
      </c>
      <c r="N7" s="39">
        <f>IF(tblBatches[[#This Row],[Batch no.]]="","",tblBatches[[#This Row],[Theoretical yield]]-tblBatches[[#This Row],[Actual yield]]-tblBatches[[#This Row],[QC samples]]-tblBatches[[#This Row],[Rejects]]-tblBatches[[#This Row],[Other accounted]])</f>
        <v>1742</v>
      </c>
      <c r="O7" s="40">
        <f>IF(tblBatches[[#This Row],[Batch no.]]="","",IFERROR(INDEX(tblProducts[Yield low],MATCH(tblBatches[[#This Row],[Product]],tblProducts[Product],0)),""))</f>
        <v>0.94</v>
      </c>
      <c r="P7" s="40">
        <f>IF(tblBatches[[#This Row],[Batch no.]]="","",IFERROR(INDEX(tblProducts[Yield high],MATCH(tblBatches[[#This Row],[Product]],tblProducts[Product],0)),""))</f>
        <v>1.01</v>
      </c>
      <c r="Q7" s="40">
        <f>IF(tblBatches[[#This Row],[Batch no.]]="","",IFERROR(INDEX(tblProducts[Recon low],MATCH(tblBatches[[#This Row],[Product]],tblProducts[Product],0)),""))</f>
        <v>0.985</v>
      </c>
      <c r="R7" s="40">
        <f>IF(tblBatches[[#This Row],[Batch no.]]="","",IFERROR(INDEX(tblProducts[Recon high],MATCH(tblBatches[[#This Row],[Product]],tblProducts[Product],0)),""))</f>
        <v>1.005</v>
      </c>
      <c r="S7" s="41" t="str">
        <f>IF(OR(NOT(ISNUMBER(tblBatches[[#This Row],[Yield]])),tblBatches[[#This Row],[Yield low]]=""),"",IF(AND(tblBatches[[#This Row],[Yield]]&gt;=tblBatches[[#This Row],[Yield low]],tblBatches[[#This Row],[Yield]]&lt;=tblBatches[[#This Row],[Yield high]]),"Within limits","Out of limits"))</f>
        <v>Within limits</v>
      </c>
      <c r="T7" s="41" t="str">
        <f>IF(OR(NOT(ISNUMBER(tblBatches[[#This Row],[Reconciliation]])),tblBatches[[#This Row],[Recon low]]=""),"",IF(AND(tblBatches[[#This Row],[Reconciliation]]&gt;=tblBatches[[#This Row],[Recon low]],tblBatches[[#This Row],[Reconciliation]]&lt;=tblBatches[[#This Row],[Recon high]]),"Within limits","Out of limits"))</f>
        <v>Within limits</v>
      </c>
      <c r="U7"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7" s="31" t="s">
        <v>98</v>
      </c>
    </row>
    <row r="8" spans="1:22">
      <c r="B8" s="28" t="s">
        <v>100</v>
      </c>
      <c r="C8" s="35">
        <v>46239</v>
      </c>
      <c r="D8" s="28" t="s">
        <v>75</v>
      </c>
      <c r="E8" s="36">
        <v>1200000</v>
      </c>
      <c r="F8" s="36">
        <v>1180472</v>
      </c>
      <c r="G8" s="36">
        <v>320</v>
      </c>
      <c r="H8" s="36">
        <v>13644</v>
      </c>
      <c r="I8" s="36">
        <v>5227</v>
      </c>
      <c r="J8" s="28" t="s">
        <v>98</v>
      </c>
      <c r="K8" s="37" t="str">
        <f>IF(tblBatches[[#This Row],[Batch no.]]="","",IFERROR(INDEX(tblProducts[Unit],MATCH(tblBatches[[#This Row],[Product]],tblProducts[Product],0)),""))</f>
        <v>tablets</v>
      </c>
      <c r="L8" s="38">
        <f>IF(tblBatches[[#This Row],[Batch no.]]="","",IF(tblBatches[[#This Row],[Theoretical yield]]&gt;0,tblBatches[[#This Row],[Actual yield]]/tblBatches[[#This Row],[Theoretical yield]],""))</f>
        <v>0.983726666666667</v>
      </c>
      <c r="M8" s="38">
        <f>IF(tblBatches[[#This Row],[Batch no.]]="","",IF(tblBatches[[#This Row],[Theoretical yield]]&gt;0,(tblBatches[[#This Row],[Actual yield]]+tblBatches[[#This Row],[QC samples]]+tblBatches[[#This Row],[Rejects]]+tblBatches[[#This Row],[Other accounted]])/tblBatches[[#This Row],[Theoretical yield]],""))</f>
        <v>0.999719166666667</v>
      </c>
      <c r="N8" s="39">
        <f>IF(tblBatches[[#This Row],[Batch no.]]="","",tblBatches[[#This Row],[Theoretical yield]]-tblBatches[[#This Row],[Actual yield]]-tblBatches[[#This Row],[QC samples]]-tblBatches[[#This Row],[Rejects]]-tblBatches[[#This Row],[Other accounted]])</f>
        <v>337</v>
      </c>
      <c r="O8" s="40">
        <f>IF(tblBatches[[#This Row],[Batch no.]]="","",IFERROR(INDEX(tblProducts[Yield low],MATCH(tblBatches[[#This Row],[Product]],tblProducts[Product],0)),""))</f>
        <v>0.95</v>
      </c>
      <c r="P8" s="40">
        <f>IF(tblBatches[[#This Row],[Batch no.]]="","",IFERROR(INDEX(tblProducts[Yield high],MATCH(tblBatches[[#This Row],[Product]],tblProducts[Product],0)),""))</f>
        <v>1.01</v>
      </c>
      <c r="Q8" s="40">
        <f>IF(tblBatches[[#This Row],[Batch no.]]="","",IFERROR(INDEX(tblProducts[Recon low],MATCH(tblBatches[[#This Row],[Product]],tblProducts[Product],0)),""))</f>
        <v>0.99</v>
      </c>
      <c r="R8" s="40">
        <f>IF(tblBatches[[#This Row],[Batch no.]]="","",IFERROR(INDEX(tblProducts[Recon high],MATCH(tblBatches[[#This Row],[Product]],tblProducts[Product],0)),""))</f>
        <v>1.005</v>
      </c>
      <c r="S8" s="41" t="str">
        <f>IF(OR(NOT(ISNUMBER(tblBatches[[#This Row],[Yield]])),tblBatches[[#This Row],[Yield low]]=""),"",IF(AND(tblBatches[[#This Row],[Yield]]&gt;=tblBatches[[#This Row],[Yield low]],tblBatches[[#This Row],[Yield]]&lt;=tblBatches[[#This Row],[Yield high]]),"Within limits","Out of limits"))</f>
        <v>Within limits</v>
      </c>
      <c r="T8" s="41" t="str">
        <f>IF(OR(NOT(ISNUMBER(tblBatches[[#This Row],[Reconciliation]])),tblBatches[[#This Row],[Recon low]]=""),"",IF(AND(tblBatches[[#This Row],[Reconciliation]]&gt;=tblBatches[[#This Row],[Recon low]],tblBatches[[#This Row],[Reconciliation]]&lt;=tblBatches[[#This Row],[Recon high]]),"Within limits","Out of limits"))</f>
        <v>Within limits</v>
      </c>
      <c r="U8"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8" s="31" t="s">
        <v>98</v>
      </c>
    </row>
    <row r="9" spans="1:22">
      <c r="B9" s="28" t="s">
        <v>101</v>
      </c>
      <c r="C9" s="35">
        <v>46241</v>
      </c>
      <c r="D9" s="28" t="s">
        <v>79</v>
      </c>
      <c r="E9" s="36">
        <v>400000</v>
      </c>
      <c r="F9" s="36">
        <v>390604</v>
      </c>
      <c r="G9" s="36">
        <v>320</v>
      </c>
      <c r="H9" s="36">
        <v>5311</v>
      </c>
      <c r="I9" s="36">
        <v>3081</v>
      </c>
      <c r="J9" s="28" t="s">
        <v>98</v>
      </c>
      <c r="K9" s="37" t="str">
        <f>IF(tblBatches[[#This Row],[Batch no.]]="","",IFERROR(INDEX(tblProducts[Unit],MATCH(tblBatches[[#This Row],[Product]],tblProducts[Product],0)),""))</f>
        <v>tablets</v>
      </c>
      <c r="L9" s="38">
        <f>IF(tblBatches[[#This Row],[Batch no.]]="","",IF(tblBatches[[#This Row],[Theoretical yield]]&gt;0,tblBatches[[#This Row],[Actual yield]]/tblBatches[[#This Row],[Theoretical yield]],""))</f>
        <v>0.97651</v>
      </c>
      <c r="M9" s="38">
        <f>IF(tblBatches[[#This Row],[Batch no.]]="","",IF(tblBatches[[#This Row],[Theoretical yield]]&gt;0,(tblBatches[[#This Row],[Actual yield]]+tblBatches[[#This Row],[QC samples]]+tblBatches[[#This Row],[Rejects]]+tblBatches[[#This Row],[Other accounted]])/tblBatches[[#This Row],[Theoretical yield]],""))</f>
        <v>0.99829</v>
      </c>
      <c r="N9" s="39">
        <f>IF(tblBatches[[#This Row],[Batch no.]]="","",tblBatches[[#This Row],[Theoretical yield]]-tblBatches[[#This Row],[Actual yield]]-tblBatches[[#This Row],[QC samples]]-tblBatches[[#This Row],[Rejects]]-tblBatches[[#This Row],[Other accounted]])</f>
        <v>684</v>
      </c>
      <c r="O9" s="40">
        <f>IF(tblBatches[[#This Row],[Batch no.]]="","",IFERROR(INDEX(tblProducts[Yield low],MATCH(tblBatches[[#This Row],[Product]],tblProducts[Product],0)),""))</f>
        <v>0.95</v>
      </c>
      <c r="P9" s="40">
        <f>IF(tblBatches[[#This Row],[Batch no.]]="","",IFERROR(INDEX(tblProducts[Yield high],MATCH(tblBatches[[#This Row],[Product]],tblProducts[Product],0)),""))</f>
        <v>1.01</v>
      </c>
      <c r="Q9" s="40">
        <f>IF(tblBatches[[#This Row],[Batch no.]]="","",IFERROR(INDEX(tblProducts[Recon low],MATCH(tblBatches[[#This Row],[Product]],tblProducts[Product],0)),""))</f>
        <v>0.99</v>
      </c>
      <c r="R9" s="40">
        <f>IF(tblBatches[[#This Row],[Batch no.]]="","",IFERROR(INDEX(tblProducts[Recon high],MATCH(tblBatches[[#This Row],[Product]],tblProducts[Product],0)),""))</f>
        <v>1.005</v>
      </c>
      <c r="S9" s="41" t="str">
        <f>IF(OR(NOT(ISNUMBER(tblBatches[[#This Row],[Yield]])),tblBatches[[#This Row],[Yield low]]=""),"",IF(AND(tblBatches[[#This Row],[Yield]]&gt;=tblBatches[[#This Row],[Yield low]],tblBatches[[#This Row],[Yield]]&lt;=tblBatches[[#This Row],[Yield high]]),"Within limits","Out of limits"))</f>
        <v>Within limits</v>
      </c>
      <c r="T9" s="41" t="str">
        <f>IF(OR(NOT(ISNUMBER(tblBatches[[#This Row],[Reconciliation]])),tblBatches[[#This Row],[Recon low]]=""),"",IF(AND(tblBatches[[#This Row],[Reconciliation]]&gt;=tblBatches[[#This Row],[Recon low]],tblBatches[[#This Row],[Reconciliation]]&lt;=tblBatches[[#This Row],[Recon high]]),"Within limits","Out of limits"))</f>
        <v>Within limits</v>
      </c>
      <c r="U9"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9" s="31" t="s">
        <v>98</v>
      </c>
    </row>
    <row r="10" spans="1:22">
      <c r="B10" s="28" t="s">
        <v>102</v>
      </c>
      <c r="C10" s="35">
        <v>46244</v>
      </c>
      <c r="D10" s="28" t="s">
        <v>75</v>
      </c>
      <c r="E10" s="36">
        <v>1200000</v>
      </c>
      <c r="F10" s="36">
        <v>1178235</v>
      </c>
      <c r="G10" s="36">
        <v>320</v>
      </c>
      <c r="H10" s="36">
        <v>14714</v>
      </c>
      <c r="I10" s="36">
        <v>3636</v>
      </c>
      <c r="J10" s="28" t="s">
        <v>98</v>
      </c>
      <c r="K10" s="37" t="str">
        <f>IF(tblBatches[[#This Row],[Batch no.]]="","",IFERROR(INDEX(tblProducts[Unit],MATCH(tblBatches[[#This Row],[Product]],tblProducts[Product],0)),""))</f>
        <v>tablets</v>
      </c>
      <c r="L10" s="38">
        <f>IF(tblBatches[[#This Row],[Batch no.]]="","",IF(tblBatches[[#This Row],[Theoretical yield]]&gt;0,tblBatches[[#This Row],[Actual yield]]/tblBatches[[#This Row],[Theoretical yield]],""))</f>
        <v>0.9818625</v>
      </c>
      <c r="M10" s="38">
        <f>IF(tblBatches[[#This Row],[Batch no.]]="","",IF(tblBatches[[#This Row],[Theoretical yield]]&gt;0,(tblBatches[[#This Row],[Actual yield]]+tblBatches[[#This Row],[QC samples]]+tblBatches[[#This Row],[Rejects]]+tblBatches[[#This Row],[Other accounted]])/tblBatches[[#This Row],[Theoretical yield]],""))</f>
        <v>0.997420833333333</v>
      </c>
      <c r="N10" s="39">
        <f>IF(tblBatches[[#This Row],[Batch no.]]="","",tblBatches[[#This Row],[Theoretical yield]]-tblBatches[[#This Row],[Actual yield]]-tblBatches[[#This Row],[QC samples]]-tblBatches[[#This Row],[Rejects]]-tblBatches[[#This Row],[Other accounted]])</f>
        <v>3095</v>
      </c>
      <c r="O10" s="40">
        <f>IF(tblBatches[[#This Row],[Batch no.]]="","",IFERROR(INDEX(tblProducts[Yield low],MATCH(tblBatches[[#This Row],[Product]],tblProducts[Product],0)),""))</f>
        <v>0.95</v>
      </c>
      <c r="P10" s="40">
        <f>IF(tblBatches[[#This Row],[Batch no.]]="","",IFERROR(INDEX(tblProducts[Yield high],MATCH(tblBatches[[#This Row],[Product]],tblProducts[Product],0)),""))</f>
        <v>1.01</v>
      </c>
      <c r="Q10" s="40">
        <f>IF(tblBatches[[#This Row],[Batch no.]]="","",IFERROR(INDEX(tblProducts[Recon low],MATCH(tblBatches[[#This Row],[Product]],tblProducts[Product],0)),""))</f>
        <v>0.99</v>
      </c>
      <c r="R10" s="40">
        <f>IF(tblBatches[[#This Row],[Batch no.]]="","",IFERROR(INDEX(tblProducts[Recon high],MATCH(tblBatches[[#This Row],[Product]],tblProducts[Product],0)),""))</f>
        <v>1.005</v>
      </c>
      <c r="S10" s="41" t="str">
        <f>IF(OR(NOT(ISNUMBER(tblBatches[[#This Row],[Yield]])),tblBatches[[#This Row],[Yield low]]=""),"",IF(AND(tblBatches[[#This Row],[Yield]]&gt;=tblBatches[[#This Row],[Yield low]],tblBatches[[#This Row],[Yield]]&lt;=tblBatches[[#This Row],[Yield high]]),"Within limits","Out of limits"))</f>
        <v>Within limits</v>
      </c>
      <c r="T10" s="41" t="str">
        <f>IF(OR(NOT(ISNUMBER(tblBatches[[#This Row],[Reconciliation]])),tblBatches[[#This Row],[Recon low]]=""),"",IF(AND(tblBatches[[#This Row],[Reconciliation]]&gt;=tblBatches[[#This Row],[Recon low]],tblBatches[[#This Row],[Reconciliation]]&lt;=tblBatches[[#This Row],[Recon high]]),"Within limits","Out of limits"))</f>
        <v>Within limits</v>
      </c>
      <c r="U10"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10" s="31" t="s">
        <v>98</v>
      </c>
    </row>
    <row r="11" spans="1:22">
      <c r="B11" s="28" t="s">
        <v>103</v>
      </c>
      <c r="C11" s="35">
        <v>46245</v>
      </c>
      <c r="D11" s="28" t="s">
        <v>77</v>
      </c>
      <c r="E11" s="36">
        <v>800000</v>
      </c>
      <c r="F11" s="36">
        <v>782869</v>
      </c>
      <c r="G11" s="36">
        <v>300</v>
      </c>
      <c r="H11" s="36">
        <v>13052</v>
      </c>
      <c r="I11" s="36">
        <v>3002</v>
      </c>
      <c r="J11" s="28" t="s">
        <v>98</v>
      </c>
      <c r="K11" s="37" t="str">
        <f>IF(tblBatches[[#This Row],[Batch no.]]="","",IFERROR(INDEX(tblProducts[Unit],MATCH(tblBatches[[#This Row],[Product]],tblProducts[Product],0)),""))</f>
        <v>capsules</v>
      </c>
      <c r="L11" s="38">
        <f>IF(tblBatches[[#This Row],[Batch no.]]="","",IF(tblBatches[[#This Row],[Theoretical yield]]&gt;0,tblBatches[[#This Row],[Actual yield]]/tblBatches[[#This Row],[Theoretical yield]],""))</f>
        <v>0.97858625</v>
      </c>
      <c r="M11" s="38">
        <f>IF(tblBatches[[#This Row],[Batch no.]]="","",IF(tblBatches[[#This Row],[Theoretical yield]]&gt;0,(tblBatches[[#This Row],[Actual yield]]+tblBatches[[#This Row],[QC samples]]+tblBatches[[#This Row],[Rejects]]+tblBatches[[#This Row],[Other accounted]])/tblBatches[[#This Row],[Theoretical yield]],""))</f>
        <v>0.99902875</v>
      </c>
      <c r="N11" s="39">
        <f>IF(tblBatches[[#This Row],[Batch no.]]="","",tblBatches[[#This Row],[Theoretical yield]]-tblBatches[[#This Row],[Actual yield]]-tblBatches[[#This Row],[QC samples]]-tblBatches[[#This Row],[Rejects]]-tblBatches[[#This Row],[Other accounted]])</f>
        <v>777</v>
      </c>
      <c r="O11" s="40">
        <f>IF(tblBatches[[#This Row],[Batch no.]]="","",IFERROR(INDEX(tblProducts[Yield low],MATCH(tblBatches[[#This Row],[Product]],tblProducts[Product],0)),""))</f>
        <v>0.94</v>
      </c>
      <c r="P11" s="40">
        <f>IF(tblBatches[[#This Row],[Batch no.]]="","",IFERROR(INDEX(tblProducts[Yield high],MATCH(tblBatches[[#This Row],[Product]],tblProducts[Product],0)),""))</f>
        <v>1.01</v>
      </c>
      <c r="Q11" s="40">
        <f>IF(tblBatches[[#This Row],[Batch no.]]="","",IFERROR(INDEX(tblProducts[Recon low],MATCH(tblBatches[[#This Row],[Product]],tblProducts[Product],0)),""))</f>
        <v>0.985</v>
      </c>
      <c r="R11" s="40">
        <f>IF(tblBatches[[#This Row],[Batch no.]]="","",IFERROR(INDEX(tblProducts[Recon high],MATCH(tblBatches[[#This Row],[Product]],tblProducts[Product],0)),""))</f>
        <v>1.005</v>
      </c>
      <c r="S11" s="41" t="str">
        <f>IF(OR(NOT(ISNUMBER(tblBatches[[#This Row],[Yield]])),tblBatches[[#This Row],[Yield low]]=""),"",IF(AND(tblBatches[[#This Row],[Yield]]&gt;=tblBatches[[#This Row],[Yield low]],tblBatches[[#This Row],[Yield]]&lt;=tblBatches[[#This Row],[Yield high]]),"Within limits","Out of limits"))</f>
        <v>Within limits</v>
      </c>
      <c r="T11" s="41" t="str">
        <f>IF(OR(NOT(ISNUMBER(tblBatches[[#This Row],[Reconciliation]])),tblBatches[[#This Row],[Recon low]]=""),"",IF(AND(tblBatches[[#This Row],[Reconciliation]]&gt;=tblBatches[[#This Row],[Recon low]],tblBatches[[#This Row],[Reconciliation]]&lt;=tblBatches[[#This Row],[Recon high]]),"Within limits","Out of limits"))</f>
        <v>Within limits</v>
      </c>
      <c r="U11"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11" s="31" t="s">
        <v>98</v>
      </c>
    </row>
    <row r="12" spans="1:22">
      <c r="B12" s="28" t="s">
        <v>104</v>
      </c>
      <c r="C12" s="35">
        <v>46246</v>
      </c>
      <c r="D12" s="28" t="s">
        <v>80</v>
      </c>
      <c r="E12" s="36">
        <v>24000</v>
      </c>
      <c r="F12" s="36">
        <v>23525</v>
      </c>
      <c r="G12" s="36">
        <v>40</v>
      </c>
      <c r="H12" s="36">
        <v>213</v>
      </c>
      <c r="I12" s="36">
        <v>167</v>
      </c>
      <c r="J12" s="28" t="s">
        <v>98</v>
      </c>
      <c r="K12" s="37" t="str">
        <f>IF(tblBatches[[#This Row],[Batch no.]]="","",IFERROR(INDEX(tblProducts[Unit],MATCH(tblBatches[[#This Row],[Product]],tblProducts[Product],0)),""))</f>
        <v>bottles</v>
      </c>
      <c r="L12" s="38">
        <f>IF(tblBatches[[#This Row],[Batch no.]]="","",IF(tblBatches[[#This Row],[Theoretical yield]]&gt;0,tblBatches[[#This Row],[Actual yield]]/tblBatches[[#This Row],[Theoretical yield]],""))</f>
        <v>0.980208333333333</v>
      </c>
      <c r="M12" s="38">
        <f>IF(tblBatches[[#This Row],[Batch no.]]="","",IF(tblBatches[[#This Row],[Theoretical yield]]&gt;0,(tblBatches[[#This Row],[Actual yield]]+tblBatches[[#This Row],[QC samples]]+tblBatches[[#This Row],[Rejects]]+tblBatches[[#This Row],[Other accounted]])/tblBatches[[#This Row],[Theoretical yield]],""))</f>
        <v>0.997708333333333</v>
      </c>
      <c r="N12" s="39">
        <f>IF(tblBatches[[#This Row],[Batch no.]]="","",tblBatches[[#This Row],[Theoretical yield]]-tblBatches[[#This Row],[Actual yield]]-tblBatches[[#This Row],[QC samples]]-tblBatches[[#This Row],[Rejects]]-tblBatches[[#This Row],[Other accounted]])</f>
        <v>55</v>
      </c>
      <c r="O12" s="40">
        <f>IF(tblBatches[[#This Row],[Batch no.]]="","",IFERROR(INDEX(tblProducts[Yield low],MATCH(tblBatches[[#This Row],[Product]],tblProducts[Product],0)),""))</f>
        <v>0.95</v>
      </c>
      <c r="P12" s="40">
        <f>IF(tblBatches[[#This Row],[Batch no.]]="","",IFERROR(INDEX(tblProducts[Yield high],MATCH(tblBatches[[#This Row],[Product]],tblProducts[Product],0)),""))</f>
        <v>1.01</v>
      </c>
      <c r="Q12" s="40">
        <f>IF(tblBatches[[#This Row],[Batch no.]]="","",IFERROR(INDEX(tblProducts[Recon low],MATCH(tblBatches[[#This Row],[Product]],tblProducts[Product],0)),""))</f>
        <v>0.99</v>
      </c>
      <c r="R12" s="40">
        <f>IF(tblBatches[[#This Row],[Batch no.]]="","",IFERROR(INDEX(tblProducts[Recon high],MATCH(tblBatches[[#This Row],[Product]],tblProducts[Product],0)),""))</f>
        <v>1.005</v>
      </c>
      <c r="S12" s="41" t="str">
        <f>IF(OR(NOT(ISNUMBER(tblBatches[[#This Row],[Yield]])),tblBatches[[#This Row],[Yield low]]=""),"",IF(AND(tblBatches[[#This Row],[Yield]]&gt;=tblBatches[[#This Row],[Yield low]],tblBatches[[#This Row],[Yield]]&lt;=tblBatches[[#This Row],[Yield high]]),"Within limits","Out of limits"))</f>
        <v>Within limits</v>
      </c>
      <c r="T12" s="41" t="str">
        <f>IF(OR(NOT(ISNUMBER(tblBatches[[#This Row],[Reconciliation]])),tblBatches[[#This Row],[Recon low]]=""),"",IF(AND(tblBatches[[#This Row],[Reconciliation]]&gt;=tblBatches[[#This Row],[Recon low]],tblBatches[[#This Row],[Reconciliation]]&lt;=tblBatches[[#This Row],[Recon high]]),"Within limits","Out of limits"))</f>
        <v>Within limits</v>
      </c>
      <c r="U12"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12" s="31" t="s">
        <v>98</v>
      </c>
    </row>
    <row r="13" spans="1:22">
      <c r="B13" s="28" t="s">
        <v>105</v>
      </c>
      <c r="C13" s="35">
        <v>46248</v>
      </c>
      <c r="D13" s="28" t="s">
        <v>75</v>
      </c>
      <c r="E13" s="36">
        <v>1200000</v>
      </c>
      <c r="F13" s="36">
        <v>1175672</v>
      </c>
      <c r="G13" s="36">
        <v>300</v>
      </c>
      <c r="H13" s="36">
        <v>18432</v>
      </c>
      <c r="I13" s="36">
        <v>5560</v>
      </c>
      <c r="J13" s="28" t="s">
        <v>98</v>
      </c>
      <c r="K13" s="37" t="str">
        <f>IF(tblBatches[[#This Row],[Batch no.]]="","",IFERROR(INDEX(tblProducts[Unit],MATCH(tblBatches[[#This Row],[Product]],tblProducts[Product],0)),""))</f>
        <v>tablets</v>
      </c>
      <c r="L13" s="38">
        <f>IF(tblBatches[[#This Row],[Batch no.]]="","",IF(tblBatches[[#This Row],[Theoretical yield]]&gt;0,tblBatches[[#This Row],[Actual yield]]/tblBatches[[#This Row],[Theoretical yield]],""))</f>
        <v>0.979726666666667</v>
      </c>
      <c r="M13" s="38">
        <f>IF(tblBatches[[#This Row],[Batch no.]]="","",IF(tblBatches[[#This Row],[Theoretical yield]]&gt;0,(tblBatches[[#This Row],[Actual yield]]+tblBatches[[#This Row],[QC samples]]+tblBatches[[#This Row],[Rejects]]+tblBatches[[#This Row],[Other accounted]])/tblBatches[[#This Row],[Theoretical yield]],""))</f>
        <v>0.99997</v>
      </c>
      <c r="N13" s="39">
        <f>IF(tblBatches[[#This Row],[Batch no.]]="","",tblBatches[[#This Row],[Theoretical yield]]-tblBatches[[#This Row],[Actual yield]]-tblBatches[[#This Row],[QC samples]]-tblBatches[[#This Row],[Rejects]]-tblBatches[[#This Row],[Other accounted]])</f>
        <v>36</v>
      </c>
      <c r="O13" s="40">
        <f>IF(tblBatches[[#This Row],[Batch no.]]="","",IFERROR(INDEX(tblProducts[Yield low],MATCH(tblBatches[[#This Row],[Product]],tblProducts[Product],0)),""))</f>
        <v>0.95</v>
      </c>
      <c r="P13" s="40">
        <f>IF(tblBatches[[#This Row],[Batch no.]]="","",IFERROR(INDEX(tblProducts[Yield high],MATCH(tblBatches[[#This Row],[Product]],tblProducts[Product],0)),""))</f>
        <v>1.01</v>
      </c>
      <c r="Q13" s="40">
        <f>IF(tblBatches[[#This Row],[Batch no.]]="","",IFERROR(INDEX(tblProducts[Recon low],MATCH(tblBatches[[#This Row],[Product]],tblProducts[Product],0)),""))</f>
        <v>0.99</v>
      </c>
      <c r="R13" s="40">
        <f>IF(tblBatches[[#This Row],[Batch no.]]="","",IFERROR(INDEX(tblProducts[Recon high],MATCH(tblBatches[[#This Row],[Product]],tblProducts[Product],0)),""))</f>
        <v>1.005</v>
      </c>
      <c r="S13" s="41" t="str">
        <f>IF(OR(NOT(ISNUMBER(tblBatches[[#This Row],[Yield]])),tblBatches[[#This Row],[Yield low]]=""),"",IF(AND(tblBatches[[#This Row],[Yield]]&gt;=tblBatches[[#This Row],[Yield low]],tblBatches[[#This Row],[Yield]]&lt;=tblBatches[[#This Row],[Yield high]]),"Within limits","Out of limits"))</f>
        <v>Within limits</v>
      </c>
      <c r="T13" s="41" t="str">
        <f>IF(OR(NOT(ISNUMBER(tblBatches[[#This Row],[Reconciliation]])),tblBatches[[#This Row],[Recon low]]=""),"",IF(AND(tblBatches[[#This Row],[Reconciliation]]&gt;=tblBatches[[#This Row],[Recon low]],tblBatches[[#This Row],[Reconciliation]]&lt;=tblBatches[[#This Row],[Recon high]]),"Within limits","Out of limits"))</f>
        <v>Within limits</v>
      </c>
      <c r="U13"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13" s="31" t="s">
        <v>98</v>
      </c>
    </row>
    <row r="14" spans="1:22">
      <c r="B14" s="28" t="s">
        <v>106</v>
      </c>
      <c r="C14" s="35">
        <v>46251</v>
      </c>
      <c r="D14" s="28" t="s">
        <v>75</v>
      </c>
      <c r="E14" s="36">
        <v>1200000</v>
      </c>
      <c r="F14" s="36">
        <v>1173922</v>
      </c>
      <c r="G14" s="36">
        <v>300</v>
      </c>
      <c r="H14" s="36">
        <v>17015</v>
      </c>
      <c r="I14" s="36">
        <v>6493</v>
      </c>
      <c r="J14" s="28" t="s">
        <v>98</v>
      </c>
      <c r="K14" s="37" t="str">
        <f>IF(tblBatches[[#This Row],[Batch no.]]="","",IFERROR(INDEX(tblProducts[Unit],MATCH(tblBatches[[#This Row],[Product]],tblProducts[Product],0)),""))</f>
        <v>tablets</v>
      </c>
      <c r="L14" s="38">
        <f>IF(tblBatches[[#This Row],[Batch no.]]="","",IF(tblBatches[[#This Row],[Theoretical yield]]&gt;0,tblBatches[[#This Row],[Actual yield]]/tblBatches[[#This Row],[Theoretical yield]],""))</f>
        <v>0.978268333333333</v>
      </c>
      <c r="M14" s="38">
        <f>IF(tblBatches[[#This Row],[Batch no.]]="","",IF(tblBatches[[#This Row],[Theoretical yield]]&gt;0,(tblBatches[[#This Row],[Actual yield]]+tblBatches[[#This Row],[QC samples]]+tblBatches[[#This Row],[Rejects]]+tblBatches[[#This Row],[Other accounted]])/tblBatches[[#This Row],[Theoretical yield]],""))</f>
        <v>0.998108333333333</v>
      </c>
      <c r="N14" s="39">
        <f>IF(tblBatches[[#This Row],[Batch no.]]="","",tblBatches[[#This Row],[Theoretical yield]]-tblBatches[[#This Row],[Actual yield]]-tblBatches[[#This Row],[QC samples]]-tblBatches[[#This Row],[Rejects]]-tblBatches[[#This Row],[Other accounted]])</f>
        <v>2270</v>
      </c>
      <c r="O14" s="40">
        <f>IF(tblBatches[[#This Row],[Batch no.]]="","",IFERROR(INDEX(tblProducts[Yield low],MATCH(tblBatches[[#This Row],[Product]],tblProducts[Product],0)),""))</f>
        <v>0.95</v>
      </c>
      <c r="P14" s="40">
        <f>IF(tblBatches[[#This Row],[Batch no.]]="","",IFERROR(INDEX(tblProducts[Yield high],MATCH(tblBatches[[#This Row],[Product]],tblProducts[Product],0)),""))</f>
        <v>1.01</v>
      </c>
      <c r="Q14" s="40">
        <f>IF(tblBatches[[#This Row],[Batch no.]]="","",IFERROR(INDEX(tblProducts[Recon low],MATCH(tblBatches[[#This Row],[Product]],tblProducts[Product],0)),""))</f>
        <v>0.99</v>
      </c>
      <c r="R14" s="40">
        <f>IF(tblBatches[[#This Row],[Batch no.]]="","",IFERROR(INDEX(tblProducts[Recon high],MATCH(tblBatches[[#This Row],[Product]],tblProducts[Product],0)),""))</f>
        <v>1.005</v>
      </c>
      <c r="S14" s="41" t="str">
        <f>IF(OR(NOT(ISNUMBER(tblBatches[[#This Row],[Yield]])),tblBatches[[#This Row],[Yield low]]=""),"",IF(AND(tblBatches[[#This Row],[Yield]]&gt;=tblBatches[[#This Row],[Yield low]],tblBatches[[#This Row],[Yield]]&lt;=tblBatches[[#This Row],[Yield high]]),"Within limits","Out of limits"))</f>
        <v>Within limits</v>
      </c>
      <c r="T14" s="41" t="str">
        <f>IF(OR(NOT(ISNUMBER(tblBatches[[#This Row],[Reconciliation]])),tblBatches[[#This Row],[Recon low]]=""),"",IF(AND(tblBatches[[#This Row],[Reconciliation]]&gt;=tblBatches[[#This Row],[Recon low]],tblBatches[[#This Row],[Reconciliation]]&lt;=tblBatches[[#This Row],[Recon high]]),"Within limits","Out of limits"))</f>
        <v>Within limits</v>
      </c>
      <c r="U14"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14" s="31" t="s">
        <v>98</v>
      </c>
    </row>
    <row r="15" spans="1:22">
      <c r="B15" s="28" t="s">
        <v>107</v>
      </c>
      <c r="C15" s="35">
        <v>46252</v>
      </c>
      <c r="D15" s="28" t="s">
        <v>77</v>
      </c>
      <c r="E15" s="36">
        <v>800000</v>
      </c>
      <c r="F15" s="36">
        <v>778242</v>
      </c>
      <c r="G15" s="36">
        <v>300</v>
      </c>
      <c r="H15" s="36">
        <v>14952</v>
      </c>
      <c r="I15" s="36">
        <v>5065</v>
      </c>
      <c r="J15" s="28" t="s">
        <v>98</v>
      </c>
      <c r="K15" s="37" t="str">
        <f>IF(tblBatches[[#This Row],[Batch no.]]="","",IFERROR(INDEX(tblProducts[Unit],MATCH(tblBatches[[#This Row],[Product]],tblProducts[Product],0)),""))</f>
        <v>capsules</v>
      </c>
      <c r="L15" s="38">
        <f>IF(tblBatches[[#This Row],[Batch no.]]="","",IF(tblBatches[[#This Row],[Theoretical yield]]&gt;0,tblBatches[[#This Row],[Actual yield]]/tblBatches[[#This Row],[Theoretical yield]],""))</f>
        <v>0.9728025</v>
      </c>
      <c r="M15" s="38">
        <f>IF(tblBatches[[#This Row],[Batch no.]]="","",IF(tblBatches[[#This Row],[Theoretical yield]]&gt;0,(tblBatches[[#This Row],[Actual yield]]+tblBatches[[#This Row],[QC samples]]+tblBatches[[#This Row],[Rejects]]+tblBatches[[#This Row],[Other accounted]])/tblBatches[[#This Row],[Theoretical yield]],""))</f>
        <v>0.99819875</v>
      </c>
      <c r="N15" s="39">
        <f>IF(tblBatches[[#This Row],[Batch no.]]="","",tblBatches[[#This Row],[Theoretical yield]]-tblBatches[[#This Row],[Actual yield]]-tblBatches[[#This Row],[QC samples]]-tblBatches[[#This Row],[Rejects]]-tblBatches[[#This Row],[Other accounted]])</f>
        <v>1441</v>
      </c>
      <c r="O15" s="40">
        <f>IF(tblBatches[[#This Row],[Batch no.]]="","",IFERROR(INDEX(tblProducts[Yield low],MATCH(tblBatches[[#This Row],[Product]],tblProducts[Product],0)),""))</f>
        <v>0.94</v>
      </c>
      <c r="P15" s="40">
        <f>IF(tblBatches[[#This Row],[Batch no.]]="","",IFERROR(INDEX(tblProducts[Yield high],MATCH(tblBatches[[#This Row],[Product]],tblProducts[Product],0)),""))</f>
        <v>1.01</v>
      </c>
      <c r="Q15" s="40">
        <f>IF(tblBatches[[#This Row],[Batch no.]]="","",IFERROR(INDEX(tblProducts[Recon low],MATCH(tblBatches[[#This Row],[Product]],tblProducts[Product],0)),""))</f>
        <v>0.985</v>
      </c>
      <c r="R15" s="40">
        <f>IF(tblBatches[[#This Row],[Batch no.]]="","",IFERROR(INDEX(tblProducts[Recon high],MATCH(tblBatches[[#This Row],[Product]],tblProducts[Product],0)),""))</f>
        <v>1.005</v>
      </c>
      <c r="S15" s="41" t="str">
        <f>IF(OR(NOT(ISNUMBER(tblBatches[[#This Row],[Yield]])),tblBatches[[#This Row],[Yield low]]=""),"",IF(AND(tblBatches[[#This Row],[Yield]]&gt;=tblBatches[[#This Row],[Yield low]],tblBatches[[#This Row],[Yield]]&lt;=tblBatches[[#This Row],[Yield high]]),"Within limits","Out of limits"))</f>
        <v>Within limits</v>
      </c>
      <c r="T15" s="41" t="str">
        <f>IF(OR(NOT(ISNUMBER(tblBatches[[#This Row],[Reconciliation]])),tblBatches[[#This Row],[Recon low]]=""),"",IF(AND(tblBatches[[#This Row],[Reconciliation]]&gt;=tblBatches[[#This Row],[Recon low]],tblBatches[[#This Row],[Reconciliation]]&lt;=tblBatches[[#This Row],[Recon high]]),"Within limits","Out of limits"))</f>
        <v>Within limits</v>
      </c>
      <c r="U15"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15" s="31" t="s">
        <v>98</v>
      </c>
    </row>
    <row r="16" spans="1:22">
      <c r="B16" s="28" t="s">
        <v>108</v>
      </c>
      <c r="C16" s="35">
        <v>46253</v>
      </c>
      <c r="D16" s="28" t="s">
        <v>75</v>
      </c>
      <c r="E16" s="36">
        <v>1200000</v>
      </c>
      <c r="F16" s="36">
        <v>1174714</v>
      </c>
      <c r="G16" s="36">
        <v>300</v>
      </c>
      <c r="H16" s="36">
        <v>19386</v>
      </c>
      <c r="I16" s="36">
        <v>3953</v>
      </c>
      <c r="J16" s="28" t="s">
        <v>98</v>
      </c>
      <c r="K16" s="37" t="str">
        <f>IF(tblBatches[[#This Row],[Batch no.]]="","",IFERROR(INDEX(tblProducts[Unit],MATCH(tblBatches[[#This Row],[Product]],tblProducts[Product],0)),""))</f>
        <v>tablets</v>
      </c>
      <c r="L16" s="38">
        <f>IF(tblBatches[[#This Row],[Batch no.]]="","",IF(tblBatches[[#This Row],[Theoretical yield]]&gt;0,tblBatches[[#This Row],[Actual yield]]/tblBatches[[#This Row],[Theoretical yield]],""))</f>
        <v>0.978928333333333</v>
      </c>
      <c r="M16" s="38">
        <f>IF(tblBatches[[#This Row],[Batch no.]]="","",IF(tblBatches[[#This Row],[Theoretical yield]]&gt;0,(tblBatches[[#This Row],[Actual yield]]+tblBatches[[#This Row],[QC samples]]+tblBatches[[#This Row],[Rejects]]+tblBatches[[#This Row],[Other accounted]])/tblBatches[[#This Row],[Theoretical yield]],""))</f>
        <v>0.9986275</v>
      </c>
      <c r="N16" s="39">
        <f>IF(tblBatches[[#This Row],[Batch no.]]="","",tblBatches[[#This Row],[Theoretical yield]]-tblBatches[[#This Row],[Actual yield]]-tblBatches[[#This Row],[QC samples]]-tblBatches[[#This Row],[Rejects]]-tblBatches[[#This Row],[Other accounted]])</f>
        <v>1647</v>
      </c>
      <c r="O16" s="40">
        <f>IF(tblBatches[[#This Row],[Batch no.]]="","",IFERROR(INDEX(tblProducts[Yield low],MATCH(tblBatches[[#This Row],[Product]],tblProducts[Product],0)),""))</f>
        <v>0.95</v>
      </c>
      <c r="P16" s="40">
        <f>IF(tblBatches[[#This Row],[Batch no.]]="","",IFERROR(INDEX(tblProducts[Yield high],MATCH(tblBatches[[#This Row],[Product]],tblProducts[Product],0)),""))</f>
        <v>1.01</v>
      </c>
      <c r="Q16" s="40">
        <f>IF(tblBatches[[#This Row],[Batch no.]]="","",IFERROR(INDEX(tblProducts[Recon low],MATCH(tblBatches[[#This Row],[Product]],tblProducts[Product],0)),""))</f>
        <v>0.99</v>
      </c>
      <c r="R16" s="40">
        <f>IF(tblBatches[[#This Row],[Batch no.]]="","",IFERROR(INDEX(tblProducts[Recon high],MATCH(tblBatches[[#This Row],[Product]],tblProducts[Product],0)),""))</f>
        <v>1.005</v>
      </c>
      <c r="S16" s="41" t="str">
        <f>IF(OR(NOT(ISNUMBER(tblBatches[[#This Row],[Yield]])),tblBatches[[#This Row],[Yield low]]=""),"",IF(AND(tblBatches[[#This Row],[Yield]]&gt;=tblBatches[[#This Row],[Yield low]],tblBatches[[#This Row],[Yield]]&lt;=tblBatches[[#This Row],[Yield high]]),"Within limits","Out of limits"))</f>
        <v>Within limits</v>
      </c>
      <c r="T16" s="41" t="str">
        <f>IF(OR(NOT(ISNUMBER(tblBatches[[#This Row],[Reconciliation]])),tblBatches[[#This Row],[Recon low]]=""),"",IF(AND(tblBatches[[#This Row],[Reconciliation]]&gt;=tblBatches[[#This Row],[Recon low]],tblBatches[[#This Row],[Reconciliation]]&lt;=tblBatches[[#This Row],[Recon high]]),"Within limits","Out of limits"))</f>
        <v>Within limits</v>
      </c>
      <c r="U16"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16" s="31" t="s">
        <v>98</v>
      </c>
    </row>
    <row r="17" spans="2:22">
      <c r="B17" s="28" t="s">
        <v>109</v>
      </c>
      <c r="C17" s="35">
        <v>46255</v>
      </c>
      <c r="D17" s="28" t="s">
        <v>79</v>
      </c>
      <c r="E17" s="36">
        <v>400000</v>
      </c>
      <c r="F17" s="36">
        <v>390632</v>
      </c>
      <c r="G17" s="36">
        <v>300</v>
      </c>
      <c r="H17" s="36">
        <v>5048</v>
      </c>
      <c r="I17" s="36">
        <v>2812</v>
      </c>
      <c r="J17" s="28" t="s">
        <v>98</v>
      </c>
      <c r="K17" s="37" t="str">
        <f>IF(tblBatches[[#This Row],[Batch no.]]="","",IFERROR(INDEX(tblProducts[Unit],MATCH(tblBatches[[#This Row],[Product]],tblProducts[Product],0)),""))</f>
        <v>tablets</v>
      </c>
      <c r="L17" s="38">
        <f>IF(tblBatches[[#This Row],[Batch no.]]="","",IF(tblBatches[[#This Row],[Theoretical yield]]&gt;0,tblBatches[[#This Row],[Actual yield]]/tblBatches[[#This Row],[Theoretical yield]],""))</f>
        <v>0.97658</v>
      </c>
      <c r="M17" s="38">
        <f>IF(tblBatches[[#This Row],[Batch no.]]="","",IF(tblBatches[[#This Row],[Theoretical yield]]&gt;0,(tblBatches[[#This Row],[Actual yield]]+tblBatches[[#This Row],[QC samples]]+tblBatches[[#This Row],[Rejects]]+tblBatches[[#This Row],[Other accounted]])/tblBatches[[#This Row],[Theoretical yield]],""))</f>
        <v>0.99698</v>
      </c>
      <c r="N17" s="39">
        <f>IF(tblBatches[[#This Row],[Batch no.]]="","",tblBatches[[#This Row],[Theoretical yield]]-tblBatches[[#This Row],[Actual yield]]-tblBatches[[#This Row],[QC samples]]-tblBatches[[#This Row],[Rejects]]-tblBatches[[#This Row],[Other accounted]])</f>
        <v>1208</v>
      </c>
      <c r="O17" s="40">
        <f>IF(tblBatches[[#This Row],[Batch no.]]="","",IFERROR(INDEX(tblProducts[Yield low],MATCH(tblBatches[[#This Row],[Product]],tblProducts[Product],0)),""))</f>
        <v>0.95</v>
      </c>
      <c r="P17" s="40">
        <f>IF(tblBatches[[#This Row],[Batch no.]]="","",IFERROR(INDEX(tblProducts[Yield high],MATCH(tblBatches[[#This Row],[Product]],tblProducts[Product],0)),""))</f>
        <v>1.01</v>
      </c>
      <c r="Q17" s="40">
        <f>IF(tblBatches[[#This Row],[Batch no.]]="","",IFERROR(INDEX(tblProducts[Recon low],MATCH(tblBatches[[#This Row],[Product]],tblProducts[Product],0)),""))</f>
        <v>0.99</v>
      </c>
      <c r="R17" s="40">
        <f>IF(tblBatches[[#This Row],[Batch no.]]="","",IFERROR(INDEX(tblProducts[Recon high],MATCH(tblBatches[[#This Row],[Product]],tblProducts[Product],0)),""))</f>
        <v>1.005</v>
      </c>
      <c r="S17" s="41" t="str">
        <f>IF(OR(NOT(ISNUMBER(tblBatches[[#This Row],[Yield]])),tblBatches[[#This Row],[Yield low]]=""),"",IF(AND(tblBatches[[#This Row],[Yield]]&gt;=tblBatches[[#This Row],[Yield low]],tblBatches[[#This Row],[Yield]]&lt;=tblBatches[[#This Row],[Yield high]]),"Within limits","Out of limits"))</f>
        <v>Within limits</v>
      </c>
      <c r="T17" s="41" t="str">
        <f>IF(OR(NOT(ISNUMBER(tblBatches[[#This Row],[Reconciliation]])),tblBatches[[#This Row],[Recon low]]=""),"",IF(AND(tblBatches[[#This Row],[Reconciliation]]&gt;=tblBatches[[#This Row],[Recon low]],tblBatches[[#This Row],[Reconciliation]]&lt;=tblBatches[[#This Row],[Recon high]]),"Within limits","Out of limits"))</f>
        <v>Within limits</v>
      </c>
      <c r="U17"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17" s="31" t="s">
        <v>98</v>
      </c>
    </row>
    <row r="18" spans="2:22">
      <c r="B18" s="28" t="s">
        <v>110</v>
      </c>
      <c r="C18" s="35">
        <v>46258</v>
      </c>
      <c r="D18" s="28" t="s">
        <v>75</v>
      </c>
      <c r="E18" s="36">
        <v>1200000</v>
      </c>
      <c r="F18" s="36">
        <v>1180993</v>
      </c>
      <c r="G18" s="36">
        <v>300</v>
      </c>
      <c r="H18" s="36">
        <v>14190</v>
      </c>
      <c r="I18" s="36">
        <v>2605</v>
      </c>
      <c r="J18" s="28" t="s">
        <v>98</v>
      </c>
      <c r="K18" s="37" t="str">
        <f>IF(tblBatches[[#This Row],[Batch no.]]="","",IFERROR(INDEX(tblProducts[Unit],MATCH(tblBatches[[#This Row],[Product]],tblProducts[Product],0)),""))</f>
        <v>tablets</v>
      </c>
      <c r="L18" s="38">
        <f>IF(tblBatches[[#This Row],[Batch no.]]="","",IF(tblBatches[[#This Row],[Theoretical yield]]&gt;0,tblBatches[[#This Row],[Actual yield]]/tblBatches[[#This Row],[Theoretical yield]],""))</f>
        <v>0.984160833333333</v>
      </c>
      <c r="M18" s="38">
        <f>IF(tblBatches[[#This Row],[Batch no.]]="","",IF(tblBatches[[#This Row],[Theoretical yield]]&gt;0,(tblBatches[[#This Row],[Actual yield]]+tblBatches[[#This Row],[QC samples]]+tblBatches[[#This Row],[Rejects]]+tblBatches[[#This Row],[Other accounted]])/tblBatches[[#This Row],[Theoretical yield]],""))</f>
        <v>0.998406666666667</v>
      </c>
      <c r="N18" s="39">
        <f>IF(tblBatches[[#This Row],[Batch no.]]="","",tblBatches[[#This Row],[Theoretical yield]]-tblBatches[[#This Row],[Actual yield]]-tblBatches[[#This Row],[QC samples]]-tblBatches[[#This Row],[Rejects]]-tblBatches[[#This Row],[Other accounted]])</f>
        <v>1912</v>
      </c>
      <c r="O18" s="40">
        <f>IF(tblBatches[[#This Row],[Batch no.]]="","",IFERROR(INDEX(tblProducts[Yield low],MATCH(tblBatches[[#This Row],[Product]],tblProducts[Product],0)),""))</f>
        <v>0.95</v>
      </c>
      <c r="P18" s="40">
        <f>IF(tblBatches[[#This Row],[Batch no.]]="","",IFERROR(INDEX(tblProducts[Yield high],MATCH(tblBatches[[#This Row],[Product]],tblProducts[Product],0)),""))</f>
        <v>1.01</v>
      </c>
      <c r="Q18" s="40">
        <f>IF(tblBatches[[#This Row],[Batch no.]]="","",IFERROR(INDEX(tblProducts[Recon low],MATCH(tblBatches[[#This Row],[Product]],tblProducts[Product],0)),""))</f>
        <v>0.99</v>
      </c>
      <c r="R18" s="40">
        <f>IF(tblBatches[[#This Row],[Batch no.]]="","",IFERROR(INDEX(tblProducts[Recon high],MATCH(tblBatches[[#This Row],[Product]],tblProducts[Product],0)),""))</f>
        <v>1.005</v>
      </c>
      <c r="S18" s="41" t="str">
        <f>IF(OR(NOT(ISNUMBER(tblBatches[[#This Row],[Yield]])),tblBatches[[#This Row],[Yield low]]=""),"",IF(AND(tblBatches[[#This Row],[Yield]]&gt;=tblBatches[[#This Row],[Yield low]],tblBatches[[#This Row],[Yield]]&lt;=tblBatches[[#This Row],[Yield high]]),"Within limits","Out of limits"))</f>
        <v>Within limits</v>
      </c>
      <c r="T18" s="41" t="str">
        <f>IF(OR(NOT(ISNUMBER(tblBatches[[#This Row],[Reconciliation]])),tblBatches[[#This Row],[Recon low]]=""),"",IF(AND(tblBatches[[#This Row],[Reconciliation]]&gt;=tblBatches[[#This Row],[Recon low]],tblBatches[[#This Row],[Reconciliation]]&lt;=tblBatches[[#This Row],[Recon high]]),"Within limits","Out of limits"))</f>
        <v>Within limits</v>
      </c>
      <c r="U18"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18" s="31" t="s">
        <v>98</v>
      </c>
    </row>
    <row r="19" spans="2:22">
      <c r="B19" s="28" t="s">
        <v>111</v>
      </c>
      <c r="C19" s="35">
        <v>46259</v>
      </c>
      <c r="D19" s="28" t="s">
        <v>77</v>
      </c>
      <c r="E19" s="36">
        <v>800000</v>
      </c>
      <c r="F19" s="36">
        <v>743787</v>
      </c>
      <c r="G19" s="36">
        <v>340</v>
      </c>
      <c r="H19" s="36">
        <v>49600</v>
      </c>
      <c r="I19" s="36">
        <v>5297</v>
      </c>
      <c r="J19" s="28" t="s">
        <v>112</v>
      </c>
      <c r="K19" s="37" t="str">
        <f>IF(tblBatches[[#This Row],[Batch no.]]="","",IFERROR(INDEX(tblProducts[Unit],MATCH(tblBatches[[#This Row],[Product]],tblProducts[Product],0)),""))</f>
        <v>capsules</v>
      </c>
      <c r="L19" s="38">
        <f>IF(tblBatches[[#This Row],[Batch no.]]="","",IF(tblBatches[[#This Row],[Theoretical yield]]&gt;0,tblBatches[[#This Row],[Actual yield]]/tblBatches[[#This Row],[Theoretical yield]],""))</f>
        <v>0.92973375</v>
      </c>
      <c r="M19" s="38">
        <f>IF(tblBatches[[#This Row],[Batch no.]]="","",IF(tblBatches[[#This Row],[Theoretical yield]]&gt;0,(tblBatches[[#This Row],[Actual yield]]+tblBatches[[#This Row],[QC samples]]+tblBatches[[#This Row],[Rejects]]+tblBatches[[#This Row],[Other accounted]])/tblBatches[[#This Row],[Theoretical yield]],""))</f>
        <v>0.99878</v>
      </c>
      <c r="N19" s="39">
        <f>IF(tblBatches[[#This Row],[Batch no.]]="","",tblBatches[[#This Row],[Theoretical yield]]-tblBatches[[#This Row],[Actual yield]]-tblBatches[[#This Row],[QC samples]]-tblBatches[[#This Row],[Rejects]]-tblBatches[[#This Row],[Other accounted]])</f>
        <v>976</v>
      </c>
      <c r="O19" s="40">
        <f>IF(tblBatches[[#This Row],[Batch no.]]="","",IFERROR(INDEX(tblProducts[Yield low],MATCH(tblBatches[[#This Row],[Product]],tblProducts[Product],0)),""))</f>
        <v>0.94</v>
      </c>
      <c r="P19" s="40">
        <f>IF(tblBatches[[#This Row],[Batch no.]]="","",IFERROR(INDEX(tblProducts[Yield high],MATCH(tblBatches[[#This Row],[Product]],tblProducts[Product],0)),""))</f>
        <v>1.01</v>
      </c>
      <c r="Q19" s="40">
        <f>IF(tblBatches[[#This Row],[Batch no.]]="","",IFERROR(INDEX(tblProducts[Recon low],MATCH(tblBatches[[#This Row],[Product]],tblProducts[Product],0)),""))</f>
        <v>0.985</v>
      </c>
      <c r="R19" s="40">
        <f>IF(tblBatches[[#This Row],[Batch no.]]="","",IFERROR(INDEX(tblProducts[Recon high],MATCH(tblBatches[[#This Row],[Product]],tblProducts[Product],0)),""))</f>
        <v>1.005</v>
      </c>
      <c r="S19" s="41" t="str">
        <f>IF(OR(NOT(ISNUMBER(tblBatches[[#This Row],[Yield]])),tblBatches[[#This Row],[Yield low]]=""),"",IF(AND(tblBatches[[#This Row],[Yield]]&gt;=tblBatches[[#This Row],[Yield low]],tblBatches[[#This Row],[Yield]]&lt;=tblBatches[[#This Row],[Yield high]]),"Within limits","Out of limits"))</f>
        <v>Out of limits</v>
      </c>
      <c r="T19" s="41" t="str">
        <f>IF(OR(NOT(ISNUMBER(tblBatches[[#This Row],[Reconciliation]])),tblBatches[[#This Row],[Recon low]]=""),"",IF(AND(tblBatches[[#This Row],[Reconciliation]]&gt;=tblBatches[[#This Row],[Recon low]],tblBatches[[#This Row],[Reconciliation]]&lt;=tblBatches[[#This Row],[Recon high]]),"Within limits","Out of limits"))</f>
        <v>Within limits</v>
      </c>
      <c r="U19"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19" s="31" t="s">
        <v>113</v>
      </c>
    </row>
    <row r="20" spans="2:22">
      <c r="B20" s="28" t="s">
        <v>114</v>
      </c>
      <c r="C20" s="35">
        <v>46260</v>
      </c>
      <c r="D20" s="28" t="s">
        <v>80</v>
      </c>
      <c r="E20" s="36">
        <v>23400</v>
      </c>
      <c r="F20" s="36">
        <v>23076</v>
      </c>
      <c r="G20" s="36">
        <v>40</v>
      </c>
      <c r="H20" s="36">
        <v>157</v>
      </c>
      <c r="I20" s="36">
        <v>78</v>
      </c>
      <c r="J20" s="28" t="s">
        <v>98</v>
      </c>
      <c r="K20" s="37" t="str">
        <f>IF(tblBatches[[#This Row],[Batch no.]]="","",IFERROR(INDEX(tblProducts[Unit],MATCH(tblBatches[[#This Row],[Product]],tblProducts[Product],0)),""))</f>
        <v>bottles</v>
      </c>
      <c r="L20" s="38">
        <f>IF(tblBatches[[#This Row],[Batch no.]]="","",IF(tblBatches[[#This Row],[Theoretical yield]]&gt;0,tblBatches[[#This Row],[Actual yield]]/tblBatches[[#This Row],[Theoretical yield]],""))</f>
        <v>0.986153846153846</v>
      </c>
      <c r="M20" s="38">
        <f>IF(tblBatches[[#This Row],[Batch no.]]="","",IF(tblBatches[[#This Row],[Theoretical yield]]&gt;0,(tblBatches[[#This Row],[Actual yield]]+tblBatches[[#This Row],[QC samples]]+tblBatches[[#This Row],[Rejects]]+tblBatches[[#This Row],[Other accounted]])/tblBatches[[#This Row],[Theoretical yield]],""))</f>
        <v>0.997905982905983</v>
      </c>
      <c r="N20" s="39">
        <f>IF(tblBatches[[#This Row],[Batch no.]]="","",tblBatches[[#This Row],[Theoretical yield]]-tblBatches[[#This Row],[Actual yield]]-tblBatches[[#This Row],[QC samples]]-tblBatches[[#This Row],[Rejects]]-tblBatches[[#This Row],[Other accounted]])</f>
        <v>49</v>
      </c>
      <c r="O20" s="40">
        <f>IF(tblBatches[[#This Row],[Batch no.]]="","",IFERROR(INDEX(tblProducts[Yield low],MATCH(tblBatches[[#This Row],[Product]],tblProducts[Product],0)),""))</f>
        <v>0.95</v>
      </c>
      <c r="P20" s="40">
        <f>IF(tblBatches[[#This Row],[Batch no.]]="","",IFERROR(INDEX(tblProducts[Yield high],MATCH(tblBatches[[#This Row],[Product]],tblProducts[Product],0)),""))</f>
        <v>1.01</v>
      </c>
      <c r="Q20" s="40">
        <f>IF(tblBatches[[#This Row],[Batch no.]]="","",IFERROR(INDEX(tblProducts[Recon low],MATCH(tblBatches[[#This Row],[Product]],tblProducts[Product],0)),""))</f>
        <v>0.99</v>
      </c>
      <c r="R20" s="40">
        <f>IF(tblBatches[[#This Row],[Batch no.]]="","",IFERROR(INDEX(tblProducts[Recon high],MATCH(tblBatches[[#This Row],[Product]],tblProducts[Product],0)),""))</f>
        <v>1.005</v>
      </c>
      <c r="S20" s="41" t="str">
        <f>IF(OR(NOT(ISNUMBER(tblBatches[[#This Row],[Yield]])),tblBatches[[#This Row],[Yield low]]=""),"",IF(AND(tblBatches[[#This Row],[Yield]]&gt;=tblBatches[[#This Row],[Yield low]],tblBatches[[#This Row],[Yield]]&lt;=tblBatches[[#This Row],[Yield high]]),"Within limits","Out of limits"))</f>
        <v>Within limits</v>
      </c>
      <c r="T20" s="41" t="str">
        <f>IF(OR(NOT(ISNUMBER(tblBatches[[#This Row],[Reconciliation]])),tblBatches[[#This Row],[Recon low]]=""),"",IF(AND(tblBatches[[#This Row],[Reconciliation]]&gt;=tblBatches[[#This Row],[Recon low]],tblBatches[[#This Row],[Reconciliation]]&lt;=tblBatches[[#This Row],[Recon high]]),"Within limits","Out of limits"))</f>
        <v>Within limits</v>
      </c>
      <c r="U20"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20" s="31" t="s">
        <v>98</v>
      </c>
    </row>
    <row r="21" spans="2:22">
      <c r="B21" s="28" t="s">
        <v>115</v>
      </c>
      <c r="C21" s="35">
        <v>46262</v>
      </c>
      <c r="D21" s="28" t="s">
        <v>75</v>
      </c>
      <c r="E21" s="36">
        <v>1200000</v>
      </c>
      <c r="F21" s="36">
        <v>1180803</v>
      </c>
      <c r="G21" s="36">
        <v>300</v>
      </c>
      <c r="H21" s="36">
        <v>10617</v>
      </c>
      <c r="I21" s="36">
        <v>6468</v>
      </c>
      <c r="J21" s="28" t="s">
        <v>98</v>
      </c>
      <c r="K21" s="37" t="str">
        <f>IF(tblBatches[[#This Row],[Batch no.]]="","",IFERROR(INDEX(tblProducts[Unit],MATCH(tblBatches[[#This Row],[Product]],tblProducts[Product],0)),""))</f>
        <v>tablets</v>
      </c>
      <c r="L21" s="38">
        <f>IF(tblBatches[[#This Row],[Batch no.]]="","",IF(tblBatches[[#This Row],[Theoretical yield]]&gt;0,tblBatches[[#This Row],[Actual yield]]/tblBatches[[#This Row],[Theoretical yield]],""))</f>
        <v>0.9840025</v>
      </c>
      <c r="M21" s="38">
        <f>IF(tblBatches[[#This Row],[Batch no.]]="","",IF(tblBatches[[#This Row],[Theoretical yield]]&gt;0,(tblBatches[[#This Row],[Actual yield]]+tblBatches[[#This Row],[QC samples]]+tblBatches[[#This Row],[Rejects]]+tblBatches[[#This Row],[Other accounted]])/tblBatches[[#This Row],[Theoretical yield]],""))</f>
        <v>0.99849</v>
      </c>
      <c r="N21" s="39">
        <f>IF(tblBatches[[#This Row],[Batch no.]]="","",tblBatches[[#This Row],[Theoretical yield]]-tblBatches[[#This Row],[Actual yield]]-tblBatches[[#This Row],[QC samples]]-tblBatches[[#This Row],[Rejects]]-tblBatches[[#This Row],[Other accounted]])</f>
        <v>1812</v>
      </c>
      <c r="O21" s="40">
        <f>IF(tblBatches[[#This Row],[Batch no.]]="","",IFERROR(INDEX(tblProducts[Yield low],MATCH(tblBatches[[#This Row],[Product]],tblProducts[Product],0)),""))</f>
        <v>0.95</v>
      </c>
      <c r="P21" s="40">
        <f>IF(tblBatches[[#This Row],[Batch no.]]="","",IFERROR(INDEX(tblProducts[Yield high],MATCH(tblBatches[[#This Row],[Product]],tblProducts[Product],0)),""))</f>
        <v>1.01</v>
      </c>
      <c r="Q21" s="40">
        <f>IF(tblBatches[[#This Row],[Batch no.]]="","",IFERROR(INDEX(tblProducts[Recon low],MATCH(tblBatches[[#This Row],[Product]],tblProducts[Product],0)),""))</f>
        <v>0.99</v>
      </c>
      <c r="R21" s="40">
        <f>IF(tblBatches[[#This Row],[Batch no.]]="","",IFERROR(INDEX(tblProducts[Recon high],MATCH(tblBatches[[#This Row],[Product]],tblProducts[Product],0)),""))</f>
        <v>1.005</v>
      </c>
      <c r="S21" s="41" t="str">
        <f>IF(OR(NOT(ISNUMBER(tblBatches[[#This Row],[Yield]])),tblBatches[[#This Row],[Yield low]]=""),"",IF(AND(tblBatches[[#This Row],[Yield]]&gt;=tblBatches[[#This Row],[Yield low]],tblBatches[[#This Row],[Yield]]&lt;=tblBatches[[#This Row],[Yield high]]),"Within limits","Out of limits"))</f>
        <v>Within limits</v>
      </c>
      <c r="T21" s="41" t="str">
        <f>IF(OR(NOT(ISNUMBER(tblBatches[[#This Row],[Reconciliation]])),tblBatches[[#This Row],[Recon low]]=""),"",IF(AND(tblBatches[[#This Row],[Reconciliation]]&gt;=tblBatches[[#This Row],[Recon low]],tblBatches[[#This Row],[Reconciliation]]&lt;=tblBatches[[#This Row],[Recon high]]),"Within limits","Out of limits"))</f>
        <v>Within limits</v>
      </c>
      <c r="U21"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21" s="31" t="s">
        <v>98</v>
      </c>
    </row>
    <row r="22" spans="2:22">
      <c r="B22" s="28" t="s">
        <v>116</v>
      </c>
      <c r="C22" s="35">
        <v>46265</v>
      </c>
      <c r="D22" s="28" t="s">
        <v>75</v>
      </c>
      <c r="E22" s="36">
        <v>1200000</v>
      </c>
      <c r="F22" s="36">
        <v>1189237</v>
      </c>
      <c r="G22" s="36">
        <v>300</v>
      </c>
      <c r="H22" s="36">
        <v>6982</v>
      </c>
      <c r="I22" s="36">
        <v>2630</v>
      </c>
      <c r="J22" s="28" t="s">
        <v>98</v>
      </c>
      <c r="K22" s="37" t="str">
        <f>IF(tblBatches[[#This Row],[Batch no.]]="","",IFERROR(INDEX(tblProducts[Unit],MATCH(tblBatches[[#This Row],[Product]],tblProducts[Product],0)),""))</f>
        <v>tablets</v>
      </c>
      <c r="L22" s="38">
        <f>IF(tblBatches[[#This Row],[Batch no.]]="","",IF(tblBatches[[#This Row],[Theoretical yield]]&gt;0,tblBatches[[#This Row],[Actual yield]]/tblBatches[[#This Row],[Theoretical yield]],""))</f>
        <v>0.991030833333333</v>
      </c>
      <c r="M22" s="38">
        <f>IF(tblBatches[[#This Row],[Batch no.]]="","",IF(tblBatches[[#This Row],[Theoretical yield]]&gt;0,(tblBatches[[#This Row],[Actual yield]]+tblBatches[[#This Row],[QC samples]]+tblBatches[[#This Row],[Rejects]]+tblBatches[[#This Row],[Other accounted]])/tblBatches[[#This Row],[Theoretical yield]],""))</f>
        <v>0.999290833333333</v>
      </c>
      <c r="N22" s="39">
        <f>IF(tblBatches[[#This Row],[Batch no.]]="","",tblBatches[[#This Row],[Theoretical yield]]-tblBatches[[#This Row],[Actual yield]]-tblBatches[[#This Row],[QC samples]]-tblBatches[[#This Row],[Rejects]]-tblBatches[[#This Row],[Other accounted]])</f>
        <v>851</v>
      </c>
      <c r="O22" s="40">
        <f>IF(tblBatches[[#This Row],[Batch no.]]="","",IFERROR(INDEX(tblProducts[Yield low],MATCH(tblBatches[[#This Row],[Product]],tblProducts[Product],0)),""))</f>
        <v>0.95</v>
      </c>
      <c r="P22" s="40">
        <f>IF(tblBatches[[#This Row],[Batch no.]]="","",IFERROR(INDEX(tblProducts[Yield high],MATCH(tblBatches[[#This Row],[Product]],tblProducts[Product],0)),""))</f>
        <v>1.01</v>
      </c>
      <c r="Q22" s="40">
        <f>IF(tblBatches[[#This Row],[Batch no.]]="","",IFERROR(INDEX(tblProducts[Recon low],MATCH(tblBatches[[#This Row],[Product]],tblProducts[Product],0)),""))</f>
        <v>0.99</v>
      </c>
      <c r="R22" s="40">
        <f>IF(tblBatches[[#This Row],[Batch no.]]="","",IFERROR(INDEX(tblProducts[Recon high],MATCH(tblBatches[[#This Row],[Product]],tblProducts[Product],0)),""))</f>
        <v>1.005</v>
      </c>
      <c r="S22" s="41" t="str">
        <f>IF(OR(NOT(ISNUMBER(tblBatches[[#This Row],[Yield]])),tblBatches[[#This Row],[Yield low]]=""),"",IF(AND(tblBatches[[#This Row],[Yield]]&gt;=tblBatches[[#This Row],[Yield low]],tblBatches[[#This Row],[Yield]]&lt;=tblBatches[[#This Row],[Yield high]]),"Within limits","Out of limits"))</f>
        <v>Within limits</v>
      </c>
      <c r="T22" s="41" t="str">
        <f>IF(OR(NOT(ISNUMBER(tblBatches[[#This Row],[Reconciliation]])),tblBatches[[#This Row],[Recon low]]=""),"",IF(AND(tblBatches[[#This Row],[Reconciliation]]&gt;=tblBatches[[#This Row],[Recon low]],tblBatches[[#This Row],[Reconciliation]]&lt;=tblBatches[[#This Row],[Recon high]]),"Within limits","Out of limits"))</f>
        <v>Within limits</v>
      </c>
      <c r="U22"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22" s="31" t="s">
        <v>98</v>
      </c>
    </row>
    <row r="23" spans="2:22">
      <c r="B23" s="28" t="s">
        <v>117</v>
      </c>
      <c r="C23" s="35">
        <v>46266</v>
      </c>
      <c r="D23" s="28" t="s">
        <v>77</v>
      </c>
      <c r="E23" s="36">
        <v>800000</v>
      </c>
      <c r="F23" s="36">
        <v>779466</v>
      </c>
      <c r="G23" s="36">
        <v>300</v>
      </c>
      <c r="H23" s="36">
        <v>14683</v>
      </c>
      <c r="I23" s="36">
        <v>3771</v>
      </c>
      <c r="J23" s="28" t="s">
        <v>98</v>
      </c>
      <c r="K23" s="37" t="str">
        <f>IF(tblBatches[[#This Row],[Batch no.]]="","",IFERROR(INDEX(tblProducts[Unit],MATCH(tblBatches[[#This Row],[Product]],tblProducts[Product],0)),""))</f>
        <v>capsules</v>
      </c>
      <c r="L23" s="38">
        <f>IF(tblBatches[[#This Row],[Batch no.]]="","",IF(tblBatches[[#This Row],[Theoretical yield]]&gt;0,tblBatches[[#This Row],[Actual yield]]/tblBatches[[#This Row],[Theoretical yield]],""))</f>
        <v>0.9743325</v>
      </c>
      <c r="M23" s="38">
        <f>IF(tblBatches[[#This Row],[Batch no.]]="","",IF(tblBatches[[#This Row],[Theoretical yield]]&gt;0,(tblBatches[[#This Row],[Actual yield]]+tblBatches[[#This Row],[QC samples]]+tblBatches[[#This Row],[Rejects]]+tblBatches[[#This Row],[Other accounted]])/tblBatches[[#This Row],[Theoretical yield]],""))</f>
        <v>0.997775</v>
      </c>
      <c r="N23" s="39">
        <f>IF(tblBatches[[#This Row],[Batch no.]]="","",tblBatches[[#This Row],[Theoretical yield]]-tblBatches[[#This Row],[Actual yield]]-tblBatches[[#This Row],[QC samples]]-tblBatches[[#This Row],[Rejects]]-tblBatches[[#This Row],[Other accounted]])</f>
        <v>1780</v>
      </c>
      <c r="O23" s="40">
        <f>IF(tblBatches[[#This Row],[Batch no.]]="","",IFERROR(INDEX(tblProducts[Yield low],MATCH(tblBatches[[#This Row],[Product]],tblProducts[Product],0)),""))</f>
        <v>0.94</v>
      </c>
      <c r="P23" s="40">
        <f>IF(tblBatches[[#This Row],[Batch no.]]="","",IFERROR(INDEX(tblProducts[Yield high],MATCH(tblBatches[[#This Row],[Product]],tblProducts[Product],0)),""))</f>
        <v>1.01</v>
      </c>
      <c r="Q23" s="40">
        <f>IF(tblBatches[[#This Row],[Batch no.]]="","",IFERROR(INDEX(tblProducts[Recon low],MATCH(tblBatches[[#This Row],[Product]],tblProducts[Product],0)),""))</f>
        <v>0.985</v>
      </c>
      <c r="R23" s="40">
        <f>IF(tblBatches[[#This Row],[Batch no.]]="","",IFERROR(INDEX(tblProducts[Recon high],MATCH(tblBatches[[#This Row],[Product]],tblProducts[Product],0)),""))</f>
        <v>1.005</v>
      </c>
      <c r="S23" s="41" t="str">
        <f>IF(OR(NOT(ISNUMBER(tblBatches[[#This Row],[Yield]])),tblBatches[[#This Row],[Yield low]]=""),"",IF(AND(tblBatches[[#This Row],[Yield]]&gt;=tblBatches[[#This Row],[Yield low]],tblBatches[[#This Row],[Yield]]&lt;=tblBatches[[#This Row],[Yield high]]),"Within limits","Out of limits"))</f>
        <v>Within limits</v>
      </c>
      <c r="T23" s="41" t="str">
        <f>IF(OR(NOT(ISNUMBER(tblBatches[[#This Row],[Reconciliation]])),tblBatches[[#This Row],[Recon low]]=""),"",IF(AND(tblBatches[[#This Row],[Reconciliation]]&gt;=tblBatches[[#This Row],[Recon low]],tblBatches[[#This Row],[Reconciliation]]&lt;=tblBatches[[#This Row],[Recon high]]),"Within limits","Out of limits"))</f>
        <v>Within limits</v>
      </c>
      <c r="U23"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23" s="31" t="s">
        <v>98</v>
      </c>
    </row>
    <row r="24" spans="2:22">
      <c r="B24" s="28" t="s">
        <v>118</v>
      </c>
      <c r="C24" s="35">
        <v>46267</v>
      </c>
      <c r="D24" s="28" t="s">
        <v>75</v>
      </c>
      <c r="E24" s="36">
        <v>1200000</v>
      </c>
      <c r="F24" s="36">
        <v>1175132</v>
      </c>
      <c r="G24" s="36">
        <v>300</v>
      </c>
      <c r="H24" s="36">
        <v>16521</v>
      </c>
      <c r="I24" s="36">
        <v>6592</v>
      </c>
      <c r="J24" s="28" t="s">
        <v>98</v>
      </c>
      <c r="K24" s="37" t="str">
        <f>IF(tblBatches[[#This Row],[Batch no.]]="","",IFERROR(INDEX(tblProducts[Unit],MATCH(tblBatches[[#This Row],[Product]],tblProducts[Product],0)),""))</f>
        <v>tablets</v>
      </c>
      <c r="L24" s="38">
        <f>IF(tblBatches[[#This Row],[Batch no.]]="","",IF(tblBatches[[#This Row],[Theoretical yield]]&gt;0,tblBatches[[#This Row],[Actual yield]]/tblBatches[[#This Row],[Theoretical yield]],""))</f>
        <v>0.979276666666667</v>
      </c>
      <c r="M24" s="38">
        <f>IF(tblBatches[[#This Row],[Batch no.]]="","",IF(tblBatches[[#This Row],[Theoretical yield]]&gt;0,(tblBatches[[#This Row],[Actual yield]]+tblBatches[[#This Row],[QC samples]]+tblBatches[[#This Row],[Rejects]]+tblBatches[[#This Row],[Other accounted]])/tblBatches[[#This Row],[Theoretical yield]],""))</f>
        <v>0.9987875</v>
      </c>
      <c r="N24" s="39">
        <f>IF(tblBatches[[#This Row],[Batch no.]]="","",tblBatches[[#This Row],[Theoretical yield]]-tblBatches[[#This Row],[Actual yield]]-tblBatches[[#This Row],[QC samples]]-tblBatches[[#This Row],[Rejects]]-tblBatches[[#This Row],[Other accounted]])</f>
        <v>1455</v>
      </c>
      <c r="O24" s="40">
        <f>IF(tblBatches[[#This Row],[Batch no.]]="","",IFERROR(INDEX(tblProducts[Yield low],MATCH(tblBatches[[#This Row],[Product]],tblProducts[Product],0)),""))</f>
        <v>0.95</v>
      </c>
      <c r="P24" s="40">
        <f>IF(tblBatches[[#This Row],[Batch no.]]="","",IFERROR(INDEX(tblProducts[Yield high],MATCH(tblBatches[[#This Row],[Product]],tblProducts[Product],0)),""))</f>
        <v>1.01</v>
      </c>
      <c r="Q24" s="40">
        <f>IF(tblBatches[[#This Row],[Batch no.]]="","",IFERROR(INDEX(tblProducts[Recon low],MATCH(tblBatches[[#This Row],[Product]],tblProducts[Product],0)),""))</f>
        <v>0.99</v>
      </c>
      <c r="R24" s="40">
        <f>IF(tblBatches[[#This Row],[Batch no.]]="","",IFERROR(INDEX(tblProducts[Recon high],MATCH(tblBatches[[#This Row],[Product]],tblProducts[Product],0)),""))</f>
        <v>1.005</v>
      </c>
      <c r="S24" s="41" t="str">
        <f>IF(OR(NOT(ISNUMBER(tblBatches[[#This Row],[Yield]])),tblBatches[[#This Row],[Yield low]]=""),"",IF(AND(tblBatches[[#This Row],[Yield]]&gt;=tblBatches[[#This Row],[Yield low]],tblBatches[[#This Row],[Yield]]&lt;=tblBatches[[#This Row],[Yield high]]),"Within limits","Out of limits"))</f>
        <v>Within limits</v>
      </c>
      <c r="T24" s="41" t="str">
        <f>IF(OR(NOT(ISNUMBER(tblBatches[[#This Row],[Reconciliation]])),tblBatches[[#This Row],[Recon low]]=""),"",IF(AND(tblBatches[[#This Row],[Reconciliation]]&gt;=tblBatches[[#This Row],[Recon low]],tblBatches[[#This Row],[Reconciliation]]&lt;=tblBatches[[#This Row],[Recon high]]),"Within limits","Out of limits"))</f>
        <v>Within limits</v>
      </c>
      <c r="U24"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24" s="31" t="s">
        <v>98</v>
      </c>
    </row>
    <row r="25" spans="2:22">
      <c r="B25" s="28" t="s">
        <v>119</v>
      </c>
      <c r="C25" s="35">
        <v>46269</v>
      </c>
      <c r="D25" s="28" t="s">
        <v>79</v>
      </c>
      <c r="E25" s="36">
        <v>400000</v>
      </c>
      <c r="F25" s="36">
        <v>392227</v>
      </c>
      <c r="G25" s="36">
        <v>340</v>
      </c>
      <c r="H25" s="36">
        <v>4644</v>
      </c>
      <c r="I25" s="36">
        <v>2122</v>
      </c>
      <c r="J25" s="28" t="s">
        <v>98</v>
      </c>
      <c r="K25" s="37" t="str">
        <f>IF(tblBatches[[#This Row],[Batch no.]]="","",IFERROR(INDEX(tblProducts[Unit],MATCH(tblBatches[[#This Row],[Product]],tblProducts[Product],0)),""))</f>
        <v>tablets</v>
      </c>
      <c r="L25" s="38">
        <f>IF(tblBatches[[#This Row],[Batch no.]]="","",IF(tblBatches[[#This Row],[Theoretical yield]]&gt;0,tblBatches[[#This Row],[Actual yield]]/tblBatches[[#This Row],[Theoretical yield]],""))</f>
        <v>0.9805675</v>
      </c>
      <c r="M25" s="38">
        <f>IF(tblBatches[[#This Row],[Batch no.]]="","",IF(tblBatches[[#This Row],[Theoretical yield]]&gt;0,(tblBatches[[#This Row],[Actual yield]]+tblBatches[[#This Row],[QC samples]]+tblBatches[[#This Row],[Rejects]]+tblBatches[[#This Row],[Other accounted]])/tblBatches[[#This Row],[Theoretical yield]],""))</f>
        <v>0.9983325</v>
      </c>
      <c r="N25" s="39">
        <f>IF(tblBatches[[#This Row],[Batch no.]]="","",tblBatches[[#This Row],[Theoretical yield]]-tblBatches[[#This Row],[Actual yield]]-tblBatches[[#This Row],[QC samples]]-tblBatches[[#This Row],[Rejects]]-tblBatches[[#This Row],[Other accounted]])</f>
        <v>667</v>
      </c>
      <c r="O25" s="40">
        <f>IF(tblBatches[[#This Row],[Batch no.]]="","",IFERROR(INDEX(tblProducts[Yield low],MATCH(tblBatches[[#This Row],[Product]],tblProducts[Product],0)),""))</f>
        <v>0.95</v>
      </c>
      <c r="P25" s="40">
        <f>IF(tblBatches[[#This Row],[Batch no.]]="","",IFERROR(INDEX(tblProducts[Yield high],MATCH(tblBatches[[#This Row],[Product]],tblProducts[Product],0)),""))</f>
        <v>1.01</v>
      </c>
      <c r="Q25" s="40">
        <f>IF(tblBatches[[#This Row],[Batch no.]]="","",IFERROR(INDEX(tblProducts[Recon low],MATCH(tblBatches[[#This Row],[Product]],tblProducts[Product],0)),""))</f>
        <v>0.99</v>
      </c>
      <c r="R25" s="40">
        <f>IF(tblBatches[[#This Row],[Batch no.]]="","",IFERROR(INDEX(tblProducts[Recon high],MATCH(tblBatches[[#This Row],[Product]],tblProducts[Product],0)),""))</f>
        <v>1.005</v>
      </c>
      <c r="S25" s="41" t="str">
        <f>IF(OR(NOT(ISNUMBER(tblBatches[[#This Row],[Yield]])),tblBatches[[#This Row],[Yield low]]=""),"",IF(AND(tblBatches[[#This Row],[Yield]]&gt;=tblBatches[[#This Row],[Yield low]],tblBatches[[#This Row],[Yield]]&lt;=tblBatches[[#This Row],[Yield high]]),"Within limits","Out of limits"))</f>
        <v>Within limits</v>
      </c>
      <c r="T25" s="41" t="str">
        <f>IF(OR(NOT(ISNUMBER(tblBatches[[#This Row],[Reconciliation]])),tblBatches[[#This Row],[Recon low]]=""),"",IF(AND(tblBatches[[#This Row],[Reconciliation]]&gt;=tblBatches[[#This Row],[Recon low]],tblBatches[[#This Row],[Reconciliation]]&lt;=tblBatches[[#This Row],[Recon high]]),"Within limits","Out of limits"))</f>
        <v>Within limits</v>
      </c>
      <c r="U25"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25" s="31" t="s">
        <v>98</v>
      </c>
    </row>
    <row r="26" spans="2:22">
      <c r="B26" s="28" t="s">
        <v>120</v>
      </c>
      <c r="C26" s="35">
        <v>46272</v>
      </c>
      <c r="D26" s="28" t="s">
        <v>75</v>
      </c>
      <c r="E26" s="36">
        <v>1200000</v>
      </c>
      <c r="F26" s="36">
        <v>1174074</v>
      </c>
      <c r="G26" s="36">
        <v>300</v>
      </c>
      <c r="H26" s="36">
        <v>17667</v>
      </c>
      <c r="I26" s="36">
        <v>6312</v>
      </c>
      <c r="J26" s="28" t="s">
        <v>98</v>
      </c>
      <c r="K26" s="37" t="str">
        <f>IF(tblBatches[[#This Row],[Batch no.]]="","",IFERROR(INDEX(tblProducts[Unit],MATCH(tblBatches[[#This Row],[Product]],tblProducts[Product],0)),""))</f>
        <v>tablets</v>
      </c>
      <c r="L26" s="38">
        <f>IF(tblBatches[[#This Row],[Batch no.]]="","",IF(tblBatches[[#This Row],[Theoretical yield]]&gt;0,tblBatches[[#This Row],[Actual yield]]/tblBatches[[#This Row],[Theoretical yield]],""))</f>
        <v>0.978395</v>
      </c>
      <c r="M26" s="38">
        <f>IF(tblBatches[[#This Row],[Batch no.]]="","",IF(tblBatches[[#This Row],[Theoretical yield]]&gt;0,(tblBatches[[#This Row],[Actual yield]]+tblBatches[[#This Row],[QC samples]]+tblBatches[[#This Row],[Rejects]]+tblBatches[[#This Row],[Other accounted]])/tblBatches[[#This Row],[Theoretical yield]],""))</f>
        <v>0.9986275</v>
      </c>
      <c r="N26" s="39">
        <f>IF(tblBatches[[#This Row],[Batch no.]]="","",tblBatches[[#This Row],[Theoretical yield]]-tblBatches[[#This Row],[Actual yield]]-tblBatches[[#This Row],[QC samples]]-tblBatches[[#This Row],[Rejects]]-tblBatches[[#This Row],[Other accounted]])</f>
        <v>1647</v>
      </c>
      <c r="O26" s="40">
        <f>IF(tblBatches[[#This Row],[Batch no.]]="","",IFERROR(INDEX(tblProducts[Yield low],MATCH(tblBatches[[#This Row],[Product]],tblProducts[Product],0)),""))</f>
        <v>0.95</v>
      </c>
      <c r="P26" s="40">
        <f>IF(tblBatches[[#This Row],[Batch no.]]="","",IFERROR(INDEX(tblProducts[Yield high],MATCH(tblBatches[[#This Row],[Product]],tblProducts[Product],0)),""))</f>
        <v>1.01</v>
      </c>
      <c r="Q26" s="40">
        <f>IF(tblBatches[[#This Row],[Batch no.]]="","",IFERROR(INDEX(tblProducts[Recon low],MATCH(tblBatches[[#This Row],[Product]],tblProducts[Product],0)),""))</f>
        <v>0.99</v>
      </c>
      <c r="R26" s="40">
        <f>IF(tblBatches[[#This Row],[Batch no.]]="","",IFERROR(INDEX(tblProducts[Recon high],MATCH(tblBatches[[#This Row],[Product]],tblProducts[Product],0)),""))</f>
        <v>1.005</v>
      </c>
      <c r="S26" s="41" t="str">
        <f>IF(OR(NOT(ISNUMBER(tblBatches[[#This Row],[Yield]])),tblBatches[[#This Row],[Yield low]]=""),"",IF(AND(tblBatches[[#This Row],[Yield]]&gt;=tblBatches[[#This Row],[Yield low]],tblBatches[[#This Row],[Yield]]&lt;=tblBatches[[#This Row],[Yield high]]),"Within limits","Out of limits"))</f>
        <v>Within limits</v>
      </c>
      <c r="T26" s="41" t="str">
        <f>IF(OR(NOT(ISNUMBER(tblBatches[[#This Row],[Reconciliation]])),tblBatches[[#This Row],[Recon low]]=""),"",IF(AND(tblBatches[[#This Row],[Reconciliation]]&gt;=tblBatches[[#This Row],[Recon low]],tblBatches[[#This Row],[Reconciliation]]&lt;=tblBatches[[#This Row],[Recon high]]),"Within limits","Out of limits"))</f>
        <v>Within limits</v>
      </c>
      <c r="U26"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26" s="31" t="s">
        <v>98</v>
      </c>
    </row>
    <row r="27" spans="2:22">
      <c r="B27" s="28" t="s">
        <v>121</v>
      </c>
      <c r="C27" s="35">
        <v>46273</v>
      </c>
      <c r="D27" s="28" t="s">
        <v>77</v>
      </c>
      <c r="E27" s="36">
        <v>800000</v>
      </c>
      <c r="F27" s="36">
        <v>778521</v>
      </c>
      <c r="G27" s="36">
        <v>340</v>
      </c>
      <c r="H27" s="36">
        <v>17618</v>
      </c>
      <c r="I27" s="36">
        <v>2018</v>
      </c>
      <c r="J27" s="28" t="s">
        <v>98</v>
      </c>
      <c r="K27" s="37" t="str">
        <f>IF(tblBatches[[#This Row],[Batch no.]]="","",IFERROR(INDEX(tblProducts[Unit],MATCH(tblBatches[[#This Row],[Product]],tblProducts[Product],0)),""))</f>
        <v>capsules</v>
      </c>
      <c r="L27" s="38">
        <f>IF(tblBatches[[#This Row],[Batch no.]]="","",IF(tblBatches[[#This Row],[Theoretical yield]]&gt;0,tblBatches[[#This Row],[Actual yield]]/tblBatches[[#This Row],[Theoretical yield]],""))</f>
        <v>0.97315125</v>
      </c>
      <c r="M27" s="38">
        <f>IF(tblBatches[[#This Row],[Batch no.]]="","",IF(tblBatches[[#This Row],[Theoretical yield]]&gt;0,(tblBatches[[#This Row],[Actual yield]]+tblBatches[[#This Row],[QC samples]]+tblBatches[[#This Row],[Rejects]]+tblBatches[[#This Row],[Other accounted]])/tblBatches[[#This Row],[Theoretical yield]],""))</f>
        <v>0.99812125</v>
      </c>
      <c r="N27" s="39">
        <f>IF(tblBatches[[#This Row],[Batch no.]]="","",tblBatches[[#This Row],[Theoretical yield]]-tblBatches[[#This Row],[Actual yield]]-tblBatches[[#This Row],[QC samples]]-tblBatches[[#This Row],[Rejects]]-tblBatches[[#This Row],[Other accounted]])</f>
        <v>1503</v>
      </c>
      <c r="O27" s="40">
        <f>IF(tblBatches[[#This Row],[Batch no.]]="","",IFERROR(INDEX(tblProducts[Yield low],MATCH(tblBatches[[#This Row],[Product]],tblProducts[Product],0)),""))</f>
        <v>0.94</v>
      </c>
      <c r="P27" s="40">
        <f>IF(tblBatches[[#This Row],[Batch no.]]="","",IFERROR(INDEX(tblProducts[Yield high],MATCH(tblBatches[[#This Row],[Product]],tblProducts[Product],0)),""))</f>
        <v>1.01</v>
      </c>
      <c r="Q27" s="40">
        <f>IF(tblBatches[[#This Row],[Batch no.]]="","",IFERROR(INDEX(tblProducts[Recon low],MATCH(tblBatches[[#This Row],[Product]],tblProducts[Product],0)),""))</f>
        <v>0.985</v>
      </c>
      <c r="R27" s="40">
        <f>IF(tblBatches[[#This Row],[Batch no.]]="","",IFERROR(INDEX(tblProducts[Recon high],MATCH(tblBatches[[#This Row],[Product]],tblProducts[Product],0)),""))</f>
        <v>1.005</v>
      </c>
      <c r="S27" s="41" t="str">
        <f>IF(OR(NOT(ISNUMBER(tblBatches[[#This Row],[Yield]])),tblBatches[[#This Row],[Yield low]]=""),"",IF(AND(tblBatches[[#This Row],[Yield]]&gt;=tblBatches[[#This Row],[Yield low]],tblBatches[[#This Row],[Yield]]&lt;=tblBatches[[#This Row],[Yield high]]),"Within limits","Out of limits"))</f>
        <v>Within limits</v>
      </c>
      <c r="T27" s="41" t="str">
        <f>IF(OR(NOT(ISNUMBER(tblBatches[[#This Row],[Reconciliation]])),tblBatches[[#This Row],[Recon low]]=""),"",IF(AND(tblBatches[[#This Row],[Reconciliation]]&gt;=tblBatches[[#This Row],[Recon low]],tblBatches[[#This Row],[Reconciliation]]&lt;=tblBatches[[#This Row],[Recon high]]),"Within limits","Out of limits"))</f>
        <v>Within limits</v>
      </c>
      <c r="U27"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27" s="31" t="s">
        <v>98</v>
      </c>
    </row>
    <row r="28" spans="2:22">
      <c r="B28" s="28" t="s">
        <v>122</v>
      </c>
      <c r="C28" s="35">
        <v>46274</v>
      </c>
      <c r="D28" s="28" t="s">
        <v>80</v>
      </c>
      <c r="E28" s="36">
        <v>24600</v>
      </c>
      <c r="F28" s="36">
        <v>23833</v>
      </c>
      <c r="G28" s="36">
        <v>40</v>
      </c>
      <c r="H28" s="36">
        <v>198</v>
      </c>
      <c r="I28" s="36">
        <v>135</v>
      </c>
      <c r="J28" s="28" t="s">
        <v>98</v>
      </c>
      <c r="K28" s="37" t="str">
        <f>IF(tblBatches[[#This Row],[Batch no.]]="","",IFERROR(INDEX(tblProducts[Unit],MATCH(tblBatches[[#This Row],[Product]],tblProducts[Product],0)),""))</f>
        <v>bottles</v>
      </c>
      <c r="L28" s="38">
        <f>IF(tblBatches[[#This Row],[Batch no.]]="","",IF(tblBatches[[#This Row],[Theoretical yield]]&gt;0,tblBatches[[#This Row],[Actual yield]]/tblBatches[[#This Row],[Theoretical yield]],""))</f>
        <v>0.968821138211382</v>
      </c>
      <c r="M28" s="38">
        <f>IF(tblBatches[[#This Row],[Batch no.]]="","",IF(tblBatches[[#This Row],[Theoretical yield]]&gt;0,(tblBatches[[#This Row],[Actual yield]]+tblBatches[[#This Row],[QC samples]]+tblBatches[[#This Row],[Rejects]]+tblBatches[[#This Row],[Other accounted]])/tblBatches[[#This Row],[Theoretical yield]],""))</f>
        <v>0.983983739837398</v>
      </c>
      <c r="N28" s="39">
        <f>IF(tblBatches[[#This Row],[Batch no.]]="","",tblBatches[[#This Row],[Theoretical yield]]-tblBatches[[#This Row],[Actual yield]]-tblBatches[[#This Row],[QC samples]]-tblBatches[[#This Row],[Rejects]]-tblBatches[[#This Row],[Other accounted]])</f>
        <v>394</v>
      </c>
      <c r="O28" s="40">
        <f>IF(tblBatches[[#This Row],[Batch no.]]="","",IFERROR(INDEX(tblProducts[Yield low],MATCH(tblBatches[[#This Row],[Product]],tblProducts[Product],0)),""))</f>
        <v>0.95</v>
      </c>
      <c r="P28" s="40">
        <f>IF(tblBatches[[#This Row],[Batch no.]]="","",IFERROR(INDEX(tblProducts[Yield high],MATCH(tblBatches[[#This Row],[Product]],tblProducts[Product],0)),""))</f>
        <v>1.01</v>
      </c>
      <c r="Q28" s="40">
        <f>IF(tblBatches[[#This Row],[Batch no.]]="","",IFERROR(INDEX(tblProducts[Recon low],MATCH(tblBatches[[#This Row],[Product]],tblProducts[Product],0)),""))</f>
        <v>0.99</v>
      </c>
      <c r="R28" s="40">
        <f>IF(tblBatches[[#This Row],[Batch no.]]="","",IFERROR(INDEX(tblProducts[Recon high],MATCH(tblBatches[[#This Row],[Product]],tblProducts[Product],0)),""))</f>
        <v>1.005</v>
      </c>
      <c r="S28" s="41" t="str">
        <f>IF(OR(NOT(ISNUMBER(tblBatches[[#This Row],[Yield]])),tblBatches[[#This Row],[Yield low]]=""),"",IF(AND(tblBatches[[#This Row],[Yield]]&gt;=tblBatches[[#This Row],[Yield low]],tblBatches[[#This Row],[Yield]]&lt;=tblBatches[[#This Row],[Yield high]]),"Within limits","Out of limits"))</f>
        <v>Within limits</v>
      </c>
      <c r="T28" s="41" t="str">
        <f>IF(OR(NOT(ISNUMBER(tblBatches[[#This Row],[Reconciliation]])),tblBatches[[#This Row],[Recon low]]=""),"",IF(AND(tblBatches[[#This Row],[Reconciliation]]&gt;=tblBatches[[#This Row],[Recon low]],tblBatches[[#This Row],[Reconciliation]]&lt;=tblBatches[[#This Row],[Recon high]]),"Within limits","Out of limits"))</f>
        <v>Out of limits</v>
      </c>
      <c r="U28"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Deviation reference missing</v>
      </c>
      <c r="V28" s="31" t="s">
        <v>123</v>
      </c>
    </row>
    <row r="29" spans="2:22">
      <c r="B29" s="28" t="s">
        <v>124</v>
      </c>
      <c r="C29" s="35">
        <v>46276</v>
      </c>
      <c r="D29" s="28" t="s">
        <v>75</v>
      </c>
      <c r="E29" s="36">
        <v>1200000</v>
      </c>
      <c r="F29" s="36">
        <v>1174952</v>
      </c>
      <c r="G29" s="36">
        <v>340</v>
      </c>
      <c r="H29" s="36">
        <v>16547</v>
      </c>
      <c r="I29" s="36">
        <v>5243</v>
      </c>
      <c r="J29" s="28" t="s">
        <v>98</v>
      </c>
      <c r="K29" s="37" t="str">
        <f>IF(tblBatches[[#This Row],[Batch no.]]="","",IFERROR(INDEX(tblProducts[Unit],MATCH(tblBatches[[#This Row],[Product]],tblProducts[Product],0)),""))</f>
        <v>tablets</v>
      </c>
      <c r="L29" s="38">
        <f>IF(tblBatches[[#This Row],[Batch no.]]="","",IF(tblBatches[[#This Row],[Theoretical yield]]&gt;0,tblBatches[[#This Row],[Actual yield]]/tblBatches[[#This Row],[Theoretical yield]],""))</f>
        <v>0.979126666666667</v>
      </c>
      <c r="M29" s="38">
        <f>IF(tblBatches[[#This Row],[Batch no.]]="","",IF(tblBatches[[#This Row],[Theoretical yield]]&gt;0,(tblBatches[[#This Row],[Actual yield]]+tblBatches[[#This Row],[QC samples]]+tblBatches[[#This Row],[Rejects]]+tblBatches[[#This Row],[Other accounted]])/tblBatches[[#This Row],[Theoretical yield]],""))</f>
        <v>0.997568333333333</v>
      </c>
      <c r="N29" s="39">
        <f>IF(tblBatches[[#This Row],[Batch no.]]="","",tblBatches[[#This Row],[Theoretical yield]]-tblBatches[[#This Row],[Actual yield]]-tblBatches[[#This Row],[QC samples]]-tblBatches[[#This Row],[Rejects]]-tblBatches[[#This Row],[Other accounted]])</f>
        <v>2918</v>
      </c>
      <c r="O29" s="40">
        <f>IF(tblBatches[[#This Row],[Batch no.]]="","",IFERROR(INDEX(tblProducts[Yield low],MATCH(tblBatches[[#This Row],[Product]],tblProducts[Product],0)),""))</f>
        <v>0.95</v>
      </c>
      <c r="P29" s="40">
        <f>IF(tblBatches[[#This Row],[Batch no.]]="","",IFERROR(INDEX(tblProducts[Yield high],MATCH(tblBatches[[#This Row],[Product]],tblProducts[Product],0)),""))</f>
        <v>1.01</v>
      </c>
      <c r="Q29" s="40">
        <f>IF(tblBatches[[#This Row],[Batch no.]]="","",IFERROR(INDEX(tblProducts[Recon low],MATCH(tblBatches[[#This Row],[Product]],tblProducts[Product],0)),""))</f>
        <v>0.99</v>
      </c>
      <c r="R29" s="40">
        <f>IF(tblBatches[[#This Row],[Batch no.]]="","",IFERROR(INDEX(tblProducts[Recon high],MATCH(tblBatches[[#This Row],[Product]],tblProducts[Product],0)),""))</f>
        <v>1.005</v>
      </c>
      <c r="S29" s="41" t="str">
        <f>IF(OR(NOT(ISNUMBER(tblBatches[[#This Row],[Yield]])),tblBatches[[#This Row],[Yield low]]=""),"",IF(AND(tblBatches[[#This Row],[Yield]]&gt;=tblBatches[[#This Row],[Yield low]],tblBatches[[#This Row],[Yield]]&lt;=tblBatches[[#This Row],[Yield high]]),"Within limits","Out of limits"))</f>
        <v>Within limits</v>
      </c>
      <c r="T29" s="41" t="str">
        <f>IF(OR(NOT(ISNUMBER(tblBatches[[#This Row],[Reconciliation]])),tblBatches[[#This Row],[Recon low]]=""),"",IF(AND(tblBatches[[#This Row],[Reconciliation]]&gt;=tblBatches[[#This Row],[Recon low]],tblBatches[[#This Row],[Reconciliation]]&lt;=tblBatches[[#This Row],[Recon high]]),"Within limits","Out of limits"))</f>
        <v>Within limits</v>
      </c>
      <c r="U29"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29" s="31" t="s">
        <v>98</v>
      </c>
    </row>
    <row r="30" spans="2:22">
      <c r="B30" s="28" t="s">
        <v>125</v>
      </c>
      <c r="C30" s="35">
        <v>46279</v>
      </c>
      <c r="D30" s="28" t="s">
        <v>75</v>
      </c>
      <c r="E30" s="36">
        <v>1200000</v>
      </c>
      <c r="F30" s="36">
        <v>1173966</v>
      </c>
      <c r="G30" s="36">
        <v>320</v>
      </c>
      <c r="H30" s="36">
        <v>17741</v>
      </c>
      <c r="I30" s="36">
        <v>5118</v>
      </c>
      <c r="J30" s="28" t="s">
        <v>98</v>
      </c>
      <c r="K30" s="37" t="str">
        <f>IF(tblBatches[[#This Row],[Batch no.]]="","",IFERROR(INDEX(tblProducts[Unit],MATCH(tblBatches[[#This Row],[Product]],tblProducts[Product],0)),""))</f>
        <v>tablets</v>
      </c>
      <c r="L30" s="38">
        <f>IF(tblBatches[[#This Row],[Batch no.]]="","",IF(tblBatches[[#This Row],[Theoretical yield]]&gt;0,tblBatches[[#This Row],[Actual yield]]/tblBatches[[#This Row],[Theoretical yield]],""))</f>
        <v>0.978305</v>
      </c>
      <c r="M30" s="38">
        <f>IF(tblBatches[[#This Row],[Batch no.]]="","",IF(tblBatches[[#This Row],[Theoretical yield]]&gt;0,(tblBatches[[#This Row],[Actual yield]]+tblBatches[[#This Row],[QC samples]]+tblBatches[[#This Row],[Rejects]]+tblBatches[[#This Row],[Other accounted]])/tblBatches[[#This Row],[Theoretical yield]],""))</f>
        <v>0.997620833333333</v>
      </c>
      <c r="N30" s="39">
        <f>IF(tblBatches[[#This Row],[Batch no.]]="","",tblBatches[[#This Row],[Theoretical yield]]-tblBatches[[#This Row],[Actual yield]]-tblBatches[[#This Row],[QC samples]]-tblBatches[[#This Row],[Rejects]]-tblBatches[[#This Row],[Other accounted]])</f>
        <v>2855</v>
      </c>
      <c r="O30" s="40">
        <f>IF(tblBatches[[#This Row],[Batch no.]]="","",IFERROR(INDEX(tblProducts[Yield low],MATCH(tblBatches[[#This Row],[Product]],tblProducts[Product],0)),""))</f>
        <v>0.95</v>
      </c>
      <c r="P30" s="40">
        <f>IF(tblBatches[[#This Row],[Batch no.]]="","",IFERROR(INDEX(tblProducts[Yield high],MATCH(tblBatches[[#This Row],[Product]],tblProducts[Product],0)),""))</f>
        <v>1.01</v>
      </c>
      <c r="Q30" s="40">
        <f>IF(tblBatches[[#This Row],[Batch no.]]="","",IFERROR(INDEX(tblProducts[Recon low],MATCH(tblBatches[[#This Row],[Product]],tblProducts[Product],0)),""))</f>
        <v>0.99</v>
      </c>
      <c r="R30" s="40">
        <f>IF(tblBatches[[#This Row],[Batch no.]]="","",IFERROR(INDEX(tblProducts[Recon high],MATCH(tblBatches[[#This Row],[Product]],tblProducts[Product],0)),""))</f>
        <v>1.005</v>
      </c>
      <c r="S30" s="41" t="str">
        <f>IF(OR(NOT(ISNUMBER(tblBatches[[#This Row],[Yield]])),tblBatches[[#This Row],[Yield low]]=""),"",IF(AND(tblBatches[[#This Row],[Yield]]&gt;=tblBatches[[#This Row],[Yield low]],tblBatches[[#This Row],[Yield]]&lt;=tblBatches[[#This Row],[Yield high]]),"Within limits","Out of limits"))</f>
        <v>Within limits</v>
      </c>
      <c r="T30" s="41" t="str">
        <f>IF(OR(NOT(ISNUMBER(tblBatches[[#This Row],[Reconciliation]])),tblBatches[[#This Row],[Recon low]]=""),"",IF(AND(tblBatches[[#This Row],[Reconciliation]]&gt;=tblBatches[[#This Row],[Recon low]],tblBatches[[#This Row],[Reconciliation]]&lt;=tblBatches[[#This Row],[Recon high]]),"Within limits","Out of limits"))</f>
        <v>Within limits</v>
      </c>
      <c r="U30"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30" s="31" t="s">
        <v>98</v>
      </c>
    </row>
    <row r="31" spans="2:22">
      <c r="B31" s="28" t="s">
        <v>126</v>
      </c>
      <c r="C31" s="35">
        <v>46280</v>
      </c>
      <c r="D31" s="28" t="s">
        <v>77</v>
      </c>
      <c r="E31" s="36">
        <v>800000</v>
      </c>
      <c r="F31" s="36">
        <v>774613</v>
      </c>
      <c r="G31" s="36">
        <v>300</v>
      </c>
      <c r="H31" s="36">
        <v>17986</v>
      </c>
      <c r="I31" s="36">
        <v>5547</v>
      </c>
      <c r="J31" s="28" t="s">
        <v>98</v>
      </c>
      <c r="K31" s="37" t="str">
        <f>IF(tblBatches[[#This Row],[Batch no.]]="","",IFERROR(INDEX(tblProducts[Unit],MATCH(tblBatches[[#This Row],[Product]],tblProducts[Product],0)),""))</f>
        <v>capsules</v>
      </c>
      <c r="L31" s="38">
        <f>IF(tblBatches[[#This Row],[Batch no.]]="","",IF(tblBatches[[#This Row],[Theoretical yield]]&gt;0,tblBatches[[#This Row],[Actual yield]]/tblBatches[[#This Row],[Theoretical yield]],""))</f>
        <v>0.96826625</v>
      </c>
      <c r="M31" s="38">
        <f>IF(tblBatches[[#This Row],[Batch no.]]="","",IF(tblBatches[[#This Row],[Theoretical yield]]&gt;0,(tblBatches[[#This Row],[Actual yield]]+tblBatches[[#This Row],[QC samples]]+tblBatches[[#This Row],[Rejects]]+tblBatches[[#This Row],[Other accounted]])/tblBatches[[#This Row],[Theoretical yield]],""))</f>
        <v>0.9980575</v>
      </c>
      <c r="N31" s="39">
        <f>IF(tblBatches[[#This Row],[Batch no.]]="","",tblBatches[[#This Row],[Theoretical yield]]-tblBatches[[#This Row],[Actual yield]]-tblBatches[[#This Row],[QC samples]]-tblBatches[[#This Row],[Rejects]]-tblBatches[[#This Row],[Other accounted]])</f>
        <v>1554</v>
      </c>
      <c r="O31" s="40">
        <f>IF(tblBatches[[#This Row],[Batch no.]]="","",IFERROR(INDEX(tblProducts[Yield low],MATCH(tblBatches[[#This Row],[Product]],tblProducts[Product],0)),""))</f>
        <v>0.94</v>
      </c>
      <c r="P31" s="40">
        <f>IF(tblBatches[[#This Row],[Batch no.]]="","",IFERROR(INDEX(tblProducts[Yield high],MATCH(tblBatches[[#This Row],[Product]],tblProducts[Product],0)),""))</f>
        <v>1.01</v>
      </c>
      <c r="Q31" s="40">
        <f>IF(tblBatches[[#This Row],[Batch no.]]="","",IFERROR(INDEX(tblProducts[Recon low],MATCH(tblBatches[[#This Row],[Product]],tblProducts[Product],0)),""))</f>
        <v>0.985</v>
      </c>
      <c r="R31" s="40">
        <f>IF(tblBatches[[#This Row],[Batch no.]]="","",IFERROR(INDEX(tblProducts[Recon high],MATCH(tblBatches[[#This Row],[Product]],tblProducts[Product],0)),""))</f>
        <v>1.005</v>
      </c>
      <c r="S31" s="41" t="str">
        <f>IF(OR(NOT(ISNUMBER(tblBatches[[#This Row],[Yield]])),tblBatches[[#This Row],[Yield low]]=""),"",IF(AND(tblBatches[[#This Row],[Yield]]&gt;=tblBatches[[#This Row],[Yield low]],tblBatches[[#This Row],[Yield]]&lt;=tblBatches[[#This Row],[Yield high]]),"Within limits","Out of limits"))</f>
        <v>Within limits</v>
      </c>
      <c r="T31" s="41" t="str">
        <f>IF(OR(NOT(ISNUMBER(tblBatches[[#This Row],[Reconciliation]])),tblBatches[[#This Row],[Recon low]]=""),"",IF(AND(tblBatches[[#This Row],[Reconciliation]]&gt;=tblBatches[[#This Row],[Recon low]],tblBatches[[#This Row],[Reconciliation]]&lt;=tblBatches[[#This Row],[Recon high]]),"Within limits","Out of limits"))</f>
        <v>Within limits</v>
      </c>
      <c r="U31"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31" s="31" t="s">
        <v>98</v>
      </c>
    </row>
    <row r="32" spans="2:22">
      <c r="B32" s="28" t="s">
        <v>127</v>
      </c>
      <c r="C32" s="35">
        <v>46281</v>
      </c>
      <c r="D32" s="28" t="s">
        <v>75</v>
      </c>
      <c r="E32" s="36">
        <v>1200000</v>
      </c>
      <c r="F32" s="36">
        <v>1178768</v>
      </c>
      <c r="G32" s="36">
        <v>300</v>
      </c>
      <c r="H32" s="36">
        <v>16177</v>
      </c>
      <c r="I32" s="36">
        <v>4107</v>
      </c>
      <c r="J32" s="28" t="s">
        <v>98</v>
      </c>
      <c r="K32" s="37" t="str">
        <f>IF(tblBatches[[#This Row],[Batch no.]]="","",IFERROR(INDEX(tblProducts[Unit],MATCH(tblBatches[[#This Row],[Product]],tblProducts[Product],0)),""))</f>
        <v>tablets</v>
      </c>
      <c r="L32" s="38">
        <f>IF(tblBatches[[#This Row],[Batch no.]]="","",IF(tblBatches[[#This Row],[Theoretical yield]]&gt;0,tblBatches[[#This Row],[Actual yield]]/tblBatches[[#This Row],[Theoretical yield]],""))</f>
        <v>0.982306666666667</v>
      </c>
      <c r="M32" s="38">
        <f>IF(tblBatches[[#This Row],[Batch no.]]="","",IF(tblBatches[[#This Row],[Theoretical yield]]&gt;0,(tblBatches[[#This Row],[Actual yield]]+tblBatches[[#This Row],[QC samples]]+tblBatches[[#This Row],[Rejects]]+tblBatches[[#This Row],[Other accounted]])/tblBatches[[#This Row],[Theoretical yield]],""))</f>
        <v>0.99946</v>
      </c>
      <c r="N32" s="39">
        <f>IF(tblBatches[[#This Row],[Batch no.]]="","",tblBatches[[#This Row],[Theoretical yield]]-tblBatches[[#This Row],[Actual yield]]-tblBatches[[#This Row],[QC samples]]-tblBatches[[#This Row],[Rejects]]-tblBatches[[#This Row],[Other accounted]])</f>
        <v>648</v>
      </c>
      <c r="O32" s="40">
        <f>IF(tblBatches[[#This Row],[Batch no.]]="","",IFERROR(INDEX(tblProducts[Yield low],MATCH(tblBatches[[#This Row],[Product]],tblProducts[Product],0)),""))</f>
        <v>0.95</v>
      </c>
      <c r="P32" s="40">
        <f>IF(tblBatches[[#This Row],[Batch no.]]="","",IFERROR(INDEX(tblProducts[Yield high],MATCH(tblBatches[[#This Row],[Product]],tblProducts[Product],0)),""))</f>
        <v>1.01</v>
      </c>
      <c r="Q32" s="40">
        <f>IF(tblBatches[[#This Row],[Batch no.]]="","",IFERROR(INDEX(tblProducts[Recon low],MATCH(tblBatches[[#This Row],[Product]],tblProducts[Product],0)),""))</f>
        <v>0.99</v>
      </c>
      <c r="R32" s="40">
        <f>IF(tblBatches[[#This Row],[Batch no.]]="","",IFERROR(INDEX(tblProducts[Recon high],MATCH(tblBatches[[#This Row],[Product]],tblProducts[Product],0)),""))</f>
        <v>1.005</v>
      </c>
      <c r="S32" s="41" t="str">
        <f>IF(OR(NOT(ISNUMBER(tblBatches[[#This Row],[Yield]])),tblBatches[[#This Row],[Yield low]]=""),"",IF(AND(tblBatches[[#This Row],[Yield]]&gt;=tblBatches[[#This Row],[Yield low]],tblBatches[[#This Row],[Yield]]&lt;=tblBatches[[#This Row],[Yield high]]),"Within limits","Out of limits"))</f>
        <v>Within limits</v>
      </c>
      <c r="T32" s="41" t="str">
        <f>IF(OR(NOT(ISNUMBER(tblBatches[[#This Row],[Reconciliation]])),tblBatches[[#This Row],[Recon low]]=""),"",IF(AND(tblBatches[[#This Row],[Reconciliation]]&gt;=tblBatches[[#This Row],[Recon low]],tblBatches[[#This Row],[Reconciliation]]&lt;=tblBatches[[#This Row],[Recon high]]),"Within limits","Out of limits"))</f>
        <v>Within limits</v>
      </c>
      <c r="U32"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32" s="31" t="s">
        <v>98</v>
      </c>
    </row>
    <row r="33" spans="2:22">
      <c r="B33" s="28" t="s">
        <v>128</v>
      </c>
      <c r="C33" s="35">
        <v>46283</v>
      </c>
      <c r="D33" s="28" t="s">
        <v>79</v>
      </c>
      <c r="E33" s="36">
        <v>400000</v>
      </c>
      <c r="F33" s="36">
        <v>391360</v>
      </c>
      <c r="G33" s="36">
        <v>300</v>
      </c>
      <c r="H33" s="36">
        <v>4814</v>
      </c>
      <c r="I33" s="36">
        <v>3330</v>
      </c>
      <c r="J33" s="28" t="s">
        <v>98</v>
      </c>
      <c r="K33" s="37" t="str">
        <f>IF(tblBatches[[#This Row],[Batch no.]]="","",IFERROR(INDEX(tblProducts[Unit],MATCH(tblBatches[[#This Row],[Product]],tblProducts[Product],0)),""))</f>
        <v>tablets</v>
      </c>
      <c r="L33" s="38">
        <f>IF(tblBatches[[#This Row],[Batch no.]]="","",IF(tblBatches[[#This Row],[Theoretical yield]]&gt;0,tblBatches[[#This Row],[Actual yield]]/tblBatches[[#This Row],[Theoretical yield]],""))</f>
        <v>0.9784</v>
      </c>
      <c r="M33" s="38">
        <f>IF(tblBatches[[#This Row],[Batch no.]]="","",IF(tblBatches[[#This Row],[Theoretical yield]]&gt;0,(tblBatches[[#This Row],[Actual yield]]+tblBatches[[#This Row],[QC samples]]+tblBatches[[#This Row],[Rejects]]+tblBatches[[#This Row],[Other accounted]])/tblBatches[[#This Row],[Theoretical yield]],""))</f>
        <v>0.99951</v>
      </c>
      <c r="N33" s="39">
        <f>IF(tblBatches[[#This Row],[Batch no.]]="","",tblBatches[[#This Row],[Theoretical yield]]-tblBatches[[#This Row],[Actual yield]]-tblBatches[[#This Row],[QC samples]]-tblBatches[[#This Row],[Rejects]]-tblBatches[[#This Row],[Other accounted]])</f>
        <v>196</v>
      </c>
      <c r="O33" s="40">
        <f>IF(tblBatches[[#This Row],[Batch no.]]="","",IFERROR(INDEX(tblProducts[Yield low],MATCH(tblBatches[[#This Row],[Product]],tblProducts[Product],0)),""))</f>
        <v>0.95</v>
      </c>
      <c r="P33" s="40">
        <f>IF(tblBatches[[#This Row],[Batch no.]]="","",IFERROR(INDEX(tblProducts[Yield high],MATCH(tblBatches[[#This Row],[Product]],tblProducts[Product],0)),""))</f>
        <v>1.01</v>
      </c>
      <c r="Q33" s="40">
        <f>IF(tblBatches[[#This Row],[Batch no.]]="","",IFERROR(INDEX(tblProducts[Recon low],MATCH(tblBatches[[#This Row],[Product]],tblProducts[Product],0)),""))</f>
        <v>0.99</v>
      </c>
      <c r="R33" s="40">
        <f>IF(tblBatches[[#This Row],[Batch no.]]="","",IFERROR(INDEX(tblProducts[Recon high],MATCH(tblBatches[[#This Row],[Product]],tblProducts[Product],0)),""))</f>
        <v>1.005</v>
      </c>
      <c r="S33" s="41" t="str">
        <f>IF(OR(NOT(ISNUMBER(tblBatches[[#This Row],[Yield]])),tblBatches[[#This Row],[Yield low]]=""),"",IF(AND(tblBatches[[#This Row],[Yield]]&gt;=tblBatches[[#This Row],[Yield low]],tblBatches[[#This Row],[Yield]]&lt;=tblBatches[[#This Row],[Yield high]]),"Within limits","Out of limits"))</f>
        <v>Within limits</v>
      </c>
      <c r="T33" s="41" t="str">
        <f>IF(OR(NOT(ISNUMBER(tblBatches[[#This Row],[Reconciliation]])),tblBatches[[#This Row],[Recon low]]=""),"",IF(AND(tblBatches[[#This Row],[Reconciliation]]&gt;=tblBatches[[#This Row],[Recon low]],tblBatches[[#This Row],[Reconciliation]]&lt;=tblBatches[[#This Row],[Recon high]]),"Within limits","Out of limits"))</f>
        <v>Within limits</v>
      </c>
      <c r="U33"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33" s="31" t="s">
        <v>98</v>
      </c>
    </row>
    <row r="34" spans="2:22">
      <c r="B34" s="28" t="s">
        <v>129</v>
      </c>
      <c r="C34" s="35">
        <v>46286</v>
      </c>
      <c r="D34" s="28" t="s">
        <v>75</v>
      </c>
      <c r="E34" s="36">
        <v>1200000</v>
      </c>
      <c r="F34" s="36">
        <v>1183174</v>
      </c>
      <c r="G34" s="36">
        <v>340</v>
      </c>
      <c r="H34" s="36">
        <v>10628</v>
      </c>
      <c r="I34" s="36">
        <v>3233</v>
      </c>
      <c r="J34" s="28" t="s">
        <v>98</v>
      </c>
      <c r="K34" s="37" t="str">
        <f>IF(tblBatches[[#This Row],[Batch no.]]="","",IFERROR(INDEX(tblProducts[Unit],MATCH(tblBatches[[#This Row],[Product]],tblProducts[Product],0)),""))</f>
        <v>tablets</v>
      </c>
      <c r="L34" s="38">
        <f>IF(tblBatches[[#This Row],[Batch no.]]="","",IF(tblBatches[[#This Row],[Theoretical yield]]&gt;0,tblBatches[[#This Row],[Actual yield]]/tblBatches[[#This Row],[Theoretical yield]],""))</f>
        <v>0.985978333333333</v>
      </c>
      <c r="M34" s="38">
        <f>IF(tblBatches[[#This Row],[Batch no.]]="","",IF(tblBatches[[#This Row],[Theoretical yield]]&gt;0,(tblBatches[[#This Row],[Actual yield]]+tblBatches[[#This Row],[QC samples]]+tblBatches[[#This Row],[Rejects]]+tblBatches[[#This Row],[Other accounted]])/tblBatches[[#This Row],[Theoretical yield]],""))</f>
        <v>0.9978125</v>
      </c>
      <c r="N34" s="39">
        <f>IF(tblBatches[[#This Row],[Batch no.]]="","",tblBatches[[#This Row],[Theoretical yield]]-tblBatches[[#This Row],[Actual yield]]-tblBatches[[#This Row],[QC samples]]-tblBatches[[#This Row],[Rejects]]-tblBatches[[#This Row],[Other accounted]])</f>
        <v>2625</v>
      </c>
      <c r="O34" s="40">
        <f>IF(tblBatches[[#This Row],[Batch no.]]="","",IFERROR(INDEX(tblProducts[Yield low],MATCH(tblBatches[[#This Row],[Product]],tblProducts[Product],0)),""))</f>
        <v>0.95</v>
      </c>
      <c r="P34" s="40">
        <f>IF(tblBatches[[#This Row],[Batch no.]]="","",IFERROR(INDEX(tblProducts[Yield high],MATCH(tblBatches[[#This Row],[Product]],tblProducts[Product],0)),""))</f>
        <v>1.01</v>
      </c>
      <c r="Q34" s="40">
        <f>IF(tblBatches[[#This Row],[Batch no.]]="","",IFERROR(INDEX(tblProducts[Recon low],MATCH(tblBatches[[#This Row],[Product]],tblProducts[Product],0)),""))</f>
        <v>0.99</v>
      </c>
      <c r="R34" s="40">
        <f>IF(tblBatches[[#This Row],[Batch no.]]="","",IFERROR(INDEX(tblProducts[Recon high],MATCH(tblBatches[[#This Row],[Product]],tblProducts[Product],0)),""))</f>
        <v>1.005</v>
      </c>
      <c r="S34" s="41" t="str">
        <f>IF(OR(NOT(ISNUMBER(tblBatches[[#This Row],[Yield]])),tblBatches[[#This Row],[Yield low]]=""),"",IF(AND(tblBatches[[#This Row],[Yield]]&gt;=tblBatches[[#This Row],[Yield low]],tblBatches[[#This Row],[Yield]]&lt;=tblBatches[[#This Row],[Yield high]]),"Within limits","Out of limits"))</f>
        <v>Within limits</v>
      </c>
      <c r="T34" s="41" t="str">
        <f>IF(OR(NOT(ISNUMBER(tblBatches[[#This Row],[Reconciliation]])),tblBatches[[#This Row],[Recon low]]=""),"",IF(AND(tblBatches[[#This Row],[Reconciliation]]&gt;=tblBatches[[#This Row],[Recon low]],tblBatches[[#This Row],[Reconciliation]]&lt;=tblBatches[[#This Row],[Recon high]]),"Within limits","Out of limits"))</f>
        <v>Within limits</v>
      </c>
      <c r="U34"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34" s="31" t="s">
        <v>98</v>
      </c>
    </row>
    <row r="35" spans="2:22">
      <c r="B35" s="28" t="s">
        <v>130</v>
      </c>
      <c r="C35" s="35">
        <v>46287</v>
      </c>
      <c r="D35" s="28" t="s">
        <v>77</v>
      </c>
      <c r="E35" s="36">
        <v>800000</v>
      </c>
      <c r="F35" s="36">
        <v>773677</v>
      </c>
      <c r="G35" s="36">
        <v>300</v>
      </c>
      <c r="H35" s="36">
        <v>20140</v>
      </c>
      <c r="I35" s="36">
        <v>5561</v>
      </c>
      <c r="J35" s="28" t="s">
        <v>98</v>
      </c>
      <c r="K35" s="37" t="str">
        <f>IF(tblBatches[[#This Row],[Batch no.]]="","",IFERROR(INDEX(tblProducts[Unit],MATCH(tblBatches[[#This Row],[Product]],tblProducts[Product],0)),""))</f>
        <v>capsules</v>
      </c>
      <c r="L35" s="38">
        <f>IF(tblBatches[[#This Row],[Batch no.]]="","",IF(tblBatches[[#This Row],[Theoretical yield]]&gt;0,tblBatches[[#This Row],[Actual yield]]/tblBatches[[#This Row],[Theoretical yield]],""))</f>
        <v>0.96709625</v>
      </c>
      <c r="M35" s="38">
        <f>IF(tblBatches[[#This Row],[Batch no.]]="","",IF(tblBatches[[#This Row],[Theoretical yield]]&gt;0,(tblBatches[[#This Row],[Actual yield]]+tblBatches[[#This Row],[QC samples]]+tblBatches[[#This Row],[Rejects]]+tblBatches[[#This Row],[Other accounted]])/tblBatches[[#This Row],[Theoretical yield]],""))</f>
        <v>0.9995975</v>
      </c>
      <c r="N35" s="39">
        <f>IF(tblBatches[[#This Row],[Batch no.]]="","",tblBatches[[#This Row],[Theoretical yield]]-tblBatches[[#This Row],[Actual yield]]-tblBatches[[#This Row],[QC samples]]-tblBatches[[#This Row],[Rejects]]-tblBatches[[#This Row],[Other accounted]])</f>
        <v>322</v>
      </c>
      <c r="O35" s="40">
        <f>IF(tblBatches[[#This Row],[Batch no.]]="","",IFERROR(INDEX(tblProducts[Yield low],MATCH(tblBatches[[#This Row],[Product]],tblProducts[Product],0)),""))</f>
        <v>0.94</v>
      </c>
      <c r="P35" s="40">
        <f>IF(tblBatches[[#This Row],[Batch no.]]="","",IFERROR(INDEX(tblProducts[Yield high],MATCH(tblBatches[[#This Row],[Product]],tblProducts[Product],0)),""))</f>
        <v>1.01</v>
      </c>
      <c r="Q35" s="40">
        <f>IF(tblBatches[[#This Row],[Batch no.]]="","",IFERROR(INDEX(tblProducts[Recon low],MATCH(tblBatches[[#This Row],[Product]],tblProducts[Product],0)),""))</f>
        <v>0.985</v>
      </c>
      <c r="R35" s="40">
        <f>IF(tblBatches[[#This Row],[Batch no.]]="","",IFERROR(INDEX(tblProducts[Recon high],MATCH(tblBatches[[#This Row],[Product]],tblProducts[Product],0)),""))</f>
        <v>1.005</v>
      </c>
      <c r="S35" s="41" t="str">
        <f>IF(OR(NOT(ISNUMBER(tblBatches[[#This Row],[Yield]])),tblBatches[[#This Row],[Yield low]]=""),"",IF(AND(tblBatches[[#This Row],[Yield]]&gt;=tblBatches[[#This Row],[Yield low]],tblBatches[[#This Row],[Yield]]&lt;=tblBatches[[#This Row],[Yield high]]),"Within limits","Out of limits"))</f>
        <v>Within limits</v>
      </c>
      <c r="T35" s="41" t="str">
        <f>IF(OR(NOT(ISNUMBER(tblBatches[[#This Row],[Reconciliation]])),tblBatches[[#This Row],[Recon low]]=""),"",IF(AND(tblBatches[[#This Row],[Reconciliation]]&gt;=tblBatches[[#This Row],[Recon low]],tblBatches[[#This Row],[Reconciliation]]&lt;=tblBatches[[#This Row],[Recon high]]),"Within limits","Out of limits"))</f>
        <v>Within limits</v>
      </c>
      <c r="U35"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35" s="31" t="s">
        <v>98</v>
      </c>
    </row>
    <row r="36" spans="2:22">
      <c r="B36" s="28" t="s">
        <v>131</v>
      </c>
      <c r="C36" s="35">
        <v>46288</v>
      </c>
      <c r="D36" s="28" t="s">
        <v>80</v>
      </c>
      <c r="E36" s="36">
        <v>24600</v>
      </c>
      <c r="F36" s="36">
        <v>24174</v>
      </c>
      <c r="G36" s="36">
        <v>40</v>
      </c>
      <c r="H36" s="36">
        <v>158</v>
      </c>
      <c r="I36" s="36">
        <v>165</v>
      </c>
      <c r="J36" s="28" t="s">
        <v>98</v>
      </c>
      <c r="K36" s="37" t="str">
        <f>IF(tblBatches[[#This Row],[Batch no.]]="","",IFERROR(INDEX(tblProducts[Unit],MATCH(tblBatches[[#This Row],[Product]],tblProducts[Product],0)),""))</f>
        <v>bottles</v>
      </c>
      <c r="L36" s="38">
        <f>IF(tblBatches[[#This Row],[Batch no.]]="","",IF(tblBatches[[#This Row],[Theoretical yield]]&gt;0,tblBatches[[#This Row],[Actual yield]]/tblBatches[[#This Row],[Theoretical yield]],""))</f>
        <v>0.982682926829268</v>
      </c>
      <c r="M36" s="38">
        <f>IF(tblBatches[[#This Row],[Batch no.]]="","",IF(tblBatches[[#This Row],[Theoretical yield]]&gt;0,(tblBatches[[#This Row],[Actual yield]]+tblBatches[[#This Row],[QC samples]]+tblBatches[[#This Row],[Rejects]]+tblBatches[[#This Row],[Other accounted]])/tblBatches[[#This Row],[Theoretical yield]],""))</f>
        <v>0.997439024390244</v>
      </c>
      <c r="N36" s="39">
        <f>IF(tblBatches[[#This Row],[Batch no.]]="","",tblBatches[[#This Row],[Theoretical yield]]-tblBatches[[#This Row],[Actual yield]]-tblBatches[[#This Row],[QC samples]]-tblBatches[[#This Row],[Rejects]]-tblBatches[[#This Row],[Other accounted]])</f>
        <v>63</v>
      </c>
      <c r="O36" s="40">
        <f>IF(tblBatches[[#This Row],[Batch no.]]="","",IFERROR(INDEX(tblProducts[Yield low],MATCH(tblBatches[[#This Row],[Product]],tblProducts[Product],0)),""))</f>
        <v>0.95</v>
      </c>
      <c r="P36" s="40">
        <f>IF(tblBatches[[#This Row],[Batch no.]]="","",IFERROR(INDEX(tblProducts[Yield high],MATCH(tblBatches[[#This Row],[Product]],tblProducts[Product],0)),""))</f>
        <v>1.01</v>
      </c>
      <c r="Q36" s="40">
        <f>IF(tblBatches[[#This Row],[Batch no.]]="","",IFERROR(INDEX(tblProducts[Recon low],MATCH(tblBatches[[#This Row],[Product]],tblProducts[Product],0)),""))</f>
        <v>0.99</v>
      </c>
      <c r="R36" s="40">
        <f>IF(tblBatches[[#This Row],[Batch no.]]="","",IFERROR(INDEX(tblProducts[Recon high],MATCH(tblBatches[[#This Row],[Product]],tblProducts[Product],0)),""))</f>
        <v>1.005</v>
      </c>
      <c r="S36" s="41" t="str">
        <f>IF(OR(NOT(ISNUMBER(tblBatches[[#This Row],[Yield]])),tblBatches[[#This Row],[Yield low]]=""),"",IF(AND(tblBatches[[#This Row],[Yield]]&gt;=tblBatches[[#This Row],[Yield low]],tblBatches[[#This Row],[Yield]]&lt;=tblBatches[[#This Row],[Yield high]]),"Within limits","Out of limits"))</f>
        <v>Within limits</v>
      </c>
      <c r="T36" s="41" t="str">
        <f>IF(OR(NOT(ISNUMBER(tblBatches[[#This Row],[Reconciliation]])),tblBatches[[#This Row],[Recon low]]=""),"",IF(AND(tblBatches[[#This Row],[Reconciliation]]&gt;=tblBatches[[#This Row],[Recon low]],tblBatches[[#This Row],[Reconciliation]]&lt;=tblBatches[[#This Row],[Recon high]]),"Within limits","Out of limits"))</f>
        <v>Within limits</v>
      </c>
      <c r="U36"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36" s="31" t="s">
        <v>98</v>
      </c>
    </row>
    <row r="37" spans="2:22">
      <c r="B37" s="28" t="s">
        <v>132</v>
      </c>
      <c r="C37" s="35">
        <v>46290</v>
      </c>
      <c r="D37" s="28" t="s">
        <v>75</v>
      </c>
      <c r="E37" s="36">
        <v>1200000</v>
      </c>
      <c r="F37" s="36">
        <v>1178954</v>
      </c>
      <c r="G37" s="36">
        <v>340</v>
      </c>
      <c r="H37" s="36">
        <v>13769</v>
      </c>
      <c r="I37" s="36">
        <v>3243</v>
      </c>
      <c r="J37" s="28" t="s">
        <v>98</v>
      </c>
      <c r="K37" s="37" t="str">
        <f>IF(tblBatches[[#This Row],[Batch no.]]="","",IFERROR(INDEX(tblProducts[Unit],MATCH(tblBatches[[#This Row],[Product]],tblProducts[Product],0)),""))</f>
        <v>tablets</v>
      </c>
      <c r="L37" s="38">
        <f>IF(tblBatches[[#This Row],[Batch no.]]="","",IF(tblBatches[[#This Row],[Theoretical yield]]&gt;0,tblBatches[[#This Row],[Actual yield]]/tblBatches[[#This Row],[Theoretical yield]],""))</f>
        <v>0.982461666666667</v>
      </c>
      <c r="M37" s="38">
        <f>IF(tblBatches[[#This Row],[Batch no.]]="","",IF(tblBatches[[#This Row],[Theoretical yield]]&gt;0,(tblBatches[[#This Row],[Actual yield]]+tblBatches[[#This Row],[QC samples]]+tblBatches[[#This Row],[Rejects]]+tblBatches[[#This Row],[Other accounted]])/tblBatches[[#This Row],[Theoretical yield]],""))</f>
        <v>0.996921666666667</v>
      </c>
      <c r="N37" s="39">
        <f>IF(tblBatches[[#This Row],[Batch no.]]="","",tblBatches[[#This Row],[Theoretical yield]]-tblBatches[[#This Row],[Actual yield]]-tblBatches[[#This Row],[QC samples]]-tblBatches[[#This Row],[Rejects]]-tblBatches[[#This Row],[Other accounted]])</f>
        <v>3694</v>
      </c>
      <c r="O37" s="40">
        <f>IF(tblBatches[[#This Row],[Batch no.]]="","",IFERROR(INDEX(tblProducts[Yield low],MATCH(tblBatches[[#This Row],[Product]],tblProducts[Product],0)),""))</f>
        <v>0.95</v>
      </c>
      <c r="P37" s="40">
        <f>IF(tblBatches[[#This Row],[Batch no.]]="","",IFERROR(INDEX(tblProducts[Yield high],MATCH(tblBatches[[#This Row],[Product]],tblProducts[Product],0)),""))</f>
        <v>1.01</v>
      </c>
      <c r="Q37" s="40">
        <f>IF(tblBatches[[#This Row],[Batch no.]]="","",IFERROR(INDEX(tblProducts[Recon low],MATCH(tblBatches[[#This Row],[Product]],tblProducts[Product],0)),""))</f>
        <v>0.99</v>
      </c>
      <c r="R37" s="40">
        <f>IF(tblBatches[[#This Row],[Batch no.]]="","",IFERROR(INDEX(tblProducts[Recon high],MATCH(tblBatches[[#This Row],[Product]],tblProducts[Product],0)),""))</f>
        <v>1.005</v>
      </c>
      <c r="S37" s="41" t="str">
        <f>IF(OR(NOT(ISNUMBER(tblBatches[[#This Row],[Yield]])),tblBatches[[#This Row],[Yield low]]=""),"",IF(AND(tblBatches[[#This Row],[Yield]]&gt;=tblBatches[[#This Row],[Yield low]],tblBatches[[#This Row],[Yield]]&lt;=tblBatches[[#This Row],[Yield high]]),"Within limits","Out of limits"))</f>
        <v>Within limits</v>
      </c>
      <c r="T37" s="41" t="str">
        <f>IF(OR(NOT(ISNUMBER(tblBatches[[#This Row],[Reconciliation]])),tblBatches[[#This Row],[Recon low]]=""),"",IF(AND(tblBatches[[#This Row],[Reconciliation]]&gt;=tblBatches[[#This Row],[Recon low]],tblBatches[[#This Row],[Reconciliation]]&lt;=tblBatches[[#This Row],[Recon high]]),"Within limits","Out of limits"))</f>
        <v>Within limits</v>
      </c>
      <c r="U37" s="33" t="str">
        <f>IF(tblBatches[[#This Row],[Batch no.]]="","",IF(tblBatches[[#This Row],[Date]]="","Missing date",IF(tblBatches[[#This Row],[Product]]="","Missing product",IF(tblBatches[[#This Row],[Theoretical yield]]="","Missing theoretical yield",IF(tblBatches[[#This Row],[Actual yield]]="","Missing actual yield",IF(tblBatches[[#This Row],[Unit]]="","Product not on Setup list",IF(COUNTIF(tblBatches[Batch no.],tblBatches[[#This Row],[Batch no.]])&gt;1,"Duplicate batch number",IF(AND(OR(tblBatches[[#This Row],[Yield status]]="Out of limits",tblBatches[[#This Row],[Reconciliation status]]="Out of limits"),tblBatches[[#This Row],[Deviation ref]]=""),"Deviation reference missing","OK"))))))))</f>
        <v>OK</v>
      </c>
      <c r="V37" s="31" t="s">
        <v>98</v>
      </c>
    </row>
  </sheetData>
  <mergeCells count="3">
    <mergeCell ref="A1:V1"/>
    <mergeCell ref="B2:U2"/>
    <mergeCell ref="B4:V4"/>
  </mergeCells>
  <conditionalFormatting sqref="S6:S5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T6:T537">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U6:U537">
    <cfRule type="expression" dxfId="3" priority="41">
      <formula>$U6="OK"</formula>
    </cfRule>
    <cfRule type="expression" dxfId="1" priority="42">
      <formula>AND($U6&lt;&gt;"",$U6&lt;&gt;"OK")</formula>
    </cfRule>
  </conditionalFormatting>
  <dataValidations count="10">
    <dataValidation type="textLength" allowBlank="1" showInputMessage="1" showErrorMessage="1" errorTitle="Check this entry" error="Text up to 30 characters." promptTitle="Batch no." prompt="Text up to 30 characters." sqref="B6:B537">
      <formula1>0</formula1>
      <formula2>30</formula2>
    </dataValidation>
    <dataValidation type="date" allowBlank="1" showInputMessage="1" showErrorMessage="1" errorTitle="Check this entry" error="Enter a date between 01 Jan 2000 and 31 Dec 2100." promptTitle="Date" prompt="Date the batch step being reconciled was completed. Enter a date between 01 Jan 2000 and 31 Dec 2100." sqref="C6:C537">
      <formula1>36526</formula1>
      <formula2>73415</formula2>
    </dataValidation>
    <dataValidation type="list" allowBlank="1" showInputMessage="1" showErrorMessage="1" errorTitle="Check this entry" error="Pick from the list (edit the list on Setup: Products)." promptTitle="Product" prompt="Pick from the list (edit the list on Setup: Products)." sqref="D6:D537">
      <formula1>Products</formula1>
    </dataValidation>
    <dataValidation type="whole" allowBlank="1" showInputMessage="1" showErrorMessage="1" errorTitle="Check this entry" error="Enter a whole number of at least 1." promptTitle="Theoretical yield" prompt="Quantity the batch formula would give with no loss at all, in the product's unit. Enter a whole number of at least 1." sqref="E6:E537">
      <formula1>1</formula1>
      <formula2>1000000000000.0</formula2>
    </dataValidation>
    <dataValidation type="whole" allowBlank="1" showInputMessage="1" showErrorMessage="1" errorTitle="Check this entry" error="Enter a whole number of at least 0." promptTitle="Actual yield" prompt="Good output actually produced and counted or weighed. Enter a whole number of at least 0." sqref="F6:F537">
      <formula1>0</formula1>
      <formula2>1000000000000.0</formula2>
    </dataValidation>
    <dataValidation type="whole" allowBlank="1" showInputMessage="1" showErrorMessage="1" errorTitle="Check this entry" error="Enter a whole number of at least 0." promptTitle="QC samples" prompt="Units taken for QC testing and retention. Enter a whole number of at least 0." sqref="G6:G537">
      <formula1>0</formula1>
      <formula2>1000000000000.0</formula2>
    </dataValidation>
    <dataValidation type="whole" allowBlank="1" showInputMessage="1" showErrorMessage="1" errorTitle="Check this entry" error="Enter a whole number of at least 0." promptTitle="Rejects" prompt="Rejected units documented and destroyed or quarantined. Enter a whole number of at least 0." sqref="H6:H537">
      <formula1>0</formula1>
      <formula2>1000000000000.0</formula2>
    </dataValidation>
    <dataValidation type="whole" allowBlank="1" showInputMessage="1" showErrorMessage="1" errorTitle="Check this entry" error="Enter a whole number of at least 0." promptTitle="Other accounted" prompt="Other documented losses: set-up, line clearance, in-process checks, spillage recorded. Enter a whole number of at least 0." sqref="I6:I537">
      <formula1>0</formula1>
      <formula2>1000000000000.0</formula2>
    </dataValidation>
    <dataValidation type="textLength" allowBlank="1" showInputMessage="1" showErrorMessage="1" errorTitle="Check this entry" error="Text up to 40 characters." promptTitle="Deviation ref" prompt="Deviation or investigation number when the batch is out of limits. Text up to 40 characters." sqref="J6:J537">
      <formula1>0</formula1>
      <formula2>40</formula2>
    </dataValidation>
    <dataValidation type="textLength" allowBlank="1" showInputMessage="1" showErrorMessage="1" errorTitle="Check this entry" error="Text up to 255 characters." promptTitle="Notes" prompt="Text up to 255 characters." sqref="V6:V537">
      <formula1>0</formula1>
      <formula2>255</formula2>
    </dataValidation>
  </dataValidations>
  <hyperlinks>
    <hyperlink ref="V2" r:id="rId1" tooltip="Free manufacturing calculators and templates"/>
  </hyperlinks>
  <pageMargins left="0.4" right="0.4" top="0.7" bottom="0.65" header="0.3" footer="0.3"/>
  <pageSetup fitToHeight="0" orientation="landscape"/>
  <headerFooter>
    <oddHeader>&amp;L&amp;8MFG Calcs - Batch Yield Reconciliation&amp;R&amp;8&amp;A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M76"/>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3" ht="30" customHeight="1">
      <c r="A1" s="1" t="s">
        <v>0</v>
      </c>
      <c r="B1" s="1"/>
      <c r="C1" s="1"/>
      <c r="D1" s="1"/>
      <c r="E1" s="1"/>
      <c r="F1" s="1"/>
      <c r="G1" s="1"/>
      <c r="H1" s="1"/>
      <c r="I1" s="1"/>
      <c r="J1" s="1"/>
      <c r="K1" s="1"/>
      <c r="L1" s="1"/>
      <c r="M1" s="1"/>
    </row>
    <row r="2" spans="1:13" ht="21" customHeight="1">
      <c r="B2" s="2" t="s">
        <v>24</v>
      </c>
      <c r="C2" s="2"/>
      <c r="D2" s="2"/>
      <c r="E2" s="2"/>
      <c r="F2" s="2"/>
      <c r="G2" s="2"/>
      <c r="H2" s="2"/>
      <c r="I2" s="2"/>
      <c r="J2" s="2"/>
      <c r="K2" s="2"/>
      <c r="L2" s="3" t="s">
        <v>2</v>
      </c>
      <c r="M2" s="3"/>
    </row>
    <row r="3" spans="1:13" ht="6" customHeight="1"/>
    <row r="4" spans="1:13" ht="18" customHeight="1">
      <c r="B4" s="42" t="s">
        <v>133</v>
      </c>
      <c r="C4" s="42"/>
      <c r="D4" s="42" t="s">
        <v>134</v>
      </c>
      <c r="E4" s="42"/>
      <c r="F4" s="42"/>
      <c r="G4" s="42" t="s">
        <v>135</v>
      </c>
      <c r="H4" s="42"/>
      <c r="I4" s="42"/>
      <c r="J4" s="42" t="s">
        <v>136</v>
      </c>
      <c r="K4" s="42"/>
      <c r="L4" s="42"/>
    </row>
    <row r="5" spans="1:13" ht="21" customHeight="1">
      <c r="B5" s="43">
        <f>COUNT(tblBatches[Yield])</f>
        <v>32</v>
      </c>
      <c r="C5" s="43"/>
      <c r="D5" s="44">
        <f>IF((COUNT(tblBatches[Yield]))=0,"",(COUNTIFS(tblBatches[Yield status],"Within limits",tblBatches[Reconciliation status],"Within limits"))/(COUNT(tblBatches[Yield])))</f>
        <v>0.9375</v>
      </c>
      <c r="E5" s="44"/>
      <c r="F5" s="44"/>
      <c r="G5" s="43">
        <f>COUNT(tblBatches[Yield])-COUNTIFS(tblBatches[Yield status],"Within limits",tblBatches[Reconciliation status],"Within limits")</f>
        <v>2</v>
      </c>
      <c r="H5" s="43"/>
      <c r="I5" s="43"/>
      <c r="J5" s="43">
        <f>COUNTIF(tblBatches[Check],"Deviation reference missing")</f>
        <v>1</v>
      </c>
      <c r="K5" s="43"/>
      <c r="L5" s="43"/>
    </row>
    <row r="6" spans="1:13" ht="21" customHeight="1">
      <c r="B6" s="43"/>
      <c r="C6" s="43"/>
      <c r="D6" s="44"/>
      <c r="E6" s="44"/>
      <c r="F6" s="44"/>
      <c r="G6" s="43"/>
      <c r="H6" s="43"/>
      <c r="I6" s="43"/>
      <c r="J6" s="43"/>
      <c r="K6" s="43"/>
      <c r="L6" s="43"/>
    </row>
    <row r="7" spans="1:13">
      <c r="B7" s="45" t="s">
        <v>137</v>
      </c>
      <c r="C7" s="45"/>
      <c r="D7" s="45" t="s">
        <v>138</v>
      </c>
      <c r="E7" s="45"/>
      <c r="F7" s="45"/>
      <c r="G7" s="45" t="s">
        <v>139</v>
      </c>
      <c r="H7" s="45"/>
      <c r="I7" s="45"/>
      <c r="J7" s="46">
        <f>0</f>
        <v>0</v>
      </c>
      <c r="K7" s="46"/>
      <c r="L7" s="46"/>
    </row>
    <row r="8" spans="1:13" ht="18" customHeight="1">
      <c r="B8" s="47"/>
      <c r="C8" s="47"/>
      <c r="D8" s="47"/>
      <c r="E8" s="47"/>
      <c r="F8" s="47"/>
      <c r="G8" s="47"/>
      <c r="H8" s="47"/>
      <c r="I8" s="47"/>
      <c r="J8" s="47" t="str">
        <f>IF(NOT(ISNUMBER(KpiOpen)),"No data",IF(KpiOpen&lt;=(0),"On target",IF(KpiOpen&lt;=(0)*(1+0.05),"Near target","Above target")))</f>
        <v>Above target</v>
      </c>
      <c r="K8" s="47"/>
      <c r="L8" s="47"/>
    </row>
    <row r="28" spans="2:13">
      <c r="B28" s="29" t="s">
        <v>140</v>
      </c>
      <c r="C28" s="29"/>
      <c r="D28" s="29"/>
      <c r="E28" s="29"/>
      <c r="F28" s="29"/>
      <c r="G28" s="29"/>
      <c r="H28" s="29"/>
      <c r="I28" s="29"/>
      <c r="J28" s="29"/>
      <c r="K28" s="29"/>
      <c r="L28" s="29"/>
      <c r="M28" s="29"/>
    </row>
    <row r="29" spans="2:13" ht="32" customHeight="1">
      <c r="B29" s="48" t="s">
        <v>62</v>
      </c>
      <c r="C29" s="30" t="s">
        <v>63</v>
      </c>
      <c r="D29" s="30" t="s">
        <v>141</v>
      </c>
      <c r="E29" s="30" t="s">
        <v>142</v>
      </c>
      <c r="F29" s="30" t="s">
        <v>90</v>
      </c>
      <c r="G29" s="30" t="s">
        <v>143</v>
      </c>
      <c r="H29" s="30" t="s">
        <v>144</v>
      </c>
      <c r="I29" s="30" t="s">
        <v>145</v>
      </c>
      <c r="J29" s="30" t="s">
        <v>86</v>
      </c>
      <c r="K29" s="30" t="s">
        <v>87</v>
      </c>
      <c r="L29" s="30" t="s">
        <v>88</v>
      </c>
      <c r="M29" s="30" t="s">
        <v>145</v>
      </c>
    </row>
    <row r="30" spans="2:13" ht="14" customHeight="1">
      <c r="B30" s="49"/>
      <c r="C30" s="49"/>
      <c r="D30" s="49" t="s">
        <v>146</v>
      </c>
      <c r="E30" s="49" t="s">
        <v>147</v>
      </c>
      <c r="F30" s="49" t="s">
        <v>148</v>
      </c>
      <c r="G30" s="49" t="s">
        <v>148</v>
      </c>
      <c r="H30" s="49" t="s">
        <v>146</v>
      </c>
      <c r="I30" s="49" t="s">
        <v>147</v>
      </c>
      <c r="J30" s="49" t="s">
        <v>149</v>
      </c>
      <c r="K30" s="49" t="s">
        <v>149</v>
      </c>
      <c r="L30" s="49" t="s">
        <v>149</v>
      </c>
      <c r="M30" s="49" t="s">
        <v>149</v>
      </c>
    </row>
    <row r="31" spans="2:13">
      <c r="B31" s="50" t="str">
        <f>IFERROR(INDEX(tblProducts[Product],1)&amp;"","")</f>
        <v>Paracetamol 500 mg</v>
      </c>
      <c r="C31" s="51" t="str">
        <f>IF($B$31="","",IFERROR(INDEX(tblProducts[Unit],MATCH($B$31,tblProducts[Product],0)),""))</f>
        <v>tablets</v>
      </c>
      <c r="D31" s="39">
        <f>IF($B$31="","",COUNTIFS(tblBatches[Product],$B$31,tblBatches[Theoretical yield],"&gt;0"))</f>
        <v>16</v>
      </c>
      <c r="E31" s="39">
        <f>IF($B$31="","",SUMIFS(tblBatches[Theoretical yield],tblBatches[Product],$B$31))</f>
        <v>19200000</v>
      </c>
      <c r="F31" s="38">
        <f>IF($B$31="","",IF(($E$31)=0,"",(SUMIFS(tblBatches[Actual yield],tblBatches[Product],$B$31))/($E$31)))</f>
        <v>0.981842447916667</v>
      </c>
      <c r="G31" s="38">
        <f>IF($B$31="","",IF(($E$31)=0,"",(SUMIFS(tblBatches[Actual yield],tblBatches[Product],$B$31)+SUMIFS(tblBatches[QC samples],tblBatches[Product],$B$31)+SUMIFS(tblBatches[Rejects],tblBatches[Product],$B$31)+SUMIFS(tblBatches[Other accounted],tblBatches[Product],$B$31))/($E$31)))</f>
        <v>0.998368697916667</v>
      </c>
      <c r="H31" s="39">
        <f>IF($B$31="","",$D$31-COUNTIFS(tblBatches[Product],$B$31,tblBatches[Yield status],"Within limits",tblBatches[Reconciliation status],"Within limits"))</f>
        <v>0</v>
      </c>
      <c r="I31" s="39">
        <f>IF($B$31="","",SUMIFS(tblBatches[Unaccounted],tblBatches[Product],$B$31))</f>
        <v>31321</v>
      </c>
      <c r="J31" s="38">
        <f>IF($B$31="","",IF(($E$31)=0,"",(SUMIFS(tblBatches[QC samples],tblBatches[Product],$B$31))/($E$31)))</f>
        <v>0.000259375</v>
      </c>
      <c r="K31" s="38">
        <f>IF($B$31="","",IF(($E$31)=0,"",(SUMIFS(tblBatches[Rejects],tblBatches[Product],$B$31))/($E$31)))</f>
        <v>0.0123783333333333</v>
      </c>
      <c r="L31" s="38">
        <f>IF($B$31="","",IF(($E$31)=0,"",(SUMIFS(tblBatches[Other accounted],tblBatches[Product],$B$31))/($E$31)))</f>
        <v>0.00388854166666667</v>
      </c>
      <c r="M31" s="38">
        <f>IF($B$31="","",IF(($E$31)=0,"",(SUMIFS(tblBatches[Unaccounted],tblBatches[Product],$B$31))/($E$31)))</f>
        <v>0.00163130208333333</v>
      </c>
    </row>
    <row r="32" spans="2:13">
      <c r="B32" s="50" t="str">
        <f>IFERROR(INDEX(tblProducts[Product],2)&amp;"","")</f>
        <v>Ibuprofen 200 mg</v>
      </c>
      <c r="C32" s="51" t="str">
        <f>IF($B$32="","",IFERROR(INDEX(tblProducts[Unit],MATCH($B$32,tblProducts[Product],0)),""))</f>
        <v>capsules</v>
      </c>
      <c r="D32" s="39">
        <f>IF($B$32="","",COUNTIFS(tblBatches[Product],$B$32,tblBatches[Theoretical yield],"&gt;0"))</f>
        <v>8</v>
      </c>
      <c r="E32" s="39">
        <f>IF($B$32="","",SUMIFS(tblBatches[Theoretical yield],tblBatches[Product],$B$32))</f>
        <v>6400000</v>
      </c>
      <c r="F32" s="38">
        <f>IF($B$32="","",IF(($E$32)=0,"",(SUMIFS(tblBatches[Actual yield],tblBatches[Product],$B$32))/($E$32)))</f>
        <v>0.96719203125</v>
      </c>
      <c r="G32" s="38">
        <f>IF($B$32="","",IF(($E$32)=0,"",(SUMIFS(tblBatches[Actual yield],tblBatches[Product],$B$32)+SUMIFS(tblBatches[QC samples],tblBatches[Product],$B$32)+SUMIFS(tblBatches[Rejects],tblBatches[Product],$B$32)+SUMIFS(tblBatches[Other accounted],tblBatches[Product],$B$32))/($E$32)))</f>
        <v>0.99842265625</v>
      </c>
      <c r="H32" s="39">
        <f>IF($B$32="","",$D$32-COUNTIFS(tblBatches[Product],$B$32,tblBatches[Yield status],"Within limits",tblBatches[Reconciliation status],"Within limits"))</f>
        <v>1</v>
      </c>
      <c r="I32" s="39">
        <f>IF($B$32="","",SUMIFS(tblBatches[Unaccounted],tblBatches[Product],$B$32))</f>
        <v>10095</v>
      </c>
      <c r="J32" s="38">
        <f>IF($B$32="","",IF(($E$32)=0,"",(SUMIFS(tblBatches[QC samples],tblBatches[Product],$B$32))/($E$32)))</f>
        <v>0.0003875</v>
      </c>
      <c r="K32" s="38">
        <f>IF($B$32="","",IF(($E$32)=0,"",(SUMIFS(tblBatches[Rejects],tblBatches[Product],$B$32))/($E$32)))</f>
        <v>0.02584625</v>
      </c>
      <c r="L32" s="38">
        <f>IF($B$32="","",IF(($E$32)=0,"",(SUMIFS(tblBatches[Other accounted],tblBatches[Product],$B$32))/($E$32)))</f>
        <v>0.004996875</v>
      </c>
      <c r="M32" s="38">
        <f>IF($B$32="","",IF(($E$32)=0,"",(SUMIFS(tblBatches[Unaccounted],tblBatches[Product],$B$32))/($E$32)))</f>
        <v>0.00157734375</v>
      </c>
    </row>
    <row r="33" spans="2:13">
      <c r="B33" s="50" t="str">
        <f>IFERROR(INDEX(tblProducts[Product],3)&amp;"","")</f>
        <v>Vitamin C 1 g effervescent</v>
      </c>
      <c r="C33" s="51" t="str">
        <f>IF($B$33="","",IFERROR(INDEX(tblProducts[Unit],MATCH($B$33,tblProducts[Product],0)),""))</f>
        <v>tablets</v>
      </c>
      <c r="D33" s="39">
        <f>IF($B$33="","",COUNTIFS(tblBatches[Product],$B$33,tblBatches[Theoretical yield],"&gt;0"))</f>
        <v>4</v>
      </c>
      <c r="E33" s="39">
        <f>IF($B$33="","",SUMIFS(tblBatches[Theoretical yield],tblBatches[Product],$B$33))</f>
        <v>1600000</v>
      </c>
      <c r="F33" s="38">
        <f>IF($B$33="","",IF(($E$33)=0,"",(SUMIFS(tblBatches[Actual yield],tblBatches[Product],$B$33))/($E$33)))</f>
        <v>0.978014375</v>
      </c>
      <c r="G33" s="38">
        <f>IF($B$33="","",IF(($E$33)=0,"",(SUMIFS(tblBatches[Actual yield],tblBatches[Product],$B$33)+SUMIFS(tblBatches[QC samples],tblBatches[Product],$B$33)+SUMIFS(tblBatches[Rejects],tblBatches[Product],$B$33)+SUMIFS(tblBatches[Other accounted],tblBatches[Product],$B$33))/($E$33)))</f>
        <v>0.998278125</v>
      </c>
      <c r="H33" s="39">
        <f>IF($B$33="","",$D$33-COUNTIFS(tblBatches[Product],$B$33,tblBatches[Yield status],"Within limits",tblBatches[Reconciliation status],"Within limits"))</f>
        <v>0</v>
      </c>
      <c r="I33" s="39">
        <f>IF($B$33="","",SUMIFS(tblBatches[Unaccounted],tblBatches[Product],$B$33))</f>
        <v>2755</v>
      </c>
      <c r="J33" s="38">
        <f>IF($B$33="","",IF(($E$33)=0,"",(SUMIFS(tblBatches[QC samples],tblBatches[Product],$B$33))/($E$33)))</f>
        <v>0.0007875</v>
      </c>
      <c r="K33" s="38">
        <f>IF($B$33="","",IF(($E$33)=0,"",(SUMIFS(tblBatches[Rejects],tblBatches[Product],$B$33))/($E$33)))</f>
        <v>0.012385625</v>
      </c>
      <c r="L33" s="38">
        <f>IF($B$33="","",IF(($E$33)=0,"",(SUMIFS(tblBatches[Other accounted],tblBatches[Product],$B$33))/($E$33)))</f>
        <v>0.007090625</v>
      </c>
      <c r="M33" s="38">
        <f>IF($B$33="","",IF(($E$33)=0,"",(SUMIFS(tblBatches[Unaccounted],tblBatches[Product],$B$33))/($E$33)))</f>
        <v>0.001721875</v>
      </c>
    </row>
    <row r="34" spans="2:13">
      <c r="B34" s="50" t="str">
        <f>IFERROR(INDEX(tblProducts[Product],4)&amp;"","")</f>
        <v>Cough syrup 100 mL</v>
      </c>
      <c r="C34" s="51" t="str">
        <f>IF($B$34="","",IFERROR(INDEX(tblProducts[Unit],MATCH($B$34,tblProducts[Product],0)),""))</f>
        <v>bottles</v>
      </c>
      <c r="D34" s="39">
        <f>IF($B$34="","",COUNTIFS(tblBatches[Product],$B$34,tblBatches[Theoretical yield],"&gt;0"))</f>
        <v>4</v>
      </c>
      <c r="E34" s="39">
        <f>IF($B$34="","",SUMIFS(tblBatches[Theoretical yield],tblBatches[Product],$B$34))</f>
        <v>96600</v>
      </c>
      <c r="F34" s="38">
        <f>IF($B$34="","",IF(($E$34)=0,"",(SUMIFS(tblBatches[Actual yield],tblBatches[Product],$B$34))/($E$34)))</f>
        <v>0.979378881987578</v>
      </c>
      <c r="G34" s="38">
        <f>IF($B$34="","",IF(($E$34)=0,"",(SUMIFS(tblBatches[Actual yield],tblBatches[Product],$B$34)+SUMIFS(tblBatches[QC samples],tblBatches[Product],$B$34)+SUMIFS(tblBatches[Rejects],tblBatches[Product],$B$34)+SUMIFS(tblBatches[Other accounted],tblBatches[Product],$B$34))/($E$34)))</f>
        <v>0.994192546583851</v>
      </c>
      <c r="H34" s="39">
        <f>IF($B$34="","",$D$34-COUNTIFS(tblBatches[Product],$B$34,tblBatches[Yield status],"Within limits",tblBatches[Reconciliation status],"Within limits"))</f>
        <v>1</v>
      </c>
      <c r="I34" s="39">
        <f>IF($B$34="","",SUMIFS(tblBatches[Unaccounted],tblBatches[Product],$B$34))</f>
        <v>561</v>
      </c>
      <c r="J34" s="38">
        <f>IF($B$34="","",IF(($E$34)=0,"",(SUMIFS(tblBatches[QC samples],tblBatches[Product],$B$34))/($E$34)))</f>
        <v>0.00165631469979296</v>
      </c>
      <c r="K34" s="38">
        <f>IF($B$34="","",IF(($E$34)=0,"",(SUMIFS(tblBatches[Rejects],tblBatches[Product],$B$34))/($E$34)))</f>
        <v>0.00751552795031056</v>
      </c>
      <c r="L34" s="38">
        <f>IF($B$34="","",IF(($E$34)=0,"",(SUMIFS(tblBatches[Other accounted],tblBatches[Product],$B$34))/($E$34)))</f>
        <v>0.00564182194616977</v>
      </c>
      <c r="M34" s="38">
        <f>IF($B$34="","",IF(($E$34)=0,"",(SUMIFS(tblBatches[Unaccounted],tblBatches[Product],$B$34))/($E$34)))</f>
        <v>0.00580745341614907</v>
      </c>
    </row>
    <row r="50" spans="2:12">
      <c r="B50" s="29" t="s">
        <v>150</v>
      </c>
      <c r="C50" s="29"/>
      <c r="D50" s="29"/>
      <c r="E50" s="29"/>
      <c r="F50" s="29"/>
      <c r="G50" s="29"/>
      <c r="H50" s="29"/>
      <c r="I50" s="29"/>
      <c r="J50" s="29"/>
      <c r="K50" s="29"/>
      <c r="L50" s="29"/>
    </row>
    <row r="51" spans="2:12" ht="20" customHeight="1">
      <c r="B51" s="48" t="s">
        <v>82</v>
      </c>
      <c r="C51" s="30" t="s">
        <v>62</v>
      </c>
      <c r="D51" s="30"/>
      <c r="E51" s="30"/>
      <c r="F51" s="30" t="s">
        <v>83</v>
      </c>
      <c r="G51" s="30" t="s">
        <v>90</v>
      </c>
      <c r="H51" s="30" t="s">
        <v>64</v>
      </c>
      <c r="I51" s="30" t="s">
        <v>65</v>
      </c>
      <c r="J51" s="30" t="s">
        <v>143</v>
      </c>
      <c r="K51" s="30" t="s">
        <v>66</v>
      </c>
      <c r="L51" s="30" t="s">
        <v>67</v>
      </c>
    </row>
    <row r="52" spans="2:12" ht="14" customHeight="1">
      <c r="B52" s="49"/>
      <c r="C52" s="49"/>
      <c r="D52" s="49"/>
      <c r="E52" s="49"/>
      <c r="F52" s="49"/>
      <c r="G52" s="49" t="s">
        <v>148</v>
      </c>
      <c r="H52" s="49" t="s">
        <v>148</v>
      </c>
      <c r="I52" s="49" t="s">
        <v>148</v>
      </c>
      <c r="J52" s="49" t="s">
        <v>148</v>
      </c>
      <c r="K52" s="49" t="s">
        <v>148</v>
      </c>
      <c r="L52" s="49" t="s">
        <v>148</v>
      </c>
    </row>
    <row r="53" spans="2:12">
      <c r="B53" s="50" t="str">
        <f>IF($B$54="","",IFERROR(IF(MATCH($B$54,tblBatches[Batch no.],0)&gt;1,INDEX(tblBatches[Batch no.],MATCH($B$54,tblBatches[Batch no.],0)-1),""),""))</f>
        <v>PT26-107</v>
      </c>
      <c r="C53" s="51" t="str">
        <f>IF($B$53="","",IFERROR(INDEX(tblBatches[Product],MATCH($B$53,tblBatches[Batch no.],0)),""))</f>
        <v>Paracetamol 500 mg</v>
      </c>
      <c r="D53" s="51"/>
      <c r="E53" s="51"/>
      <c r="F53" s="52">
        <f>IF($B$53="","",IFERROR(INDEX(tblBatches[Date],MATCH($B$53,tblBatches[Batch no.],0)),""))</f>
        <v>46258</v>
      </c>
      <c r="G53" s="38">
        <f>IF($B$53="","",IFERROR(INDEX(tblBatches[Yield],MATCH($B$53,tblBatches[Batch no.],0)),""))</f>
        <v>0.984160833333333</v>
      </c>
      <c r="H53" s="53">
        <f>IF($B$53="","",IFERROR(INDEX(tblBatches[Yield low],MATCH($B$53,tblBatches[Batch no.],0)),""))</f>
        <v>0.95</v>
      </c>
      <c r="I53" s="53">
        <f>IF($B$53="","",IFERROR(INDEX(tblBatches[Yield high],MATCH($B$53,tblBatches[Batch no.],0)),""))</f>
        <v>1.01</v>
      </c>
      <c r="J53" s="38">
        <f>IF($B$53="","",IFERROR(INDEX(tblBatches[Reconciliation],MATCH($B$53,tblBatches[Batch no.],0)),""))</f>
        <v>0.998406666666667</v>
      </c>
      <c r="K53" s="53">
        <f>IF($B$53="","",IFERROR(INDEX(tblBatches[Recon low],MATCH($B$53,tblBatches[Batch no.],0)),""))</f>
        <v>0.99</v>
      </c>
      <c r="L53" s="53">
        <f>IF($B$53="","",IFERROR(INDEX(tblBatches[Recon high],MATCH($B$53,tblBatches[Batch no.],0)),""))</f>
        <v>1.005</v>
      </c>
    </row>
    <row r="54" spans="2:12">
      <c r="B54" s="50" t="str">
        <f>IF($B$55="","",IFERROR(IF(MATCH($B$55,tblBatches[Batch no.],0)&gt;1,INDEX(tblBatches[Batch no.],MATCH($B$55,tblBatches[Batch no.],0)-1),""),""))</f>
        <v>IC26-104</v>
      </c>
      <c r="C54" s="51" t="str">
        <f>IF($B$54="","",IFERROR(INDEX(tblBatches[Product],MATCH($B$54,tblBatches[Batch no.],0)),""))</f>
        <v>Ibuprofen 200 mg</v>
      </c>
      <c r="D54" s="51"/>
      <c r="E54" s="51"/>
      <c r="F54" s="52">
        <f>IF($B$54="","",IFERROR(INDEX(tblBatches[Date],MATCH($B$54,tblBatches[Batch no.],0)),""))</f>
        <v>46259</v>
      </c>
      <c r="G54" s="38">
        <f>IF($B$54="","",IFERROR(INDEX(tblBatches[Yield],MATCH($B$54,tblBatches[Batch no.],0)),""))</f>
        <v>0.92973375</v>
      </c>
      <c r="H54" s="53">
        <f>IF($B$54="","",IFERROR(INDEX(tblBatches[Yield low],MATCH($B$54,tblBatches[Batch no.],0)),""))</f>
        <v>0.94</v>
      </c>
      <c r="I54" s="53">
        <f>IF($B$54="","",IFERROR(INDEX(tblBatches[Yield high],MATCH($B$54,tblBatches[Batch no.],0)),""))</f>
        <v>1.01</v>
      </c>
      <c r="J54" s="38">
        <f>IF($B$54="","",IFERROR(INDEX(tblBatches[Reconciliation],MATCH($B$54,tblBatches[Batch no.],0)),""))</f>
        <v>0.99878</v>
      </c>
      <c r="K54" s="53">
        <f>IF($B$54="","",IFERROR(INDEX(tblBatches[Recon low],MATCH($B$54,tblBatches[Batch no.],0)),""))</f>
        <v>0.985</v>
      </c>
      <c r="L54" s="53">
        <f>IF($B$54="","",IFERROR(INDEX(tblBatches[Recon high],MATCH($B$54,tblBatches[Batch no.],0)),""))</f>
        <v>1.005</v>
      </c>
    </row>
    <row r="55" spans="2:12">
      <c r="B55" s="50" t="str">
        <f>IF($B$56="","",IFERROR(IF(MATCH($B$56,tblBatches[Batch no.],0)&gt;1,INDEX(tblBatches[Batch no.],MATCH($B$56,tblBatches[Batch no.],0)-1),""),""))</f>
        <v>CS26-102</v>
      </c>
      <c r="C55" s="51" t="str">
        <f>IF($B$55="","",IFERROR(INDEX(tblBatches[Product],MATCH($B$55,tblBatches[Batch no.],0)),""))</f>
        <v>Cough syrup 100 mL</v>
      </c>
      <c r="D55" s="51"/>
      <c r="E55" s="51"/>
      <c r="F55" s="52">
        <f>IF($B$55="","",IFERROR(INDEX(tblBatches[Date],MATCH($B$55,tblBatches[Batch no.],0)),""))</f>
        <v>46260</v>
      </c>
      <c r="G55" s="38">
        <f>IF($B$55="","",IFERROR(INDEX(tblBatches[Yield],MATCH($B$55,tblBatches[Batch no.],0)),""))</f>
        <v>0.986153846153846</v>
      </c>
      <c r="H55" s="53">
        <f>IF($B$55="","",IFERROR(INDEX(tblBatches[Yield low],MATCH($B$55,tblBatches[Batch no.],0)),""))</f>
        <v>0.95</v>
      </c>
      <c r="I55" s="53">
        <f>IF($B$55="","",IFERROR(INDEX(tblBatches[Yield high],MATCH($B$55,tblBatches[Batch no.],0)),""))</f>
        <v>1.01</v>
      </c>
      <c r="J55" s="38">
        <f>IF($B$55="","",IFERROR(INDEX(tblBatches[Reconciliation],MATCH($B$55,tblBatches[Batch no.],0)),""))</f>
        <v>0.997905982905983</v>
      </c>
      <c r="K55" s="53">
        <f>IF($B$55="","",IFERROR(INDEX(tblBatches[Recon low],MATCH($B$55,tblBatches[Batch no.],0)),""))</f>
        <v>0.99</v>
      </c>
      <c r="L55" s="53">
        <f>IF($B$55="","",IFERROR(INDEX(tblBatches[Recon high],MATCH($B$55,tblBatches[Batch no.],0)),""))</f>
        <v>1.005</v>
      </c>
    </row>
    <row r="56" spans="2:12">
      <c r="B56" s="50" t="str">
        <f>IF($B$57="","",IFERROR(IF(MATCH($B$57,tblBatches[Batch no.],0)&gt;1,INDEX(tblBatches[Batch no.],MATCH($B$57,tblBatches[Batch no.],0)-1),""),""))</f>
        <v>PT26-108</v>
      </c>
      <c r="C56" s="51" t="str">
        <f>IF($B$56="","",IFERROR(INDEX(tblBatches[Product],MATCH($B$56,tblBatches[Batch no.],0)),""))</f>
        <v>Paracetamol 500 mg</v>
      </c>
      <c r="D56" s="51"/>
      <c r="E56" s="51"/>
      <c r="F56" s="52">
        <f>IF($B$56="","",IFERROR(INDEX(tblBatches[Date],MATCH($B$56,tblBatches[Batch no.],0)),""))</f>
        <v>46262</v>
      </c>
      <c r="G56" s="38">
        <f>IF($B$56="","",IFERROR(INDEX(tblBatches[Yield],MATCH($B$56,tblBatches[Batch no.],0)),""))</f>
        <v>0.9840025</v>
      </c>
      <c r="H56" s="53">
        <f>IF($B$56="","",IFERROR(INDEX(tblBatches[Yield low],MATCH($B$56,tblBatches[Batch no.],0)),""))</f>
        <v>0.95</v>
      </c>
      <c r="I56" s="53">
        <f>IF($B$56="","",IFERROR(INDEX(tblBatches[Yield high],MATCH($B$56,tblBatches[Batch no.],0)),""))</f>
        <v>1.01</v>
      </c>
      <c r="J56" s="38">
        <f>IF($B$56="","",IFERROR(INDEX(tblBatches[Reconciliation],MATCH($B$56,tblBatches[Batch no.],0)),""))</f>
        <v>0.99849</v>
      </c>
      <c r="K56" s="53">
        <f>IF($B$56="","",IFERROR(INDEX(tblBatches[Recon low],MATCH($B$56,tblBatches[Batch no.],0)),""))</f>
        <v>0.99</v>
      </c>
      <c r="L56" s="53">
        <f>IF($B$56="","",IFERROR(INDEX(tblBatches[Recon high],MATCH($B$56,tblBatches[Batch no.],0)),""))</f>
        <v>1.005</v>
      </c>
    </row>
    <row r="57" spans="2:12">
      <c r="B57" s="50" t="str">
        <f>IF($B$58="","",IFERROR(IF(MATCH($B$58,tblBatches[Batch no.],0)&gt;1,INDEX(tblBatches[Batch no.],MATCH($B$58,tblBatches[Batch no.],0)-1),""),""))</f>
        <v>PT26-109</v>
      </c>
      <c r="C57" s="51" t="str">
        <f>IF($B$57="","",IFERROR(INDEX(tblBatches[Product],MATCH($B$57,tblBatches[Batch no.],0)),""))</f>
        <v>Paracetamol 500 mg</v>
      </c>
      <c r="D57" s="51"/>
      <c r="E57" s="51"/>
      <c r="F57" s="52">
        <f>IF($B$57="","",IFERROR(INDEX(tblBatches[Date],MATCH($B$57,tblBatches[Batch no.],0)),""))</f>
        <v>46265</v>
      </c>
      <c r="G57" s="38">
        <f>IF($B$57="","",IFERROR(INDEX(tblBatches[Yield],MATCH($B$57,tblBatches[Batch no.],0)),""))</f>
        <v>0.991030833333333</v>
      </c>
      <c r="H57" s="53">
        <f>IF($B$57="","",IFERROR(INDEX(tblBatches[Yield low],MATCH($B$57,tblBatches[Batch no.],0)),""))</f>
        <v>0.95</v>
      </c>
      <c r="I57" s="53">
        <f>IF($B$57="","",IFERROR(INDEX(tblBatches[Yield high],MATCH($B$57,tblBatches[Batch no.],0)),""))</f>
        <v>1.01</v>
      </c>
      <c r="J57" s="38">
        <f>IF($B$57="","",IFERROR(INDEX(tblBatches[Reconciliation],MATCH($B$57,tblBatches[Batch no.],0)),""))</f>
        <v>0.999290833333333</v>
      </c>
      <c r="K57" s="53">
        <f>IF($B$57="","",IFERROR(INDEX(tblBatches[Recon low],MATCH($B$57,tblBatches[Batch no.],0)),""))</f>
        <v>0.99</v>
      </c>
      <c r="L57" s="53">
        <f>IF($B$57="","",IFERROR(INDEX(tblBatches[Recon high],MATCH($B$57,tblBatches[Batch no.],0)),""))</f>
        <v>1.005</v>
      </c>
    </row>
    <row r="58" spans="2:12">
      <c r="B58" s="50" t="str">
        <f>IF($B$59="","",IFERROR(IF(MATCH($B$59,tblBatches[Batch no.],0)&gt;1,INDEX(tblBatches[Batch no.],MATCH($B$59,tblBatches[Batch no.],0)-1),""),""))</f>
        <v>IC26-105</v>
      </c>
      <c r="C58" s="51" t="str">
        <f>IF($B$58="","",IFERROR(INDEX(tblBatches[Product],MATCH($B$58,tblBatches[Batch no.],0)),""))</f>
        <v>Ibuprofen 200 mg</v>
      </c>
      <c r="D58" s="51"/>
      <c r="E58" s="51"/>
      <c r="F58" s="52">
        <f>IF($B$58="","",IFERROR(INDEX(tblBatches[Date],MATCH($B$58,tblBatches[Batch no.],0)),""))</f>
        <v>46266</v>
      </c>
      <c r="G58" s="38">
        <f>IF($B$58="","",IFERROR(INDEX(tblBatches[Yield],MATCH($B$58,tblBatches[Batch no.],0)),""))</f>
        <v>0.9743325</v>
      </c>
      <c r="H58" s="53">
        <f>IF($B$58="","",IFERROR(INDEX(tblBatches[Yield low],MATCH($B$58,tblBatches[Batch no.],0)),""))</f>
        <v>0.94</v>
      </c>
      <c r="I58" s="53">
        <f>IF($B$58="","",IFERROR(INDEX(tblBatches[Yield high],MATCH($B$58,tblBatches[Batch no.],0)),""))</f>
        <v>1.01</v>
      </c>
      <c r="J58" s="38">
        <f>IF($B$58="","",IFERROR(INDEX(tblBatches[Reconciliation],MATCH($B$58,tblBatches[Batch no.],0)),""))</f>
        <v>0.997775</v>
      </c>
      <c r="K58" s="53">
        <f>IF($B$58="","",IFERROR(INDEX(tblBatches[Recon low],MATCH($B$58,tblBatches[Batch no.],0)),""))</f>
        <v>0.985</v>
      </c>
      <c r="L58" s="53">
        <f>IF($B$58="","",IFERROR(INDEX(tblBatches[Recon high],MATCH($B$58,tblBatches[Batch no.],0)),""))</f>
        <v>1.005</v>
      </c>
    </row>
    <row r="59" spans="2:12">
      <c r="B59" s="50" t="str">
        <f>IF($B$60="","",IFERROR(IF(MATCH($B$60,tblBatches[Batch no.],0)&gt;1,INDEX(tblBatches[Batch no.],MATCH($B$60,tblBatches[Batch no.],0)-1),""),""))</f>
        <v>PT26-110</v>
      </c>
      <c r="C59" s="51" t="str">
        <f>IF($B$59="","",IFERROR(INDEX(tblBatches[Product],MATCH($B$59,tblBatches[Batch no.],0)),""))</f>
        <v>Paracetamol 500 mg</v>
      </c>
      <c r="D59" s="51"/>
      <c r="E59" s="51"/>
      <c r="F59" s="52">
        <f>IF($B$59="","",IFERROR(INDEX(tblBatches[Date],MATCH($B$59,tblBatches[Batch no.],0)),""))</f>
        <v>46267</v>
      </c>
      <c r="G59" s="38">
        <f>IF($B$59="","",IFERROR(INDEX(tblBatches[Yield],MATCH($B$59,tblBatches[Batch no.],0)),""))</f>
        <v>0.979276666666667</v>
      </c>
      <c r="H59" s="53">
        <f>IF($B$59="","",IFERROR(INDEX(tblBatches[Yield low],MATCH($B$59,tblBatches[Batch no.],0)),""))</f>
        <v>0.95</v>
      </c>
      <c r="I59" s="53">
        <f>IF($B$59="","",IFERROR(INDEX(tblBatches[Yield high],MATCH($B$59,tblBatches[Batch no.],0)),""))</f>
        <v>1.01</v>
      </c>
      <c r="J59" s="38">
        <f>IF($B$59="","",IFERROR(INDEX(tblBatches[Reconciliation],MATCH($B$59,tblBatches[Batch no.],0)),""))</f>
        <v>0.9987875</v>
      </c>
      <c r="K59" s="53">
        <f>IF($B$59="","",IFERROR(INDEX(tblBatches[Recon low],MATCH($B$59,tblBatches[Batch no.],0)),""))</f>
        <v>0.99</v>
      </c>
      <c r="L59" s="53">
        <f>IF($B$59="","",IFERROR(INDEX(tblBatches[Recon high],MATCH($B$59,tblBatches[Batch no.],0)),""))</f>
        <v>1.005</v>
      </c>
    </row>
    <row r="60" spans="2:12">
      <c r="B60" s="50" t="str">
        <f>IF($B$61="","",IFERROR(IF(MATCH($B$61,tblBatches[Batch no.],0)&gt;1,INDEX(tblBatches[Batch no.],MATCH($B$61,tblBatches[Batch no.],0)-1),""),""))</f>
        <v>VC26-103</v>
      </c>
      <c r="C60" s="51" t="str">
        <f>IF($B$60="","",IFERROR(INDEX(tblBatches[Product],MATCH($B$60,tblBatches[Batch no.],0)),""))</f>
        <v>Vitamin C 1 g effervescent</v>
      </c>
      <c r="D60" s="51"/>
      <c r="E60" s="51"/>
      <c r="F60" s="52">
        <f>IF($B$60="","",IFERROR(INDEX(tblBatches[Date],MATCH($B$60,tblBatches[Batch no.],0)),""))</f>
        <v>46269</v>
      </c>
      <c r="G60" s="38">
        <f>IF($B$60="","",IFERROR(INDEX(tblBatches[Yield],MATCH($B$60,tblBatches[Batch no.],0)),""))</f>
        <v>0.9805675</v>
      </c>
      <c r="H60" s="53">
        <f>IF($B$60="","",IFERROR(INDEX(tblBatches[Yield low],MATCH($B$60,tblBatches[Batch no.],0)),""))</f>
        <v>0.95</v>
      </c>
      <c r="I60" s="53">
        <f>IF($B$60="","",IFERROR(INDEX(tblBatches[Yield high],MATCH($B$60,tblBatches[Batch no.],0)),""))</f>
        <v>1.01</v>
      </c>
      <c r="J60" s="38">
        <f>IF($B$60="","",IFERROR(INDEX(tblBatches[Reconciliation],MATCH($B$60,tblBatches[Batch no.],0)),""))</f>
        <v>0.9983325</v>
      </c>
      <c r="K60" s="53">
        <f>IF($B$60="","",IFERROR(INDEX(tblBatches[Recon low],MATCH($B$60,tblBatches[Batch no.],0)),""))</f>
        <v>0.99</v>
      </c>
      <c r="L60" s="53">
        <f>IF($B$60="","",IFERROR(INDEX(tblBatches[Recon high],MATCH($B$60,tblBatches[Batch no.],0)),""))</f>
        <v>1.005</v>
      </c>
    </row>
    <row r="61" spans="2:12">
      <c r="B61" s="50" t="str">
        <f>IF($B$62="","",IFERROR(IF(MATCH($B$62,tblBatches[Batch no.],0)&gt;1,INDEX(tblBatches[Batch no.],MATCH($B$62,tblBatches[Batch no.],0)-1),""),""))</f>
        <v>PT26-111</v>
      </c>
      <c r="C61" s="51" t="str">
        <f>IF($B$61="","",IFERROR(INDEX(tblBatches[Product],MATCH($B$61,tblBatches[Batch no.],0)),""))</f>
        <v>Paracetamol 500 mg</v>
      </c>
      <c r="D61" s="51"/>
      <c r="E61" s="51"/>
      <c r="F61" s="52">
        <f>IF($B$61="","",IFERROR(INDEX(tblBatches[Date],MATCH($B$61,tblBatches[Batch no.],0)),""))</f>
        <v>46272</v>
      </c>
      <c r="G61" s="38">
        <f>IF($B$61="","",IFERROR(INDEX(tblBatches[Yield],MATCH($B$61,tblBatches[Batch no.],0)),""))</f>
        <v>0.978395</v>
      </c>
      <c r="H61" s="53">
        <f>IF($B$61="","",IFERROR(INDEX(tblBatches[Yield low],MATCH($B$61,tblBatches[Batch no.],0)),""))</f>
        <v>0.95</v>
      </c>
      <c r="I61" s="53">
        <f>IF($B$61="","",IFERROR(INDEX(tblBatches[Yield high],MATCH($B$61,tblBatches[Batch no.],0)),""))</f>
        <v>1.01</v>
      </c>
      <c r="J61" s="38">
        <f>IF($B$61="","",IFERROR(INDEX(tblBatches[Reconciliation],MATCH($B$61,tblBatches[Batch no.],0)),""))</f>
        <v>0.9986275</v>
      </c>
      <c r="K61" s="53">
        <f>IF($B$61="","",IFERROR(INDEX(tblBatches[Recon low],MATCH($B$61,tblBatches[Batch no.],0)),""))</f>
        <v>0.99</v>
      </c>
      <c r="L61" s="53">
        <f>IF($B$61="","",IFERROR(INDEX(tblBatches[Recon high],MATCH($B$61,tblBatches[Batch no.],0)),""))</f>
        <v>1.005</v>
      </c>
    </row>
    <row r="62" spans="2:12">
      <c r="B62" s="50" t="str">
        <f>IF($B$63="","",IFERROR(IF(MATCH($B$63,tblBatches[Batch no.],0)&gt;1,INDEX(tblBatches[Batch no.],MATCH($B$63,tblBatches[Batch no.],0)-1),""),""))</f>
        <v>IC26-106</v>
      </c>
      <c r="C62" s="51" t="str">
        <f>IF($B$62="","",IFERROR(INDEX(tblBatches[Product],MATCH($B$62,tblBatches[Batch no.],0)),""))</f>
        <v>Ibuprofen 200 mg</v>
      </c>
      <c r="D62" s="51"/>
      <c r="E62" s="51"/>
      <c r="F62" s="52">
        <f>IF($B$62="","",IFERROR(INDEX(tblBatches[Date],MATCH($B$62,tblBatches[Batch no.],0)),""))</f>
        <v>46273</v>
      </c>
      <c r="G62" s="38">
        <f>IF($B$62="","",IFERROR(INDEX(tblBatches[Yield],MATCH($B$62,tblBatches[Batch no.],0)),""))</f>
        <v>0.97315125</v>
      </c>
      <c r="H62" s="53">
        <f>IF($B$62="","",IFERROR(INDEX(tblBatches[Yield low],MATCH($B$62,tblBatches[Batch no.],0)),""))</f>
        <v>0.94</v>
      </c>
      <c r="I62" s="53">
        <f>IF($B$62="","",IFERROR(INDEX(tblBatches[Yield high],MATCH($B$62,tblBatches[Batch no.],0)),""))</f>
        <v>1.01</v>
      </c>
      <c r="J62" s="38">
        <f>IF($B$62="","",IFERROR(INDEX(tblBatches[Reconciliation],MATCH($B$62,tblBatches[Batch no.],0)),""))</f>
        <v>0.99812125</v>
      </c>
      <c r="K62" s="53">
        <f>IF($B$62="","",IFERROR(INDEX(tblBatches[Recon low],MATCH($B$62,tblBatches[Batch no.],0)),""))</f>
        <v>0.985</v>
      </c>
      <c r="L62" s="53">
        <f>IF($B$62="","",IFERROR(INDEX(tblBatches[Recon high],MATCH($B$62,tblBatches[Batch no.],0)),""))</f>
        <v>1.005</v>
      </c>
    </row>
    <row r="63" spans="2:12">
      <c r="B63" s="50" t="str">
        <f>IF($B$64="","",IFERROR(IF(MATCH($B$64,tblBatches[Batch no.],0)&gt;1,INDEX(tblBatches[Batch no.],MATCH($B$64,tblBatches[Batch no.],0)-1),""),""))</f>
        <v>CS26-103</v>
      </c>
      <c r="C63" s="51" t="str">
        <f>IF($B$63="","",IFERROR(INDEX(tblBatches[Product],MATCH($B$63,tblBatches[Batch no.],0)),""))</f>
        <v>Cough syrup 100 mL</v>
      </c>
      <c r="D63" s="51"/>
      <c r="E63" s="51"/>
      <c r="F63" s="52">
        <f>IF($B$63="","",IFERROR(INDEX(tblBatches[Date],MATCH($B$63,tblBatches[Batch no.],0)),""))</f>
        <v>46274</v>
      </c>
      <c r="G63" s="38">
        <f>IF($B$63="","",IFERROR(INDEX(tblBatches[Yield],MATCH($B$63,tblBatches[Batch no.],0)),""))</f>
        <v>0.968821138211382</v>
      </c>
      <c r="H63" s="53">
        <f>IF($B$63="","",IFERROR(INDEX(tblBatches[Yield low],MATCH($B$63,tblBatches[Batch no.],0)),""))</f>
        <v>0.95</v>
      </c>
      <c r="I63" s="53">
        <f>IF($B$63="","",IFERROR(INDEX(tblBatches[Yield high],MATCH($B$63,tblBatches[Batch no.],0)),""))</f>
        <v>1.01</v>
      </c>
      <c r="J63" s="38">
        <f>IF($B$63="","",IFERROR(INDEX(tblBatches[Reconciliation],MATCH($B$63,tblBatches[Batch no.],0)),""))</f>
        <v>0.983983739837398</v>
      </c>
      <c r="K63" s="53">
        <f>IF($B$63="","",IFERROR(INDEX(tblBatches[Recon low],MATCH($B$63,tblBatches[Batch no.],0)),""))</f>
        <v>0.99</v>
      </c>
      <c r="L63" s="53">
        <f>IF($B$63="","",IFERROR(INDEX(tblBatches[Recon high],MATCH($B$63,tblBatches[Batch no.],0)),""))</f>
        <v>1.005</v>
      </c>
    </row>
    <row r="64" spans="2:12">
      <c r="B64" s="50" t="str">
        <f>IF($B$65="","",IFERROR(IF(MATCH($B$65,tblBatches[Batch no.],0)&gt;1,INDEX(tblBatches[Batch no.],MATCH($B$65,tblBatches[Batch no.],0)-1),""),""))</f>
        <v>PT26-112</v>
      </c>
      <c r="C64" s="51" t="str">
        <f>IF($B$64="","",IFERROR(INDEX(tblBatches[Product],MATCH($B$64,tblBatches[Batch no.],0)),""))</f>
        <v>Paracetamol 500 mg</v>
      </c>
      <c r="D64" s="51"/>
      <c r="E64" s="51"/>
      <c r="F64" s="52">
        <f>IF($B$64="","",IFERROR(INDEX(tblBatches[Date],MATCH($B$64,tblBatches[Batch no.],0)),""))</f>
        <v>46276</v>
      </c>
      <c r="G64" s="38">
        <f>IF($B$64="","",IFERROR(INDEX(tblBatches[Yield],MATCH($B$64,tblBatches[Batch no.],0)),""))</f>
        <v>0.979126666666667</v>
      </c>
      <c r="H64" s="53">
        <f>IF($B$64="","",IFERROR(INDEX(tblBatches[Yield low],MATCH($B$64,tblBatches[Batch no.],0)),""))</f>
        <v>0.95</v>
      </c>
      <c r="I64" s="53">
        <f>IF($B$64="","",IFERROR(INDEX(tblBatches[Yield high],MATCH($B$64,tblBatches[Batch no.],0)),""))</f>
        <v>1.01</v>
      </c>
      <c r="J64" s="38">
        <f>IF($B$64="","",IFERROR(INDEX(tblBatches[Reconciliation],MATCH($B$64,tblBatches[Batch no.],0)),""))</f>
        <v>0.997568333333333</v>
      </c>
      <c r="K64" s="53">
        <f>IF($B$64="","",IFERROR(INDEX(tblBatches[Recon low],MATCH($B$64,tblBatches[Batch no.],0)),""))</f>
        <v>0.99</v>
      </c>
      <c r="L64" s="53">
        <f>IF($B$64="","",IFERROR(INDEX(tblBatches[Recon high],MATCH($B$64,tblBatches[Batch no.],0)),""))</f>
        <v>1.005</v>
      </c>
    </row>
    <row r="65" spans="2:12">
      <c r="B65" s="50" t="str">
        <f>IF($B$66="","",IFERROR(IF(MATCH($B$66,tblBatches[Batch no.],0)&gt;1,INDEX(tblBatches[Batch no.],MATCH($B$66,tblBatches[Batch no.],0)-1),""),""))</f>
        <v>PT26-113</v>
      </c>
      <c r="C65" s="51" t="str">
        <f>IF($B$65="","",IFERROR(INDEX(tblBatches[Product],MATCH($B$65,tblBatches[Batch no.],0)),""))</f>
        <v>Paracetamol 500 mg</v>
      </c>
      <c r="D65" s="51"/>
      <c r="E65" s="51"/>
      <c r="F65" s="52">
        <f>IF($B$65="","",IFERROR(INDEX(tblBatches[Date],MATCH($B$65,tblBatches[Batch no.],0)),""))</f>
        <v>46279</v>
      </c>
      <c r="G65" s="38">
        <f>IF($B$65="","",IFERROR(INDEX(tblBatches[Yield],MATCH($B$65,tblBatches[Batch no.],0)),""))</f>
        <v>0.978305</v>
      </c>
      <c r="H65" s="53">
        <f>IF($B$65="","",IFERROR(INDEX(tblBatches[Yield low],MATCH($B$65,tblBatches[Batch no.],0)),""))</f>
        <v>0.95</v>
      </c>
      <c r="I65" s="53">
        <f>IF($B$65="","",IFERROR(INDEX(tblBatches[Yield high],MATCH($B$65,tblBatches[Batch no.],0)),""))</f>
        <v>1.01</v>
      </c>
      <c r="J65" s="38">
        <f>IF($B$65="","",IFERROR(INDEX(tblBatches[Reconciliation],MATCH($B$65,tblBatches[Batch no.],0)),""))</f>
        <v>0.997620833333333</v>
      </c>
      <c r="K65" s="53">
        <f>IF($B$65="","",IFERROR(INDEX(tblBatches[Recon low],MATCH($B$65,tblBatches[Batch no.],0)),""))</f>
        <v>0.99</v>
      </c>
      <c r="L65" s="53">
        <f>IF($B$65="","",IFERROR(INDEX(tblBatches[Recon high],MATCH($B$65,tblBatches[Batch no.],0)),""))</f>
        <v>1.005</v>
      </c>
    </row>
    <row r="66" spans="2:12">
      <c r="B66" s="50" t="str">
        <f>IF($B$67="","",IFERROR(IF(MATCH($B$67,tblBatches[Batch no.],0)&gt;1,INDEX(tblBatches[Batch no.],MATCH($B$67,tblBatches[Batch no.],0)-1),""),""))</f>
        <v>IC26-107</v>
      </c>
      <c r="C66" s="51" t="str">
        <f>IF($B$66="","",IFERROR(INDEX(tblBatches[Product],MATCH($B$66,tblBatches[Batch no.],0)),""))</f>
        <v>Ibuprofen 200 mg</v>
      </c>
      <c r="D66" s="51"/>
      <c r="E66" s="51"/>
      <c r="F66" s="52">
        <f>IF($B$66="","",IFERROR(INDEX(tblBatches[Date],MATCH($B$66,tblBatches[Batch no.],0)),""))</f>
        <v>46280</v>
      </c>
      <c r="G66" s="38">
        <f>IF($B$66="","",IFERROR(INDEX(tblBatches[Yield],MATCH($B$66,tblBatches[Batch no.],0)),""))</f>
        <v>0.96826625</v>
      </c>
      <c r="H66" s="53">
        <f>IF($B$66="","",IFERROR(INDEX(tblBatches[Yield low],MATCH($B$66,tblBatches[Batch no.],0)),""))</f>
        <v>0.94</v>
      </c>
      <c r="I66" s="53">
        <f>IF($B$66="","",IFERROR(INDEX(tblBatches[Yield high],MATCH($B$66,tblBatches[Batch no.],0)),""))</f>
        <v>1.01</v>
      </c>
      <c r="J66" s="38">
        <f>IF($B$66="","",IFERROR(INDEX(tblBatches[Reconciliation],MATCH($B$66,tblBatches[Batch no.],0)),""))</f>
        <v>0.9980575</v>
      </c>
      <c r="K66" s="53">
        <f>IF($B$66="","",IFERROR(INDEX(tblBatches[Recon low],MATCH($B$66,tblBatches[Batch no.],0)),""))</f>
        <v>0.985</v>
      </c>
      <c r="L66" s="53">
        <f>IF($B$66="","",IFERROR(INDEX(tblBatches[Recon high],MATCH($B$66,tblBatches[Batch no.],0)),""))</f>
        <v>1.005</v>
      </c>
    </row>
    <row r="67" spans="2:12">
      <c r="B67" s="50" t="str">
        <f>IF($B$68="","",IFERROR(IF(MATCH($B$68,tblBatches[Batch no.],0)&gt;1,INDEX(tblBatches[Batch no.],MATCH($B$68,tblBatches[Batch no.],0)-1),""),""))</f>
        <v>PT26-114</v>
      </c>
      <c r="C67" s="51" t="str">
        <f>IF($B$67="","",IFERROR(INDEX(tblBatches[Product],MATCH($B$67,tblBatches[Batch no.],0)),""))</f>
        <v>Paracetamol 500 mg</v>
      </c>
      <c r="D67" s="51"/>
      <c r="E67" s="51"/>
      <c r="F67" s="52">
        <f>IF($B$67="","",IFERROR(INDEX(tblBatches[Date],MATCH($B$67,tblBatches[Batch no.],0)),""))</f>
        <v>46281</v>
      </c>
      <c r="G67" s="38">
        <f>IF($B$67="","",IFERROR(INDEX(tblBatches[Yield],MATCH($B$67,tblBatches[Batch no.],0)),""))</f>
        <v>0.982306666666667</v>
      </c>
      <c r="H67" s="53">
        <f>IF($B$67="","",IFERROR(INDEX(tblBatches[Yield low],MATCH($B$67,tblBatches[Batch no.],0)),""))</f>
        <v>0.95</v>
      </c>
      <c r="I67" s="53">
        <f>IF($B$67="","",IFERROR(INDEX(tblBatches[Yield high],MATCH($B$67,tblBatches[Batch no.],0)),""))</f>
        <v>1.01</v>
      </c>
      <c r="J67" s="38">
        <f>IF($B$67="","",IFERROR(INDEX(tblBatches[Reconciliation],MATCH($B$67,tblBatches[Batch no.],0)),""))</f>
        <v>0.99946</v>
      </c>
      <c r="K67" s="53">
        <f>IF($B$67="","",IFERROR(INDEX(tblBatches[Recon low],MATCH($B$67,tblBatches[Batch no.],0)),""))</f>
        <v>0.99</v>
      </c>
      <c r="L67" s="53">
        <f>IF($B$67="","",IFERROR(INDEX(tblBatches[Recon high],MATCH($B$67,tblBatches[Batch no.],0)),""))</f>
        <v>1.005</v>
      </c>
    </row>
    <row r="68" spans="2:12">
      <c r="B68" s="50" t="str">
        <f>IF($B$69="","",IFERROR(IF(MATCH($B$69,tblBatches[Batch no.],0)&gt;1,INDEX(tblBatches[Batch no.],MATCH($B$69,tblBatches[Batch no.],0)-1),""),""))</f>
        <v>VC26-104</v>
      </c>
      <c r="C68" s="51" t="str">
        <f>IF($B$68="","",IFERROR(INDEX(tblBatches[Product],MATCH($B$68,tblBatches[Batch no.],0)),""))</f>
        <v>Vitamin C 1 g effervescent</v>
      </c>
      <c r="D68" s="51"/>
      <c r="E68" s="51"/>
      <c r="F68" s="52">
        <f>IF($B$68="","",IFERROR(INDEX(tblBatches[Date],MATCH($B$68,tblBatches[Batch no.],0)),""))</f>
        <v>46283</v>
      </c>
      <c r="G68" s="38">
        <f>IF($B$68="","",IFERROR(INDEX(tblBatches[Yield],MATCH($B$68,tblBatches[Batch no.],0)),""))</f>
        <v>0.9784</v>
      </c>
      <c r="H68" s="53">
        <f>IF($B$68="","",IFERROR(INDEX(tblBatches[Yield low],MATCH($B$68,tblBatches[Batch no.],0)),""))</f>
        <v>0.95</v>
      </c>
      <c r="I68" s="53">
        <f>IF($B$68="","",IFERROR(INDEX(tblBatches[Yield high],MATCH($B$68,tblBatches[Batch no.],0)),""))</f>
        <v>1.01</v>
      </c>
      <c r="J68" s="38">
        <f>IF($B$68="","",IFERROR(INDEX(tblBatches[Reconciliation],MATCH($B$68,tblBatches[Batch no.],0)),""))</f>
        <v>0.99951</v>
      </c>
      <c r="K68" s="53">
        <f>IF($B$68="","",IFERROR(INDEX(tblBatches[Recon low],MATCH($B$68,tblBatches[Batch no.],0)),""))</f>
        <v>0.99</v>
      </c>
      <c r="L68" s="53">
        <f>IF($B$68="","",IFERROR(INDEX(tblBatches[Recon high],MATCH($B$68,tblBatches[Batch no.],0)),""))</f>
        <v>1.005</v>
      </c>
    </row>
    <row r="69" spans="2:12">
      <c r="B69" s="50" t="str">
        <f>IF($B$70="","",IFERROR(IF(MATCH($B$70,tblBatches[Batch no.],0)&gt;1,INDEX(tblBatches[Batch no.],MATCH($B$70,tblBatches[Batch no.],0)-1),""),""))</f>
        <v>PT26-115</v>
      </c>
      <c r="C69" s="51" t="str">
        <f>IF($B$69="","",IFERROR(INDEX(tblBatches[Product],MATCH($B$69,tblBatches[Batch no.],0)),""))</f>
        <v>Paracetamol 500 mg</v>
      </c>
      <c r="D69" s="51"/>
      <c r="E69" s="51"/>
      <c r="F69" s="52">
        <f>IF($B$69="","",IFERROR(INDEX(tblBatches[Date],MATCH($B$69,tblBatches[Batch no.],0)),""))</f>
        <v>46286</v>
      </c>
      <c r="G69" s="38">
        <f>IF($B$69="","",IFERROR(INDEX(tblBatches[Yield],MATCH($B$69,tblBatches[Batch no.],0)),""))</f>
        <v>0.985978333333333</v>
      </c>
      <c r="H69" s="53">
        <f>IF($B$69="","",IFERROR(INDEX(tblBatches[Yield low],MATCH($B$69,tblBatches[Batch no.],0)),""))</f>
        <v>0.95</v>
      </c>
      <c r="I69" s="53">
        <f>IF($B$69="","",IFERROR(INDEX(tblBatches[Yield high],MATCH($B$69,tblBatches[Batch no.],0)),""))</f>
        <v>1.01</v>
      </c>
      <c r="J69" s="38">
        <f>IF($B$69="","",IFERROR(INDEX(tblBatches[Reconciliation],MATCH($B$69,tblBatches[Batch no.],0)),""))</f>
        <v>0.9978125</v>
      </c>
      <c r="K69" s="53">
        <f>IF($B$69="","",IFERROR(INDEX(tblBatches[Recon low],MATCH($B$69,tblBatches[Batch no.],0)),""))</f>
        <v>0.99</v>
      </c>
      <c r="L69" s="53">
        <f>IF($B$69="","",IFERROR(INDEX(tblBatches[Recon high],MATCH($B$69,tblBatches[Batch no.],0)),""))</f>
        <v>1.005</v>
      </c>
    </row>
    <row r="70" spans="2:12">
      <c r="B70" s="50" t="str">
        <f>IF($B$71="","",IFERROR(IF(MATCH($B$71,tblBatches[Batch no.],0)&gt;1,INDEX(tblBatches[Batch no.],MATCH($B$71,tblBatches[Batch no.],0)-1),""),""))</f>
        <v>IC26-108</v>
      </c>
      <c r="C70" s="51" t="str">
        <f>IF($B$70="","",IFERROR(INDEX(tblBatches[Product],MATCH($B$70,tblBatches[Batch no.],0)),""))</f>
        <v>Ibuprofen 200 mg</v>
      </c>
      <c r="D70" s="51"/>
      <c r="E70" s="51"/>
      <c r="F70" s="52">
        <f>IF($B$70="","",IFERROR(INDEX(tblBatches[Date],MATCH($B$70,tblBatches[Batch no.],0)),""))</f>
        <v>46287</v>
      </c>
      <c r="G70" s="38">
        <f>IF($B$70="","",IFERROR(INDEX(tblBatches[Yield],MATCH($B$70,tblBatches[Batch no.],0)),""))</f>
        <v>0.96709625</v>
      </c>
      <c r="H70" s="53">
        <f>IF($B$70="","",IFERROR(INDEX(tblBatches[Yield low],MATCH($B$70,tblBatches[Batch no.],0)),""))</f>
        <v>0.94</v>
      </c>
      <c r="I70" s="53">
        <f>IF($B$70="","",IFERROR(INDEX(tblBatches[Yield high],MATCH($B$70,tblBatches[Batch no.],0)),""))</f>
        <v>1.01</v>
      </c>
      <c r="J70" s="38">
        <f>IF($B$70="","",IFERROR(INDEX(tblBatches[Reconciliation],MATCH($B$70,tblBatches[Batch no.],0)),""))</f>
        <v>0.9995975</v>
      </c>
      <c r="K70" s="53">
        <f>IF($B$70="","",IFERROR(INDEX(tblBatches[Recon low],MATCH($B$70,tblBatches[Batch no.],0)),""))</f>
        <v>0.985</v>
      </c>
      <c r="L70" s="53">
        <f>IF($B$70="","",IFERROR(INDEX(tblBatches[Recon high],MATCH($B$70,tblBatches[Batch no.],0)),""))</f>
        <v>1.005</v>
      </c>
    </row>
    <row r="71" spans="2:12">
      <c r="B71" s="50" t="str">
        <f>IF($B$72="","",IFERROR(IF(MATCH($B$72,tblBatches[Batch no.],0)&gt;1,INDEX(tblBatches[Batch no.],MATCH($B$72,tblBatches[Batch no.],0)-1),""),""))</f>
        <v>CS26-104</v>
      </c>
      <c r="C71" s="51" t="str">
        <f>IF($B$71="","",IFERROR(INDEX(tblBatches[Product],MATCH($B$71,tblBatches[Batch no.],0)),""))</f>
        <v>Cough syrup 100 mL</v>
      </c>
      <c r="D71" s="51"/>
      <c r="E71" s="51"/>
      <c r="F71" s="52">
        <f>IF($B$71="","",IFERROR(INDEX(tblBatches[Date],MATCH($B$71,tblBatches[Batch no.],0)),""))</f>
        <v>46288</v>
      </c>
      <c r="G71" s="38">
        <f>IF($B$71="","",IFERROR(INDEX(tblBatches[Yield],MATCH($B$71,tblBatches[Batch no.],0)),""))</f>
        <v>0.982682926829268</v>
      </c>
      <c r="H71" s="53">
        <f>IF($B$71="","",IFERROR(INDEX(tblBatches[Yield low],MATCH($B$71,tblBatches[Batch no.],0)),""))</f>
        <v>0.95</v>
      </c>
      <c r="I71" s="53">
        <f>IF($B$71="","",IFERROR(INDEX(tblBatches[Yield high],MATCH($B$71,tblBatches[Batch no.],0)),""))</f>
        <v>1.01</v>
      </c>
      <c r="J71" s="38">
        <f>IF($B$71="","",IFERROR(INDEX(tblBatches[Reconciliation],MATCH($B$71,tblBatches[Batch no.],0)),""))</f>
        <v>0.997439024390244</v>
      </c>
      <c r="K71" s="53">
        <f>IF($B$71="","",IFERROR(INDEX(tblBatches[Recon low],MATCH($B$71,tblBatches[Batch no.],0)),""))</f>
        <v>0.99</v>
      </c>
      <c r="L71" s="53">
        <f>IF($B$71="","",IFERROR(INDEX(tblBatches[Recon high],MATCH($B$71,tblBatches[Batch no.],0)),""))</f>
        <v>1.005</v>
      </c>
    </row>
    <row r="72" spans="2:12">
      <c r="B72" s="50" t="str">
        <f>IF(COUNTA(tblBatches[Batch no.])=0,"",INDEX(tblBatches[Batch no.],COUNTA(tblBatches[Batch no.])))</f>
        <v>PT26-116</v>
      </c>
      <c r="C72" s="51" t="str">
        <f>IF($B$72="","",IFERROR(INDEX(tblBatches[Product],MATCH($B$72,tblBatches[Batch no.],0)),""))</f>
        <v>Paracetamol 500 mg</v>
      </c>
      <c r="D72" s="51"/>
      <c r="E72" s="51"/>
      <c r="F72" s="52">
        <f>IF($B$72="","",IFERROR(INDEX(tblBatches[Date],MATCH($B$72,tblBatches[Batch no.],0)),""))</f>
        <v>46290</v>
      </c>
      <c r="G72" s="38">
        <f>IF($B$72="","",IFERROR(INDEX(tblBatches[Yield],MATCH($B$72,tblBatches[Batch no.],0)),""))</f>
        <v>0.982461666666667</v>
      </c>
      <c r="H72" s="53">
        <f>IF($B$72="","",IFERROR(INDEX(tblBatches[Yield low],MATCH($B$72,tblBatches[Batch no.],0)),""))</f>
        <v>0.95</v>
      </c>
      <c r="I72" s="53">
        <f>IF($B$72="","",IFERROR(INDEX(tblBatches[Yield high],MATCH($B$72,tblBatches[Batch no.],0)),""))</f>
        <v>1.01</v>
      </c>
      <c r="J72" s="38">
        <f>IF($B$72="","",IFERROR(INDEX(tblBatches[Reconciliation],MATCH($B$72,tblBatches[Batch no.],0)),""))</f>
        <v>0.996921666666667</v>
      </c>
      <c r="K72" s="53">
        <f>IF($B$72="","",IFERROR(INDEX(tblBatches[Recon low],MATCH($B$72,tblBatches[Batch no.],0)),""))</f>
        <v>0.99</v>
      </c>
      <c r="L72" s="53">
        <f>IF($B$72="","",IFERROR(INDEX(tblBatches[Recon high],MATCH($B$72,tblBatches[Batch no.],0)),""))</f>
        <v>1.005</v>
      </c>
    </row>
    <row r="74" spans="2:12" ht="8" customHeight="1"/>
    <row r="75" spans="2:12" ht="26.76" customHeight="1">
      <c r="B75" s="21" t="s">
        <v>151</v>
      </c>
      <c r="C75" s="21"/>
      <c r="D75" s="21"/>
      <c r="E75" s="21"/>
      <c r="F75" s="21"/>
      <c r="G75" s="21"/>
      <c r="H75" s="21"/>
      <c r="I75" s="21"/>
      <c r="J75" s="21"/>
      <c r="K75" s="21"/>
      <c r="L75" s="21"/>
    </row>
    <row r="76" spans="2:12">
      <c r="B76" s="54">
        <f>IF(COUNTA(tblProducts[Product])&gt;4,"Setup lists more than 4 products: By product shows the first 4.","")</f>
        <v/>
      </c>
      <c r="C76" s="54"/>
      <c r="D76" s="54"/>
      <c r="E76" s="54"/>
      <c r="F76" s="54"/>
      <c r="G76" s="54"/>
      <c r="H76" s="54"/>
      <c r="I76" s="54"/>
      <c r="J76" s="54"/>
      <c r="K76" s="54"/>
      <c r="L76" s="54"/>
    </row>
  </sheetData>
  <sheetProtection sheet="1" formatColumns="0" formatRows="0"/>
  <mergeCells count="45">
    <mergeCell ref="A1:M1"/>
    <mergeCell ref="B2:K2"/>
    <mergeCell ref="L2:M2"/>
    <mergeCell ref="B4:C4"/>
    <mergeCell ref="B5:C6"/>
    <mergeCell ref="B7:C7"/>
    <mergeCell ref="B8:C8"/>
    <mergeCell ref="D4:F4"/>
    <mergeCell ref="D5:F6"/>
    <mergeCell ref="D7:F7"/>
    <mergeCell ref="D8:F8"/>
    <mergeCell ref="G4:I4"/>
    <mergeCell ref="G5:I6"/>
    <mergeCell ref="G7:I7"/>
    <mergeCell ref="G8:I8"/>
    <mergeCell ref="J4:L4"/>
    <mergeCell ref="J5:L6"/>
    <mergeCell ref="J7:L7"/>
    <mergeCell ref="J8:L8"/>
    <mergeCell ref="B28:M28"/>
    <mergeCell ref="B50:L50"/>
    <mergeCell ref="C51:E51"/>
    <mergeCell ref="C52:E52"/>
    <mergeCell ref="C53:E53"/>
    <mergeCell ref="C54:E54"/>
    <mergeCell ref="C55:E55"/>
    <mergeCell ref="C56:E56"/>
    <mergeCell ref="C57:E57"/>
    <mergeCell ref="C58:E58"/>
    <mergeCell ref="C59:E59"/>
    <mergeCell ref="C60:E60"/>
    <mergeCell ref="C61:E61"/>
    <mergeCell ref="C62:E62"/>
    <mergeCell ref="C63:E63"/>
    <mergeCell ref="C64:E64"/>
    <mergeCell ref="C65:E65"/>
    <mergeCell ref="C66:E66"/>
    <mergeCell ref="C67:E67"/>
    <mergeCell ref="C68:E68"/>
    <mergeCell ref="C69:E69"/>
    <mergeCell ref="C70:E70"/>
    <mergeCell ref="C71:E71"/>
    <mergeCell ref="C72:E72"/>
    <mergeCell ref="B75:L75"/>
    <mergeCell ref="B76:L76"/>
  </mergeCells>
  <conditionalFormatting sqref="J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L2" r:id="rId1" tooltip="Free manufacturing calculators and templates"/>
  </hyperlinks>
  <pageMargins left="0.4" right="0.4" top="0.7" bottom="0.65" header="0.3" footer="0.3"/>
  <pageSetup fitToHeight="0" orientation="landscape"/>
  <headerFooter>
    <oddHeader>&amp;L&amp;8MFG Calcs - Batch Yield Reconciliation&amp;R&amp;8&amp;A</oddHeader>
    <oddFooter>&amp;L&amp;8mfgcalcs.com - free manufacturing templates&amp;R&amp;8Page &amp;P of &amp;N</oddFooter>
  </headerFooter>
  <rowBreaks count="2" manualBreakCount="2">
    <brk id="27" max="16383" man="1"/>
    <brk id="49"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5"/>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152</v>
      </c>
      <c r="C4" s="8"/>
      <c r="D4" s="8"/>
    </row>
    <row r="5" spans="1:4" ht="5" customHeight="1"/>
    <row r="6" spans="1:4" ht="55.8" customHeight="1">
      <c r="B6" s="10" t="s">
        <v>153</v>
      </c>
      <c r="C6" s="10"/>
      <c r="D6" s="10"/>
    </row>
    <row r="8" spans="1:4" ht="21" customHeight="1">
      <c r="B8" s="8" t="s">
        <v>154</v>
      </c>
      <c r="C8" s="8"/>
      <c r="D8" s="8"/>
    </row>
    <row r="9" spans="1:4" ht="5" customHeight="1"/>
    <row r="10" spans="1:4" ht="20" customHeight="1">
      <c r="B10" s="48" t="s">
        <v>155</v>
      </c>
      <c r="C10" s="48" t="s">
        <v>156</v>
      </c>
      <c r="D10" s="30" t="s">
        <v>157</v>
      </c>
    </row>
    <row r="11" spans="1:4" ht="17.2" customHeight="1">
      <c r="B11" s="55" t="s">
        <v>90</v>
      </c>
      <c r="C11" s="56" t="s">
        <v>158</v>
      </c>
      <c r="D11" s="57" t="s">
        <v>148</v>
      </c>
    </row>
    <row r="12" spans="1:4" ht="17.2" customHeight="1">
      <c r="B12" s="55" t="s">
        <v>91</v>
      </c>
      <c r="C12" s="56" t="s">
        <v>159</v>
      </c>
      <c r="D12" s="57" t="s">
        <v>148</v>
      </c>
    </row>
    <row r="13" spans="1:4" ht="30.4" customHeight="1">
      <c r="B13" s="55" t="s">
        <v>92</v>
      </c>
      <c r="C13" s="56" t="s">
        <v>160</v>
      </c>
      <c r="D13" s="57" t="s">
        <v>147</v>
      </c>
    </row>
    <row r="14" spans="1:4" ht="30.4" customHeight="1">
      <c r="B14" s="55" t="s">
        <v>93</v>
      </c>
      <c r="C14" s="56" t="s">
        <v>161</v>
      </c>
      <c r="D14" s="57" t="s">
        <v>162</v>
      </c>
    </row>
    <row r="15" spans="1:4" ht="17.2" customHeight="1">
      <c r="B15" s="55" t="s">
        <v>94</v>
      </c>
      <c r="C15" s="56" t="s">
        <v>163</v>
      </c>
      <c r="D15" s="57" t="s">
        <v>162</v>
      </c>
    </row>
    <row r="16" spans="1:4" ht="30.4" customHeight="1">
      <c r="B16" s="55" t="s">
        <v>68</v>
      </c>
      <c r="C16" s="56" t="s">
        <v>164</v>
      </c>
      <c r="D16" s="57" t="s">
        <v>162</v>
      </c>
    </row>
    <row r="17" spans="2:4" ht="17.2" customHeight="1">
      <c r="B17" s="55" t="s">
        <v>165</v>
      </c>
      <c r="C17" s="56" t="s">
        <v>166</v>
      </c>
      <c r="D17" s="57" t="s">
        <v>148</v>
      </c>
    </row>
    <row r="18" spans="2:4" ht="30.4" customHeight="1">
      <c r="B18" s="55" t="s">
        <v>167</v>
      </c>
      <c r="C18" s="56" t="s">
        <v>168</v>
      </c>
      <c r="D18" s="57" t="s">
        <v>148</v>
      </c>
    </row>
    <row r="19" spans="2:4" ht="30.4" customHeight="1">
      <c r="B19" s="55" t="s">
        <v>169</v>
      </c>
      <c r="C19" s="56" t="s">
        <v>170</v>
      </c>
      <c r="D19" s="57" t="s">
        <v>171</v>
      </c>
    </row>
    <row r="21" spans="2:4" ht="21" customHeight="1">
      <c r="B21" s="8" t="s">
        <v>172</v>
      </c>
      <c r="C21" s="8"/>
      <c r="D21" s="8"/>
    </row>
    <row r="22" spans="2:4" ht="5" customHeight="1"/>
    <row r="23" spans="2:4" ht="16.2" customHeight="1">
      <c r="B23" s="26" t="s">
        <v>55</v>
      </c>
      <c r="C23" s="10" t="s">
        <v>173</v>
      </c>
      <c r="D23" s="10"/>
    </row>
    <row r="24" spans="2:4" ht="29.4" customHeight="1">
      <c r="B24" s="26" t="s">
        <v>55</v>
      </c>
      <c r="C24" s="10" t="s">
        <v>174</v>
      </c>
      <c r="D24" s="10"/>
    </row>
    <row r="25" spans="2:4" ht="16.2" customHeight="1">
      <c r="B25" s="26" t="s">
        <v>55</v>
      </c>
      <c r="C25" s="10" t="s">
        <v>175</v>
      </c>
      <c r="D25" s="10"/>
    </row>
    <row r="27" spans="2:4" ht="21" customHeight="1">
      <c r="B27" s="8" t="s">
        <v>176</v>
      </c>
      <c r="C27" s="8"/>
      <c r="D27" s="8"/>
    </row>
    <row r="28" spans="2:4" ht="5" customHeight="1"/>
    <row r="29" spans="2:4" ht="29.4" customHeight="1">
      <c r="B29" s="26" t="s">
        <v>55</v>
      </c>
      <c r="C29" s="10" t="s">
        <v>177</v>
      </c>
      <c r="D29" s="10"/>
    </row>
    <row r="30" spans="2:4" ht="29.4" customHeight="1">
      <c r="B30" s="26" t="s">
        <v>55</v>
      </c>
      <c r="C30" s="10" t="s">
        <v>178</v>
      </c>
      <c r="D30" s="10"/>
    </row>
    <row r="31" spans="2:4" ht="29.4" customHeight="1">
      <c r="B31" s="26" t="s">
        <v>55</v>
      </c>
      <c r="C31" s="10" t="s">
        <v>179</v>
      </c>
      <c r="D31" s="10"/>
    </row>
    <row r="32" spans="2:4" ht="29.4" customHeight="1">
      <c r="B32" s="26" t="s">
        <v>55</v>
      </c>
      <c r="C32" s="10" t="s">
        <v>180</v>
      </c>
      <c r="D32" s="10"/>
    </row>
    <row r="34" spans="2:4" ht="21" customHeight="1">
      <c r="B34" s="8" t="s">
        <v>181</v>
      </c>
      <c r="C34" s="8"/>
      <c r="D34" s="8"/>
    </row>
    <row r="35" spans="2:4" ht="5" customHeight="1"/>
    <row r="36" spans="2:4" ht="55.8" customHeight="1">
      <c r="B36" s="10" t="s">
        <v>182</v>
      </c>
      <c r="C36" s="10"/>
      <c r="D36" s="10"/>
    </row>
    <row r="37" spans="2:4">
      <c r="B37" s="24" t="s">
        <v>183</v>
      </c>
      <c r="C37" s="24"/>
      <c r="D37" s="24"/>
    </row>
    <row r="39" spans="2:4" ht="21" customHeight="1">
      <c r="B39" s="8" t="s">
        <v>42</v>
      </c>
      <c r="C39" s="8"/>
      <c r="D39" s="8"/>
    </row>
    <row r="40" spans="2:4" ht="5" customHeight="1"/>
    <row r="41" spans="2:4" ht="42.6" customHeight="1">
      <c r="B41" s="10" t="s">
        <v>184</v>
      </c>
      <c r="C41" s="10"/>
      <c r="D41" s="10"/>
    </row>
    <row r="43" spans="2:4" ht="21" customHeight="1">
      <c r="B43" s="8" t="s">
        <v>185</v>
      </c>
      <c r="C43" s="8"/>
      <c r="D43" s="8"/>
    </row>
    <row r="44" spans="2:4" ht="5" customHeight="1"/>
    <row r="45" spans="2:4" ht="29.4" customHeight="1">
      <c r="B45" s="26" t="s">
        <v>55</v>
      </c>
      <c r="C45" s="10" t="s">
        <v>186</v>
      </c>
      <c r="D45" s="10"/>
    </row>
    <row r="46" spans="2:4" ht="29.4" customHeight="1">
      <c r="B46" s="26" t="s">
        <v>55</v>
      </c>
      <c r="C46" s="10" t="s">
        <v>187</v>
      </c>
      <c r="D46" s="10"/>
    </row>
    <row r="47" spans="2:4" ht="29.4" customHeight="1">
      <c r="B47" s="26" t="s">
        <v>55</v>
      </c>
      <c r="C47" s="10" t="s">
        <v>188</v>
      </c>
      <c r="D47" s="10"/>
    </row>
    <row r="48" spans="2:4">
      <c r="B48" s="21" t="s">
        <v>189</v>
      </c>
      <c r="C48" s="21"/>
      <c r="D48" s="21"/>
    </row>
    <row r="50" spans="2:4" ht="21" customHeight="1">
      <c r="B50" s="8" t="s">
        <v>190</v>
      </c>
      <c r="C50" s="8"/>
      <c r="D50" s="8"/>
    </row>
    <row r="51" spans="2:4" ht="5" customHeight="1"/>
    <row r="52" spans="2:4">
      <c r="B52" s="48" t="s">
        <v>50</v>
      </c>
      <c r="C52" s="48" t="s">
        <v>191</v>
      </c>
      <c r="D52" s="30" t="s">
        <v>83</v>
      </c>
    </row>
    <row r="53" spans="2:4" ht="16.2" customHeight="1">
      <c r="B53" s="51" t="s">
        <v>192</v>
      </c>
      <c r="C53" s="58" t="s">
        <v>193</v>
      </c>
      <c r="D53" s="59" t="s">
        <v>194</v>
      </c>
    </row>
    <row r="55" spans="2:4">
      <c r="B55" s="21" t="s">
        <v>61</v>
      </c>
      <c r="C55" s="21"/>
      <c r="D55" s="21"/>
    </row>
  </sheetData>
  <sheetProtection sheet="1" formatColumns="0" formatRows="0"/>
  <mergeCells count="26">
    <mergeCell ref="A1:D1"/>
    <mergeCell ref="B2:C2"/>
    <mergeCell ref="B4:D4"/>
    <mergeCell ref="B6:D6"/>
    <mergeCell ref="B8:D8"/>
    <mergeCell ref="B21:D21"/>
    <mergeCell ref="C23:D23"/>
    <mergeCell ref="C24:D24"/>
    <mergeCell ref="C25:D25"/>
    <mergeCell ref="B27:D27"/>
    <mergeCell ref="C29:D29"/>
    <mergeCell ref="C30:D30"/>
    <mergeCell ref="C31:D31"/>
    <mergeCell ref="C32:D32"/>
    <mergeCell ref="B34:D34"/>
    <mergeCell ref="B36:D36"/>
    <mergeCell ref="B37:D37"/>
    <mergeCell ref="B39:D39"/>
    <mergeCell ref="B41:D41"/>
    <mergeCell ref="B43:D43"/>
    <mergeCell ref="C45:D45"/>
    <mergeCell ref="C46:D46"/>
    <mergeCell ref="C47:D47"/>
    <mergeCell ref="B48:D48"/>
    <mergeCell ref="B50:D50"/>
    <mergeCell ref="B55:D55"/>
  </mergeCells>
  <hyperlinks>
    <hyperlink ref="D2" r:id="rId1" tooltip="Free manufacturing calculators and templates"/>
    <hyperlink ref="B37" r:id="rId2"/>
  </hyperlinks>
  <printOptions horizontalCentered="1"/>
  <pageMargins left="0.4" right="0.4" top="0.7" bottom="0.65" header="0.3" footer="0.3"/>
  <pageSetup fitToHeight="0" orientation="portrait"/>
  <headerFooter>
    <oddHeader>&amp;L&amp;8MFG Calcs - Batch Yield Reconciliation&amp;R&amp;8&amp;A</oddHeader>
    <oddFooter>&amp;L&amp;8mfgcalcs.com - free manufacturing templates&amp;R&amp;8Page &amp;P of &amp;N</oddFooter>
  </headerFooter>
  <rowBreaks count="1" manualBreakCount="1">
    <brk id="26"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V34"/>
  <sheetViews>
    <sheetView showGridLines="0" workbookViewId="0"/>
  </sheetViews>
  <sheetFormatPr defaultRowHeight="15"/>
  <cols>
    <col min="1" max="1" width="2.7109375" customWidth="1"/>
    <col min="2" max="19" width="12.7109375" customWidth="1"/>
    <col min="20" max="20" width="13.7109375" customWidth="1"/>
    <col min="21" max="21" width="24.7109375" customWidth="1"/>
    <col min="22" max="22" width="30.7109375" customWidth="1"/>
  </cols>
  <sheetData>
    <row r="1" spans="1:22" ht="30" customHeight="1">
      <c r="A1" s="1" t="s">
        <v>0</v>
      </c>
      <c r="B1" s="1"/>
      <c r="C1" s="1"/>
      <c r="D1" s="1"/>
      <c r="E1" s="1"/>
      <c r="F1" s="1"/>
      <c r="G1" s="1"/>
      <c r="H1" s="1"/>
      <c r="I1" s="1"/>
      <c r="J1" s="1"/>
      <c r="K1" s="1"/>
      <c r="L1" s="1"/>
      <c r="M1" s="1"/>
      <c r="N1" s="1"/>
      <c r="O1" s="1"/>
      <c r="P1" s="1"/>
      <c r="Q1" s="1"/>
      <c r="R1" s="1"/>
      <c r="S1" s="1"/>
      <c r="T1" s="1"/>
      <c r="U1" s="1"/>
      <c r="V1" s="1"/>
    </row>
    <row r="2" spans="1:22" ht="21" customHeight="1">
      <c r="B2" s="2" t="s">
        <v>28</v>
      </c>
      <c r="C2" s="2"/>
      <c r="D2" s="2"/>
      <c r="E2" s="2"/>
      <c r="F2" s="2"/>
      <c r="G2" s="2"/>
      <c r="H2" s="2"/>
      <c r="I2" s="2"/>
      <c r="J2" s="2"/>
      <c r="K2" s="2"/>
      <c r="L2" s="2"/>
      <c r="M2" s="2"/>
      <c r="N2" s="2"/>
      <c r="O2" s="2"/>
      <c r="P2" s="2"/>
      <c r="Q2" s="2"/>
      <c r="R2" s="2"/>
      <c r="S2" s="2"/>
      <c r="T2" s="2"/>
      <c r="U2" s="2"/>
      <c r="V2" s="3" t="s">
        <v>2</v>
      </c>
    </row>
    <row r="3" spans="1:22" ht="6" customHeight="1"/>
    <row r="4" spans="1:22" ht="30" customHeight="1">
      <c r="B4" s="60" t="s">
        <v>195</v>
      </c>
      <c r="C4" s="60"/>
      <c r="D4" s="22" t="str">
        <f>IF(COUNTIF($K$11:$K$24,"PASS")=14,"PASS","FAIL")</f>
        <v>PASS</v>
      </c>
      <c r="E4" s="22"/>
      <c r="F4" s="23" t="str">
        <f>COUNTIF($K$11:$K$24,"PASS")&amp;" of 14 checks pass"</f>
        <v>14 of 14 checks pass</v>
      </c>
      <c r="G4" s="23"/>
      <c r="H4" s="23"/>
      <c r="I4" s="23"/>
      <c r="J4" s="23"/>
    </row>
    <row r="6" spans="1:22" ht="29.4" customHeight="1">
      <c r="B6" s="10" t="s">
        <v>196</v>
      </c>
      <c r="C6" s="10"/>
      <c r="D6" s="10"/>
      <c r="E6" s="10"/>
      <c r="F6" s="10"/>
      <c r="G6" s="10"/>
      <c r="H6" s="10"/>
      <c r="I6" s="10"/>
      <c r="J6" s="10"/>
      <c r="K6" s="10"/>
      <c r="L6" s="10"/>
    </row>
    <row r="8" spans="1:22" ht="21" customHeight="1">
      <c r="B8" s="8" t="s">
        <v>197</v>
      </c>
      <c r="C8" s="8"/>
      <c r="D8" s="8"/>
      <c r="E8" s="8"/>
      <c r="F8" s="8"/>
      <c r="G8" s="8"/>
      <c r="H8" s="8"/>
      <c r="I8" s="8"/>
      <c r="J8" s="8"/>
      <c r="K8" s="8"/>
      <c r="L8" s="8"/>
    </row>
    <row r="9" spans="1:22" ht="5" customHeight="1"/>
    <row r="10" spans="1:22" ht="30" customHeight="1">
      <c r="B10" s="30" t="s">
        <v>198</v>
      </c>
      <c r="C10" s="48" t="s">
        <v>68</v>
      </c>
      <c r="D10" s="48"/>
      <c r="E10" s="48"/>
      <c r="F10" s="48"/>
      <c r="G10" s="30" t="s">
        <v>199</v>
      </c>
      <c r="H10" s="30" t="s">
        <v>200</v>
      </c>
      <c r="I10" s="30" t="s">
        <v>201</v>
      </c>
      <c r="J10" s="30" t="s">
        <v>202</v>
      </c>
      <c r="K10" s="30" t="s">
        <v>203</v>
      </c>
    </row>
    <row r="11" spans="1:22" ht="16.2" customHeight="1">
      <c r="B11" s="61">
        <v>1</v>
      </c>
      <c r="C11" s="58" t="s">
        <v>204</v>
      </c>
      <c r="D11" s="58"/>
      <c r="E11" s="58"/>
      <c r="F11" s="58"/>
      <c r="G11" s="62">
        <v>0.952</v>
      </c>
      <c r="H11" s="38">
        <f>$L$31</f>
        <v>0.952</v>
      </c>
      <c r="I11" s="63">
        <f>IF(AND(ISNUMBER($G$11),ISNUMBER($H$11)),ABS($H$11-$G$11),"")</f>
        <v>0</v>
      </c>
      <c r="J11" s="64">
        <v>1E-09</v>
      </c>
      <c r="K11" s="41" t="str">
        <f>IF(AND(ISNUMBER($G$11),ISNUMBER($H$11)),IF(ABS($H$11-$G$11)&lt;=$J$11,"PASS","FAIL"),"FAIL")</f>
        <v>PASS</v>
      </c>
    </row>
    <row r="12" spans="1:22" ht="16.2" customHeight="1">
      <c r="B12" s="61">
        <v>2</v>
      </c>
      <c r="C12" s="58" t="s">
        <v>205</v>
      </c>
      <c r="D12" s="58"/>
      <c r="E12" s="58"/>
      <c r="F12" s="58"/>
      <c r="G12" s="62">
        <v>0.996</v>
      </c>
      <c r="H12" s="38">
        <f>$M$31</f>
        <v>0.996</v>
      </c>
      <c r="I12" s="63">
        <f>IF(AND(ISNUMBER($G$12),ISNUMBER($H$12)),ABS($H$12-$G$12),"")</f>
        <v>0</v>
      </c>
      <c r="J12" s="64">
        <v>1E-09</v>
      </c>
      <c r="K12" s="41" t="str">
        <f>IF(AND(ISNUMBER($G$12),ISNUMBER($H$12)),IF(ABS($H$12-$G$12)&lt;=$J$12,"PASS","FAIL"),"FAIL")</f>
        <v>PASS</v>
      </c>
    </row>
    <row r="13" spans="1:22" ht="16.2" customHeight="1">
      <c r="B13" s="61">
        <v>3</v>
      </c>
      <c r="C13" s="58" t="s">
        <v>206</v>
      </c>
      <c r="D13" s="58"/>
      <c r="E13" s="58"/>
      <c r="F13" s="58"/>
      <c r="G13" s="65">
        <v>1</v>
      </c>
      <c r="H13" s="39">
        <f>$N$31</f>
        <v>1</v>
      </c>
      <c r="I13" s="63">
        <f>IF(AND(ISNUMBER($G$13),ISNUMBER($H$13)),ABS($H$13-$G$13),"")</f>
        <v>0</v>
      </c>
      <c r="J13" s="64">
        <v>1E-09</v>
      </c>
      <c r="K13" s="41" t="str">
        <f>IF(AND(ISNUMBER($G$13),ISNUMBER($H$13)),IF(ABS($H$13-$G$13)&lt;=$J$13,"PASS","FAIL"),"FAIL")</f>
        <v>PASS</v>
      </c>
    </row>
    <row r="14" spans="1:22" ht="16.2" customHeight="1">
      <c r="B14" s="61">
        <v>4</v>
      </c>
      <c r="C14" s="58" t="s">
        <v>207</v>
      </c>
      <c r="D14" s="58"/>
      <c r="E14" s="58"/>
      <c r="F14" s="58"/>
      <c r="G14" s="51" t="s">
        <v>208</v>
      </c>
      <c r="H14" s="37" t="str">
        <f>$S$31</f>
        <v>Within limits</v>
      </c>
      <c r="I14" s="37"/>
      <c r="J14" s="59" t="s">
        <v>209</v>
      </c>
      <c r="K14" s="41" t="str">
        <f>IF($H$14&amp;""=$G$14&amp;"","PASS","FAIL")</f>
        <v>PASS</v>
      </c>
    </row>
    <row r="15" spans="1:22" ht="16.2" customHeight="1">
      <c r="B15" s="61">
        <v>5</v>
      </c>
      <c r="C15" s="58" t="s">
        <v>210</v>
      </c>
      <c r="D15" s="58"/>
      <c r="E15" s="58"/>
      <c r="F15" s="58"/>
      <c r="G15" s="51" t="s">
        <v>144</v>
      </c>
      <c r="H15" s="37" t="str">
        <f>$S$32</f>
        <v>Out of limits</v>
      </c>
      <c r="I15" s="37"/>
      <c r="J15" s="59" t="s">
        <v>209</v>
      </c>
      <c r="K15" s="41" t="str">
        <f>IF($H$15&amp;""=$G$15&amp;"","PASS","FAIL")</f>
        <v>PASS</v>
      </c>
    </row>
    <row r="16" spans="1:22" ht="16.2" customHeight="1">
      <c r="B16" s="61">
        <v>6</v>
      </c>
      <c r="C16" s="58" t="s">
        <v>211</v>
      </c>
      <c r="D16" s="58"/>
      <c r="E16" s="58"/>
      <c r="F16" s="58"/>
      <c r="G16" s="51" t="s">
        <v>208</v>
      </c>
      <c r="H16" s="37" t="str">
        <f>$T$32</f>
        <v>Within limits</v>
      </c>
      <c r="I16" s="37"/>
      <c r="J16" s="59" t="s">
        <v>209</v>
      </c>
      <c r="K16" s="41" t="str">
        <f>IF($H$16&amp;""=$G$16&amp;"","PASS","FAIL")</f>
        <v>PASS</v>
      </c>
    </row>
    <row r="17" spans="2:22" ht="16.2" customHeight="1">
      <c r="B17" s="61">
        <v>7</v>
      </c>
      <c r="C17" s="58" t="s">
        <v>212</v>
      </c>
      <c r="D17" s="58"/>
      <c r="E17" s="58"/>
      <c r="F17" s="58"/>
      <c r="G17" s="51" t="s">
        <v>213</v>
      </c>
      <c r="H17" s="37" t="str">
        <f>$U$32</f>
        <v>OK</v>
      </c>
      <c r="I17" s="37"/>
      <c r="J17" s="59" t="s">
        <v>209</v>
      </c>
      <c r="K17" s="41" t="str">
        <f>IF($H$17&amp;""=$G$17&amp;"","PASS","FAIL")</f>
        <v>PASS</v>
      </c>
    </row>
    <row r="18" spans="2:22" ht="16.2" customHeight="1">
      <c r="B18" s="61">
        <v>8</v>
      </c>
      <c r="C18" s="58" t="s">
        <v>214</v>
      </c>
      <c r="D18" s="58"/>
      <c r="E18" s="58"/>
      <c r="F18" s="58"/>
      <c r="G18" s="62">
        <v>0.98</v>
      </c>
      <c r="H18" s="38">
        <f>$M$33</f>
        <v>0.98</v>
      </c>
      <c r="I18" s="63">
        <f>IF(AND(ISNUMBER($G$18),ISNUMBER($H$18)),ABS($H$18-$G$18),"")</f>
        <v>0</v>
      </c>
      <c r="J18" s="64">
        <v>1E-09</v>
      </c>
      <c r="K18" s="41" t="str">
        <f>IF(AND(ISNUMBER($G$18),ISNUMBER($H$18)),IF(ABS($H$18-$G$18)&lt;=$J$18,"PASS","FAIL"),"FAIL")</f>
        <v>PASS</v>
      </c>
    </row>
    <row r="19" spans="2:22" ht="16.2" customHeight="1">
      <c r="B19" s="61">
        <v>9</v>
      </c>
      <c r="C19" s="58" t="s">
        <v>215</v>
      </c>
      <c r="D19" s="58"/>
      <c r="E19" s="58"/>
      <c r="F19" s="58"/>
      <c r="G19" s="51" t="s">
        <v>144</v>
      </c>
      <c r="H19" s="37" t="str">
        <f>$T$33</f>
        <v>Out of limits</v>
      </c>
      <c r="I19" s="37"/>
      <c r="J19" s="59" t="s">
        <v>209</v>
      </c>
      <c r="K19" s="41" t="str">
        <f>IF($H$19&amp;""=$G$19&amp;"","PASS","FAIL")</f>
        <v>PASS</v>
      </c>
    </row>
    <row r="20" spans="2:22" ht="16.2" customHeight="1">
      <c r="B20" s="61">
        <v>10</v>
      </c>
      <c r="C20" s="58" t="s">
        <v>216</v>
      </c>
      <c r="D20" s="58"/>
      <c r="E20" s="58"/>
      <c r="F20" s="58"/>
      <c r="G20" s="51" t="s">
        <v>217</v>
      </c>
      <c r="H20" s="37" t="str">
        <f>$U$33</f>
        <v>Deviation reference missing</v>
      </c>
      <c r="I20" s="37"/>
      <c r="J20" s="59" t="s">
        <v>209</v>
      </c>
      <c r="K20" s="41" t="str">
        <f>IF($H$20&amp;""=$G$20&amp;"","PASS","FAIL")</f>
        <v>PASS</v>
      </c>
    </row>
    <row r="21" spans="2:22" ht="16.2" customHeight="1">
      <c r="B21" s="61">
        <v>11</v>
      </c>
      <c r="C21" s="58" t="s">
        <v>218</v>
      </c>
      <c r="D21" s="58"/>
      <c r="E21" s="58"/>
      <c r="F21" s="58"/>
      <c r="G21" s="51" t="s">
        <v>219</v>
      </c>
      <c r="H21" s="37" t="str">
        <f>$U$34</f>
        <v>Product not on Setup list</v>
      </c>
      <c r="I21" s="37"/>
      <c r="J21" s="59" t="s">
        <v>209</v>
      </c>
      <c r="K21" s="41" t="str">
        <f>IF($H$21&amp;""=$G$21&amp;"","PASS","FAIL")</f>
        <v>PASS</v>
      </c>
    </row>
    <row r="22" spans="2:22" ht="16.2" customHeight="1">
      <c r="B22" s="61">
        <v>12</v>
      </c>
      <c r="C22" s="58" t="s">
        <v>220</v>
      </c>
      <c r="D22" s="58"/>
      <c r="E22" s="58"/>
      <c r="F22" s="58"/>
      <c r="G22" s="65">
        <v>4</v>
      </c>
      <c r="H22" s="39">
        <f>COUNT(tblVerifyBatches[Yield])</f>
        <v>4</v>
      </c>
      <c r="I22" s="63">
        <f>IF(AND(ISNUMBER($G$22),ISNUMBER($H$22)),ABS($H$22-$G$22),"")</f>
        <v>0</v>
      </c>
      <c r="J22" s="64">
        <v>1E-09</v>
      </c>
      <c r="K22" s="41" t="str">
        <f>IF(AND(ISNUMBER($G$22),ISNUMBER($H$22)),IF(ABS($H$22-$G$22)&lt;=$J$22,"PASS","FAIL"),"FAIL")</f>
        <v>PASS</v>
      </c>
    </row>
    <row r="23" spans="2:22" ht="16.2" customHeight="1">
      <c r="B23" s="61">
        <v>13</v>
      </c>
      <c r="C23" s="58" t="s">
        <v>221</v>
      </c>
      <c r="D23" s="58"/>
      <c r="E23" s="58"/>
      <c r="F23" s="58"/>
      <c r="G23" s="53">
        <v>0.25</v>
      </c>
      <c r="H23" s="40">
        <f>IF((COUNT(tblVerifyBatches[Yield]))=0,"",(COUNTIFS(tblVerifyBatches[Yield status],"Within limits",tblVerifyBatches[Reconciliation status],"Within limits"))/(COUNT(tblVerifyBatches[Yield])))</f>
        <v>0.25</v>
      </c>
      <c r="I23" s="63">
        <f>IF(AND(ISNUMBER($G$23),ISNUMBER($H$23)),ABS($H$23-$G$23),"")</f>
        <v>0</v>
      </c>
      <c r="J23" s="64">
        <v>1E-09</v>
      </c>
      <c r="K23" s="41" t="str">
        <f>IF(AND(ISNUMBER($G$23),ISNUMBER($H$23)),IF(ABS($H$23-$G$23)&lt;=$J$23,"PASS","FAIL"),"FAIL")</f>
        <v>PASS</v>
      </c>
    </row>
    <row r="24" spans="2:22" ht="16.2" customHeight="1">
      <c r="B24" s="61">
        <v>14</v>
      </c>
      <c r="C24" s="58" t="s">
        <v>222</v>
      </c>
      <c r="D24" s="58"/>
      <c r="E24" s="58"/>
      <c r="F24" s="58"/>
      <c r="G24" s="65">
        <v>1</v>
      </c>
      <c r="H24" s="39">
        <f>COUNTIF(tblVerifyBatches[Check],"Deviation reference missing")</f>
        <v>1</v>
      </c>
      <c r="I24" s="63">
        <f>IF(AND(ISNUMBER($G$24),ISNUMBER($H$24)),ABS($H$24-$G$24),"")</f>
        <v>0</v>
      </c>
      <c r="J24" s="64">
        <v>1E-09</v>
      </c>
      <c r="K24" s="41" t="str">
        <f>IF(AND(ISNUMBER($G$24),ISNUMBER($H$24)),IF(ABS($H$24-$G$24)&lt;=$J$24,"PASS","FAIL"),"FAIL")</f>
        <v>PASS</v>
      </c>
    </row>
    <row r="26" spans="2:22" ht="21" customHeight="1">
      <c r="B26" s="8" t="s">
        <v>223</v>
      </c>
      <c r="C26" s="8"/>
      <c r="D26" s="8"/>
      <c r="E26" s="8"/>
      <c r="F26" s="8"/>
      <c r="G26" s="8"/>
      <c r="H26" s="8"/>
      <c r="I26" s="8"/>
      <c r="J26" s="8"/>
      <c r="K26" s="8"/>
      <c r="L26" s="8"/>
    </row>
    <row r="27" spans="2:22" ht="5" customHeight="1"/>
    <row r="28" spans="2:22">
      <c r="B28" s="21" t="s">
        <v>224</v>
      </c>
      <c r="C28" s="21"/>
      <c r="D28" s="21"/>
      <c r="E28" s="21"/>
      <c r="F28" s="21"/>
      <c r="G28" s="21"/>
      <c r="H28" s="21"/>
      <c r="I28" s="21"/>
      <c r="J28" s="21"/>
      <c r="K28" s="21"/>
      <c r="L28" s="21"/>
    </row>
    <row r="29" spans="2:22">
      <c r="B29" s="29" t="s">
        <v>225</v>
      </c>
      <c r="C29" s="29"/>
      <c r="D29" s="29"/>
      <c r="E29" s="29"/>
      <c r="F29" s="29"/>
      <c r="G29" s="29"/>
      <c r="H29" s="29"/>
      <c r="I29" s="29"/>
      <c r="J29" s="29"/>
      <c r="K29" s="29"/>
      <c r="L29" s="29"/>
    </row>
    <row r="30" spans="2:22" ht="32" customHeight="1">
      <c r="B30" s="30" t="s">
        <v>82</v>
      </c>
      <c r="C30" s="30" t="s">
        <v>83</v>
      </c>
      <c r="D30" s="30" t="s">
        <v>62</v>
      </c>
      <c r="E30" s="30" t="s">
        <v>84</v>
      </c>
      <c r="F30" s="30" t="s">
        <v>85</v>
      </c>
      <c r="G30" s="30" t="s">
        <v>86</v>
      </c>
      <c r="H30" s="30" t="s">
        <v>87</v>
      </c>
      <c r="I30" s="30" t="s">
        <v>88</v>
      </c>
      <c r="J30" s="30" t="s">
        <v>89</v>
      </c>
      <c r="K30" s="30" t="s">
        <v>63</v>
      </c>
      <c r="L30" s="30" t="s">
        <v>90</v>
      </c>
      <c r="M30" s="30" t="s">
        <v>91</v>
      </c>
      <c r="N30" s="30" t="s">
        <v>92</v>
      </c>
      <c r="O30" s="30" t="s">
        <v>64</v>
      </c>
      <c r="P30" s="30" t="s">
        <v>65</v>
      </c>
      <c r="Q30" s="30" t="s">
        <v>66</v>
      </c>
      <c r="R30" s="30" t="s">
        <v>67</v>
      </c>
      <c r="S30" s="30" t="s">
        <v>93</v>
      </c>
      <c r="T30" s="30" t="s">
        <v>94</v>
      </c>
      <c r="U30" s="30" t="s">
        <v>68</v>
      </c>
      <c r="V30" s="30" t="s">
        <v>95</v>
      </c>
    </row>
    <row r="31" spans="2:22">
      <c r="B31" s="51" t="s">
        <v>226</v>
      </c>
      <c r="C31" s="66">
        <v>46266</v>
      </c>
      <c r="D31" s="51" t="s">
        <v>227</v>
      </c>
      <c r="E31" s="65">
        <v>250</v>
      </c>
      <c r="F31" s="65">
        <v>238</v>
      </c>
      <c r="G31" s="65">
        <v>4</v>
      </c>
      <c r="H31" s="65">
        <v>5</v>
      </c>
      <c r="I31" s="65">
        <v>2</v>
      </c>
      <c r="J31" s="51" t="s">
        <v>98</v>
      </c>
      <c r="K31" s="51" t="s">
        <v>228</v>
      </c>
      <c r="L31" s="38">
        <f>IF(tblVerifyBatches[[#This Row],[Batch no.]]="","",IF(tblVerifyBatches[[#This Row],[Theoretical yield]]&gt;0,tblVerifyBatches[[#This Row],[Actual yield]]/tblVerifyBatches[[#This Row],[Theoretical yield]],""))</f>
        <v>0.952</v>
      </c>
      <c r="M31" s="38">
        <f>IF(tblVerifyBatches[[#This Row],[Batch no.]]="","",IF(tblVerifyBatches[[#This Row],[Theoretical yield]]&gt;0,(tblVerifyBatches[[#This Row],[Actual yield]]+tblVerifyBatches[[#This Row],[QC samples]]+tblVerifyBatches[[#This Row],[Rejects]]+tblVerifyBatches[[#This Row],[Other accounted]])/tblVerifyBatches[[#This Row],[Theoretical yield]],""))</f>
        <v>0.996</v>
      </c>
      <c r="N31" s="39">
        <f>IF(tblVerifyBatches[[#This Row],[Batch no.]]="","",tblVerifyBatches[[#This Row],[Theoretical yield]]-tblVerifyBatches[[#This Row],[Actual yield]]-tblVerifyBatches[[#This Row],[QC samples]]-tblVerifyBatches[[#This Row],[Rejects]]-tblVerifyBatches[[#This Row],[Other accounted]])</f>
        <v>1</v>
      </c>
      <c r="O31" s="53">
        <v>0.95</v>
      </c>
      <c r="P31" s="53">
        <v>1.01</v>
      </c>
      <c r="Q31" s="53">
        <v>0.99</v>
      </c>
      <c r="R31" s="53">
        <v>1.005</v>
      </c>
      <c r="S31" s="41" t="str">
        <f>IF(OR(NOT(ISNUMBER(tblVerifyBatches[[#This Row],[Yield]])),tblVerifyBatches[[#This Row],[Yield low]]=""),"",IF(AND(tblVerifyBatches[[#This Row],[Yield]]&gt;=tblVerifyBatches[[#This Row],[Yield low]],tblVerifyBatches[[#This Row],[Yield]]&lt;=tblVerifyBatches[[#This Row],[Yield high]]),"Within limits","Out of limits"))</f>
        <v>Within limits</v>
      </c>
      <c r="T31" s="41" t="str">
        <f>IF(OR(NOT(ISNUMBER(tblVerifyBatches[[#This Row],[Reconciliation]])),tblVerifyBatches[[#This Row],[Recon low]]=""),"",IF(AND(tblVerifyBatches[[#This Row],[Reconciliation]]&gt;=tblVerifyBatches[[#This Row],[Recon low]],tblVerifyBatches[[#This Row],[Reconciliation]]&lt;=tblVerifyBatches[[#This Row],[Recon high]]),"Within limits","Out of limits"))</f>
        <v>Within limits</v>
      </c>
      <c r="U31" s="33" t="str">
        <f>IF(tblVerifyBatches[[#This Row],[Batch no.]]="","",IF(tblVerifyBatches[[#This Row],[Date]]="","Missing date",IF(tblVerifyBatches[[#This Row],[Product]]="","Missing product",IF(tblVerifyBatches[[#This Row],[Theoretical yield]]="","Missing theoretical yield",IF(tblVerifyBatches[[#This Row],[Actual yield]]="","Missing actual yield",IF(tblVerifyBatches[[#This Row],[Unit]]="","Product not on Setup list",IF(COUNTIF(tblVerifyBatches[Batch no.],tblVerifyBatches[[#This Row],[Batch no.]])&gt;1,"Duplicate batch number",IF(AND(OR(tblVerifyBatches[[#This Row],[Yield status]]="Out of limits",tblVerifyBatches[[#This Row],[Reconciliation status]]="Out of limits"),tblVerifyBatches[[#This Row],[Deviation ref]]=""),"Deviation reference missing","OK"))))))))</f>
        <v>OK</v>
      </c>
      <c r="V31" s="51" t="s">
        <v>229</v>
      </c>
    </row>
    <row r="32" spans="2:22">
      <c r="B32" s="51" t="s">
        <v>230</v>
      </c>
      <c r="C32" s="66">
        <v>46267</v>
      </c>
      <c r="D32" s="51" t="s">
        <v>227</v>
      </c>
      <c r="E32" s="65">
        <v>100000</v>
      </c>
      <c r="F32" s="65">
        <v>93500</v>
      </c>
      <c r="G32" s="65">
        <v>300</v>
      </c>
      <c r="H32" s="65">
        <v>5600</v>
      </c>
      <c r="I32" s="65">
        <v>400</v>
      </c>
      <c r="J32" s="51" t="s">
        <v>231</v>
      </c>
      <c r="K32" s="51" t="s">
        <v>228</v>
      </c>
      <c r="L32" s="38">
        <f>IF(tblVerifyBatches[[#This Row],[Batch no.]]="","",IF(tblVerifyBatches[[#This Row],[Theoretical yield]]&gt;0,tblVerifyBatches[[#This Row],[Actual yield]]/tblVerifyBatches[[#This Row],[Theoretical yield]],""))</f>
        <v>0.935</v>
      </c>
      <c r="M32" s="38">
        <f>IF(tblVerifyBatches[[#This Row],[Batch no.]]="","",IF(tblVerifyBatches[[#This Row],[Theoretical yield]]&gt;0,(tblVerifyBatches[[#This Row],[Actual yield]]+tblVerifyBatches[[#This Row],[QC samples]]+tblVerifyBatches[[#This Row],[Rejects]]+tblVerifyBatches[[#This Row],[Other accounted]])/tblVerifyBatches[[#This Row],[Theoretical yield]],""))</f>
        <v>0.998</v>
      </c>
      <c r="N32" s="39">
        <f>IF(tblVerifyBatches[[#This Row],[Batch no.]]="","",tblVerifyBatches[[#This Row],[Theoretical yield]]-tblVerifyBatches[[#This Row],[Actual yield]]-tblVerifyBatches[[#This Row],[QC samples]]-tblVerifyBatches[[#This Row],[Rejects]]-tblVerifyBatches[[#This Row],[Other accounted]])</f>
        <v>200</v>
      </c>
      <c r="O32" s="53">
        <v>0.95</v>
      </c>
      <c r="P32" s="53">
        <v>1.01</v>
      </c>
      <c r="Q32" s="53">
        <v>0.99</v>
      </c>
      <c r="R32" s="53">
        <v>1.005</v>
      </c>
      <c r="S32" s="41" t="str">
        <f>IF(OR(NOT(ISNUMBER(tblVerifyBatches[[#This Row],[Yield]])),tblVerifyBatches[[#This Row],[Yield low]]=""),"",IF(AND(tblVerifyBatches[[#This Row],[Yield]]&gt;=tblVerifyBatches[[#This Row],[Yield low]],tblVerifyBatches[[#This Row],[Yield]]&lt;=tblVerifyBatches[[#This Row],[Yield high]]),"Within limits","Out of limits"))</f>
        <v>Out of limits</v>
      </c>
      <c r="T32" s="41" t="str">
        <f>IF(OR(NOT(ISNUMBER(tblVerifyBatches[[#This Row],[Reconciliation]])),tblVerifyBatches[[#This Row],[Recon low]]=""),"",IF(AND(tblVerifyBatches[[#This Row],[Reconciliation]]&gt;=tblVerifyBatches[[#This Row],[Recon low]],tblVerifyBatches[[#This Row],[Reconciliation]]&lt;=tblVerifyBatches[[#This Row],[Recon high]]),"Within limits","Out of limits"))</f>
        <v>Within limits</v>
      </c>
      <c r="U32" s="33" t="str">
        <f>IF(tblVerifyBatches[[#This Row],[Batch no.]]="","",IF(tblVerifyBatches[[#This Row],[Date]]="","Missing date",IF(tblVerifyBatches[[#This Row],[Product]]="","Missing product",IF(tblVerifyBatches[[#This Row],[Theoretical yield]]="","Missing theoretical yield",IF(tblVerifyBatches[[#This Row],[Actual yield]]="","Missing actual yield",IF(tblVerifyBatches[[#This Row],[Unit]]="","Product not on Setup list",IF(COUNTIF(tblVerifyBatches[Batch no.],tblVerifyBatches[[#This Row],[Batch no.]])&gt;1,"Duplicate batch number",IF(AND(OR(tblVerifyBatches[[#This Row],[Yield status]]="Out of limits",tblVerifyBatches[[#This Row],[Reconciliation status]]="Out of limits"),tblVerifyBatches[[#This Row],[Deviation ref]]=""),"Deviation reference missing","OK"))))))))</f>
        <v>OK</v>
      </c>
      <c r="V32" s="51" t="s">
        <v>232</v>
      </c>
    </row>
    <row r="33" spans="2:22">
      <c r="B33" s="51" t="s">
        <v>233</v>
      </c>
      <c r="C33" s="66">
        <v>46268</v>
      </c>
      <c r="D33" s="51" t="s">
        <v>227</v>
      </c>
      <c r="E33" s="65">
        <v>20000</v>
      </c>
      <c r="F33" s="65">
        <v>19400</v>
      </c>
      <c r="G33" s="65">
        <v>40</v>
      </c>
      <c r="H33" s="65">
        <v>100</v>
      </c>
      <c r="I33" s="65">
        <v>60</v>
      </c>
      <c r="J33" s="51" t="s">
        <v>98</v>
      </c>
      <c r="K33" s="51" t="s">
        <v>228</v>
      </c>
      <c r="L33" s="38">
        <f>IF(tblVerifyBatches[[#This Row],[Batch no.]]="","",IF(tblVerifyBatches[[#This Row],[Theoretical yield]]&gt;0,tblVerifyBatches[[#This Row],[Actual yield]]/tblVerifyBatches[[#This Row],[Theoretical yield]],""))</f>
        <v>0.97</v>
      </c>
      <c r="M33" s="38">
        <f>IF(tblVerifyBatches[[#This Row],[Batch no.]]="","",IF(tblVerifyBatches[[#This Row],[Theoretical yield]]&gt;0,(tblVerifyBatches[[#This Row],[Actual yield]]+tblVerifyBatches[[#This Row],[QC samples]]+tblVerifyBatches[[#This Row],[Rejects]]+tblVerifyBatches[[#This Row],[Other accounted]])/tblVerifyBatches[[#This Row],[Theoretical yield]],""))</f>
        <v>0.98</v>
      </c>
      <c r="N33" s="39">
        <f>IF(tblVerifyBatches[[#This Row],[Batch no.]]="","",tblVerifyBatches[[#This Row],[Theoretical yield]]-tblVerifyBatches[[#This Row],[Actual yield]]-tblVerifyBatches[[#This Row],[QC samples]]-tblVerifyBatches[[#This Row],[Rejects]]-tblVerifyBatches[[#This Row],[Other accounted]])</f>
        <v>400</v>
      </c>
      <c r="O33" s="53">
        <v>0.95</v>
      </c>
      <c r="P33" s="53">
        <v>1.01</v>
      </c>
      <c r="Q33" s="53">
        <v>0.99</v>
      </c>
      <c r="R33" s="53">
        <v>1.005</v>
      </c>
      <c r="S33" s="41" t="str">
        <f>IF(OR(NOT(ISNUMBER(tblVerifyBatches[[#This Row],[Yield]])),tblVerifyBatches[[#This Row],[Yield low]]=""),"",IF(AND(tblVerifyBatches[[#This Row],[Yield]]&gt;=tblVerifyBatches[[#This Row],[Yield low]],tblVerifyBatches[[#This Row],[Yield]]&lt;=tblVerifyBatches[[#This Row],[Yield high]]),"Within limits","Out of limits"))</f>
        <v>Within limits</v>
      </c>
      <c r="T33" s="41" t="str">
        <f>IF(OR(NOT(ISNUMBER(tblVerifyBatches[[#This Row],[Reconciliation]])),tblVerifyBatches[[#This Row],[Recon low]]=""),"",IF(AND(tblVerifyBatches[[#This Row],[Reconciliation]]&gt;=tblVerifyBatches[[#This Row],[Recon low]],tblVerifyBatches[[#This Row],[Reconciliation]]&lt;=tblVerifyBatches[[#This Row],[Recon high]]),"Within limits","Out of limits"))</f>
        <v>Out of limits</v>
      </c>
      <c r="U33" s="33" t="str">
        <f>IF(tblVerifyBatches[[#This Row],[Batch no.]]="","",IF(tblVerifyBatches[[#This Row],[Date]]="","Missing date",IF(tblVerifyBatches[[#This Row],[Product]]="","Missing product",IF(tblVerifyBatches[[#This Row],[Theoretical yield]]="","Missing theoretical yield",IF(tblVerifyBatches[[#This Row],[Actual yield]]="","Missing actual yield",IF(tblVerifyBatches[[#This Row],[Unit]]="","Product not on Setup list",IF(COUNTIF(tblVerifyBatches[Batch no.],tblVerifyBatches[[#This Row],[Batch no.]])&gt;1,"Duplicate batch number",IF(AND(OR(tblVerifyBatches[[#This Row],[Yield status]]="Out of limits",tblVerifyBatches[[#This Row],[Reconciliation status]]="Out of limits"),tblVerifyBatches[[#This Row],[Deviation ref]]=""),"Deviation reference missing","OK"))))))))</f>
        <v>Deviation reference missing</v>
      </c>
      <c r="V33" s="51" t="s">
        <v>234</v>
      </c>
    </row>
    <row r="34" spans="2:22">
      <c r="B34" s="51" t="s">
        <v>235</v>
      </c>
      <c r="C34" s="66">
        <v>46269</v>
      </c>
      <c r="D34" s="51" t="s">
        <v>236</v>
      </c>
      <c r="E34" s="65">
        <v>1000</v>
      </c>
      <c r="F34" s="65">
        <v>980</v>
      </c>
      <c r="G34" s="65">
        <v>0</v>
      </c>
      <c r="H34" s="65">
        <v>0</v>
      </c>
      <c r="I34" s="65">
        <v>0</v>
      </c>
      <c r="J34" s="51" t="s">
        <v>98</v>
      </c>
      <c r="K34" s="51" t="s">
        <v>98</v>
      </c>
      <c r="L34" s="38">
        <f>IF(tblVerifyBatches[[#This Row],[Batch no.]]="","",IF(tblVerifyBatches[[#This Row],[Theoretical yield]]&gt;0,tblVerifyBatches[[#This Row],[Actual yield]]/tblVerifyBatches[[#This Row],[Theoretical yield]],""))</f>
        <v>0.98</v>
      </c>
      <c r="M34" s="38">
        <f>IF(tblVerifyBatches[[#This Row],[Batch no.]]="","",IF(tblVerifyBatches[[#This Row],[Theoretical yield]]&gt;0,(tblVerifyBatches[[#This Row],[Actual yield]]+tblVerifyBatches[[#This Row],[QC samples]]+tblVerifyBatches[[#This Row],[Rejects]]+tblVerifyBatches[[#This Row],[Other accounted]])/tblVerifyBatches[[#This Row],[Theoretical yield]],""))</f>
        <v>0.98</v>
      </c>
      <c r="N34" s="39">
        <f>IF(tblVerifyBatches[[#This Row],[Batch no.]]="","",tblVerifyBatches[[#This Row],[Theoretical yield]]-tblVerifyBatches[[#This Row],[Actual yield]]-tblVerifyBatches[[#This Row],[QC samples]]-tblVerifyBatches[[#This Row],[Rejects]]-tblVerifyBatches[[#This Row],[Other accounted]])</f>
        <v>20</v>
      </c>
      <c r="O34" s="53" t="s">
        <v>98</v>
      </c>
      <c r="P34" s="53" t="s">
        <v>98</v>
      </c>
      <c r="Q34" s="53" t="s">
        <v>98</v>
      </c>
      <c r="R34" s="53" t="s">
        <v>98</v>
      </c>
      <c r="S34" s="41">
        <f>IF(OR(NOT(ISNUMBER(tblVerifyBatches[[#This Row],[Yield]])),tblVerifyBatches[[#This Row],[Yield low]]=""),"",IF(AND(tblVerifyBatches[[#This Row],[Yield]]&gt;=tblVerifyBatches[[#This Row],[Yield low]],tblVerifyBatches[[#This Row],[Yield]]&lt;=tblVerifyBatches[[#This Row],[Yield high]]),"Within limits","Out of limits"))</f>
        <v/>
      </c>
      <c r="T34" s="41">
        <f>IF(OR(NOT(ISNUMBER(tblVerifyBatches[[#This Row],[Reconciliation]])),tblVerifyBatches[[#This Row],[Recon low]]=""),"",IF(AND(tblVerifyBatches[[#This Row],[Reconciliation]]&gt;=tblVerifyBatches[[#This Row],[Recon low]],tblVerifyBatches[[#This Row],[Reconciliation]]&lt;=tblVerifyBatches[[#This Row],[Recon high]]),"Within limits","Out of limits"))</f>
        <v/>
      </c>
      <c r="U34" s="33" t="str">
        <f>IF(tblVerifyBatches[[#This Row],[Batch no.]]="","",IF(tblVerifyBatches[[#This Row],[Date]]="","Missing date",IF(tblVerifyBatches[[#This Row],[Product]]="","Missing product",IF(tblVerifyBatches[[#This Row],[Theoretical yield]]="","Missing theoretical yield",IF(tblVerifyBatches[[#This Row],[Actual yield]]="","Missing actual yield",IF(tblVerifyBatches[[#This Row],[Unit]]="","Product not on Setup list",IF(COUNTIF(tblVerifyBatches[Batch no.],tblVerifyBatches[[#This Row],[Batch no.]])&gt;1,"Duplicate batch number",IF(AND(OR(tblVerifyBatches[[#This Row],[Yield status]]="Out of limits",tblVerifyBatches[[#This Row],[Reconciliation status]]="Out of limits"),tblVerifyBatches[[#This Row],[Deviation ref]]=""),"Deviation reference missing","OK"))))))))</f>
        <v>Product not on Setup list</v>
      </c>
      <c r="V34" s="51" t="s">
        <v>237</v>
      </c>
    </row>
  </sheetData>
  <sheetProtection sheet="1" formatColumns="0" formatRows="0"/>
  <mergeCells count="25">
    <mergeCell ref="A1:V1"/>
    <mergeCell ref="B2:U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B26:L26"/>
    <mergeCell ref="B28:L28"/>
    <mergeCell ref="B29:L29"/>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4">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U31:U34">
    <cfRule type="expression" dxfId="3" priority="41">
      <formula>$U31="OK"</formula>
    </cfRule>
    <cfRule type="expression" dxfId="1" priority="42">
      <formula>AND($U31&lt;&gt;"",$U31&lt;&gt;"OK")</formula>
    </cfRule>
  </conditionalFormatting>
  <hyperlinks>
    <hyperlink ref="V2" r:id="rId1" tooltip="Free manufacturing calculators and templates"/>
  </hyperlinks>
  <printOptions horizontalCentered="1"/>
  <pageMargins left="0.4" right="0.4" top="0.7" bottom="0.65" header="0.3" footer="0.3"/>
  <pageSetup fitToHeight="0" orientation="landscape"/>
  <headerFooter>
    <oddHeader>&amp;L&amp;8MFG Calcs - Batch Yield Reconciliation&amp;R&amp;8&amp;A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15</vt:i4>
      </vt:variant>
    </vt:vector>
  </HeadingPairs>
  <TitlesOfParts>
    <vt:vector size="21" baseType="lpstr">
      <vt:lpstr>Start Here</vt:lpstr>
      <vt:lpstr>Setup</vt:lpstr>
      <vt:lpstr>Batch Log</vt:lpstr>
      <vt:lpstr>Dashboard</vt:lpstr>
      <vt:lpstr>Method</vt:lpstr>
      <vt:lpstr>Verify</vt:lpstr>
      <vt:lpstr>KpiCount</vt:lpstr>
      <vt:lpstr>KpiOpen</vt:lpstr>
      <vt:lpstr>KpiOut</vt:lpstr>
      <vt:lpstr>KpiWithin</vt:lpstr>
      <vt:lpstr>PlantName</vt:lpstr>
      <vt:lpstr>'Batch Log'!Print_Area</vt:lpstr>
      <vt:lpstr>Dashboard!Print_Area</vt:lpstr>
      <vt:lpstr>Method!Print_Area</vt:lpstr>
      <vt:lpstr>Setup!Print_Area</vt:lpstr>
      <vt:lpstr>'Start Here'!Print_Area</vt:lpstr>
      <vt:lpstr>Verify!Print_Area</vt:lpstr>
      <vt:lpstr>'Batch Log'!Print_Titles</vt:lpstr>
      <vt:lpstr>Method!Print_Titles</vt:lpstr>
      <vt:lpstr>SelfCheck</vt:lpstr>
      <vt:lpstr>SelfCheckSummary</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Batch Yield Reconciliation - free Excel template from MFG Calcs</dc:title>
  <dc:subject>Log every batch's theoretical and actual yield, samples, rejects and losses; get yield and reconciliation against each product's limits, and see which batches need investigating.</dc:subject>
  <dc:creator>MFG Calcs</dc:creator>
  <cp:keywords>batch yield, yield reconciliation, material reconciliation, GMP, theoretical yield, batch record review, accountability, deviation</cp:keywords>
  <dc:description>https://www.mfgcalcs.com/templates/batch-yield-reconciliation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batch-yield-reconciliation</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https://www.mfgcalcs.com/templates/batch-yield-reconciliation</vt:lpwstr>
  </property>
  <property fmtid="{D5CDD505-2E9C-101B-9397-08002B2CF9AE}" pid="7" name="Template sheet roles">
    <vt:lpwstr>Start Here=start;Setup=setup;Batch Log=work;Dashboard=dashboard;Method=method;Verify=verify</vt:lpwstr>
  </property>
</Properties>
</file>