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BOM" sheetId="3" r:id="rId3"/>
    <sheet name="Dashboard" sheetId="4" r:id="rId4"/>
    <sheet name="Method" sheetId="5" r:id="rId5"/>
    <sheet name="Verify" sheetId="6" r:id="rId6"/>
  </sheets>
  <definedNames>
    <definedName name="AnnualVolume">Setup!$C$14</definedName>
    <definedName name="Commodities">tblCommodities[Commodity]</definedName>
    <definedName name="Currency">Setup!$C$7</definedName>
    <definedName name="KpiCost">Dashboard!$B$7</definedName>
    <definedName name="KpiMat">Dashboard!$D$7</definedName>
    <definedName name="KpiPrice">Dashboard!$G$7</definedName>
    <definedName name="KpiTopItem">Dashboard!$J$7</definedName>
    <definedName name="LabourRate">Setup!$C$10</definedName>
    <definedName name="MaterialBurden">Setup!$C$12</definedName>
    <definedName name="OverheadPct">Setup!$C$11</definedName>
    <definedName name="PlantName">Setup!$C$6</definedName>
    <definedName name="_xlnm.Print_Area" localSheetId="2">BOM!$A$1:$X$32</definedName>
    <definedName name="_xlnm.Print_Area" localSheetId="3">Dashboard!$A$1:$L$58</definedName>
    <definedName name="_xlnm.Print_Area" localSheetId="4">Method!$A$1:$D$58</definedName>
    <definedName name="_xlnm.Print_Area" localSheetId="1">Setup!$A$1:$E$29</definedName>
    <definedName name="_xlnm.Print_Area" localSheetId="0">'Start Here'!$A$1:$F$55</definedName>
    <definedName name="_xlnm.Print_Area" localSheetId="5">Verify!$A$1:$X$64</definedName>
    <definedName name="_xlnm.Print_Titles" localSheetId="2">BOM!$1:$6</definedName>
    <definedName name="_xlnm.Print_Titles" localSheetId="4">Method!$1:$2</definedName>
    <definedName name="ProductCode">Setup!$C$8</definedName>
    <definedName name="ProductName">Setup!$C$9</definedName>
    <definedName name="SelfCheck">Verify!$D$4</definedName>
    <definedName name="SelfCheckSummary">Verify!$F$4</definedName>
    <definedName name="TargetMargin">Setup!$C$13</definedName>
  </definedNames>
  <calcPr calcId="124519" fullCalcOnLoad="1"/>
</workbook>
</file>

<file path=xl/sharedStrings.xml><?xml version="1.0" encoding="utf-8"?>
<sst xmlns="http://schemas.openxmlformats.org/spreadsheetml/2006/main" count="616" uniqueCount="314">
  <si>
    <t>BOM Cost Rollup</t>
  </si>
  <si>
    <t>Read this first: what the workbook does and how to use it.</t>
  </si>
  <si>
    <t>mfgcalcs.com</t>
  </si>
  <si>
    <t>Cost an indented bill of materials line by line, roll material, labour and overhead up through every assembly, and see the unit cost and price at your margin.</t>
  </si>
  <si>
    <t>For: Cost and manufacturing engineers, estimators, product managers, buyers and small-manufacturer owners.</t>
  </si>
  <si>
    <t>Version 1.0.0  ·  updated 15 October 2026</t>
  </si>
  <si>
    <t>Quick start</t>
  </si>
  <si>
    <t>1.</t>
  </si>
  <si>
    <t>On Setup, set the currency, the product code and name, your labour rate, overhead and material burden rates, target margin and annual volume.</t>
  </si>
  <si>
    <t>2.</t>
  </si>
  <si>
    <t>On BOM, paste or type one row per part: part number, parent (the product code for top-level items), quantity per parent, make or buy, commodity, unit cost, scrap and labour minutes.</t>
  </si>
  <si>
    <t>3.</t>
  </si>
  <si>
    <t>Fix anything the Check column reports: duplicate part numbers, parents missing from the BOM, more than four levels.</t>
  </si>
  <si>
    <t>4.</t>
  </si>
  <si>
    <t>Read each assembly's rolled-up unit cost on the BOM sheet, then the Dashboard: unit cost, price at your margin, cost by top-level item and by commodity.</t>
  </si>
  <si>
    <t>What is in this workbook</t>
  </si>
  <si>
    <t>Start Here</t>
  </si>
  <si>
    <t>Setup</t>
  </si>
  <si>
    <t>Currency, the product, labour and overhead rates, target margin, annual volume and the commodity list.</t>
  </si>
  <si>
    <t>BOM</t>
  </si>
  <si>
    <t>One row per part: what it is, where it goes and what it costs. Quantities and costs roll up to one finished product.</t>
  </si>
  <si>
    <t>Dashboard</t>
  </si>
  <si>
    <t>Unit cost, price at your margin, cost by top-level item and by commodity, and the cost elements.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</si>
  <si>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</si>
  <si>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</si>
  <si>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</si>
  <si>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</si>
  <si>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</si>
  <si>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</si>
  <si>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</si>
  <si>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</si>
  <si>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</si>
  <si>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</si>
  <si>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</si>
  <si>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</si>
  <si>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</si>
  <si>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</si>
  <si>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</si>
  <si>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</si>
  <si>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</si>
  <si>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</si>
  <si>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</si>
  <si>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</si>
  <si>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Configurable BOM Cost Calculator on mfgcalcs.com</t>
  </si>
  <si>
    <t>Latest version</t>
  </si>
  <si>
    <t>mfgcalcs.com/templates/bom-cost-rollup</t>
  </si>
  <si>
    <t>More free templates</t>
  </si>
  <si>
    <t>mfgcalcs.com/templates</t>
  </si>
  <si>
    <t>Version</t>
  </si>
  <si>
    <t>1.0.0 (updated 15 October 2026)</t>
  </si>
  <si>
    <t>About the example data</t>
  </si>
  <si>
    <t>Every number already in this workbook is example data for Lindqvist Instruments, a fictional business invented for this template, so the dashboard and charts show something meaningful on day one. It costs a solar-powered weather station (WX-200) with 24 BOM lines over three levels; prices are example figures in EUR.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</si>
  <si>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</si>
  <si>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</si>
  <si>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</si>
  <si>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</si>
  <si>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</si>
  <si>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</si>
  <si>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</si>
  <si>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</si>
  <si>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Commodity</t>
  </si>
  <si>
    <t>Notes</t>
  </si>
  <si>
    <t>Product and rates</t>
  </si>
  <si>
    <t>Company or plant</t>
  </si>
  <si>
    <t>Lindqvist Instruments (example)</t>
  </si>
  <si>
    <t>Currency label</t>
  </si>
  <si>
    <t>EUR</t>
  </si>
  <si>
    <t>Product code (top of the BOM)</t>
  </si>
  <si>
    <t>WX-200</t>
  </si>
  <si>
    <t>Product name</t>
  </si>
  <si>
    <t>Weather station, solar powered</t>
  </si>
  <si>
    <t>Labour rate</t>
  </si>
  <si>
    <t>Overhead on labour</t>
  </si>
  <si>
    <t>% of labour</t>
  </si>
  <si>
    <t>Material burden</t>
  </si>
  <si>
    <t>% of material</t>
  </si>
  <si>
    <t>Target gross margin</t>
  </si>
  <si>
    <t>% of price</t>
  </si>
  <si>
    <t>Annual volume</t>
  </si>
  <si>
    <t>products per year</t>
  </si>
  <si>
    <t>Rates, margin and every price in the example are illustrations, not benchmarks: use your own costing rates and supplier quotes.</t>
  </si>
  <si>
    <t>Commodities (feeds the dropdown on the BOM)</t>
  </si>
  <si>
    <t>Commodities (example)</t>
  </si>
  <si>
    <t>Plastic parts</t>
  </si>
  <si>
    <t>Mouldings and plastic hardware</t>
  </si>
  <si>
    <t>PCBs and electronics</t>
  </si>
  <si>
    <t>Bare boards, semiconductors, passives, EMS</t>
  </si>
  <si>
    <t>Sensors</t>
  </si>
  <si>
    <t>Measuring elements</t>
  </si>
  <si>
    <t>Power</t>
  </si>
  <si>
    <t>Solar panel and cells</t>
  </si>
  <si>
    <t>Mechanical</t>
  </si>
  <si>
    <t>Bearings, magnets, fasteners, mounts</t>
  </si>
  <si>
    <t>Cables and seals</t>
  </si>
  <si>
    <t>Cable assemblies, glands, gaskets</t>
  </si>
  <si>
    <t>Packaging</t>
  </si>
  <si>
    <t>Box, insert, labels</t>
  </si>
  <si>
    <t>In-house</t>
  </si>
  <si>
    <t>Assembly and test labour lines</t>
  </si>
  <si>
    <t>Part number</t>
  </si>
  <si>
    <t>Description</t>
  </si>
  <si>
    <t>Parent</t>
  </si>
  <si>
    <t>Qty per parent</t>
  </si>
  <si>
    <t>UoM</t>
  </si>
  <si>
    <t>Make or buy</t>
  </si>
  <si>
    <t>Unit cost</t>
  </si>
  <si>
    <t>Scrap</t>
  </si>
  <si>
    <t>Labour (min/unit)</t>
  </si>
  <si>
    <t>Supplier</t>
  </si>
  <si>
    <t>Grandparent</t>
  </si>
  <si>
    <t>Great-grandparent</t>
  </si>
  <si>
    <t>Level</t>
  </si>
  <si>
    <t>Ext. qty (per product)</t>
  </si>
  <si>
    <t>Material</t>
  </si>
  <si>
    <t>Labour</t>
  </si>
  <si>
    <t>Overhead</t>
  </si>
  <si>
    <t>Total</t>
  </si>
  <si>
    <t>Rolled-up cost (per product)</t>
  </si>
  <si>
    <t>Rolled-up unit cost</t>
  </si>
  <si>
    <t>Top-level rank</t>
  </si>
  <si>
    <t>Check</t>
  </si>
  <si>
    <t>Example data for Lindqvist Instruments (fictional); prices are examples, not quotes. Top-level lines have the product code as parent. To clear: select the example rows, right-click, Delete &gt; Table Rows.</t>
  </si>
  <si>
    <t>FA-200</t>
  </si>
  <si>
    <t>Final assembly and test</t>
  </si>
  <si>
    <t>ea</t>
  </si>
  <si>
    <t>Make</t>
  </si>
  <si>
    <t/>
  </si>
  <si>
    <t>HSG-A</t>
  </si>
  <si>
    <t>Housing assembly</t>
  </si>
  <si>
    <t>HSG-B</t>
  </si>
  <si>
    <t>Base moulding, ASA</t>
  </si>
  <si>
    <t>Buy</t>
  </si>
  <si>
    <t>Norrplast</t>
  </si>
  <si>
    <t>HSG-C</t>
  </si>
  <si>
    <t>Cover moulding, UV-stable</t>
  </si>
  <si>
    <t>GSK-1</t>
  </si>
  <si>
    <t>Housing gasket</t>
  </si>
  <si>
    <t>Tetra Seals</t>
  </si>
  <si>
    <t>SCR-M3</t>
  </si>
  <si>
    <t>Screw M3 x 8, stainless</t>
  </si>
  <si>
    <t>Fastline</t>
  </si>
  <si>
    <t>PCA-200</t>
  </si>
  <si>
    <t>Main board assembly</t>
  </si>
  <si>
    <t>PCB-200</t>
  </si>
  <si>
    <t>Bare board, 4-layer</t>
  </si>
  <si>
    <t>Baltic Circuits</t>
  </si>
  <si>
    <t>MCU-32</t>
  </si>
  <si>
    <t>Microcontroller, 32-bit</t>
  </si>
  <si>
    <t>Distributor A</t>
  </si>
  <si>
    <t>RF-868</t>
  </si>
  <si>
    <t>Radio module 868 MHz</t>
  </si>
  <si>
    <t>SNS-THP</t>
  </si>
  <si>
    <t>Temperature, humidity, pressure sensor</t>
  </si>
  <si>
    <t>Distributor B</t>
  </si>
  <si>
    <t>PSV-KIT</t>
  </si>
  <si>
    <t>Passives kit (per board)</t>
  </si>
  <si>
    <t>kit</t>
  </si>
  <si>
    <t>SMT-SVC</t>
  </si>
  <si>
    <t>SMT placement and reflow (per board)</t>
  </si>
  <si>
    <t>SNS-W</t>
  </si>
  <si>
    <t>Wind sensor assembly</t>
  </si>
  <si>
    <t>ANM-C</t>
  </si>
  <si>
    <t>Anemometer cup set</t>
  </si>
  <si>
    <t>set</t>
  </si>
  <si>
    <t>BRG-608</t>
  </si>
  <si>
    <t>Ball bearing 608-2RS</t>
  </si>
  <si>
    <t>VAN-1</t>
  </si>
  <si>
    <t>Wind vane</t>
  </si>
  <si>
    <t>ENC-A</t>
  </si>
  <si>
    <t>Encoder board assembly</t>
  </si>
  <si>
    <t>ENC-PCB</t>
  </si>
  <si>
    <t>Encoder PCB, assembled</t>
  </si>
  <si>
    <t>HAL-2</t>
  </si>
  <si>
    <t>Hall-effect sensor</t>
  </si>
  <si>
    <t>MAG-6</t>
  </si>
  <si>
    <t>Ring magnet, 6 pole</t>
  </si>
  <si>
    <t>Magnetica</t>
  </si>
  <si>
    <t>SOL-2</t>
  </si>
  <si>
    <t>Solar panel 2 W</t>
  </si>
  <si>
    <t>Sunpeak</t>
  </si>
  <si>
    <t>BAT-18</t>
  </si>
  <si>
    <t>Li-ion cell 18650</t>
  </si>
  <si>
    <t>CBL-5</t>
  </si>
  <si>
    <t>Cable 5 m with gland</t>
  </si>
  <si>
    <t>MNT-K</t>
  </si>
  <si>
    <t>Mounting kit, mast clamp</t>
  </si>
  <si>
    <t>PKG-1</t>
  </si>
  <si>
    <t>Box, insert and labels</t>
  </si>
  <si>
    <t>Boxwell</t>
  </si>
  <si>
    <t>MATERIAL SHARE OF COST</t>
  </si>
  <si>
    <t>COSTLIEST TOP-LEVEL ITEM</t>
  </si>
  <si>
    <t>Material + labour + overhead</t>
  </si>
  <si>
    <t>Bought parts incl. scrap</t>
  </si>
  <si>
    <t>Unit cost / (1 - target margin)</t>
  </si>
  <si>
    <t>Rolled up, see the ranking</t>
  </si>
  <si>
    <t>Top-level items, rolled up and ranked by cost (assemblies include everything below them)</t>
  </si>
  <si>
    <t>Top-level item</t>
  </si>
  <si>
    <t>Qty per product</t>
  </si>
  <si>
    <t>Cost per product</t>
  </si>
  <si>
    <t>Share</t>
  </si>
  <si>
    <t>Cumulative</t>
  </si>
  <si>
    <t>Cost elements</t>
  </si>
  <si>
    <t>Cost by commodity (Pareto; In-house = labour and overhead of made items)</t>
  </si>
  <si>
    <t>Cost element</t>
  </si>
  <si>
    <t>Per product</t>
  </si>
  <si>
    <t>Per year at volume</t>
  </si>
  <si>
    <t>Rank</t>
  </si>
  <si>
    <t>Helper: Commodity (list order)</t>
  </si>
  <si>
    <t>Helper: value (-1 = unused slot)</t>
  </si>
  <si>
    <t>Helper: rank, ties by list order</t>
  </si>
  <si>
    <t>%</t>
  </si>
  <si>
    <t>The ranking shows up to 10 top-level items and the Pareto the 8 commodities of the Setup list. If you add more, extend the blocks (see Method).</t>
  </si>
  <si>
    <t>What this workbook calculates</t>
  </si>
  <si>
    <t>A cost rollup multiplies each part's quantity up the bill of materials to the quantity in one finished product, costs it, and adds every line below an assembly into that assembly's cost. Bought parts carry their unit cost grossed up for scrap; made items carry the labour minutes added at that level. Overhead is recovered on labour at your overhead rate and on material at your material burden rate. The product's unit cost is the sum of every line.</t>
  </si>
  <si>
    <t>Calculations</t>
  </si>
  <si>
    <t>Quantity</t>
  </si>
  <si>
    <t>How it is calculated</t>
  </si>
  <si>
    <t>Units</t>
  </si>
  <si>
    <t>Grandparent, great-grandparent</t>
  </si>
  <si>
    <t>Helper columns: the parent's parent and the next level up, by INDEX/MATCH on part number (the product code at the top; ? when a parent is missing).</t>
  </si>
  <si>
    <t>-</t>
  </si>
  <si>
    <t>1 + one for each ancestor that is not the product: 1 for items directly in the product, up to 4.</t>
  </si>
  <si>
    <t>Quantity per product</t>
  </si>
  <si>
    <t>Quantity per parent x the quantity per parent of each assembly above it.</t>
  </si>
  <si>
    <t>Quantity per product x unit cost x (1 + scrap).</t>
  </si>
  <si>
    <t>currency</t>
  </si>
  <si>
    <t>Quantity per product x labour minutes / 60 x labour rate.</t>
  </si>
  <si>
    <t>Labour x overhead rate + material x material burden.</t>
  </si>
  <si>
    <t>Material + labour + overhead for the line, per finished product. The sum of all lines is the unit cost.</t>
  </si>
  <si>
    <t>Rolled-up cost</t>
  </si>
  <si>
    <t>The line's total plus the totals of every line whose parent, grandparent or great-grandparent is this part (SUMIFS).</t>
  </si>
  <si>
    <t>Rolled-up cost / quantity per product: the cost of one unit of the item with everything in it.</t>
  </si>
  <si>
    <t>currency/UoM</t>
  </si>
  <si>
    <t>Price at target margin</t>
  </si>
  <si>
    <t>Unit cost / (1 - target gross margin).</t>
  </si>
  <si>
    <t>Top-level ranking and Pareto</t>
  </si>
  <si>
    <t>Top-level items ranked by rolled-up cost (COUNTIFS rank, ties by part number); commodity totals ranked largest first with cumulative share (helper columns AO:AQ).</t>
  </si>
  <si>
    <t>currency, %</t>
  </si>
  <si>
    <t>Assumptions</t>
  </si>
  <si>
    <t>One BOM per workbook, for one finished product; quantities are per one unit of the parent.</t>
  </si>
  <si>
    <t>Unit costs are per unit of measure at your expected order quantity; price breaks are not modelled.</t>
  </si>
  <si>
    <t>Scrap applies to material only; labour minutes are standard minutes per good unit.</t>
  </si>
  <si>
    <t>Overhead uses one labour-based rate and one material burden rate (absorption costing).</t>
  </si>
  <si>
    <t>Limitations</t>
  </si>
  <si>
    <t>Four levels below the product at most; deeper structures are flagged by the Check column.</t>
  </si>
  <si>
    <t>A part used in two assemblies needs two rows with different part numbers or a suffix: part numbers must be unique in this table.</t>
  </si>
  <si>
    <t>Tooling, NRE, freight-out, warranty and selling costs are not included; add them as lines (with the product as parent) if you want them in the unit cost.</t>
  </si>
  <si>
    <t>The Dashboard ranks up to 10 top-level items and the 8 commodities of the Setup list (a warning appears when there are more).</t>
  </si>
  <si>
    <t>Agreement with the live calculator</t>
  </si>
  <si>
    <t>No calculator in the PLM and BOM category computes a product's cost, so this template links to the Configurable BOM Cost calculator, which estimates BOM cost as BOM lines x average cost per line x share in scope + a fixed setup cost. Given this BOM's line count and average cost per line (100% in scope, no fixed cost) it returns the workbook's unit cost; the build checks that against the calculator's engine. The workbook replaces the average with every real line, quantity, scrap rate and labour minute.</t>
  </si>
  <si>
    <t>Open the Configurable BOM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</si>
  <si>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</si>
  <si>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</si>
  <si>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Horngren, Datar and Rajan, Cost Accounting: A Managerial Emphasis (product costing, absorption of overhead).</t>
  </si>
  <si>
    <t>ASCM/APICS Dictionary: bill of material, indented bill, cost roll-up, standard cost, by definition.</t>
  </si>
  <si>
    <t>MFG Calcs Configurable BOM Cost calculator (configurable-bom-cost): BOM lines x cost per line x scope + fixed cost.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</si>
  <si>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</si>
  <si>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</si>
  <si>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</si>
  <si>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</si>
  <si>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</si>
  <si>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</si>
  <si>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</si>
  <si>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</si>
  <si>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</si>
  <si>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</si>
  <si>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</si>
  <si>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</si>
  <si>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</si>
  <si>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</si>
  <si>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</si>
  <si>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</si>
  <si>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A1-2-1-1: level</t>
  </si>
  <si>
    <t>A1-2-1-1: quantity per product (2 x 1 x 4 x 2)</t>
  </si>
  <si>
    <t>A1-1: material (6 x 1.50 x 1.02)</t>
  </si>
  <si>
    <t>A1: labour (2 x 10 min at 30/h)</t>
  </si>
  <si>
    <t>A1-1: overhead (material burden)</t>
  </si>
  <si>
    <t>A1-2: total</t>
  </si>
  <si>
    <t>A1-2: rolled-up cost per product</t>
  </si>
  <si>
    <t>A1: rolled-up unit cost</t>
  </si>
  <si>
    <t>A1-2-1-1: Check OK at level 4</t>
  </si>
  <si>
    <t>OK</t>
  </si>
  <si>
    <t>exact</t>
  </si>
  <si>
    <t>X9: Check reports parent not in BOM</t>
  </si>
  <si>
    <t>Parent not in BOM</t>
  </si>
  <si>
    <t>Unit cost of P (Dashboard formula)</t>
  </si>
  <si>
    <t>Ranking: costliest top-level item</t>
  </si>
  <si>
    <t>A1</t>
  </si>
  <si>
    <t>Ranking: its share of unit cost</t>
  </si>
  <si>
    <t>Fixed test inputs</t>
  </si>
  <si>
    <t>White cells are fixed test inputs; blue cells are the workbook's formulas evaluated on them.</t>
  </si>
  <si>
    <t>Parameters</t>
  </si>
  <si>
    <t>Product code</t>
  </si>
  <si>
    <t>P</t>
  </si>
  <si>
    <t>Target margin</t>
  </si>
  <si>
    <t>Test commodities</t>
  </si>
  <si>
    <t>C1</t>
  </si>
  <si>
    <t>C2</t>
  </si>
  <si>
    <t>Test BOM (4 levels under product P; X9's parent is missing)</t>
  </si>
  <si>
    <t>Assembly</t>
  </si>
  <si>
    <t>A1-1</t>
  </si>
  <si>
    <t>Bought part</t>
  </si>
  <si>
    <t>A1-2</t>
  </si>
  <si>
    <t>Sub-assembly</t>
  </si>
  <si>
    <t>A1-2-1</t>
  </si>
  <si>
    <t>Sub-sub-assembly</t>
  </si>
  <si>
    <t>A1-2-1-1</t>
  </si>
  <si>
    <t>Level-4 part</t>
  </si>
  <si>
    <t>B1</t>
  </si>
  <si>
    <t>Bought top-level part</t>
  </si>
  <si>
    <t>X9</t>
  </si>
  <si>
    <t>Orphan</t>
  </si>
  <si>
    <t>Z</t>
  </si>
  <si>
    <t>Test top-level ranking</t>
  </si>
</sst>
</file>

<file path=xl/styles.xml><?xml version="1.0" encoding="utf-8"?>
<styleSheet xmlns="http://schemas.openxmlformats.org/spreadsheetml/2006/main">
  <numFmts count="7">
    <numFmt numFmtId="164" formatCode="#,##0.00"/>
    <numFmt numFmtId="165" formatCode="0%"/>
    <numFmt numFmtId="166" formatCode="0.0%"/>
    <numFmt numFmtId="167" formatCode="#,##0"/>
    <numFmt numFmtId="168" formatCode="#,##0.0"/>
    <numFmt numFmtId="169" formatCode="0.0E+00"/>
    <numFmt numFmtId="170" formatCode="#,##0.0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6">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8"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21" fillId="4" borderId="3" xfId="0"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6" fontId="10" fillId="4" borderId="3" xfId="0" applyNumberFormat="1" applyFont="1" applyFill="1" applyBorder="1" applyAlignment="1">
      <alignment vertical="center"/>
    </xf>
    <xf numFmtId="167" fontId="9" fillId="0" borderId="9" xfId="0" applyNumberFormat="1" applyFont="1" applyBorder="1" applyAlignment="1">
      <alignment horizontal="center" vertical="center"/>
    </xf>
    <xf numFmtId="164" fontId="10" fillId="0" borderId="0" xfId="0" applyNumberFormat="1" applyFont="1" applyAlignment="1">
      <alignment vertical="center"/>
    </xf>
    <xf numFmtId="167" fontId="10" fillId="0" borderId="0" xfId="0" applyNumberFormat="1" applyFont="1" applyAlignment="1">
      <alignment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167"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10" fillId="0" borderId="9" xfId="0" applyNumberFormat="1" applyFont="1" applyBorder="1" applyAlignment="1">
      <alignment vertical="center"/>
    </xf>
    <xf numFmtId="169" fontId="10" fillId="4" borderId="3" xfId="0" applyNumberFormat="1" applyFont="1" applyFill="1" applyBorder="1" applyAlignment="1">
      <alignment vertical="center"/>
    </xf>
    <xf numFmtId="169" fontId="10" fillId="0" borderId="9" xfId="0" applyNumberFormat="1" applyFont="1" applyBorder="1" applyAlignment="1">
      <alignment vertical="center"/>
    </xf>
    <xf numFmtId="0" fontId="10" fillId="4" borderId="3" xfId="0" applyFont="1" applyFill="1" applyBorder="1" applyAlignment="1">
      <alignment horizontal="center" vertical="center"/>
    </xf>
    <xf numFmtId="164" fontId="10" fillId="0" borderId="9" xfId="0" applyNumberFormat="1" applyFont="1" applyBorder="1" applyAlignment="1">
      <alignment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per product by top-level item</a:t>
            </a:r>
          </a:p>
        </c:rich>
      </c:tx>
      <c:layout/>
    </c:title>
    <c:plotArea>
      <c:layout/>
      <c:barChart>
        <c:barDir val="bar"/>
        <c:grouping val="clustered"/>
        <c:ser>
          <c:idx val="0"/>
          <c:order val="0"/>
          <c:tx>
            <c:v>Rolled-up cost</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strRef>
              <c:f>Dashboard!$B$32:$B$41</c:f>
              <c:strCache>
                <c:ptCount val="10"/>
                <c:pt idx="0">
                  <c:v>PCA-200</c:v>
                </c:pt>
                <c:pt idx="1">
                  <c:v>SNS-W</c:v>
                </c:pt>
                <c:pt idx="2">
                  <c:v>FA-200</c:v>
                </c:pt>
                <c:pt idx="3">
                  <c:v>HSG-A</c:v>
                </c:pt>
                <c:pt idx="4">
                  <c:v>SOL-2</c:v>
                </c:pt>
                <c:pt idx="5">
                  <c:v>BAT-18</c:v>
                </c:pt>
                <c:pt idx="6">
                  <c:v>CBL-5</c:v>
                </c:pt>
                <c:pt idx="7">
                  <c:v>MNT-K</c:v>
                </c:pt>
                <c:pt idx="8">
                  <c:v>PKG-1</c:v>
                </c:pt>
                <c:pt idx="9">
                  <c:v/>
                </c:pt>
              </c:strCache>
            </c:strRef>
          </c:cat>
          <c:val>
            <c:numRef>
              <c:f>Dashboard!$H$32:$H$41</c:f>
              <c:numCache>
                <c:formatCode>General</c:formatCode>
                <c:ptCount val="10"/>
                <c:pt idx="0">
                  <c:v>32.8831733333333</c:v>
                </c:pt>
                <c:pt idx="1">
                  <c:v>23.3022126666667</c:v>
                </c:pt>
                <c:pt idx="2">
                  <c:v>19.5066666666667</c:v>
                </c:pt>
                <c:pt idx="3">
                  <c:v>16.371056</c:v>
                </c:pt>
                <c:pt idx="4">
                  <c:v>8.45774</c:v>
                </c:pt>
                <c:pt idx="5">
                  <c:v>6.07221</c:v>
                </c:pt>
                <c:pt idx="6">
                  <c:v>3.65806</c:v>
                </c:pt>
                <c:pt idx="7">
                  <c:v>2.332</c:v>
                </c:pt>
                <c:pt idx="8">
                  <c:v>1.24338</c:v>
                </c:pt>
                <c:pt idx="9">
                  <c:v>0</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by commodity</a:t>
            </a:r>
          </a:p>
        </c:rich>
      </c:tx>
      <c:layout/>
    </c:title>
    <c:plotArea>
      <c:layout/>
      <c:barChart>
        <c:barDir val="col"/>
        <c:grouping val="clustered"/>
        <c:ser>
          <c:idx val="0"/>
          <c:order val="0"/>
          <c:tx>
            <c:v>Cost per product</c:v>
          </c:tx>
          <c:spPr>
            <a:solidFill>
              <a:srgbClr val="3B64D8"/>
            </a:solidFill>
            <a:ln w="9525">
              <a:solidFill>
                <a:srgbClr val="FFFFFF"/>
              </a:solidFill>
            </a:ln>
          </c:spPr>
          <c:cat>
            <c:strRef>
              <c:f>Dashboard!$H$46:$H$53</c:f>
              <c:strCache>
                <c:ptCount val="8"/>
                <c:pt idx="0">
                  <c:v>In-house</c:v>
                </c:pt>
                <c:pt idx="1">
                  <c:v>PCBs and electronics</c:v>
                </c:pt>
                <c:pt idx="2">
                  <c:v>Power</c:v>
                </c:pt>
                <c:pt idx="3">
                  <c:v>Plastic parts</c:v>
                </c:pt>
                <c:pt idx="4">
                  <c:v>Sensors</c:v>
                </c:pt>
                <c:pt idx="5">
                  <c:v>Mechanical</c:v>
                </c:pt>
                <c:pt idx="6">
                  <c:v>Cables and seals</c:v>
                </c:pt>
                <c:pt idx="7">
                  <c:v>Packaging</c:v>
                </c:pt>
              </c:strCache>
            </c:strRef>
          </c:cat>
          <c:val>
            <c:numRef>
              <c:f>Dashboard!$J$46:$J$53</c:f>
              <c:numCache>
                <c:formatCode>General</c:formatCode>
                <c:ptCount val="8"/>
                <c:pt idx="0">
                  <c:v>48.7666666666667</c:v>
                </c:pt>
                <c:pt idx="1">
                  <c:v>23.18803</c:v>
                </c:pt>
                <c:pt idx="2">
                  <c:v>14.52995</c:v>
                </c:pt>
                <c:pt idx="3">
                  <c:v>11.67696</c:v>
                </c:pt>
                <c:pt idx="4">
                  <c:v>5.899006</c:v>
                </c:pt>
                <c:pt idx="5">
                  <c:v>4.40589</c:v>
                </c:pt>
                <c:pt idx="6">
                  <c:v>4.116616</c:v>
                </c:pt>
                <c:pt idx="7">
                  <c:v>1.24338</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Dashboard!$H$46:$H$53</c:f>
              <c:strCache>
                <c:ptCount val="8"/>
                <c:pt idx="0">
                  <c:v>In-house</c:v>
                </c:pt>
                <c:pt idx="1">
                  <c:v>PCBs and electronics</c:v>
                </c:pt>
                <c:pt idx="2">
                  <c:v>Power</c:v>
                </c:pt>
                <c:pt idx="3">
                  <c:v>Plastic parts</c:v>
                </c:pt>
                <c:pt idx="4">
                  <c:v>Sensors</c:v>
                </c:pt>
                <c:pt idx="5">
                  <c:v>Mechanical</c:v>
                </c:pt>
                <c:pt idx="6">
                  <c:v>Cables and seals</c:v>
                </c:pt>
                <c:pt idx="7">
                  <c:v>Packaging</c:v>
                </c:pt>
              </c:strCache>
            </c:strRef>
          </c:cat>
          <c:val>
            <c:numRef>
              <c:f>Dashboard!$L$46:$L$53</c:f>
              <c:numCache>
                <c:formatCode>General</c:formatCode>
                <c:ptCount val="8"/>
                <c:pt idx="0">
                  <c:v>0.428429822913877</c:v>
                </c:pt>
                <c:pt idx="1">
                  <c:v>0.632143635353146</c:v>
                </c:pt>
                <c:pt idx="2">
                  <c:v>0.75979361290846</c:v>
                </c:pt>
                <c:pt idx="3">
                  <c:v>0.862379215881237</c:v>
                </c:pt>
                <c:pt idx="4">
                  <c:v>0.914203756468002</c:v>
                </c:pt>
                <c:pt idx="5">
                  <c:v>0.952910824256341</c:v>
                </c:pt>
                <c:pt idx="6">
                  <c:v>0.989076533016788</c:v>
                </c:pt>
                <c:pt idx="7">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Bar chart of the rolled-up cost per product of each top-level item, largest first; assemblies include all their components and labou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Pareto chart of cost per product by commodity, largest first, with the cumulative shar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ommodities" displayName="tblCommodities" ref="B21:C29" totalsRowShown="0">
  <autoFilter ref="B21:C29"/>
  <tableColumns count="2">
    <tableColumn id="1" name="Commodity"/>
    <tableColumn id="2" name="Notes"/>
  </tableColumns>
  <tableStyleInfo name="TableStyleLight1" showFirstColumn="0" showLastColumn="0" showRowStripes="0" showColumnStripes="0"/>
</table>
</file>

<file path=xl/tables/table2.xml><?xml version="1.0" encoding="utf-8"?>
<table xmlns="http://schemas.openxmlformats.org/spreadsheetml/2006/main" id="2" name="tblBom" displayName="tblBom" ref="B6:X32" totalsRowShown="0">
  <autoFilter ref="B6:X32"/>
  <tableColumns count="23">
    <tableColumn id="1" name="Part number"/>
    <tableColumn id="2" name="Description"/>
    <tableColumn id="3" name="Parent"/>
    <tableColumn id="4" name="Qty per parent"/>
    <tableColumn id="5" name="UoM"/>
    <tableColumn id="6" name="Make or buy"/>
    <tableColumn id="7" name="Commodity"/>
    <tableColumn id="8" name="Unit cost"/>
    <tableColumn id="9" name="Scrap"/>
    <tableColumn id="10" name="Labour (min/unit)"/>
    <tableColumn id="11" name="Supplier"/>
    <tableColumn id="12" name="Grandparent">
      <calculatedColumnFormula>IF(tblBom[[#This Row],[Part number]]="","",IF(tblBom[[#This Row],[Parent]]=ProductCode,ProductCode,IFERROR(INDEX(tblBom[Parent],MATCH(tblBom[[#This Row],[Parent]],tblBom[Part number],0)),"?")))</calculatedColumnFormula>
    </tableColumn>
    <tableColumn id="13" name="Great-grandparent">
      <calculatedColumnFormula>IF(tblBom[[#This Row],[Part number]]="","",IF(tblBom[[#This Row],[Grandparent]]=ProductCode,ProductCode,IFERROR(INDEX(tblBom[Parent],MATCH(tblBom[[#This Row],[Grandparent]],tblBom[Part number],0)),"?")))</calculatedColumnFormula>
    </tableColumn>
    <tableColumn id="14" name="Level">
      <calculatedColumnFormula>IF(tblBom[[#This Row],[Part number]]="","",1+(tblBom[[#This Row],[Parent]]&lt;&gt;ProductCode)+(tblBom[[#This Row],[Grandparent]]&lt;&gt;ProductCode)+(tblBom[[#This Row],[Great-grandparent]]&lt;&gt;ProductCode))</calculatedColumnFormula>
    </tableColumn>
    <tableColumn id="15" name="Ext. qty (per product)">
      <calculatedColumnFormula>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calculatedColumnFormula>
    </tableColumn>
    <tableColumn id="16" name="Material">
      <calculatedColumnFormula>IF(tblBom[[#This Row],[Part number]]="","",IF(NOT(ISNUMBER(tblBom[[#This Row],[Ext. qty (per product)]])),"",tblBom[[#This Row],[Ext. qty (per product)]]*tblBom[[#This Row],[Unit cost]]*(1+tblBom[[#This Row],[Scrap]])))</calculatedColumnFormula>
    </tableColumn>
    <tableColumn id="17" name="Labour">
      <calculatedColumnFormula>IF(tblBom[[#This Row],[Part number]]="","",IF(NOT(ISNUMBER(tblBom[[#This Row],[Ext. qty (per product)]])),"",tblBom[[#This Row],[Ext. qty (per product)]]*tblBom[[#This Row],[Labour (min/unit)]]/60*LabourRate))</calculatedColumnFormula>
    </tableColumn>
    <tableColumn id="18" name="Overhead">
      <calculatedColumnFormula>IF(tblBom[[#This Row],[Part number]]="","",IF(NOT(ISNUMBER(tblBom[[#This Row],[Ext. qty (per product)]])),"",tblBom[[#This Row],[Labour]]*OverheadPct+tblBom[[#This Row],[Material]]*MaterialBurden))</calculatedColumnFormula>
    </tableColumn>
    <tableColumn id="19" name="Total">
      <calculatedColumnFormula>IF(tblBom[[#This Row],[Part number]]="","",IF(NOT(ISNUMBER(tblBom[[#This Row],[Ext. qty (per product)]])),"",tblBom[[#This Row],[Material]]+tblBom[[#This Row],[Labour]]+tblBom[[#This Row],[Overhead]]))</calculatedColumnFormula>
    </tableColumn>
    <tableColumn id="20" name="Rolled-up cost (per product)">
      <calculatedColumnFormula>IF(tblBom[[#This Row],[Part number]]="","",IF(NOT(ISNUMBER(tblBom[[#This Row],[Ext. qty (per product)]])),"",tblBom[[#This Row],[Total]]+SUMIFS(tblBom[Total],tblBom[Parent],tblBom[[#This Row],[Part number]])+SUMIFS(tblBom[Total],tblBom[Grandparent],tblBom[[#This Row],[Part number]])+SUMIFS(tblBom[Total],tblBom[Great-grandparent],tblBom[[#This Row],[Part number]])))</calculatedColumnFormula>
    </tableColumn>
    <tableColumn id="21" name="Rolled-up unit cost">
      <calculatedColumnFormula>IF(tblBom[[#This Row],[Part number]]="","",IF(N(tblBom[[#This Row],[Ext. qty (per product)]])=0,"",tblBom[[#This Row],[Rolled-up cost (per product)]]/tblBom[[#This Row],[Ext. qty (per product)]]))</calculatedColumnFormula>
    </tableColumn>
    <tableColumn id="22" name="Top-level rank">
      <calculatedColumnFormula>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calculatedColumnFormula>
    </tableColumn>
    <tableColumn id="23" name="Check">
      <calculatedColumnFormula>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calculatedColumnFormula>
    </tableColumn>
  </tableColumns>
  <tableStyleInfo name="TableStyleLight1" showFirstColumn="0" showLastColumn="0" showRowStripes="0" showColumnStripes="0"/>
</table>
</file>

<file path=xl/tables/table3.xml><?xml version="1.0" encoding="utf-8"?>
<table xmlns="http://schemas.openxmlformats.org/spreadsheetml/2006/main" id="3" name="tblVerifyCommodities" displayName="tblVerifyCommodities" ref="B37:C39" totalsRowShown="0">
  <tableColumns count="2">
    <tableColumn id="1" name="Commodity"/>
    <tableColumn id="2" name="Notes"/>
  </tableColumns>
  <tableStyleInfo name="TableStyleLight1" showFirstColumn="0" showLastColumn="0" showRowStripes="0" showColumnStripes="0"/>
</table>
</file>

<file path=xl/tables/table4.xml><?xml version="1.0" encoding="utf-8"?>
<table xmlns="http://schemas.openxmlformats.org/spreadsheetml/2006/main" id="4" name="tblVerifyBom" displayName="tblVerifyBom" ref="B43:X50" totalsRowShown="0">
  <tableColumns count="23">
    <tableColumn id="1" name="Part number"/>
    <tableColumn id="2" name="Description"/>
    <tableColumn id="3" name="Parent"/>
    <tableColumn id="4" name="Qty per parent"/>
    <tableColumn id="5" name="UoM"/>
    <tableColumn id="6" name="Make or buy"/>
    <tableColumn id="7" name="Commodity"/>
    <tableColumn id="8" name="Unit cost"/>
    <tableColumn id="9" name="Scrap"/>
    <tableColumn id="10" name="Labour (min/unit)"/>
    <tableColumn id="11" name="Supplier"/>
    <tableColumn id="12" name="Grandparent">
      <calculatedColumnFormula>IF(tblVerifyBom[[#This Row],[Part number]]="","",IF(tblVerifyBom[[#This Row],[Parent]]=$E$29,$E$29,IFERROR(INDEX(tblVerifyBom[Parent],MATCH(tblVerifyBom[[#This Row],[Parent]],tblVerifyBom[Part number],0)),"?")))</calculatedColumnFormula>
    </tableColumn>
    <tableColumn id="13" name="Great-grandparent">
      <calculatedColumnFormula>IF(tblVerifyBom[[#This Row],[Part number]]="","",IF(tblVerifyBom[[#This Row],[Grandparent]]=$E$29,$E$29,IFERROR(INDEX(tblVerifyBom[Parent],MATCH(tblVerifyBom[[#This Row],[Grandparent]],tblVerifyBom[Part number],0)),"?")))</calculatedColumnFormula>
    </tableColumn>
    <tableColumn id="14" name="Level">
      <calculatedColumnFormula>IF(tblVerifyBom[[#This Row],[Part number]]="","",1+(tblVerifyBom[[#This Row],[Parent]]&lt;&gt;$E$29)+(tblVerifyBom[[#This Row],[Grandparent]]&lt;&gt;$E$29)+(tblVerifyBom[[#This Row],[Great-grandparent]]&lt;&gt;$E$29))</calculatedColumnFormula>
    </tableColumn>
    <tableColumn id="15" name="Ext. qty (per product)">
      <calculatedColumnFormula>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calculatedColumnFormula>
    </tableColumn>
    <tableColumn id="16" name="Material">
      <calculatedColumnFormula>IF(tblVerifyBom[[#This Row],[Part number]]="","",IF(NOT(ISNUMBER(tblVerifyBom[[#This Row],[Ext. qty (per product)]])),"",tblVerifyBom[[#This Row],[Ext. qty (per product)]]*tblVerifyBom[[#This Row],[Unit cost]]*(1+tblVerifyBom[[#This Row],[Scrap]])))</calculatedColumnFormula>
    </tableColumn>
    <tableColumn id="17" name="Labour">
      <calculatedColumnFormula>IF(tblVerifyBom[[#This Row],[Part number]]="","",IF(NOT(ISNUMBER(tblVerifyBom[[#This Row],[Ext. qty (per product)]])),"",tblVerifyBom[[#This Row],[Ext. qty (per product)]]*tblVerifyBom[[#This Row],[Labour (min/unit)]]/60*$E$30))</calculatedColumnFormula>
    </tableColumn>
    <tableColumn id="18" name="Overhead">
      <calculatedColumnFormula>IF(tblVerifyBom[[#This Row],[Part number]]="","",IF(NOT(ISNUMBER(tblVerifyBom[[#This Row],[Ext. qty (per product)]])),"",tblVerifyBom[[#This Row],[Labour]]*$E$31+tblVerifyBom[[#This Row],[Material]]*$E$32))</calculatedColumnFormula>
    </tableColumn>
    <tableColumn id="19" name="Total">
      <calculatedColumnFormula>IF(tblVerifyBom[[#This Row],[Part number]]="","",IF(NOT(ISNUMBER(tblVerifyBom[[#This Row],[Ext. qty (per product)]])),"",tblVerifyBom[[#This Row],[Material]]+tblVerifyBom[[#This Row],[Labour]]+tblVerifyBom[[#This Row],[Overhead]]))</calculatedColumnFormula>
    </tableColumn>
    <tableColumn id="20" name="Rolled-up cost (per product)">
      <calculatedColumnFormula>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calculatedColumnFormula>
    </tableColumn>
    <tableColumn id="21" name="Rolled-up unit cost">
      <calculatedColumnFormula>IF(tblVerifyBom[[#This Row],[Part number]]="","",IF(N(tblVerifyBom[[#This Row],[Ext. qty (per product)]])=0,"",tblVerifyBom[[#This Row],[Rolled-up cost (per product)]]/tblVerifyBom[[#This Row],[Ext. qty (per product)]]))</calculatedColumnFormula>
    </tableColumn>
    <tableColumn id="22" name="Top-level rank">
      <calculatedColumnFormula>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calculatedColumnFormula>
    </tableColumn>
    <tableColumn id="23" name="Check">
      <calculatedColumnFormula>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om-cost-rollup" TargetMode="External"/><Relationship Id="rId2" Type="http://schemas.openxmlformats.org/officeDocument/2006/relationships/hyperlink" Target="https://www.mfgcalcs.com/calculators/configure-to-order-product-configuration/configurable-bom-cost?utm_source=mfgcalcs-template&amp;utm_medium=xlsx&amp;utm_campaign=bom-cost-rollup" TargetMode="External"/><Relationship Id="rId3" Type="http://schemas.openxmlformats.org/officeDocument/2006/relationships/hyperlink" Target="https://www.mfgcalcs.com/templates/bom-cost-rollup?utm_source=mfgcalcs-template&amp;utm_medium=xlsx&amp;utm_campaign=bom-cost-rollup" TargetMode="External"/><Relationship Id="rId4" Type="http://schemas.openxmlformats.org/officeDocument/2006/relationships/hyperlink" Target="https://www.mfgcalcs.com/templates?utm_source=mfgcalcs-template&amp;utm_medium=xlsx&amp;utm_campaign=bom-cost-rollup"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om-cost-rollup"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om-cost-rollup"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om-cost-rollup"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om-cost-rollup" TargetMode="External"/><Relationship Id="rId2" Type="http://schemas.openxmlformats.org/officeDocument/2006/relationships/hyperlink" Target="https://www.mfgcalcs.com/calculators/configure-to-order-product-configuration/configurable-bom-cost?utm_source=mfgcalcs-template&amp;utm_medium=xlsx&amp;utm_campaign=bom-cost-rollup"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om-cost-rollup"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13 of 13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48.6"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BOM!A1" tooltip="Go to BOM" display="BOM"/>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BOM Cost Rollup&amp;R&amp;8&amp;A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9"/>
  <sheetViews>
    <sheetView showGridLines="0" workbookViewId="0"/>
  </sheetViews>
  <sheetFormatPr defaultRowHeight="15"/>
  <cols>
    <col min="1" max="1" width="2.7109375" customWidth="1"/>
    <col min="2" max="2" width="34.7109375" customWidth="1"/>
    <col min="3" max="3" width="16.7109375" customWidth="1"/>
    <col min="4" max="4" width="18.7109375" customWidth="1"/>
    <col min="5" max="5" width="40.7109375" customWidth="1"/>
  </cols>
  <sheetData>
    <row r="1" spans="1:5" ht="30" customHeight="1">
      <c r="A1" s="1" t="s">
        <v>0</v>
      </c>
      <c r="B1" s="1"/>
      <c r="C1" s="1"/>
      <c r="D1" s="1"/>
      <c r="E1" s="1"/>
    </row>
    <row r="2" spans="1:5" ht="32.4" customHeight="1">
      <c r="B2" s="2" t="s">
        <v>18</v>
      </c>
      <c r="C2" s="2"/>
      <c r="D2" s="2"/>
      <c r="E2" s="3" t="s">
        <v>2</v>
      </c>
    </row>
    <row r="3" spans="1:5" ht="6" customHeight="1"/>
    <row r="4" spans="1:5" ht="21" customHeight="1">
      <c r="B4" s="8" t="s">
        <v>62</v>
      </c>
      <c r="C4" s="8"/>
      <c r="D4" s="8"/>
      <c r="E4" s="8"/>
    </row>
    <row r="5" spans="1:5" ht="5" customHeight="1"/>
    <row r="6" spans="1:5">
      <c r="B6" s="27" t="s">
        <v>63</v>
      </c>
      <c r="C6" s="28" t="s">
        <v>64</v>
      </c>
      <c r="D6" s="28"/>
    </row>
    <row r="7" spans="1:5">
      <c r="B7" s="27" t="s">
        <v>65</v>
      </c>
      <c r="C7" s="28" t="s">
        <v>66</v>
      </c>
      <c r="D7" s="28"/>
    </row>
    <row r="8" spans="1:5">
      <c r="B8" s="27" t="s">
        <v>67</v>
      </c>
      <c r="C8" s="28" t="s">
        <v>68</v>
      </c>
      <c r="D8" s="28"/>
    </row>
    <row r="9" spans="1:5">
      <c r="B9" s="27" t="s">
        <v>69</v>
      </c>
      <c r="C9" s="28" t="s">
        <v>70</v>
      </c>
      <c r="D9" s="28"/>
    </row>
    <row r="10" spans="1:5">
      <c r="B10" s="27" t="s">
        <v>71</v>
      </c>
      <c r="C10" s="29">
        <v>38</v>
      </c>
      <c r="D10" s="7" t="str">
        <f>Currency&amp;" per hour"</f>
        <v>EUR per hour</v>
      </c>
    </row>
    <row r="11" spans="1:5">
      <c r="B11" s="27" t="s">
        <v>72</v>
      </c>
      <c r="C11" s="30">
        <v>1.2</v>
      </c>
      <c r="D11" s="7" t="s">
        <v>73</v>
      </c>
    </row>
    <row r="12" spans="1:5">
      <c r="B12" s="27" t="s">
        <v>74</v>
      </c>
      <c r="C12" s="31">
        <v>0.06</v>
      </c>
      <c r="D12" s="7" t="s">
        <v>75</v>
      </c>
    </row>
    <row r="13" spans="1:5">
      <c r="B13" s="27" t="s">
        <v>76</v>
      </c>
      <c r="C13" s="30">
        <v>0.35</v>
      </c>
      <c r="D13" s="7" t="s">
        <v>77</v>
      </c>
    </row>
    <row r="14" spans="1:5">
      <c r="B14" s="27" t="s">
        <v>78</v>
      </c>
      <c r="C14" s="32">
        <v>4000</v>
      </c>
      <c r="D14" s="7" t="s">
        <v>79</v>
      </c>
    </row>
    <row r="16" spans="1:5" ht="22.2" customHeight="1">
      <c r="B16" s="25" t="s">
        <v>80</v>
      </c>
      <c r="C16" s="25"/>
      <c r="D16" s="25"/>
      <c r="E16" s="25"/>
    </row>
    <row r="18" spans="2:5" ht="21" customHeight="1">
      <c r="B18" s="8" t="s">
        <v>81</v>
      </c>
      <c r="C18" s="8"/>
      <c r="D18" s="8"/>
      <c r="E18" s="8"/>
    </row>
    <row r="19" spans="2:5" ht="5" customHeight="1"/>
    <row r="20" spans="2:5">
      <c r="B20" s="33" t="s">
        <v>82</v>
      </c>
      <c r="C20" s="33"/>
    </row>
    <row r="21" spans="2:5" ht="20" customHeight="1">
      <c r="B21" s="34" t="s">
        <v>60</v>
      </c>
      <c r="C21" s="34" t="s">
        <v>61</v>
      </c>
    </row>
    <row r="22" spans="2:5">
      <c r="B22" s="28" t="s">
        <v>83</v>
      </c>
      <c r="C22" s="28" t="s">
        <v>84</v>
      </c>
    </row>
    <row r="23" spans="2:5">
      <c r="B23" s="28" t="s">
        <v>85</v>
      </c>
      <c r="C23" s="28" t="s">
        <v>86</v>
      </c>
    </row>
    <row r="24" spans="2:5">
      <c r="B24" s="28" t="s">
        <v>87</v>
      </c>
      <c r="C24" s="28" t="s">
        <v>88</v>
      </c>
    </row>
    <row r="25" spans="2:5">
      <c r="B25" s="28" t="s">
        <v>89</v>
      </c>
      <c r="C25" s="28" t="s">
        <v>90</v>
      </c>
    </row>
    <row r="26" spans="2:5">
      <c r="B26" s="28" t="s">
        <v>91</v>
      </c>
      <c r="C26" s="28" t="s">
        <v>92</v>
      </c>
    </row>
    <row r="27" spans="2:5">
      <c r="B27" s="28" t="s">
        <v>93</v>
      </c>
      <c r="C27" s="28" t="s">
        <v>94</v>
      </c>
    </row>
    <row r="28" spans="2:5">
      <c r="B28" s="28" t="s">
        <v>95</v>
      </c>
      <c r="C28" s="28" t="s">
        <v>96</v>
      </c>
    </row>
    <row r="29" spans="2:5">
      <c r="B29" s="28" t="s">
        <v>97</v>
      </c>
      <c r="C29" s="28" t="s">
        <v>98</v>
      </c>
    </row>
  </sheetData>
  <mergeCells count="10">
    <mergeCell ref="A1:E1"/>
    <mergeCell ref="B2:D2"/>
    <mergeCell ref="B4:E4"/>
    <mergeCell ref="C6:D6"/>
    <mergeCell ref="C7:D7"/>
    <mergeCell ref="C8:D8"/>
    <mergeCell ref="C9:D9"/>
    <mergeCell ref="B16:E16"/>
    <mergeCell ref="B18:E18"/>
    <mergeCell ref="B20:C20"/>
  </mergeCells>
  <dataValidations count="11">
    <dataValidation type="textLength" allowBlank="1" showInputMessage="1" showErrorMessage="1" errorTitle="Check this entry" error="Text up to 80 characters." promptTitle="Company or plant"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textLength" allowBlank="1" showInputMessage="1" showErrorMessage="1" errorTitle="Check this entry" error="Text up to 40 characters." promptTitle="Product code (top of the BOM)" prompt="Level-1 lines name this code as their parent. Text up to 40 characters." sqref="C8">
      <formula1>0</formula1>
      <formula2>40</formula2>
    </dataValidation>
    <dataValidation type="textLength" allowBlank="1" showInputMessage="1" showErrorMessage="1" errorTitle="Check this entry" error="Text up to 80 characters." promptTitle="Product name" prompt="Text up to 80 characters." sqref="C9">
      <formula1>0</formula1>
      <formula2>80</formula2>
    </dataValidation>
    <dataValidation type="decimal" allowBlank="1" showInputMessage="1" showErrorMessage="1" errorTitle="Check this entry" error="Enter a number from 0 to 1,000,000." promptTitle="Labour rate" prompt="Direct labour cost per hour, wages plus on-costs (example figure). Enter a number from 0 to 1,000,000." sqref="C10">
      <formula1>0</formula1>
      <formula2>1000000.0</formula2>
    </dataValidation>
    <dataValidation type="decimal" allowBlank="1" showInputMessage="1" showErrorMessage="1" errorTitle="Check this entry" error="Enter a percentage from 0% to 2000% (type 85% or 0.85)." promptTitle="Overhead on labour" prompt="Factory overhead recovered on direct labour cost (your costing rate). Enter a percentage from 0% to 2000% (type 85% or 0.85)." sqref="C11">
      <formula1>0</formula1>
      <formula2>20</formula2>
    </dataValidation>
    <dataValidation type="decimal" allowBlank="1" showInputMessage="1" showErrorMessage="1" errorTitle="Check this entry" error="Enter a percentage from 0% to 200% (type 85% or 0.85)." promptTitle="Material burden" prompt="Procurement, freight-in, receiving and stores cost as a share of material cost. Enter a percentage from 0% to 200% (type 85% or 0.85)." sqref="C12">
      <formula1>0</formula1>
      <formula2>2</formula2>
    </dataValidation>
    <dataValidation type="decimal" allowBlank="1" showInputMessage="1" showErrorMessage="1" errorTitle="Check this entry" error="Enter a percentage from 0% to 95% (type 85% or 0.85)." promptTitle="Target gross margin" prompt="Price = unit cost / (1 - margin). Your own target. Enter a percentage from 0% to 95% (type 85% or 0.85)." sqref="C13">
      <formula1>0</formula1>
      <formula2>0.95</formula2>
    </dataValidation>
    <dataValidation type="whole" allowBlank="1" showInputMessage="1" showErrorMessage="1" errorTitle="Check this entry" error="Enter a whole number of at least 0." promptTitle="Annual volume" prompt="For the annual cost figures only. Enter a whole number of at least 0." sqref="C14">
      <formula1>0</formula1>
      <formula2>1000000000.0</formula2>
    </dataValidation>
    <dataValidation type="textLength" allowBlank="1" showInputMessage="1" showErrorMessage="1" errorTitle="Check this entry" error="Text up to 40 characters." promptTitle="Commodity" prompt="Text up to 40 characters." sqref="B22:B129">
      <formula1>0</formula1>
      <formula2>40</formula2>
    </dataValidation>
    <dataValidation type="textLength" allowBlank="1" showInputMessage="1" showErrorMessage="1" errorTitle="Check this entry" error="Text up to 120 characters." promptTitle="Notes" prompt="Text up to 120 characters." sqref="C22:C129">
      <formula1>0</formula1>
      <formula2>120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BOM Cost Rollup&amp;R&amp;8&amp;A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X32"/>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10.7109375" customWidth="1"/>
    <col min="3" max="3" width="24.7109375" customWidth="1"/>
    <col min="4" max="4" width="10.7109375" customWidth="1"/>
    <col min="5" max="5" width="8.7109375" customWidth="1"/>
    <col min="6" max="6" width="6.7109375" customWidth="1"/>
    <col min="7" max="7" width="8.28515625" customWidth="1"/>
    <col min="8" max="8" width="14.7109375" customWidth="1"/>
    <col min="9" max="9" width="9.28515625" customWidth="1"/>
    <col min="10" max="10" width="7.7109375" customWidth="1"/>
    <col min="11" max="11" width="9.28515625" customWidth="1"/>
    <col min="12" max="12" width="12.7109375" customWidth="1"/>
    <col min="13" max="13" width="9.7109375" customWidth="1"/>
    <col min="14" max="14" width="10.7109375" customWidth="1"/>
    <col min="15" max="15" width="6.7109375" customWidth="1"/>
    <col min="16" max="20" width="9.7109375" customWidth="1"/>
    <col min="21" max="21" width="10.7109375" customWidth="1"/>
    <col min="22" max="22" width="10.28515625" customWidth="1"/>
    <col min="23" max="23" width="8.28515625" customWidth="1"/>
    <col min="24" max="24" width="22.7109375" customWidth="1"/>
  </cols>
  <sheetData>
    <row r="1" spans="1:24" ht="30" customHeight="1" x14ac:dyDescent="0.25">
      <c r="A1" s="1" t="s">
        <v>0</v>
      </c>
      <c r="B1" s="1"/>
      <c r="C1" s="1"/>
      <c r="D1" s="1"/>
      <c r="E1" s="1"/>
      <c r="F1" s="1"/>
      <c r="G1" s="1"/>
      <c r="H1" s="1"/>
      <c r="I1" s="1"/>
      <c r="J1" s="1"/>
      <c r="K1" s="1"/>
      <c r="L1" s="1"/>
      <c r="M1" s="1"/>
      <c r="N1" s="1"/>
      <c r="O1" s="1"/>
      <c r="P1" s="1"/>
      <c r="Q1" s="1"/>
      <c r="R1" s="1"/>
      <c r="S1" s="1"/>
      <c r="T1" s="1"/>
      <c r="U1" s="1"/>
      <c r="V1" s="1"/>
      <c r="W1" s="1"/>
      <c r="X1" s="1"/>
    </row>
    <row r="2" spans="1:24" ht="21" customHeight="1" x14ac:dyDescent="0.25">
      <c r="B2" s="2" t="s">
        <v>20</v>
      </c>
      <c r="C2" s="2"/>
      <c r="D2" s="2"/>
      <c r="E2" s="2"/>
      <c r="F2" s="2"/>
      <c r="G2" s="2"/>
      <c r="H2" s="2"/>
      <c r="I2" s="2"/>
      <c r="J2" s="2"/>
      <c r="K2" s="2"/>
      <c r="L2" s="2"/>
      <c r="M2" s="2"/>
      <c r="N2" s="2"/>
      <c r="O2" s="2"/>
      <c r="P2" s="2"/>
      <c r="Q2" s="2"/>
      <c r="R2" s="2"/>
      <c r="S2" s="2"/>
      <c r="T2" s="2"/>
      <c r="U2" s="2"/>
      <c r="V2" s="2"/>
      <c r="W2" s="2"/>
      <c r="X2" s="3" t="s">
        <v>2</v>
      </c>
    </row>
    <row r="3" spans="1:24" ht="6" customHeight="1" x14ac:dyDescent="0.25"/>
    <row r="4" spans="1:24" ht="18" customHeight="1" x14ac:dyDescent="0.25">
      <c r="B4" s="35" t="s">
        <v>121</v>
      </c>
      <c r="C4" s="35"/>
      <c r="D4" s="35"/>
      <c r="E4" s="35"/>
      <c r="F4" s="35"/>
      <c r="G4" s="35"/>
      <c r="H4" s="35"/>
      <c r="I4" s="35"/>
      <c r="J4" s="35"/>
      <c r="K4" s="35"/>
      <c r="L4" s="35"/>
      <c r="M4" s="35"/>
      <c r="N4" s="35"/>
      <c r="O4" s="35"/>
      <c r="P4" s="35"/>
      <c r="Q4" s="35"/>
      <c r="R4" s="35"/>
      <c r="S4" s="35"/>
      <c r="T4" s="35"/>
      <c r="U4" s="35"/>
      <c r="V4" s="35"/>
      <c r="W4" s="35"/>
      <c r="X4" s="35"/>
    </row>
    <row r="5" spans="1:24" ht="14" customHeight="1" x14ac:dyDescent="0.25">
      <c r="B5" s="36"/>
      <c r="C5" s="36"/>
      <c r="D5" s="36"/>
      <c r="E5" s="36"/>
      <c r="F5" s="36"/>
      <c r="G5" s="36"/>
      <c r="H5" s="36"/>
      <c r="I5" s="36" t="str">
        <f>Currency&amp;"/UoM"</f>
        <v>EUR/UoM</v>
      </c>
      <c r="J5" s="36"/>
      <c r="K5" s="36"/>
      <c r="L5" s="36"/>
      <c r="M5" s="36"/>
      <c r="N5" s="36"/>
      <c r="O5" s="36"/>
      <c r="P5" s="36"/>
      <c r="Q5" s="36" t="str">
        <f>Currency&amp;"/product"</f>
        <v>EUR/product</v>
      </c>
      <c r="R5" s="36" t="str">
        <f>Currency&amp;"/product"</f>
        <v>EUR/product</v>
      </c>
      <c r="S5" s="36" t="str">
        <f>Currency&amp;"/product"</f>
        <v>EUR/product</v>
      </c>
      <c r="T5" s="36" t="str">
        <f>Currency&amp;"/product"</f>
        <v>EUR/product</v>
      </c>
      <c r="U5" s="36" t="str">
        <f>Currency&amp;"/product"</f>
        <v>EUR/product</v>
      </c>
      <c r="V5" s="36" t="str">
        <f>Currency&amp;"/UoM"</f>
        <v>EUR/UoM</v>
      </c>
      <c r="W5" s="36"/>
      <c r="X5" s="36"/>
    </row>
    <row r="6" spans="1:24" ht="45.5" customHeight="1" x14ac:dyDescent="0.25">
      <c r="B6" s="34" t="s">
        <v>99</v>
      </c>
      <c r="C6" s="34" t="s">
        <v>100</v>
      </c>
      <c r="D6" s="34" t="s">
        <v>101</v>
      </c>
      <c r="E6" s="34" t="s">
        <v>102</v>
      </c>
      <c r="F6" s="34" t="s">
        <v>103</v>
      </c>
      <c r="G6" s="34" t="s">
        <v>104</v>
      </c>
      <c r="H6" s="34" t="s">
        <v>60</v>
      </c>
      <c r="I6" s="34" t="s">
        <v>105</v>
      </c>
      <c r="J6" s="34" t="s">
        <v>106</v>
      </c>
      <c r="K6" s="34" t="s">
        <v>107</v>
      </c>
      <c r="L6" s="34" t="s">
        <v>108</v>
      </c>
      <c r="M6" s="34" t="s">
        <v>109</v>
      </c>
      <c r="N6" s="34" t="s">
        <v>110</v>
      </c>
      <c r="O6" s="34" t="s">
        <v>111</v>
      </c>
      <c r="P6" s="34" t="s">
        <v>112</v>
      </c>
      <c r="Q6" s="34" t="s">
        <v>113</v>
      </c>
      <c r="R6" s="34" t="s">
        <v>114</v>
      </c>
      <c r="S6" s="34" t="s">
        <v>115</v>
      </c>
      <c r="T6" s="34" t="s">
        <v>116</v>
      </c>
      <c r="U6" s="34" t="s">
        <v>117</v>
      </c>
      <c r="V6" s="34" t="s">
        <v>118</v>
      </c>
      <c r="W6" s="34" t="s">
        <v>119</v>
      </c>
      <c r="X6" s="34" t="s">
        <v>120</v>
      </c>
    </row>
    <row r="7" spans="1:24" x14ac:dyDescent="0.25">
      <c r="B7" s="28" t="s">
        <v>122</v>
      </c>
      <c r="C7" s="28" t="s">
        <v>123</v>
      </c>
      <c r="D7" s="28" t="s">
        <v>68</v>
      </c>
      <c r="E7" s="29">
        <v>1</v>
      </c>
      <c r="F7" s="28" t="s">
        <v>124</v>
      </c>
      <c r="G7" s="28" t="s">
        <v>125</v>
      </c>
      <c r="H7" s="28" t="s">
        <v>97</v>
      </c>
      <c r="I7" s="29">
        <v>0</v>
      </c>
      <c r="J7" s="31">
        <v>0</v>
      </c>
      <c r="K7" s="37">
        <v>14</v>
      </c>
      <c r="L7" s="28" t="s">
        <v>126</v>
      </c>
      <c r="M7" s="38" t="str">
        <f>IF(tblBom[[#This Row],[Part number]]="","",IF(tblBom[[#This Row],[Parent]]=ProductCode,ProductCode,IFERROR(INDEX(tblBom[Parent],MATCH(tblBom[[#This Row],[Parent]],tblBom[Part number],0)),"?")))</f>
        <v>WX-200</v>
      </c>
      <c r="N7" s="38" t="str">
        <f>IF(tblBom[[#This Row],[Part number]]="","",IF(tblBom[[#This Row],[Grandparent]]=ProductCode,ProductCode,IFERROR(INDEX(tblBom[Parent],MATCH(tblBom[[#This Row],[Grandparent]],tblBom[Part number],0)),"?")))</f>
        <v>WX-200</v>
      </c>
      <c r="O7" s="39">
        <f>IF(tblBom[[#This Row],[Part number]]="","",1+(tblBom[[#This Row],[Parent]]&lt;&gt;ProductCode)+(tblBom[[#This Row],[Grandparent]]&lt;&gt;ProductCode)+(tblBom[[#This Row],[Great-grandparent]]&lt;&gt;ProductCode))</f>
        <v>1</v>
      </c>
      <c r="P7"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7" s="40">
        <f>IF(tblBom[[#This Row],[Part number]]="","",IF(NOT(ISNUMBER(tblBom[[#This Row],[Ext. qty (per product)]])),"",tblBom[[#This Row],[Ext. qty (per product)]]*tblBom[[#This Row],[Unit cost]]*(1+tblBom[[#This Row],[Scrap]])))</f>
        <v>0</v>
      </c>
      <c r="R7" s="40">
        <f>IF(tblBom[[#This Row],[Part number]]="","",IF(NOT(ISNUMBER(tblBom[[#This Row],[Ext. qty (per product)]])),"",tblBom[[#This Row],[Ext. qty (per product)]]*tblBom[[#This Row],[Labour (min/unit)]]/60*LabourRate))</f>
        <v>8.86666666666667</v>
      </c>
      <c r="S7" s="40">
        <f>IF(tblBom[[#This Row],[Part number]]="","",IF(NOT(ISNUMBER(tblBom[[#This Row],[Ext. qty (per product)]])),"",tblBom[[#This Row],[Labour]]*OverheadPct+tblBom[[#This Row],[Material]]*MaterialBurden))</f>
        <v>10.64</v>
      </c>
      <c r="T7" s="40">
        <f>IF(tblBom[[#This Row],[Part number]]="","",IF(NOT(ISNUMBER(tblBom[[#This Row],[Ext. qty (per product)]])),"",tblBom[[#This Row],[Material]]+tblBom[[#This Row],[Labour]]+tblBom[[#This Row],[Overhead]]))</f>
        <v>19.5066666666667</v>
      </c>
      <c r="U7" s="40">
        <f>IF(tblBom[[#This Row],[Part number]]="","",IF(NOT(ISNUMBER(tblBom[[#This Row],[Ext. qty (per product)]])),"",tblBom[[#This Row],[Total]]+SUMIFS(tblBom[Total],tblBom[Parent],tblBom[[#This Row],[Part number]])+SUMIFS(tblBom[Total],tblBom[Grandparent],tblBom[[#This Row],[Part number]])+SUMIFS(tblBom[Total],tblBom[Great-grandparent],tblBom[[#This Row],[Part number]])))</f>
        <v>19.5066666666667</v>
      </c>
      <c r="V7" s="40">
        <f>IF(tblBom[[#This Row],[Part number]]="","",IF(N(tblBom[[#This Row],[Ext. qty (per product)]])=0,"",tblBom[[#This Row],[Rolled-up cost (per product)]]/tblBom[[#This Row],[Ext. qty (per product)]]))</f>
        <v>19.5066666666667</v>
      </c>
      <c r="W7"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3</v>
      </c>
      <c r="X7"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8" spans="1:24" x14ac:dyDescent="0.25">
      <c r="B8" s="28" t="s">
        <v>127</v>
      </c>
      <c r="C8" s="28" t="s">
        <v>128</v>
      </c>
      <c r="D8" s="28" t="s">
        <v>68</v>
      </c>
      <c r="E8" s="29">
        <v>1</v>
      </c>
      <c r="F8" s="28" t="s">
        <v>124</v>
      </c>
      <c r="G8" s="28" t="s">
        <v>125</v>
      </c>
      <c r="H8" s="28" t="s">
        <v>97</v>
      </c>
      <c r="I8" s="29">
        <v>0</v>
      </c>
      <c r="J8" s="31">
        <v>0</v>
      </c>
      <c r="K8" s="37">
        <v>6</v>
      </c>
      <c r="L8" s="28" t="s">
        <v>126</v>
      </c>
      <c r="M8" s="38" t="str">
        <f>IF(tblBom[[#This Row],[Part number]]="","",IF(tblBom[[#This Row],[Parent]]=ProductCode,ProductCode,IFERROR(INDEX(tblBom[Parent],MATCH(tblBom[[#This Row],[Parent]],tblBom[Part number],0)),"?")))</f>
        <v>WX-200</v>
      </c>
      <c r="N8" s="38" t="str">
        <f>IF(tblBom[[#This Row],[Part number]]="","",IF(tblBom[[#This Row],[Grandparent]]=ProductCode,ProductCode,IFERROR(INDEX(tblBom[Parent],MATCH(tblBom[[#This Row],[Grandparent]],tblBom[Part number],0)),"?")))</f>
        <v>WX-200</v>
      </c>
      <c r="O8" s="39">
        <f>IF(tblBom[[#This Row],[Part number]]="","",1+(tblBom[[#This Row],[Parent]]&lt;&gt;ProductCode)+(tblBom[[#This Row],[Grandparent]]&lt;&gt;ProductCode)+(tblBom[[#This Row],[Great-grandparent]]&lt;&gt;ProductCode))</f>
        <v>1</v>
      </c>
      <c r="P8"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8" s="40">
        <f>IF(tblBom[[#This Row],[Part number]]="","",IF(NOT(ISNUMBER(tblBom[[#This Row],[Ext. qty (per product)]])),"",tblBom[[#This Row],[Ext. qty (per product)]]*tblBom[[#This Row],[Unit cost]]*(1+tblBom[[#This Row],[Scrap]])))</f>
        <v>0</v>
      </c>
      <c r="R8" s="40">
        <f>IF(tblBom[[#This Row],[Part number]]="","",IF(NOT(ISNUMBER(tblBom[[#This Row],[Ext. qty (per product)]])),"",tblBom[[#This Row],[Ext. qty (per product)]]*tblBom[[#This Row],[Labour (min/unit)]]/60*LabourRate))</f>
        <v>3.8</v>
      </c>
      <c r="S8" s="40">
        <f>IF(tblBom[[#This Row],[Part number]]="","",IF(NOT(ISNUMBER(tblBom[[#This Row],[Ext. qty (per product)]])),"",tblBom[[#This Row],[Labour]]*OverheadPct+tblBom[[#This Row],[Material]]*MaterialBurden))</f>
        <v>4.56</v>
      </c>
      <c r="T8" s="40">
        <f>IF(tblBom[[#This Row],[Part number]]="","",IF(NOT(ISNUMBER(tblBom[[#This Row],[Ext. qty (per product)]])),"",tblBom[[#This Row],[Material]]+tblBom[[#This Row],[Labour]]+tblBom[[#This Row],[Overhead]]))</f>
        <v>8.36</v>
      </c>
      <c r="U8" s="40">
        <f>IF(tblBom[[#This Row],[Part number]]="","",IF(NOT(ISNUMBER(tblBom[[#This Row],[Ext. qty (per product)]])),"",tblBom[[#This Row],[Total]]+SUMIFS(tblBom[Total],tblBom[Parent],tblBom[[#This Row],[Part number]])+SUMIFS(tblBom[Total],tblBom[Grandparent],tblBom[[#This Row],[Part number]])+SUMIFS(tblBom[Total],tblBom[Great-grandparent],tblBom[[#This Row],[Part number]])))</f>
        <v>16.371056</v>
      </c>
      <c r="V8" s="40">
        <f>IF(tblBom[[#This Row],[Part number]]="","",IF(N(tblBom[[#This Row],[Ext. qty (per product)]])=0,"",tblBom[[#This Row],[Rolled-up cost (per product)]]/tblBom[[#This Row],[Ext. qty (per product)]]))</f>
        <v>16.371056</v>
      </c>
      <c r="W8"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4</v>
      </c>
      <c r="X8"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9" spans="1:24" x14ac:dyDescent="0.25">
      <c r="B9" s="28" t="s">
        <v>129</v>
      </c>
      <c r="C9" s="28" t="s">
        <v>130</v>
      </c>
      <c r="D9" s="28" t="s">
        <v>127</v>
      </c>
      <c r="E9" s="29">
        <v>1</v>
      </c>
      <c r="F9" s="28" t="s">
        <v>124</v>
      </c>
      <c r="G9" s="28" t="s">
        <v>131</v>
      </c>
      <c r="H9" s="28" t="s">
        <v>83</v>
      </c>
      <c r="I9" s="29">
        <v>3.85</v>
      </c>
      <c r="J9" s="31">
        <v>0.02</v>
      </c>
      <c r="K9" s="37">
        <v>0</v>
      </c>
      <c r="L9" s="28" t="s">
        <v>132</v>
      </c>
      <c r="M9" s="38" t="str">
        <f>IF(tblBom[[#This Row],[Part number]]="","",IF(tblBom[[#This Row],[Parent]]=ProductCode,ProductCode,IFERROR(INDEX(tblBom[Parent],MATCH(tblBom[[#This Row],[Parent]],tblBom[Part number],0)),"?")))</f>
        <v>WX-200</v>
      </c>
      <c r="N9" s="38" t="str">
        <f>IF(tblBom[[#This Row],[Part number]]="","",IF(tblBom[[#This Row],[Grandparent]]=ProductCode,ProductCode,IFERROR(INDEX(tblBom[Parent],MATCH(tblBom[[#This Row],[Grandparent]],tblBom[Part number],0)),"?")))</f>
        <v>WX-200</v>
      </c>
      <c r="O9" s="39">
        <f>IF(tblBom[[#This Row],[Part number]]="","",1+(tblBom[[#This Row],[Parent]]&lt;&gt;ProductCode)+(tblBom[[#This Row],[Grandparent]]&lt;&gt;ProductCode)+(tblBom[[#This Row],[Great-grandparent]]&lt;&gt;ProductCode))</f>
        <v>2</v>
      </c>
      <c r="P9"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9" s="40">
        <f>IF(tblBom[[#This Row],[Part number]]="","",IF(NOT(ISNUMBER(tblBom[[#This Row],[Ext. qty (per product)]])),"",tblBom[[#This Row],[Ext. qty (per product)]]*tblBom[[#This Row],[Unit cost]]*(1+tblBom[[#This Row],[Scrap]])))</f>
        <v>3.927</v>
      </c>
      <c r="R9" s="40">
        <f>IF(tblBom[[#This Row],[Part number]]="","",IF(NOT(ISNUMBER(tblBom[[#This Row],[Ext. qty (per product)]])),"",tblBom[[#This Row],[Ext. qty (per product)]]*tblBom[[#This Row],[Labour (min/unit)]]/60*LabourRate))</f>
        <v>0</v>
      </c>
      <c r="S9" s="40">
        <f>IF(tblBom[[#This Row],[Part number]]="","",IF(NOT(ISNUMBER(tblBom[[#This Row],[Ext. qty (per product)]])),"",tblBom[[#This Row],[Labour]]*OverheadPct+tblBom[[#This Row],[Material]]*MaterialBurden))</f>
        <v>0.23562</v>
      </c>
      <c r="T9" s="40">
        <f>IF(tblBom[[#This Row],[Part number]]="","",IF(NOT(ISNUMBER(tblBom[[#This Row],[Ext. qty (per product)]])),"",tblBom[[#This Row],[Material]]+tblBom[[#This Row],[Labour]]+tblBom[[#This Row],[Overhead]]))</f>
        <v>4.16262</v>
      </c>
      <c r="U9" s="40">
        <f>IF(tblBom[[#This Row],[Part number]]="","",IF(NOT(ISNUMBER(tblBom[[#This Row],[Ext. qty (per product)]])),"",tblBom[[#This Row],[Total]]+SUMIFS(tblBom[Total],tblBom[Parent],tblBom[[#This Row],[Part number]])+SUMIFS(tblBom[Total],tblBom[Grandparent],tblBom[[#This Row],[Part number]])+SUMIFS(tblBom[Total],tblBom[Great-grandparent],tblBom[[#This Row],[Part number]])))</f>
        <v>4.16262</v>
      </c>
      <c r="V9" s="40">
        <f>IF(tblBom[[#This Row],[Part number]]="","",IF(N(tblBom[[#This Row],[Ext. qty (per product)]])=0,"",tblBom[[#This Row],[Rolled-up cost (per product)]]/tblBom[[#This Row],[Ext. qty (per product)]]))</f>
        <v>4.16262</v>
      </c>
      <c r="W9"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9"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0" spans="1:24" x14ac:dyDescent="0.25">
      <c r="B10" s="28" t="s">
        <v>133</v>
      </c>
      <c r="C10" s="28" t="s">
        <v>134</v>
      </c>
      <c r="D10" s="28" t="s">
        <v>127</v>
      </c>
      <c r="E10" s="29">
        <v>1</v>
      </c>
      <c r="F10" s="28" t="s">
        <v>124</v>
      </c>
      <c r="G10" s="28" t="s">
        <v>131</v>
      </c>
      <c r="H10" s="28" t="s">
        <v>83</v>
      </c>
      <c r="I10" s="29">
        <v>2.95</v>
      </c>
      <c r="J10" s="31">
        <v>0.02</v>
      </c>
      <c r="K10" s="37">
        <v>0</v>
      </c>
      <c r="L10" s="28" t="s">
        <v>132</v>
      </c>
      <c r="M10" s="38" t="str">
        <f>IF(tblBom[[#This Row],[Part number]]="","",IF(tblBom[[#This Row],[Parent]]=ProductCode,ProductCode,IFERROR(INDEX(tblBom[Parent],MATCH(tblBom[[#This Row],[Parent]],tblBom[Part number],0)),"?")))</f>
        <v>WX-200</v>
      </c>
      <c r="N10" s="38" t="str">
        <f>IF(tblBom[[#This Row],[Part number]]="","",IF(tblBom[[#This Row],[Grandparent]]=ProductCode,ProductCode,IFERROR(INDEX(tblBom[Parent],MATCH(tblBom[[#This Row],[Grandparent]],tblBom[Part number],0)),"?")))</f>
        <v>WX-200</v>
      </c>
      <c r="O10" s="39">
        <f>IF(tblBom[[#This Row],[Part number]]="","",1+(tblBom[[#This Row],[Parent]]&lt;&gt;ProductCode)+(tblBom[[#This Row],[Grandparent]]&lt;&gt;ProductCode)+(tblBom[[#This Row],[Great-grandparent]]&lt;&gt;ProductCode))</f>
        <v>2</v>
      </c>
      <c r="P10"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0" s="40">
        <f>IF(tblBom[[#This Row],[Part number]]="","",IF(NOT(ISNUMBER(tblBom[[#This Row],[Ext. qty (per product)]])),"",tblBom[[#This Row],[Ext. qty (per product)]]*tblBom[[#This Row],[Unit cost]]*(1+tblBom[[#This Row],[Scrap]])))</f>
        <v>3.009</v>
      </c>
      <c r="R10" s="40">
        <f>IF(tblBom[[#This Row],[Part number]]="","",IF(NOT(ISNUMBER(tblBom[[#This Row],[Ext. qty (per product)]])),"",tblBom[[#This Row],[Ext. qty (per product)]]*tblBom[[#This Row],[Labour (min/unit)]]/60*LabourRate))</f>
        <v>0</v>
      </c>
      <c r="S10" s="40">
        <f>IF(tblBom[[#This Row],[Part number]]="","",IF(NOT(ISNUMBER(tblBom[[#This Row],[Ext. qty (per product)]])),"",tblBom[[#This Row],[Labour]]*OverheadPct+tblBom[[#This Row],[Material]]*MaterialBurden))</f>
        <v>0.18054</v>
      </c>
      <c r="T10" s="40">
        <f>IF(tblBom[[#This Row],[Part number]]="","",IF(NOT(ISNUMBER(tblBom[[#This Row],[Ext. qty (per product)]])),"",tblBom[[#This Row],[Material]]+tblBom[[#This Row],[Labour]]+tblBom[[#This Row],[Overhead]]))</f>
        <v>3.18954</v>
      </c>
      <c r="U10" s="40">
        <f>IF(tblBom[[#This Row],[Part number]]="","",IF(NOT(ISNUMBER(tblBom[[#This Row],[Ext. qty (per product)]])),"",tblBom[[#This Row],[Total]]+SUMIFS(tblBom[Total],tblBom[Parent],tblBom[[#This Row],[Part number]])+SUMIFS(tblBom[Total],tblBom[Grandparent],tblBom[[#This Row],[Part number]])+SUMIFS(tblBom[Total],tblBom[Great-grandparent],tblBom[[#This Row],[Part number]])))</f>
        <v>3.18954</v>
      </c>
      <c r="V10" s="40">
        <f>IF(tblBom[[#This Row],[Part number]]="","",IF(N(tblBom[[#This Row],[Ext. qty (per product)]])=0,"",tblBom[[#This Row],[Rolled-up cost (per product)]]/tblBom[[#This Row],[Ext. qty (per product)]]))</f>
        <v>3.18954</v>
      </c>
      <c r="W10"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0"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1" spans="1:24" x14ac:dyDescent="0.25">
      <c r="B11" s="28" t="s">
        <v>135</v>
      </c>
      <c r="C11" s="28" t="s">
        <v>136</v>
      </c>
      <c r="D11" s="28" t="s">
        <v>127</v>
      </c>
      <c r="E11" s="29">
        <v>1</v>
      </c>
      <c r="F11" s="28" t="s">
        <v>124</v>
      </c>
      <c r="G11" s="28" t="s">
        <v>131</v>
      </c>
      <c r="H11" s="28" t="s">
        <v>93</v>
      </c>
      <c r="I11" s="29">
        <v>0.42</v>
      </c>
      <c r="J11" s="31">
        <v>0.03</v>
      </c>
      <c r="K11" s="37">
        <v>0</v>
      </c>
      <c r="L11" s="28" t="s">
        <v>137</v>
      </c>
      <c r="M11" s="38" t="str">
        <f>IF(tblBom[[#This Row],[Part number]]="","",IF(tblBom[[#This Row],[Parent]]=ProductCode,ProductCode,IFERROR(INDEX(tblBom[Parent],MATCH(tblBom[[#This Row],[Parent]],tblBom[Part number],0)),"?")))</f>
        <v>WX-200</v>
      </c>
      <c r="N11" s="38" t="str">
        <f>IF(tblBom[[#This Row],[Part number]]="","",IF(tblBom[[#This Row],[Grandparent]]=ProductCode,ProductCode,IFERROR(INDEX(tblBom[Parent],MATCH(tblBom[[#This Row],[Grandparent]],tblBom[Part number],0)),"?")))</f>
        <v>WX-200</v>
      </c>
      <c r="O11" s="39">
        <f>IF(tblBom[[#This Row],[Part number]]="","",1+(tblBom[[#This Row],[Parent]]&lt;&gt;ProductCode)+(tblBom[[#This Row],[Grandparent]]&lt;&gt;ProductCode)+(tblBom[[#This Row],[Great-grandparent]]&lt;&gt;ProductCode))</f>
        <v>2</v>
      </c>
      <c r="P11"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1" s="40">
        <f>IF(tblBom[[#This Row],[Part number]]="","",IF(NOT(ISNUMBER(tblBom[[#This Row],[Ext. qty (per product)]])),"",tblBom[[#This Row],[Ext. qty (per product)]]*tblBom[[#This Row],[Unit cost]]*(1+tblBom[[#This Row],[Scrap]])))</f>
        <v>0.4326</v>
      </c>
      <c r="R11" s="40">
        <f>IF(tblBom[[#This Row],[Part number]]="","",IF(NOT(ISNUMBER(tblBom[[#This Row],[Ext. qty (per product)]])),"",tblBom[[#This Row],[Ext. qty (per product)]]*tblBom[[#This Row],[Labour (min/unit)]]/60*LabourRate))</f>
        <v>0</v>
      </c>
      <c r="S11" s="40">
        <f>IF(tblBom[[#This Row],[Part number]]="","",IF(NOT(ISNUMBER(tblBom[[#This Row],[Ext. qty (per product)]])),"",tblBom[[#This Row],[Labour]]*OverheadPct+tblBom[[#This Row],[Material]]*MaterialBurden))</f>
        <v>0.025956</v>
      </c>
      <c r="T11" s="40">
        <f>IF(tblBom[[#This Row],[Part number]]="","",IF(NOT(ISNUMBER(tblBom[[#This Row],[Ext. qty (per product)]])),"",tblBom[[#This Row],[Material]]+tblBom[[#This Row],[Labour]]+tblBom[[#This Row],[Overhead]]))</f>
        <v>0.458556</v>
      </c>
      <c r="U11" s="40">
        <f>IF(tblBom[[#This Row],[Part number]]="","",IF(NOT(ISNUMBER(tblBom[[#This Row],[Ext. qty (per product)]])),"",tblBom[[#This Row],[Total]]+SUMIFS(tblBom[Total],tblBom[Parent],tblBom[[#This Row],[Part number]])+SUMIFS(tblBom[Total],tblBom[Grandparent],tblBom[[#This Row],[Part number]])+SUMIFS(tblBom[Total],tblBom[Great-grandparent],tblBom[[#This Row],[Part number]])))</f>
        <v>0.458556</v>
      </c>
      <c r="V11" s="40">
        <f>IF(tblBom[[#This Row],[Part number]]="","",IF(N(tblBom[[#This Row],[Ext. qty (per product)]])=0,"",tblBom[[#This Row],[Rolled-up cost (per product)]]/tblBom[[#This Row],[Ext. qty (per product)]]))</f>
        <v>0.458556</v>
      </c>
      <c r="W11"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1"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2" spans="1:24" x14ac:dyDescent="0.25">
      <c r="B12" s="28" t="s">
        <v>138</v>
      </c>
      <c r="C12" s="28" t="s">
        <v>139</v>
      </c>
      <c r="D12" s="28" t="s">
        <v>127</v>
      </c>
      <c r="E12" s="29">
        <v>6</v>
      </c>
      <c r="F12" s="28" t="s">
        <v>124</v>
      </c>
      <c r="G12" s="28" t="s">
        <v>131</v>
      </c>
      <c r="H12" s="28" t="s">
        <v>91</v>
      </c>
      <c r="I12" s="29">
        <v>0.03</v>
      </c>
      <c r="J12" s="31">
        <v>0.05</v>
      </c>
      <c r="K12" s="37">
        <v>0</v>
      </c>
      <c r="L12" s="28" t="s">
        <v>140</v>
      </c>
      <c r="M12" s="38" t="str">
        <f>IF(tblBom[[#This Row],[Part number]]="","",IF(tblBom[[#This Row],[Parent]]=ProductCode,ProductCode,IFERROR(INDEX(tblBom[Parent],MATCH(tblBom[[#This Row],[Parent]],tblBom[Part number],0)),"?")))</f>
        <v>WX-200</v>
      </c>
      <c r="N12" s="38" t="str">
        <f>IF(tblBom[[#This Row],[Part number]]="","",IF(tblBom[[#This Row],[Grandparent]]=ProductCode,ProductCode,IFERROR(INDEX(tblBom[Parent],MATCH(tblBom[[#This Row],[Grandparent]],tblBom[Part number],0)),"?")))</f>
        <v>WX-200</v>
      </c>
      <c r="O12" s="39">
        <f>IF(tblBom[[#This Row],[Part number]]="","",1+(tblBom[[#This Row],[Parent]]&lt;&gt;ProductCode)+(tblBom[[#This Row],[Grandparent]]&lt;&gt;ProductCode)+(tblBom[[#This Row],[Great-grandparent]]&lt;&gt;ProductCode))</f>
        <v>2</v>
      </c>
      <c r="P12"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6</v>
      </c>
      <c r="Q12" s="40">
        <f>IF(tblBom[[#This Row],[Part number]]="","",IF(NOT(ISNUMBER(tblBom[[#This Row],[Ext. qty (per product)]])),"",tblBom[[#This Row],[Ext. qty (per product)]]*tblBom[[#This Row],[Unit cost]]*(1+tblBom[[#This Row],[Scrap]])))</f>
        <v>0.189</v>
      </c>
      <c r="R12" s="40">
        <f>IF(tblBom[[#This Row],[Part number]]="","",IF(NOT(ISNUMBER(tblBom[[#This Row],[Ext. qty (per product)]])),"",tblBom[[#This Row],[Ext. qty (per product)]]*tblBom[[#This Row],[Labour (min/unit)]]/60*LabourRate))</f>
        <v>0</v>
      </c>
      <c r="S12" s="40">
        <f>IF(tblBom[[#This Row],[Part number]]="","",IF(NOT(ISNUMBER(tblBom[[#This Row],[Ext. qty (per product)]])),"",tblBom[[#This Row],[Labour]]*OverheadPct+tblBom[[#This Row],[Material]]*MaterialBurden))</f>
        <v>0.01134</v>
      </c>
      <c r="T12" s="40">
        <f>IF(tblBom[[#This Row],[Part number]]="","",IF(NOT(ISNUMBER(tblBom[[#This Row],[Ext. qty (per product)]])),"",tblBom[[#This Row],[Material]]+tblBom[[#This Row],[Labour]]+tblBom[[#This Row],[Overhead]]))</f>
        <v>0.20034</v>
      </c>
      <c r="U12" s="40">
        <f>IF(tblBom[[#This Row],[Part number]]="","",IF(NOT(ISNUMBER(tblBom[[#This Row],[Ext. qty (per product)]])),"",tblBom[[#This Row],[Total]]+SUMIFS(tblBom[Total],tblBom[Parent],tblBom[[#This Row],[Part number]])+SUMIFS(tblBom[Total],tblBom[Grandparent],tblBom[[#This Row],[Part number]])+SUMIFS(tblBom[Total],tblBom[Great-grandparent],tblBom[[#This Row],[Part number]])))</f>
        <v>0.20034</v>
      </c>
      <c r="V12" s="40">
        <f>IF(tblBom[[#This Row],[Part number]]="","",IF(N(tblBom[[#This Row],[Ext. qty (per product)]])=0,"",tblBom[[#This Row],[Rolled-up cost (per product)]]/tblBom[[#This Row],[Ext. qty (per product)]]))</f>
        <v>0.03339</v>
      </c>
      <c r="W12"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2"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3" spans="1:24" x14ac:dyDescent="0.25">
      <c r="B13" s="28" t="s">
        <v>141</v>
      </c>
      <c r="C13" s="28" t="s">
        <v>142</v>
      </c>
      <c r="D13" s="28" t="s">
        <v>68</v>
      </c>
      <c r="E13" s="29">
        <v>1</v>
      </c>
      <c r="F13" s="28" t="s">
        <v>124</v>
      </c>
      <c r="G13" s="28" t="s">
        <v>125</v>
      </c>
      <c r="H13" s="28" t="s">
        <v>97</v>
      </c>
      <c r="I13" s="29">
        <v>0</v>
      </c>
      <c r="J13" s="31">
        <v>0</v>
      </c>
      <c r="K13" s="37">
        <v>4</v>
      </c>
      <c r="L13" s="28" t="s">
        <v>126</v>
      </c>
      <c r="M13" s="38" t="str">
        <f>IF(tblBom[[#This Row],[Part number]]="","",IF(tblBom[[#This Row],[Parent]]=ProductCode,ProductCode,IFERROR(INDEX(tblBom[Parent],MATCH(tblBom[[#This Row],[Parent]],tblBom[Part number],0)),"?")))</f>
        <v>WX-200</v>
      </c>
      <c r="N13" s="38" t="str">
        <f>IF(tblBom[[#This Row],[Part number]]="","",IF(tblBom[[#This Row],[Grandparent]]=ProductCode,ProductCode,IFERROR(INDEX(tblBom[Parent],MATCH(tblBom[[#This Row],[Grandparent]],tblBom[Part number],0)),"?")))</f>
        <v>WX-200</v>
      </c>
      <c r="O13" s="39">
        <f>IF(tblBom[[#This Row],[Part number]]="","",1+(tblBom[[#This Row],[Parent]]&lt;&gt;ProductCode)+(tblBom[[#This Row],[Grandparent]]&lt;&gt;ProductCode)+(tblBom[[#This Row],[Great-grandparent]]&lt;&gt;ProductCode))</f>
        <v>1</v>
      </c>
      <c r="P13"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3" s="40">
        <f>IF(tblBom[[#This Row],[Part number]]="","",IF(NOT(ISNUMBER(tblBom[[#This Row],[Ext. qty (per product)]])),"",tblBom[[#This Row],[Ext. qty (per product)]]*tblBom[[#This Row],[Unit cost]]*(1+tblBom[[#This Row],[Scrap]])))</f>
        <v>0</v>
      </c>
      <c r="R13" s="40">
        <f>IF(tblBom[[#This Row],[Part number]]="","",IF(NOT(ISNUMBER(tblBom[[#This Row],[Ext. qty (per product)]])),"",tblBom[[#This Row],[Ext. qty (per product)]]*tblBom[[#This Row],[Labour (min/unit)]]/60*LabourRate))</f>
        <v>2.53333333333333</v>
      </c>
      <c r="S13" s="40">
        <f>IF(tblBom[[#This Row],[Part number]]="","",IF(NOT(ISNUMBER(tblBom[[#This Row],[Ext. qty (per product)]])),"",tblBom[[#This Row],[Labour]]*OverheadPct+tblBom[[#This Row],[Material]]*MaterialBurden))</f>
        <v>3.04</v>
      </c>
      <c r="T13" s="40">
        <f>IF(tblBom[[#This Row],[Part number]]="","",IF(NOT(ISNUMBER(tblBom[[#This Row],[Ext. qty (per product)]])),"",tblBom[[#This Row],[Material]]+tblBom[[#This Row],[Labour]]+tblBom[[#This Row],[Overhead]]))</f>
        <v>5.57333333333333</v>
      </c>
      <c r="U13" s="40">
        <f>IF(tblBom[[#This Row],[Part number]]="","",IF(NOT(ISNUMBER(tblBom[[#This Row],[Ext. qty (per product)]])),"",tblBom[[#This Row],[Total]]+SUMIFS(tblBom[Total],tblBom[Parent],tblBom[[#This Row],[Part number]])+SUMIFS(tblBom[Total],tblBom[Grandparent],tblBom[[#This Row],[Part number]])+SUMIFS(tblBom[Total],tblBom[Great-grandparent],tblBom[[#This Row],[Part number]])))</f>
        <v>32.8831733333333</v>
      </c>
      <c r="V13" s="40">
        <f>IF(tblBom[[#This Row],[Part number]]="","",IF(N(tblBom[[#This Row],[Ext. qty (per product)]])=0,"",tblBom[[#This Row],[Rolled-up cost (per product)]]/tblBom[[#This Row],[Ext. qty (per product)]]))</f>
        <v>32.8831733333333</v>
      </c>
      <c r="W13"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1</v>
      </c>
      <c r="X13"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4" spans="1:24" x14ac:dyDescent="0.25">
      <c r="B14" s="28" t="s">
        <v>143</v>
      </c>
      <c r="C14" s="28" t="s">
        <v>144</v>
      </c>
      <c r="D14" s="28" t="s">
        <v>141</v>
      </c>
      <c r="E14" s="29">
        <v>1</v>
      </c>
      <c r="F14" s="28" t="s">
        <v>124</v>
      </c>
      <c r="G14" s="28" t="s">
        <v>131</v>
      </c>
      <c r="H14" s="28" t="s">
        <v>85</v>
      </c>
      <c r="I14" s="29">
        <v>4.2</v>
      </c>
      <c r="J14" s="31">
        <v>0.01</v>
      </c>
      <c r="K14" s="37">
        <v>0</v>
      </c>
      <c r="L14" s="28" t="s">
        <v>145</v>
      </c>
      <c r="M14" s="38" t="str">
        <f>IF(tblBom[[#This Row],[Part number]]="","",IF(tblBom[[#This Row],[Parent]]=ProductCode,ProductCode,IFERROR(INDEX(tblBom[Parent],MATCH(tblBom[[#This Row],[Parent]],tblBom[Part number],0)),"?")))</f>
        <v>WX-200</v>
      </c>
      <c r="N14" s="38" t="str">
        <f>IF(tblBom[[#This Row],[Part number]]="","",IF(tblBom[[#This Row],[Grandparent]]=ProductCode,ProductCode,IFERROR(INDEX(tblBom[Parent],MATCH(tblBom[[#This Row],[Grandparent]],tblBom[Part number],0)),"?")))</f>
        <v>WX-200</v>
      </c>
      <c r="O14" s="39">
        <f>IF(tblBom[[#This Row],[Part number]]="","",1+(tblBom[[#This Row],[Parent]]&lt;&gt;ProductCode)+(tblBom[[#This Row],[Grandparent]]&lt;&gt;ProductCode)+(tblBom[[#This Row],[Great-grandparent]]&lt;&gt;ProductCode))</f>
        <v>2</v>
      </c>
      <c r="P14"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4" s="40">
        <f>IF(tblBom[[#This Row],[Part number]]="","",IF(NOT(ISNUMBER(tblBom[[#This Row],[Ext. qty (per product)]])),"",tblBom[[#This Row],[Ext. qty (per product)]]*tblBom[[#This Row],[Unit cost]]*(1+tblBom[[#This Row],[Scrap]])))</f>
        <v>4.242</v>
      </c>
      <c r="R14" s="40">
        <f>IF(tblBom[[#This Row],[Part number]]="","",IF(NOT(ISNUMBER(tblBom[[#This Row],[Ext. qty (per product)]])),"",tblBom[[#This Row],[Ext. qty (per product)]]*tblBom[[#This Row],[Labour (min/unit)]]/60*LabourRate))</f>
        <v>0</v>
      </c>
      <c r="S14" s="40">
        <f>IF(tblBom[[#This Row],[Part number]]="","",IF(NOT(ISNUMBER(tblBom[[#This Row],[Ext. qty (per product)]])),"",tblBom[[#This Row],[Labour]]*OverheadPct+tblBom[[#This Row],[Material]]*MaterialBurden))</f>
        <v>0.25452</v>
      </c>
      <c r="T14" s="40">
        <f>IF(tblBom[[#This Row],[Part number]]="","",IF(NOT(ISNUMBER(tblBom[[#This Row],[Ext. qty (per product)]])),"",tblBom[[#This Row],[Material]]+tblBom[[#This Row],[Labour]]+tblBom[[#This Row],[Overhead]]))</f>
        <v>4.49652</v>
      </c>
      <c r="U14" s="40">
        <f>IF(tblBom[[#This Row],[Part number]]="","",IF(NOT(ISNUMBER(tblBom[[#This Row],[Ext. qty (per product)]])),"",tblBom[[#This Row],[Total]]+SUMIFS(tblBom[Total],tblBom[Parent],tblBom[[#This Row],[Part number]])+SUMIFS(tblBom[Total],tblBom[Grandparent],tblBom[[#This Row],[Part number]])+SUMIFS(tblBom[Total],tblBom[Great-grandparent],tblBom[[#This Row],[Part number]])))</f>
        <v>4.49652</v>
      </c>
      <c r="V14" s="40">
        <f>IF(tblBom[[#This Row],[Part number]]="","",IF(N(tblBom[[#This Row],[Ext. qty (per product)]])=0,"",tblBom[[#This Row],[Rolled-up cost (per product)]]/tblBom[[#This Row],[Ext. qty (per product)]]))</f>
        <v>4.49652</v>
      </c>
      <c r="W14"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4"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5" spans="1:24" x14ac:dyDescent="0.25">
      <c r="B15" s="28" t="s">
        <v>146</v>
      </c>
      <c r="C15" s="28" t="s">
        <v>147</v>
      </c>
      <c r="D15" s="28" t="s">
        <v>141</v>
      </c>
      <c r="E15" s="29">
        <v>1</v>
      </c>
      <c r="F15" s="28" t="s">
        <v>124</v>
      </c>
      <c r="G15" s="28" t="s">
        <v>131</v>
      </c>
      <c r="H15" s="28" t="s">
        <v>85</v>
      </c>
      <c r="I15" s="29">
        <v>3.1</v>
      </c>
      <c r="J15" s="31">
        <v>0.005</v>
      </c>
      <c r="K15" s="37">
        <v>0</v>
      </c>
      <c r="L15" s="28" t="s">
        <v>148</v>
      </c>
      <c r="M15" s="38" t="str">
        <f>IF(tblBom[[#This Row],[Part number]]="","",IF(tblBom[[#This Row],[Parent]]=ProductCode,ProductCode,IFERROR(INDEX(tblBom[Parent],MATCH(tblBom[[#This Row],[Parent]],tblBom[Part number],0)),"?")))</f>
        <v>WX-200</v>
      </c>
      <c r="N15" s="38" t="str">
        <f>IF(tblBom[[#This Row],[Part number]]="","",IF(tblBom[[#This Row],[Grandparent]]=ProductCode,ProductCode,IFERROR(INDEX(tblBom[Parent],MATCH(tblBom[[#This Row],[Grandparent]],tblBom[Part number],0)),"?")))</f>
        <v>WX-200</v>
      </c>
      <c r="O15" s="39">
        <f>IF(tblBom[[#This Row],[Part number]]="","",1+(tblBom[[#This Row],[Parent]]&lt;&gt;ProductCode)+(tblBom[[#This Row],[Grandparent]]&lt;&gt;ProductCode)+(tblBom[[#This Row],[Great-grandparent]]&lt;&gt;ProductCode))</f>
        <v>2</v>
      </c>
      <c r="P15"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5" s="40">
        <f>IF(tblBom[[#This Row],[Part number]]="","",IF(NOT(ISNUMBER(tblBom[[#This Row],[Ext. qty (per product)]])),"",tblBom[[#This Row],[Ext. qty (per product)]]*tblBom[[#This Row],[Unit cost]]*(1+tblBom[[#This Row],[Scrap]])))</f>
        <v>3.1155</v>
      </c>
      <c r="R15" s="40">
        <f>IF(tblBom[[#This Row],[Part number]]="","",IF(NOT(ISNUMBER(tblBom[[#This Row],[Ext. qty (per product)]])),"",tblBom[[#This Row],[Ext. qty (per product)]]*tblBom[[#This Row],[Labour (min/unit)]]/60*LabourRate))</f>
        <v>0</v>
      </c>
      <c r="S15" s="40">
        <f>IF(tblBom[[#This Row],[Part number]]="","",IF(NOT(ISNUMBER(tblBom[[#This Row],[Ext. qty (per product)]])),"",tblBom[[#This Row],[Labour]]*OverheadPct+tblBom[[#This Row],[Material]]*MaterialBurden))</f>
        <v>0.18693</v>
      </c>
      <c r="T15" s="40">
        <f>IF(tblBom[[#This Row],[Part number]]="","",IF(NOT(ISNUMBER(tblBom[[#This Row],[Ext. qty (per product)]])),"",tblBom[[#This Row],[Material]]+tblBom[[#This Row],[Labour]]+tblBom[[#This Row],[Overhead]]))</f>
        <v>3.30243</v>
      </c>
      <c r="U15" s="40">
        <f>IF(tblBom[[#This Row],[Part number]]="","",IF(NOT(ISNUMBER(tblBom[[#This Row],[Ext. qty (per product)]])),"",tblBom[[#This Row],[Total]]+SUMIFS(tblBom[Total],tblBom[Parent],tblBom[[#This Row],[Part number]])+SUMIFS(tblBom[Total],tblBom[Grandparent],tblBom[[#This Row],[Part number]])+SUMIFS(tblBom[Total],tblBom[Great-grandparent],tblBom[[#This Row],[Part number]])))</f>
        <v>3.30243</v>
      </c>
      <c r="V15" s="40">
        <f>IF(tblBom[[#This Row],[Part number]]="","",IF(N(tblBom[[#This Row],[Ext. qty (per product)]])=0,"",tblBom[[#This Row],[Rolled-up cost (per product)]]/tblBom[[#This Row],[Ext. qty (per product)]]))</f>
        <v>3.30243</v>
      </c>
      <c r="W15"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5"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6" spans="1:24" x14ac:dyDescent="0.25">
      <c r="B16" s="28" t="s">
        <v>149</v>
      </c>
      <c r="C16" s="28" t="s">
        <v>150</v>
      </c>
      <c r="D16" s="28" t="s">
        <v>141</v>
      </c>
      <c r="E16" s="29">
        <v>1</v>
      </c>
      <c r="F16" s="28" t="s">
        <v>124</v>
      </c>
      <c r="G16" s="28" t="s">
        <v>131</v>
      </c>
      <c r="H16" s="28" t="s">
        <v>85</v>
      </c>
      <c r="I16" s="29">
        <v>6.4</v>
      </c>
      <c r="J16" s="31">
        <v>0.005</v>
      </c>
      <c r="K16" s="37">
        <v>0</v>
      </c>
      <c r="L16" s="28" t="s">
        <v>148</v>
      </c>
      <c r="M16" s="38" t="str">
        <f>IF(tblBom[[#This Row],[Part number]]="","",IF(tblBom[[#This Row],[Parent]]=ProductCode,ProductCode,IFERROR(INDEX(tblBom[Parent],MATCH(tblBom[[#This Row],[Parent]],tblBom[Part number],0)),"?")))</f>
        <v>WX-200</v>
      </c>
      <c r="N16" s="38" t="str">
        <f>IF(tblBom[[#This Row],[Part number]]="","",IF(tblBom[[#This Row],[Grandparent]]=ProductCode,ProductCode,IFERROR(INDEX(tblBom[Parent],MATCH(tblBom[[#This Row],[Grandparent]],tblBom[Part number],0)),"?")))</f>
        <v>WX-200</v>
      </c>
      <c r="O16" s="39">
        <f>IF(tblBom[[#This Row],[Part number]]="","",1+(tblBom[[#This Row],[Parent]]&lt;&gt;ProductCode)+(tblBom[[#This Row],[Grandparent]]&lt;&gt;ProductCode)+(tblBom[[#This Row],[Great-grandparent]]&lt;&gt;ProductCode))</f>
        <v>2</v>
      </c>
      <c r="P16"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6" s="40">
        <f>IF(tblBom[[#This Row],[Part number]]="","",IF(NOT(ISNUMBER(tblBom[[#This Row],[Ext. qty (per product)]])),"",tblBom[[#This Row],[Ext. qty (per product)]]*tblBom[[#This Row],[Unit cost]]*(1+tblBom[[#This Row],[Scrap]])))</f>
        <v>6.432</v>
      </c>
      <c r="R16" s="40">
        <f>IF(tblBom[[#This Row],[Part number]]="","",IF(NOT(ISNUMBER(tblBom[[#This Row],[Ext. qty (per product)]])),"",tblBom[[#This Row],[Ext. qty (per product)]]*tblBom[[#This Row],[Labour (min/unit)]]/60*LabourRate))</f>
        <v>0</v>
      </c>
      <c r="S16" s="40">
        <f>IF(tblBom[[#This Row],[Part number]]="","",IF(NOT(ISNUMBER(tblBom[[#This Row],[Ext. qty (per product)]])),"",tblBom[[#This Row],[Labour]]*OverheadPct+tblBom[[#This Row],[Material]]*MaterialBurden))</f>
        <v>0.38592</v>
      </c>
      <c r="T16" s="40">
        <f>IF(tblBom[[#This Row],[Part number]]="","",IF(NOT(ISNUMBER(tblBom[[#This Row],[Ext. qty (per product)]])),"",tblBom[[#This Row],[Material]]+tblBom[[#This Row],[Labour]]+tblBom[[#This Row],[Overhead]]))</f>
        <v>6.81792</v>
      </c>
      <c r="U16" s="40">
        <f>IF(tblBom[[#This Row],[Part number]]="","",IF(NOT(ISNUMBER(tblBom[[#This Row],[Ext. qty (per product)]])),"",tblBom[[#This Row],[Total]]+SUMIFS(tblBom[Total],tblBom[Parent],tblBom[[#This Row],[Part number]])+SUMIFS(tblBom[Total],tblBom[Grandparent],tblBom[[#This Row],[Part number]])+SUMIFS(tblBom[Total],tblBom[Great-grandparent],tblBom[[#This Row],[Part number]])))</f>
        <v>6.81792</v>
      </c>
      <c r="V16" s="40">
        <f>IF(tblBom[[#This Row],[Part number]]="","",IF(N(tblBom[[#This Row],[Ext. qty (per product)]])=0,"",tblBom[[#This Row],[Rolled-up cost (per product)]]/tblBom[[#This Row],[Ext. qty (per product)]]))</f>
        <v>6.81792</v>
      </c>
      <c r="W16"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6"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7" spans="2:24" x14ac:dyDescent="0.25">
      <c r="B17" s="28" t="s">
        <v>151</v>
      </c>
      <c r="C17" s="28" t="s">
        <v>152</v>
      </c>
      <c r="D17" s="28" t="s">
        <v>141</v>
      </c>
      <c r="E17" s="29">
        <v>1</v>
      </c>
      <c r="F17" s="28" t="s">
        <v>124</v>
      </c>
      <c r="G17" s="28" t="s">
        <v>131</v>
      </c>
      <c r="H17" s="28" t="s">
        <v>87</v>
      </c>
      <c r="I17" s="29">
        <v>4.75</v>
      </c>
      <c r="J17" s="31">
        <v>0.01</v>
      </c>
      <c r="K17" s="37">
        <v>0</v>
      </c>
      <c r="L17" s="28" t="s">
        <v>153</v>
      </c>
      <c r="M17" s="38" t="str">
        <f>IF(tblBom[[#This Row],[Part number]]="","",IF(tblBom[[#This Row],[Parent]]=ProductCode,ProductCode,IFERROR(INDEX(tblBom[Parent],MATCH(tblBom[[#This Row],[Parent]],tblBom[Part number],0)),"?")))</f>
        <v>WX-200</v>
      </c>
      <c r="N17" s="38" t="str">
        <f>IF(tblBom[[#This Row],[Part number]]="","",IF(tblBom[[#This Row],[Grandparent]]=ProductCode,ProductCode,IFERROR(INDEX(tblBom[Parent],MATCH(tblBom[[#This Row],[Grandparent]],tblBom[Part number],0)),"?")))</f>
        <v>WX-200</v>
      </c>
      <c r="O17" s="39">
        <f>IF(tblBom[[#This Row],[Part number]]="","",1+(tblBom[[#This Row],[Parent]]&lt;&gt;ProductCode)+(tblBom[[#This Row],[Grandparent]]&lt;&gt;ProductCode)+(tblBom[[#This Row],[Great-grandparent]]&lt;&gt;ProductCode))</f>
        <v>2</v>
      </c>
      <c r="P17"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7" s="40">
        <f>IF(tblBom[[#This Row],[Part number]]="","",IF(NOT(ISNUMBER(tblBom[[#This Row],[Ext. qty (per product)]])),"",tblBom[[#This Row],[Ext. qty (per product)]]*tblBom[[#This Row],[Unit cost]]*(1+tblBom[[#This Row],[Scrap]])))</f>
        <v>4.7975</v>
      </c>
      <c r="R17" s="40">
        <f>IF(tblBom[[#This Row],[Part number]]="","",IF(NOT(ISNUMBER(tblBom[[#This Row],[Ext. qty (per product)]])),"",tblBom[[#This Row],[Ext. qty (per product)]]*tblBom[[#This Row],[Labour (min/unit)]]/60*LabourRate))</f>
        <v>0</v>
      </c>
      <c r="S17" s="40">
        <f>IF(tblBom[[#This Row],[Part number]]="","",IF(NOT(ISNUMBER(tblBom[[#This Row],[Ext. qty (per product)]])),"",tblBom[[#This Row],[Labour]]*OverheadPct+tblBom[[#This Row],[Material]]*MaterialBurden))</f>
        <v>0.28785</v>
      </c>
      <c r="T17" s="40">
        <f>IF(tblBom[[#This Row],[Part number]]="","",IF(NOT(ISNUMBER(tblBom[[#This Row],[Ext. qty (per product)]])),"",tblBom[[#This Row],[Material]]+tblBom[[#This Row],[Labour]]+tblBom[[#This Row],[Overhead]]))</f>
        <v>5.08535</v>
      </c>
      <c r="U17" s="40">
        <f>IF(tblBom[[#This Row],[Part number]]="","",IF(NOT(ISNUMBER(tblBom[[#This Row],[Ext. qty (per product)]])),"",tblBom[[#This Row],[Total]]+SUMIFS(tblBom[Total],tblBom[Parent],tblBom[[#This Row],[Part number]])+SUMIFS(tblBom[Total],tblBom[Grandparent],tblBom[[#This Row],[Part number]])+SUMIFS(tblBom[Total],tblBom[Great-grandparent],tblBom[[#This Row],[Part number]])))</f>
        <v>5.08535</v>
      </c>
      <c r="V17" s="40">
        <f>IF(tblBom[[#This Row],[Part number]]="","",IF(N(tblBom[[#This Row],[Ext. qty (per product)]])=0,"",tblBom[[#This Row],[Rolled-up cost (per product)]]/tblBom[[#This Row],[Ext. qty (per product)]]))</f>
        <v>5.08535</v>
      </c>
      <c r="W17"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7"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8" spans="2:24" x14ac:dyDescent="0.25">
      <c r="B18" s="28" t="s">
        <v>154</v>
      </c>
      <c r="C18" s="28" t="s">
        <v>155</v>
      </c>
      <c r="D18" s="28" t="s">
        <v>141</v>
      </c>
      <c r="E18" s="29">
        <v>1</v>
      </c>
      <c r="F18" s="28" t="s">
        <v>156</v>
      </c>
      <c r="G18" s="28" t="s">
        <v>131</v>
      </c>
      <c r="H18" s="28" t="s">
        <v>85</v>
      </c>
      <c r="I18" s="29">
        <v>1.35</v>
      </c>
      <c r="J18" s="31">
        <v>0.02</v>
      </c>
      <c r="K18" s="37">
        <v>0</v>
      </c>
      <c r="L18" s="28" t="s">
        <v>153</v>
      </c>
      <c r="M18" s="38" t="str">
        <f>IF(tblBom[[#This Row],[Part number]]="","",IF(tblBom[[#This Row],[Parent]]=ProductCode,ProductCode,IFERROR(INDEX(tblBom[Parent],MATCH(tblBom[[#This Row],[Parent]],tblBom[Part number],0)),"?")))</f>
        <v>WX-200</v>
      </c>
      <c r="N18" s="38" t="str">
        <f>IF(tblBom[[#This Row],[Part number]]="","",IF(tblBom[[#This Row],[Grandparent]]=ProductCode,ProductCode,IFERROR(INDEX(tblBom[Parent],MATCH(tblBom[[#This Row],[Grandparent]],tblBom[Part number],0)),"?")))</f>
        <v>WX-200</v>
      </c>
      <c r="O18" s="39">
        <f>IF(tblBom[[#This Row],[Part number]]="","",1+(tblBom[[#This Row],[Parent]]&lt;&gt;ProductCode)+(tblBom[[#This Row],[Grandparent]]&lt;&gt;ProductCode)+(tblBom[[#This Row],[Great-grandparent]]&lt;&gt;ProductCode))</f>
        <v>2</v>
      </c>
      <c r="P18"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8" s="40">
        <f>IF(tblBom[[#This Row],[Part number]]="","",IF(NOT(ISNUMBER(tblBom[[#This Row],[Ext. qty (per product)]])),"",tblBom[[#This Row],[Ext. qty (per product)]]*tblBom[[#This Row],[Unit cost]]*(1+tblBom[[#This Row],[Scrap]])))</f>
        <v>1.377</v>
      </c>
      <c r="R18" s="40">
        <f>IF(tblBom[[#This Row],[Part number]]="","",IF(NOT(ISNUMBER(tblBom[[#This Row],[Ext. qty (per product)]])),"",tblBom[[#This Row],[Ext. qty (per product)]]*tblBom[[#This Row],[Labour (min/unit)]]/60*LabourRate))</f>
        <v>0</v>
      </c>
      <c r="S18" s="40">
        <f>IF(tblBom[[#This Row],[Part number]]="","",IF(NOT(ISNUMBER(tblBom[[#This Row],[Ext. qty (per product)]])),"",tblBom[[#This Row],[Labour]]*OverheadPct+tblBom[[#This Row],[Material]]*MaterialBurden))</f>
        <v>0.08262</v>
      </c>
      <c r="T18" s="40">
        <f>IF(tblBom[[#This Row],[Part number]]="","",IF(NOT(ISNUMBER(tblBom[[#This Row],[Ext. qty (per product)]])),"",tblBom[[#This Row],[Material]]+tblBom[[#This Row],[Labour]]+tblBom[[#This Row],[Overhead]]))</f>
        <v>1.45962</v>
      </c>
      <c r="U18" s="40">
        <f>IF(tblBom[[#This Row],[Part number]]="","",IF(NOT(ISNUMBER(tblBom[[#This Row],[Ext. qty (per product)]])),"",tblBom[[#This Row],[Total]]+SUMIFS(tblBom[Total],tblBom[Parent],tblBom[[#This Row],[Part number]])+SUMIFS(tblBom[Total],tblBom[Grandparent],tblBom[[#This Row],[Part number]])+SUMIFS(tblBom[Total],tblBom[Great-grandparent],tblBom[[#This Row],[Part number]])))</f>
        <v>1.45962</v>
      </c>
      <c r="V18" s="40">
        <f>IF(tblBom[[#This Row],[Part number]]="","",IF(N(tblBom[[#This Row],[Ext. qty (per product)]])=0,"",tblBom[[#This Row],[Rolled-up cost (per product)]]/tblBom[[#This Row],[Ext. qty (per product)]]))</f>
        <v>1.45962</v>
      </c>
      <c r="W18"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8"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19" spans="2:24" x14ac:dyDescent="0.25">
      <c r="B19" s="28" t="s">
        <v>157</v>
      </c>
      <c r="C19" s="28" t="s">
        <v>158</v>
      </c>
      <c r="D19" s="28" t="s">
        <v>141</v>
      </c>
      <c r="E19" s="29">
        <v>1</v>
      </c>
      <c r="F19" s="28" t="s">
        <v>124</v>
      </c>
      <c r="G19" s="28" t="s">
        <v>131</v>
      </c>
      <c r="H19" s="28" t="s">
        <v>85</v>
      </c>
      <c r="I19" s="29">
        <v>5.8</v>
      </c>
      <c r="J19" s="31">
        <v>0</v>
      </c>
      <c r="K19" s="37">
        <v>0</v>
      </c>
      <c r="L19" s="28" t="s">
        <v>145</v>
      </c>
      <c r="M19" s="38" t="str">
        <f>IF(tblBom[[#This Row],[Part number]]="","",IF(tblBom[[#This Row],[Parent]]=ProductCode,ProductCode,IFERROR(INDEX(tblBom[Parent],MATCH(tblBom[[#This Row],[Parent]],tblBom[Part number],0)),"?")))</f>
        <v>WX-200</v>
      </c>
      <c r="N19" s="38" t="str">
        <f>IF(tblBom[[#This Row],[Part number]]="","",IF(tblBom[[#This Row],[Grandparent]]=ProductCode,ProductCode,IFERROR(INDEX(tblBom[Parent],MATCH(tblBom[[#This Row],[Grandparent]],tblBom[Part number],0)),"?")))</f>
        <v>WX-200</v>
      </c>
      <c r="O19" s="39">
        <f>IF(tblBom[[#This Row],[Part number]]="","",1+(tblBom[[#This Row],[Parent]]&lt;&gt;ProductCode)+(tblBom[[#This Row],[Grandparent]]&lt;&gt;ProductCode)+(tblBom[[#This Row],[Great-grandparent]]&lt;&gt;ProductCode))</f>
        <v>2</v>
      </c>
      <c r="P19"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19" s="40">
        <f>IF(tblBom[[#This Row],[Part number]]="","",IF(NOT(ISNUMBER(tblBom[[#This Row],[Ext. qty (per product)]])),"",tblBom[[#This Row],[Ext. qty (per product)]]*tblBom[[#This Row],[Unit cost]]*(1+tblBom[[#This Row],[Scrap]])))</f>
        <v>5.8</v>
      </c>
      <c r="R19" s="40">
        <f>IF(tblBom[[#This Row],[Part number]]="","",IF(NOT(ISNUMBER(tblBom[[#This Row],[Ext. qty (per product)]])),"",tblBom[[#This Row],[Ext. qty (per product)]]*tblBom[[#This Row],[Labour (min/unit)]]/60*LabourRate))</f>
        <v>0</v>
      </c>
      <c r="S19" s="40">
        <f>IF(tblBom[[#This Row],[Part number]]="","",IF(NOT(ISNUMBER(tblBom[[#This Row],[Ext. qty (per product)]])),"",tblBom[[#This Row],[Labour]]*OverheadPct+tblBom[[#This Row],[Material]]*MaterialBurden))</f>
        <v>0.348</v>
      </c>
      <c r="T19" s="40">
        <f>IF(tblBom[[#This Row],[Part number]]="","",IF(NOT(ISNUMBER(tblBom[[#This Row],[Ext. qty (per product)]])),"",tblBom[[#This Row],[Material]]+tblBom[[#This Row],[Labour]]+tblBom[[#This Row],[Overhead]]))</f>
        <v>6.148</v>
      </c>
      <c r="U19" s="40">
        <f>IF(tblBom[[#This Row],[Part number]]="","",IF(NOT(ISNUMBER(tblBom[[#This Row],[Ext. qty (per product)]])),"",tblBom[[#This Row],[Total]]+SUMIFS(tblBom[Total],tblBom[Parent],tblBom[[#This Row],[Part number]])+SUMIFS(tblBom[Total],tblBom[Grandparent],tblBom[[#This Row],[Part number]])+SUMIFS(tblBom[Total],tblBom[Great-grandparent],tblBom[[#This Row],[Part number]])))</f>
        <v>6.148</v>
      </c>
      <c r="V19" s="40">
        <f>IF(tblBom[[#This Row],[Part number]]="","",IF(N(tblBom[[#This Row],[Ext. qty (per product)]])=0,"",tblBom[[#This Row],[Rolled-up cost (per product)]]/tblBom[[#This Row],[Ext. qty (per product)]]))</f>
        <v>6.148</v>
      </c>
      <c r="W19"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19"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0" spans="2:24" x14ac:dyDescent="0.25">
      <c r="B20" s="28" t="s">
        <v>159</v>
      </c>
      <c r="C20" s="28" t="s">
        <v>160</v>
      </c>
      <c r="D20" s="28" t="s">
        <v>68</v>
      </c>
      <c r="E20" s="29">
        <v>1</v>
      </c>
      <c r="F20" s="28" t="s">
        <v>124</v>
      </c>
      <c r="G20" s="28" t="s">
        <v>125</v>
      </c>
      <c r="H20" s="28" t="s">
        <v>97</v>
      </c>
      <c r="I20" s="29">
        <v>0</v>
      </c>
      <c r="J20" s="31">
        <v>0</v>
      </c>
      <c r="K20" s="37">
        <v>8</v>
      </c>
      <c r="L20" s="28" t="s">
        <v>126</v>
      </c>
      <c r="M20" s="38" t="str">
        <f>IF(tblBom[[#This Row],[Part number]]="","",IF(tblBom[[#This Row],[Parent]]=ProductCode,ProductCode,IFERROR(INDEX(tblBom[Parent],MATCH(tblBom[[#This Row],[Parent]],tblBom[Part number],0)),"?")))</f>
        <v>WX-200</v>
      </c>
      <c r="N20" s="38" t="str">
        <f>IF(tblBom[[#This Row],[Part number]]="","",IF(tblBom[[#This Row],[Grandparent]]=ProductCode,ProductCode,IFERROR(INDEX(tblBom[Parent],MATCH(tblBom[[#This Row],[Grandparent]],tblBom[Part number],0)),"?")))</f>
        <v>WX-200</v>
      </c>
      <c r="O20" s="39">
        <f>IF(tblBom[[#This Row],[Part number]]="","",1+(tblBom[[#This Row],[Parent]]&lt;&gt;ProductCode)+(tblBom[[#This Row],[Grandparent]]&lt;&gt;ProductCode)+(tblBom[[#This Row],[Great-grandparent]]&lt;&gt;ProductCode))</f>
        <v>1</v>
      </c>
      <c r="P20"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20" s="40">
        <f>IF(tblBom[[#This Row],[Part number]]="","",IF(NOT(ISNUMBER(tblBom[[#This Row],[Ext. qty (per product)]])),"",tblBom[[#This Row],[Ext. qty (per product)]]*tblBom[[#This Row],[Unit cost]]*(1+tblBom[[#This Row],[Scrap]])))</f>
        <v>0</v>
      </c>
      <c r="R20" s="40">
        <f>IF(tblBom[[#This Row],[Part number]]="","",IF(NOT(ISNUMBER(tblBom[[#This Row],[Ext. qty (per product)]])),"",tblBom[[#This Row],[Ext. qty (per product)]]*tblBom[[#This Row],[Labour (min/unit)]]/60*LabourRate))</f>
        <v>5.06666666666667</v>
      </c>
      <c r="S20" s="40">
        <f>IF(tblBom[[#This Row],[Part number]]="","",IF(NOT(ISNUMBER(tblBom[[#This Row],[Ext. qty (per product)]])),"",tblBom[[#This Row],[Labour]]*OverheadPct+tblBom[[#This Row],[Material]]*MaterialBurden))</f>
        <v>6.08</v>
      </c>
      <c r="T20" s="40">
        <f>IF(tblBom[[#This Row],[Part number]]="","",IF(NOT(ISNUMBER(tblBom[[#This Row],[Ext. qty (per product)]])),"",tblBom[[#This Row],[Material]]+tblBom[[#This Row],[Labour]]+tblBom[[#This Row],[Overhead]]))</f>
        <v>11.1466666666667</v>
      </c>
      <c r="U20" s="40">
        <f>IF(tblBom[[#This Row],[Part number]]="","",IF(NOT(ISNUMBER(tblBom[[#This Row],[Ext. qty (per product)]])),"",tblBom[[#This Row],[Total]]+SUMIFS(tblBom[Total],tblBom[Parent],tblBom[[#This Row],[Part number]])+SUMIFS(tblBom[Total],tblBom[Grandparent],tblBom[[#This Row],[Part number]])+SUMIFS(tblBom[Total],tblBom[Great-grandparent],tblBom[[#This Row],[Part number]])))</f>
        <v>23.3022126666667</v>
      </c>
      <c r="V20" s="40">
        <f>IF(tblBom[[#This Row],[Part number]]="","",IF(N(tblBom[[#This Row],[Ext. qty (per product)]])=0,"",tblBom[[#This Row],[Rolled-up cost (per product)]]/tblBom[[#This Row],[Ext. qty (per product)]]))</f>
        <v>23.3022126666667</v>
      </c>
      <c r="W20"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2</v>
      </c>
      <c r="X20"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1" spans="2:24" x14ac:dyDescent="0.25">
      <c r="B21" s="28" t="s">
        <v>161</v>
      </c>
      <c r="C21" s="28" t="s">
        <v>162</v>
      </c>
      <c r="D21" s="28" t="s">
        <v>159</v>
      </c>
      <c r="E21" s="29">
        <v>1</v>
      </c>
      <c r="F21" s="28" t="s">
        <v>163</v>
      </c>
      <c r="G21" s="28" t="s">
        <v>131</v>
      </c>
      <c r="H21" s="28" t="s">
        <v>83</v>
      </c>
      <c r="I21" s="29">
        <v>2.6</v>
      </c>
      <c r="J21" s="31">
        <v>0.02</v>
      </c>
      <c r="K21" s="37">
        <v>0</v>
      </c>
      <c r="L21" s="28" t="s">
        <v>132</v>
      </c>
      <c r="M21" s="38" t="str">
        <f>IF(tblBom[[#This Row],[Part number]]="","",IF(tblBom[[#This Row],[Parent]]=ProductCode,ProductCode,IFERROR(INDEX(tblBom[Parent],MATCH(tblBom[[#This Row],[Parent]],tblBom[Part number],0)),"?")))</f>
        <v>WX-200</v>
      </c>
      <c r="N21" s="38" t="str">
        <f>IF(tblBom[[#This Row],[Part number]]="","",IF(tblBom[[#This Row],[Grandparent]]=ProductCode,ProductCode,IFERROR(INDEX(tblBom[Parent],MATCH(tblBom[[#This Row],[Grandparent]],tblBom[Part number],0)),"?")))</f>
        <v>WX-200</v>
      </c>
      <c r="O21" s="39">
        <f>IF(tblBom[[#This Row],[Part number]]="","",1+(tblBom[[#This Row],[Parent]]&lt;&gt;ProductCode)+(tblBom[[#This Row],[Grandparent]]&lt;&gt;ProductCode)+(tblBom[[#This Row],[Great-grandparent]]&lt;&gt;ProductCode))</f>
        <v>2</v>
      </c>
      <c r="P21"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21" s="40">
        <f>IF(tblBom[[#This Row],[Part number]]="","",IF(NOT(ISNUMBER(tblBom[[#This Row],[Ext. qty (per product)]])),"",tblBom[[#This Row],[Ext. qty (per product)]]*tblBom[[#This Row],[Unit cost]]*(1+tblBom[[#This Row],[Scrap]])))</f>
        <v>2.652</v>
      </c>
      <c r="R21" s="40">
        <f>IF(tblBom[[#This Row],[Part number]]="","",IF(NOT(ISNUMBER(tblBom[[#This Row],[Ext. qty (per product)]])),"",tblBom[[#This Row],[Ext. qty (per product)]]*tblBom[[#This Row],[Labour (min/unit)]]/60*LabourRate))</f>
        <v>0</v>
      </c>
      <c r="S21" s="40">
        <f>IF(tblBom[[#This Row],[Part number]]="","",IF(NOT(ISNUMBER(tblBom[[#This Row],[Ext. qty (per product)]])),"",tblBom[[#This Row],[Labour]]*OverheadPct+tblBom[[#This Row],[Material]]*MaterialBurden))</f>
        <v>0.15912</v>
      </c>
      <c r="T21" s="40">
        <f>IF(tblBom[[#This Row],[Part number]]="","",IF(NOT(ISNUMBER(tblBom[[#This Row],[Ext. qty (per product)]])),"",tblBom[[#This Row],[Material]]+tblBom[[#This Row],[Labour]]+tblBom[[#This Row],[Overhead]]))</f>
        <v>2.81112</v>
      </c>
      <c r="U21" s="40">
        <f>IF(tblBom[[#This Row],[Part number]]="","",IF(NOT(ISNUMBER(tblBom[[#This Row],[Ext. qty (per product)]])),"",tblBom[[#This Row],[Total]]+SUMIFS(tblBom[Total],tblBom[Parent],tblBom[[#This Row],[Part number]])+SUMIFS(tblBom[Total],tblBom[Grandparent],tblBom[[#This Row],[Part number]])+SUMIFS(tblBom[Total],tblBom[Great-grandparent],tblBom[[#This Row],[Part number]])))</f>
        <v>2.81112</v>
      </c>
      <c r="V21" s="40">
        <f>IF(tblBom[[#This Row],[Part number]]="","",IF(N(tblBom[[#This Row],[Ext. qty (per product)]])=0,"",tblBom[[#This Row],[Rolled-up cost (per product)]]/tblBom[[#This Row],[Ext. qty (per product)]]))</f>
        <v>2.81112</v>
      </c>
      <c r="W21"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21"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2" spans="2:24" x14ac:dyDescent="0.25">
      <c r="B22" s="28" t="s">
        <v>164</v>
      </c>
      <c r="C22" s="28" t="s">
        <v>165</v>
      </c>
      <c r="D22" s="28" t="s">
        <v>159</v>
      </c>
      <c r="E22" s="29">
        <v>2</v>
      </c>
      <c r="F22" s="28" t="s">
        <v>124</v>
      </c>
      <c r="G22" s="28" t="s">
        <v>131</v>
      </c>
      <c r="H22" s="28" t="s">
        <v>91</v>
      </c>
      <c r="I22" s="29">
        <v>0.55</v>
      </c>
      <c r="J22" s="31">
        <v>0.01</v>
      </c>
      <c r="K22" s="37">
        <v>0</v>
      </c>
      <c r="L22" s="28" t="s">
        <v>140</v>
      </c>
      <c r="M22" s="38" t="str">
        <f>IF(tblBom[[#This Row],[Part number]]="","",IF(tblBom[[#This Row],[Parent]]=ProductCode,ProductCode,IFERROR(INDEX(tblBom[Parent],MATCH(tblBom[[#This Row],[Parent]],tblBom[Part number],0)),"?")))</f>
        <v>WX-200</v>
      </c>
      <c r="N22" s="38" t="str">
        <f>IF(tblBom[[#This Row],[Part number]]="","",IF(tblBom[[#This Row],[Grandparent]]=ProductCode,ProductCode,IFERROR(INDEX(tblBom[Parent],MATCH(tblBom[[#This Row],[Grandparent]],tblBom[Part number],0)),"?")))</f>
        <v>WX-200</v>
      </c>
      <c r="O22" s="39">
        <f>IF(tblBom[[#This Row],[Part number]]="","",1+(tblBom[[#This Row],[Parent]]&lt;&gt;ProductCode)+(tblBom[[#This Row],[Grandparent]]&lt;&gt;ProductCode)+(tblBom[[#This Row],[Great-grandparent]]&lt;&gt;ProductCode))</f>
        <v>2</v>
      </c>
      <c r="P22"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2</v>
      </c>
      <c r="Q22" s="40">
        <f>IF(tblBom[[#This Row],[Part number]]="","",IF(NOT(ISNUMBER(tblBom[[#This Row],[Ext. qty (per product)]])),"",tblBom[[#This Row],[Ext. qty (per product)]]*tblBom[[#This Row],[Unit cost]]*(1+tblBom[[#This Row],[Scrap]])))</f>
        <v>1.111</v>
      </c>
      <c r="R22" s="40">
        <f>IF(tblBom[[#This Row],[Part number]]="","",IF(NOT(ISNUMBER(tblBom[[#This Row],[Ext. qty (per product)]])),"",tblBom[[#This Row],[Ext. qty (per product)]]*tblBom[[#This Row],[Labour (min/unit)]]/60*LabourRate))</f>
        <v>0</v>
      </c>
      <c r="S22" s="40">
        <f>IF(tblBom[[#This Row],[Part number]]="","",IF(NOT(ISNUMBER(tblBom[[#This Row],[Ext. qty (per product)]])),"",tblBom[[#This Row],[Labour]]*OverheadPct+tblBom[[#This Row],[Material]]*MaterialBurden))</f>
        <v>0.06666</v>
      </c>
      <c r="T22" s="40">
        <f>IF(tblBom[[#This Row],[Part number]]="","",IF(NOT(ISNUMBER(tblBom[[#This Row],[Ext. qty (per product)]])),"",tblBom[[#This Row],[Material]]+tblBom[[#This Row],[Labour]]+tblBom[[#This Row],[Overhead]]))</f>
        <v>1.17766</v>
      </c>
      <c r="U22" s="40">
        <f>IF(tblBom[[#This Row],[Part number]]="","",IF(NOT(ISNUMBER(tblBom[[#This Row],[Ext. qty (per product)]])),"",tblBom[[#This Row],[Total]]+SUMIFS(tblBom[Total],tblBom[Parent],tblBom[[#This Row],[Part number]])+SUMIFS(tblBom[Total],tblBom[Grandparent],tblBom[[#This Row],[Part number]])+SUMIFS(tblBom[Total],tblBom[Great-grandparent],tblBom[[#This Row],[Part number]])))</f>
        <v>1.17766</v>
      </c>
      <c r="V22" s="40">
        <f>IF(tblBom[[#This Row],[Part number]]="","",IF(N(tblBom[[#This Row],[Ext. qty (per product)]])=0,"",tblBom[[#This Row],[Rolled-up cost (per product)]]/tblBom[[#This Row],[Ext. qty (per product)]]))</f>
        <v>0.58883</v>
      </c>
      <c r="W22"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22"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3" spans="2:24" x14ac:dyDescent="0.25">
      <c r="B23" s="28" t="s">
        <v>166</v>
      </c>
      <c r="C23" s="28" t="s">
        <v>167</v>
      </c>
      <c r="D23" s="28" t="s">
        <v>159</v>
      </c>
      <c r="E23" s="29">
        <v>1</v>
      </c>
      <c r="F23" s="28" t="s">
        <v>124</v>
      </c>
      <c r="G23" s="28" t="s">
        <v>131</v>
      </c>
      <c r="H23" s="28" t="s">
        <v>83</v>
      </c>
      <c r="I23" s="29">
        <v>1.4</v>
      </c>
      <c r="J23" s="31">
        <v>0.02</v>
      </c>
      <c r="K23" s="37">
        <v>0</v>
      </c>
      <c r="L23" s="28" t="s">
        <v>132</v>
      </c>
      <c r="M23" s="38" t="str">
        <f>IF(tblBom[[#This Row],[Part number]]="","",IF(tblBom[[#This Row],[Parent]]=ProductCode,ProductCode,IFERROR(INDEX(tblBom[Parent],MATCH(tblBom[[#This Row],[Parent]],tblBom[Part number],0)),"?")))</f>
        <v>WX-200</v>
      </c>
      <c r="N23" s="38" t="str">
        <f>IF(tblBom[[#This Row],[Part number]]="","",IF(tblBom[[#This Row],[Grandparent]]=ProductCode,ProductCode,IFERROR(INDEX(tblBom[Parent],MATCH(tblBom[[#This Row],[Grandparent]],tblBom[Part number],0)),"?")))</f>
        <v>WX-200</v>
      </c>
      <c r="O23" s="39">
        <f>IF(tblBom[[#This Row],[Part number]]="","",1+(tblBom[[#This Row],[Parent]]&lt;&gt;ProductCode)+(tblBom[[#This Row],[Grandparent]]&lt;&gt;ProductCode)+(tblBom[[#This Row],[Great-grandparent]]&lt;&gt;ProductCode))</f>
        <v>2</v>
      </c>
      <c r="P23"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23" s="40">
        <f>IF(tblBom[[#This Row],[Part number]]="","",IF(NOT(ISNUMBER(tblBom[[#This Row],[Ext. qty (per product)]])),"",tblBom[[#This Row],[Ext. qty (per product)]]*tblBom[[#This Row],[Unit cost]]*(1+tblBom[[#This Row],[Scrap]])))</f>
        <v>1.428</v>
      </c>
      <c r="R23" s="40">
        <f>IF(tblBom[[#This Row],[Part number]]="","",IF(NOT(ISNUMBER(tblBom[[#This Row],[Ext. qty (per product)]])),"",tblBom[[#This Row],[Ext. qty (per product)]]*tblBom[[#This Row],[Labour (min/unit)]]/60*LabourRate))</f>
        <v>0</v>
      </c>
      <c r="S23" s="40">
        <f>IF(tblBom[[#This Row],[Part number]]="","",IF(NOT(ISNUMBER(tblBom[[#This Row],[Ext. qty (per product)]])),"",tblBom[[#This Row],[Labour]]*OverheadPct+tblBom[[#This Row],[Material]]*MaterialBurden))</f>
        <v>0.08568</v>
      </c>
      <c r="T23" s="40">
        <f>IF(tblBom[[#This Row],[Part number]]="","",IF(NOT(ISNUMBER(tblBom[[#This Row],[Ext. qty (per product)]])),"",tblBom[[#This Row],[Material]]+tblBom[[#This Row],[Labour]]+tblBom[[#This Row],[Overhead]]))</f>
        <v>1.51368</v>
      </c>
      <c r="U23" s="40">
        <f>IF(tblBom[[#This Row],[Part number]]="","",IF(NOT(ISNUMBER(tblBom[[#This Row],[Ext. qty (per product)]])),"",tblBom[[#This Row],[Total]]+SUMIFS(tblBom[Total],tblBom[Parent],tblBom[[#This Row],[Part number]])+SUMIFS(tblBom[Total],tblBom[Grandparent],tblBom[[#This Row],[Part number]])+SUMIFS(tblBom[Total],tblBom[Great-grandparent],tblBom[[#This Row],[Part number]])))</f>
        <v>1.51368</v>
      </c>
      <c r="V23" s="40">
        <f>IF(tblBom[[#This Row],[Part number]]="","",IF(N(tblBom[[#This Row],[Ext. qty (per product)]])=0,"",tblBom[[#This Row],[Rolled-up cost (per product)]]/tblBom[[#This Row],[Ext. qty (per product)]]))</f>
        <v>1.51368</v>
      </c>
      <c r="W23"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23"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4" spans="2:24" x14ac:dyDescent="0.25">
      <c r="B24" s="28" t="s">
        <v>168</v>
      </c>
      <c r="C24" s="28" t="s">
        <v>169</v>
      </c>
      <c r="D24" s="28" t="s">
        <v>159</v>
      </c>
      <c r="E24" s="29">
        <v>1</v>
      </c>
      <c r="F24" s="28" t="s">
        <v>124</v>
      </c>
      <c r="G24" s="28" t="s">
        <v>125</v>
      </c>
      <c r="H24" s="28" t="s">
        <v>97</v>
      </c>
      <c r="I24" s="29">
        <v>0</v>
      </c>
      <c r="J24" s="31">
        <v>0</v>
      </c>
      <c r="K24" s="37">
        <v>3</v>
      </c>
      <c r="L24" s="28" t="s">
        <v>126</v>
      </c>
      <c r="M24" s="38" t="str">
        <f>IF(tblBom[[#This Row],[Part number]]="","",IF(tblBom[[#This Row],[Parent]]=ProductCode,ProductCode,IFERROR(INDEX(tblBom[Parent],MATCH(tblBom[[#This Row],[Parent]],tblBom[Part number],0)),"?")))</f>
        <v>WX-200</v>
      </c>
      <c r="N24" s="38" t="str">
        <f>IF(tblBom[[#This Row],[Part number]]="","",IF(tblBom[[#This Row],[Grandparent]]=ProductCode,ProductCode,IFERROR(INDEX(tblBom[Parent],MATCH(tblBom[[#This Row],[Grandparent]],tblBom[Part number],0)),"?")))</f>
        <v>WX-200</v>
      </c>
      <c r="O24" s="39">
        <f>IF(tblBom[[#This Row],[Part number]]="","",1+(tblBom[[#This Row],[Parent]]&lt;&gt;ProductCode)+(tblBom[[#This Row],[Grandparent]]&lt;&gt;ProductCode)+(tblBom[[#This Row],[Great-grandparent]]&lt;&gt;ProductCode))</f>
        <v>2</v>
      </c>
      <c r="P24"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24" s="40">
        <f>IF(tblBom[[#This Row],[Part number]]="","",IF(NOT(ISNUMBER(tblBom[[#This Row],[Ext. qty (per product)]])),"",tblBom[[#This Row],[Ext. qty (per product)]]*tblBom[[#This Row],[Unit cost]]*(1+tblBom[[#This Row],[Scrap]])))</f>
        <v>0</v>
      </c>
      <c r="R24" s="40">
        <f>IF(tblBom[[#This Row],[Part number]]="","",IF(NOT(ISNUMBER(tblBom[[#This Row],[Ext. qty (per product)]])),"",tblBom[[#This Row],[Ext. qty (per product)]]*tblBom[[#This Row],[Labour (min/unit)]]/60*LabourRate))</f>
        <v>1.9</v>
      </c>
      <c r="S24" s="40">
        <f>IF(tblBom[[#This Row],[Part number]]="","",IF(NOT(ISNUMBER(tblBom[[#This Row],[Ext. qty (per product)]])),"",tblBom[[#This Row],[Labour]]*OverheadPct+tblBom[[#This Row],[Material]]*MaterialBurden))</f>
        <v>2.28</v>
      </c>
      <c r="T24" s="40">
        <f>IF(tblBom[[#This Row],[Part number]]="","",IF(NOT(ISNUMBER(tblBom[[#This Row],[Ext. qty (per product)]])),"",tblBom[[#This Row],[Material]]+tblBom[[#This Row],[Labour]]+tblBom[[#This Row],[Overhead]]))</f>
        <v>4.18</v>
      </c>
      <c r="U24" s="40">
        <f>IF(tblBom[[#This Row],[Part number]]="","",IF(NOT(ISNUMBER(tblBom[[#This Row],[Ext. qty (per product)]])),"",tblBom[[#This Row],[Total]]+SUMIFS(tblBom[Total],tblBom[Parent],tblBom[[#This Row],[Part number]])+SUMIFS(tblBom[Total],tblBom[Grandparent],tblBom[[#This Row],[Part number]])+SUMIFS(tblBom[Total],tblBom[Great-grandparent],tblBom[[#This Row],[Part number]])))</f>
        <v>6.653086</v>
      </c>
      <c r="V24" s="40">
        <f>IF(tblBom[[#This Row],[Part number]]="","",IF(N(tblBom[[#This Row],[Ext. qty (per product)]])=0,"",tblBom[[#This Row],[Rolled-up cost (per product)]]/tblBom[[#This Row],[Ext. qty (per product)]]))</f>
        <v>6.653086</v>
      </c>
      <c r="W24"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24"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5" spans="2:24" x14ac:dyDescent="0.25">
      <c r="B25" s="28" t="s">
        <v>170</v>
      </c>
      <c r="C25" s="28" t="s">
        <v>171</v>
      </c>
      <c r="D25" s="28" t="s">
        <v>168</v>
      </c>
      <c r="E25" s="29">
        <v>1</v>
      </c>
      <c r="F25" s="28" t="s">
        <v>124</v>
      </c>
      <c r="G25" s="28" t="s">
        <v>131</v>
      </c>
      <c r="H25" s="28" t="s">
        <v>85</v>
      </c>
      <c r="I25" s="29">
        <v>0.9</v>
      </c>
      <c r="J25" s="31">
        <v>0.01</v>
      </c>
      <c r="K25" s="37">
        <v>0</v>
      </c>
      <c r="L25" s="28" t="s">
        <v>145</v>
      </c>
      <c r="M25" s="38" t="str">
        <f>IF(tblBom[[#This Row],[Part number]]="","",IF(tblBom[[#This Row],[Parent]]=ProductCode,ProductCode,IFERROR(INDEX(tblBom[Parent],MATCH(tblBom[[#This Row],[Parent]],tblBom[Part number],0)),"?")))</f>
        <v>SNS-W</v>
      </c>
      <c r="N25" s="38" t="str">
        <f>IF(tblBom[[#This Row],[Part number]]="","",IF(tblBom[[#This Row],[Grandparent]]=ProductCode,ProductCode,IFERROR(INDEX(tblBom[Parent],MATCH(tblBom[[#This Row],[Grandparent]],tblBom[Part number],0)),"?")))</f>
        <v>WX-200</v>
      </c>
      <c r="O25" s="39">
        <f>IF(tblBom[[#This Row],[Part number]]="","",1+(tblBom[[#This Row],[Parent]]&lt;&gt;ProductCode)+(tblBom[[#This Row],[Grandparent]]&lt;&gt;ProductCode)+(tblBom[[#This Row],[Great-grandparent]]&lt;&gt;ProductCode))</f>
        <v>3</v>
      </c>
      <c r="P25"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25" s="40">
        <f>IF(tblBom[[#This Row],[Part number]]="","",IF(NOT(ISNUMBER(tblBom[[#This Row],[Ext. qty (per product)]])),"",tblBom[[#This Row],[Ext. qty (per product)]]*tblBom[[#This Row],[Unit cost]]*(1+tblBom[[#This Row],[Scrap]])))</f>
        <v>0.909</v>
      </c>
      <c r="R25" s="40">
        <f>IF(tblBom[[#This Row],[Part number]]="","",IF(NOT(ISNUMBER(tblBom[[#This Row],[Ext. qty (per product)]])),"",tblBom[[#This Row],[Ext. qty (per product)]]*tblBom[[#This Row],[Labour (min/unit)]]/60*LabourRate))</f>
        <v>0</v>
      </c>
      <c r="S25" s="40">
        <f>IF(tblBom[[#This Row],[Part number]]="","",IF(NOT(ISNUMBER(tblBom[[#This Row],[Ext. qty (per product)]])),"",tblBom[[#This Row],[Labour]]*OverheadPct+tblBom[[#This Row],[Material]]*MaterialBurden))</f>
        <v>0.05454</v>
      </c>
      <c r="T25" s="40">
        <f>IF(tblBom[[#This Row],[Part number]]="","",IF(NOT(ISNUMBER(tblBom[[#This Row],[Ext. qty (per product)]])),"",tblBom[[#This Row],[Material]]+tblBom[[#This Row],[Labour]]+tblBom[[#This Row],[Overhead]]))</f>
        <v>0.96354</v>
      </c>
      <c r="U25" s="40">
        <f>IF(tblBom[[#This Row],[Part number]]="","",IF(NOT(ISNUMBER(tblBom[[#This Row],[Ext. qty (per product)]])),"",tblBom[[#This Row],[Total]]+SUMIFS(tblBom[Total],tblBom[Parent],tblBom[[#This Row],[Part number]])+SUMIFS(tblBom[Total],tblBom[Grandparent],tblBom[[#This Row],[Part number]])+SUMIFS(tblBom[Total],tblBom[Great-grandparent],tblBom[[#This Row],[Part number]])))</f>
        <v>0.96354</v>
      </c>
      <c r="V25" s="40">
        <f>IF(tblBom[[#This Row],[Part number]]="","",IF(N(tblBom[[#This Row],[Ext. qty (per product)]])=0,"",tblBom[[#This Row],[Rolled-up cost (per product)]]/tblBom[[#This Row],[Ext. qty (per product)]]))</f>
        <v>0.96354</v>
      </c>
      <c r="W25"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25"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6" spans="2:24" x14ac:dyDescent="0.25">
      <c r="B26" s="28" t="s">
        <v>172</v>
      </c>
      <c r="C26" s="28" t="s">
        <v>173</v>
      </c>
      <c r="D26" s="28" t="s">
        <v>168</v>
      </c>
      <c r="E26" s="29">
        <v>2</v>
      </c>
      <c r="F26" s="28" t="s">
        <v>124</v>
      </c>
      <c r="G26" s="28" t="s">
        <v>131</v>
      </c>
      <c r="H26" s="28" t="s">
        <v>87</v>
      </c>
      <c r="I26" s="29">
        <v>0.38</v>
      </c>
      <c r="J26" s="31">
        <v>0.01</v>
      </c>
      <c r="K26" s="37">
        <v>0</v>
      </c>
      <c r="L26" s="28" t="s">
        <v>153</v>
      </c>
      <c r="M26" s="38" t="str">
        <f>IF(tblBom[[#This Row],[Part number]]="","",IF(tblBom[[#This Row],[Parent]]=ProductCode,ProductCode,IFERROR(INDEX(tblBom[Parent],MATCH(tblBom[[#This Row],[Parent]],tblBom[Part number],0)),"?")))</f>
        <v>SNS-W</v>
      </c>
      <c r="N26" s="38" t="str">
        <f>IF(tblBom[[#This Row],[Part number]]="","",IF(tblBom[[#This Row],[Grandparent]]=ProductCode,ProductCode,IFERROR(INDEX(tblBom[Parent],MATCH(tblBom[[#This Row],[Grandparent]],tblBom[Part number],0)),"?")))</f>
        <v>WX-200</v>
      </c>
      <c r="O26" s="39">
        <f>IF(tblBom[[#This Row],[Part number]]="","",1+(tblBom[[#This Row],[Parent]]&lt;&gt;ProductCode)+(tblBom[[#This Row],[Grandparent]]&lt;&gt;ProductCode)+(tblBom[[#This Row],[Great-grandparent]]&lt;&gt;ProductCode))</f>
        <v>3</v>
      </c>
      <c r="P26"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2</v>
      </c>
      <c r="Q26" s="40">
        <f>IF(tblBom[[#This Row],[Part number]]="","",IF(NOT(ISNUMBER(tblBom[[#This Row],[Ext. qty (per product)]])),"",tblBom[[#This Row],[Ext. qty (per product)]]*tblBom[[#This Row],[Unit cost]]*(1+tblBom[[#This Row],[Scrap]])))</f>
        <v>0.7676</v>
      </c>
      <c r="R26" s="40">
        <f>IF(tblBom[[#This Row],[Part number]]="","",IF(NOT(ISNUMBER(tblBom[[#This Row],[Ext. qty (per product)]])),"",tblBom[[#This Row],[Ext. qty (per product)]]*tblBom[[#This Row],[Labour (min/unit)]]/60*LabourRate))</f>
        <v>0</v>
      </c>
      <c r="S26" s="40">
        <f>IF(tblBom[[#This Row],[Part number]]="","",IF(NOT(ISNUMBER(tblBom[[#This Row],[Ext. qty (per product)]])),"",tblBom[[#This Row],[Labour]]*OverheadPct+tblBom[[#This Row],[Material]]*MaterialBurden))</f>
        <v>0.046056</v>
      </c>
      <c r="T26" s="40">
        <f>IF(tblBom[[#This Row],[Part number]]="","",IF(NOT(ISNUMBER(tblBom[[#This Row],[Ext. qty (per product)]])),"",tblBom[[#This Row],[Material]]+tblBom[[#This Row],[Labour]]+tblBom[[#This Row],[Overhead]]))</f>
        <v>0.813656</v>
      </c>
      <c r="U26" s="40">
        <f>IF(tblBom[[#This Row],[Part number]]="","",IF(NOT(ISNUMBER(tblBom[[#This Row],[Ext. qty (per product)]])),"",tblBom[[#This Row],[Total]]+SUMIFS(tblBom[Total],tblBom[Parent],tblBom[[#This Row],[Part number]])+SUMIFS(tblBom[Total],tblBom[Grandparent],tblBom[[#This Row],[Part number]])+SUMIFS(tblBom[Total],tblBom[Great-grandparent],tblBom[[#This Row],[Part number]])))</f>
        <v>0.813656</v>
      </c>
      <c r="V26" s="40">
        <f>IF(tblBom[[#This Row],[Part number]]="","",IF(N(tblBom[[#This Row],[Ext. qty (per product)]])=0,"",tblBom[[#This Row],[Rolled-up cost (per product)]]/tblBom[[#This Row],[Ext. qty (per product)]]))</f>
        <v>0.406828</v>
      </c>
      <c r="W26"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26"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7" spans="2:24" x14ac:dyDescent="0.25">
      <c r="B27" s="28" t="s">
        <v>174</v>
      </c>
      <c r="C27" s="28" t="s">
        <v>175</v>
      </c>
      <c r="D27" s="28" t="s">
        <v>168</v>
      </c>
      <c r="E27" s="29">
        <v>1</v>
      </c>
      <c r="F27" s="28" t="s">
        <v>124</v>
      </c>
      <c r="G27" s="28" t="s">
        <v>131</v>
      </c>
      <c r="H27" s="28" t="s">
        <v>91</v>
      </c>
      <c r="I27" s="29">
        <v>0.65</v>
      </c>
      <c r="J27" s="31">
        <v>0.01</v>
      </c>
      <c r="K27" s="37">
        <v>0</v>
      </c>
      <c r="L27" s="28" t="s">
        <v>176</v>
      </c>
      <c r="M27" s="38" t="str">
        <f>IF(tblBom[[#This Row],[Part number]]="","",IF(tblBom[[#This Row],[Parent]]=ProductCode,ProductCode,IFERROR(INDEX(tblBom[Parent],MATCH(tblBom[[#This Row],[Parent]],tblBom[Part number],0)),"?")))</f>
        <v>SNS-W</v>
      </c>
      <c r="N27" s="38" t="str">
        <f>IF(tblBom[[#This Row],[Part number]]="","",IF(tblBom[[#This Row],[Grandparent]]=ProductCode,ProductCode,IFERROR(INDEX(tblBom[Parent],MATCH(tblBom[[#This Row],[Grandparent]],tblBom[Part number],0)),"?")))</f>
        <v>WX-200</v>
      </c>
      <c r="O27" s="39">
        <f>IF(tblBom[[#This Row],[Part number]]="","",1+(tblBom[[#This Row],[Parent]]&lt;&gt;ProductCode)+(tblBom[[#This Row],[Grandparent]]&lt;&gt;ProductCode)+(tblBom[[#This Row],[Great-grandparent]]&lt;&gt;ProductCode))</f>
        <v>3</v>
      </c>
      <c r="P27"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27" s="40">
        <f>IF(tblBom[[#This Row],[Part number]]="","",IF(NOT(ISNUMBER(tblBom[[#This Row],[Ext. qty (per product)]])),"",tblBom[[#This Row],[Ext. qty (per product)]]*tblBom[[#This Row],[Unit cost]]*(1+tblBom[[#This Row],[Scrap]])))</f>
        <v>0.6565</v>
      </c>
      <c r="R27" s="40">
        <f>IF(tblBom[[#This Row],[Part number]]="","",IF(NOT(ISNUMBER(tblBom[[#This Row],[Ext. qty (per product)]])),"",tblBom[[#This Row],[Ext. qty (per product)]]*tblBom[[#This Row],[Labour (min/unit)]]/60*LabourRate))</f>
        <v>0</v>
      </c>
      <c r="S27" s="40">
        <f>IF(tblBom[[#This Row],[Part number]]="","",IF(NOT(ISNUMBER(tblBom[[#This Row],[Ext. qty (per product)]])),"",tblBom[[#This Row],[Labour]]*OverheadPct+tblBom[[#This Row],[Material]]*MaterialBurden))</f>
        <v>0.03939</v>
      </c>
      <c r="T27" s="40">
        <f>IF(tblBom[[#This Row],[Part number]]="","",IF(NOT(ISNUMBER(tblBom[[#This Row],[Ext. qty (per product)]])),"",tblBom[[#This Row],[Material]]+tblBom[[#This Row],[Labour]]+tblBom[[#This Row],[Overhead]]))</f>
        <v>0.69589</v>
      </c>
      <c r="U27" s="40">
        <f>IF(tblBom[[#This Row],[Part number]]="","",IF(NOT(ISNUMBER(tblBom[[#This Row],[Ext. qty (per product)]])),"",tblBom[[#This Row],[Total]]+SUMIFS(tblBom[Total],tblBom[Parent],tblBom[[#This Row],[Part number]])+SUMIFS(tblBom[Total],tblBom[Grandparent],tblBom[[#This Row],[Part number]])+SUMIFS(tblBom[Total],tblBom[Great-grandparent],tblBom[[#This Row],[Part number]])))</f>
        <v>0.69589</v>
      </c>
      <c r="V27" s="40">
        <f>IF(tblBom[[#This Row],[Part number]]="","",IF(N(tblBom[[#This Row],[Ext. qty (per product)]])=0,"",tblBom[[#This Row],[Rolled-up cost (per product)]]/tblBom[[#This Row],[Ext. qty (per product)]]))</f>
        <v>0.69589</v>
      </c>
      <c r="W27"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
      </c>
      <c r="X27"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8" spans="2:24" x14ac:dyDescent="0.25">
      <c r="B28" s="28" t="s">
        <v>177</v>
      </c>
      <c r="C28" s="28" t="s">
        <v>178</v>
      </c>
      <c r="D28" s="28" t="s">
        <v>68</v>
      </c>
      <c r="E28" s="29">
        <v>1</v>
      </c>
      <c r="F28" s="28" t="s">
        <v>124</v>
      </c>
      <c r="G28" s="28" t="s">
        <v>131</v>
      </c>
      <c r="H28" s="28" t="s">
        <v>89</v>
      </c>
      <c r="I28" s="29">
        <v>7.9</v>
      </c>
      <c r="J28" s="31">
        <v>0.01</v>
      </c>
      <c r="K28" s="37">
        <v>0</v>
      </c>
      <c r="L28" s="28" t="s">
        <v>179</v>
      </c>
      <c r="M28" s="38" t="str">
        <f>IF(tblBom[[#This Row],[Part number]]="","",IF(tblBom[[#This Row],[Parent]]=ProductCode,ProductCode,IFERROR(INDEX(tblBom[Parent],MATCH(tblBom[[#This Row],[Parent]],tblBom[Part number],0)),"?")))</f>
        <v>WX-200</v>
      </c>
      <c r="N28" s="38" t="str">
        <f>IF(tblBom[[#This Row],[Part number]]="","",IF(tblBom[[#This Row],[Grandparent]]=ProductCode,ProductCode,IFERROR(INDEX(tblBom[Parent],MATCH(tblBom[[#This Row],[Grandparent]],tblBom[Part number],0)),"?")))</f>
        <v>WX-200</v>
      </c>
      <c r="O28" s="39">
        <f>IF(tblBom[[#This Row],[Part number]]="","",1+(tblBom[[#This Row],[Parent]]&lt;&gt;ProductCode)+(tblBom[[#This Row],[Grandparent]]&lt;&gt;ProductCode)+(tblBom[[#This Row],[Great-grandparent]]&lt;&gt;ProductCode))</f>
        <v>1</v>
      </c>
      <c r="P28"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28" s="40">
        <f>IF(tblBom[[#This Row],[Part number]]="","",IF(NOT(ISNUMBER(tblBom[[#This Row],[Ext. qty (per product)]])),"",tblBom[[#This Row],[Ext. qty (per product)]]*tblBom[[#This Row],[Unit cost]]*(1+tblBom[[#This Row],[Scrap]])))</f>
        <v>7.979</v>
      </c>
      <c r="R28" s="40">
        <f>IF(tblBom[[#This Row],[Part number]]="","",IF(NOT(ISNUMBER(tblBom[[#This Row],[Ext. qty (per product)]])),"",tblBom[[#This Row],[Ext. qty (per product)]]*tblBom[[#This Row],[Labour (min/unit)]]/60*LabourRate))</f>
        <v>0</v>
      </c>
      <c r="S28" s="40">
        <f>IF(tblBom[[#This Row],[Part number]]="","",IF(NOT(ISNUMBER(tblBom[[#This Row],[Ext. qty (per product)]])),"",tblBom[[#This Row],[Labour]]*OverheadPct+tblBom[[#This Row],[Material]]*MaterialBurden))</f>
        <v>0.47874</v>
      </c>
      <c r="T28" s="40">
        <f>IF(tblBom[[#This Row],[Part number]]="","",IF(NOT(ISNUMBER(tblBom[[#This Row],[Ext. qty (per product)]])),"",tblBom[[#This Row],[Material]]+tblBom[[#This Row],[Labour]]+tblBom[[#This Row],[Overhead]]))</f>
        <v>8.45774</v>
      </c>
      <c r="U28" s="40">
        <f>IF(tblBom[[#This Row],[Part number]]="","",IF(NOT(ISNUMBER(tblBom[[#This Row],[Ext. qty (per product)]])),"",tblBom[[#This Row],[Total]]+SUMIFS(tblBom[Total],tblBom[Parent],tblBom[[#This Row],[Part number]])+SUMIFS(tblBom[Total],tblBom[Grandparent],tblBom[[#This Row],[Part number]])+SUMIFS(tblBom[Total],tblBom[Great-grandparent],tblBom[[#This Row],[Part number]])))</f>
        <v>8.45774</v>
      </c>
      <c r="V28" s="40">
        <f>IF(tblBom[[#This Row],[Part number]]="","",IF(N(tblBom[[#This Row],[Ext. qty (per product)]])=0,"",tblBom[[#This Row],[Rolled-up cost (per product)]]/tblBom[[#This Row],[Ext. qty (per product)]]))</f>
        <v>8.45774</v>
      </c>
      <c r="W28"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5</v>
      </c>
      <c r="X28"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29" spans="2:24" x14ac:dyDescent="0.25">
      <c r="B29" s="28" t="s">
        <v>180</v>
      </c>
      <c r="C29" s="28" t="s">
        <v>181</v>
      </c>
      <c r="D29" s="28" t="s">
        <v>68</v>
      </c>
      <c r="E29" s="29">
        <v>2</v>
      </c>
      <c r="F29" s="28" t="s">
        <v>124</v>
      </c>
      <c r="G29" s="28" t="s">
        <v>131</v>
      </c>
      <c r="H29" s="28" t="s">
        <v>89</v>
      </c>
      <c r="I29" s="29">
        <v>2.85</v>
      </c>
      <c r="J29" s="31">
        <v>0.005</v>
      </c>
      <c r="K29" s="37">
        <v>0</v>
      </c>
      <c r="L29" s="28" t="s">
        <v>148</v>
      </c>
      <c r="M29" s="38" t="str">
        <f>IF(tblBom[[#This Row],[Part number]]="","",IF(tblBom[[#This Row],[Parent]]=ProductCode,ProductCode,IFERROR(INDEX(tblBom[Parent],MATCH(tblBom[[#This Row],[Parent]],tblBom[Part number],0)),"?")))</f>
        <v>WX-200</v>
      </c>
      <c r="N29" s="38" t="str">
        <f>IF(tblBom[[#This Row],[Part number]]="","",IF(tblBom[[#This Row],[Grandparent]]=ProductCode,ProductCode,IFERROR(INDEX(tblBom[Parent],MATCH(tblBom[[#This Row],[Grandparent]],tblBom[Part number],0)),"?")))</f>
        <v>WX-200</v>
      </c>
      <c r="O29" s="39">
        <f>IF(tblBom[[#This Row],[Part number]]="","",1+(tblBom[[#This Row],[Parent]]&lt;&gt;ProductCode)+(tblBom[[#This Row],[Grandparent]]&lt;&gt;ProductCode)+(tblBom[[#This Row],[Great-grandparent]]&lt;&gt;ProductCode))</f>
        <v>1</v>
      </c>
      <c r="P29"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2</v>
      </c>
      <c r="Q29" s="40">
        <f>IF(tblBom[[#This Row],[Part number]]="","",IF(NOT(ISNUMBER(tblBom[[#This Row],[Ext. qty (per product)]])),"",tblBom[[#This Row],[Ext. qty (per product)]]*tblBom[[#This Row],[Unit cost]]*(1+tblBom[[#This Row],[Scrap]])))</f>
        <v>5.7285</v>
      </c>
      <c r="R29" s="40">
        <f>IF(tblBom[[#This Row],[Part number]]="","",IF(NOT(ISNUMBER(tblBom[[#This Row],[Ext. qty (per product)]])),"",tblBom[[#This Row],[Ext. qty (per product)]]*tblBom[[#This Row],[Labour (min/unit)]]/60*LabourRate))</f>
        <v>0</v>
      </c>
      <c r="S29" s="40">
        <f>IF(tblBom[[#This Row],[Part number]]="","",IF(NOT(ISNUMBER(tblBom[[#This Row],[Ext. qty (per product)]])),"",tblBom[[#This Row],[Labour]]*OverheadPct+tblBom[[#This Row],[Material]]*MaterialBurden))</f>
        <v>0.34371</v>
      </c>
      <c r="T29" s="40">
        <f>IF(tblBom[[#This Row],[Part number]]="","",IF(NOT(ISNUMBER(tblBom[[#This Row],[Ext. qty (per product)]])),"",tblBom[[#This Row],[Material]]+tblBom[[#This Row],[Labour]]+tblBom[[#This Row],[Overhead]]))</f>
        <v>6.07221</v>
      </c>
      <c r="U29" s="40">
        <f>IF(tblBom[[#This Row],[Part number]]="","",IF(NOT(ISNUMBER(tblBom[[#This Row],[Ext. qty (per product)]])),"",tblBom[[#This Row],[Total]]+SUMIFS(tblBom[Total],tblBom[Parent],tblBom[[#This Row],[Part number]])+SUMIFS(tblBom[Total],tblBom[Grandparent],tblBom[[#This Row],[Part number]])+SUMIFS(tblBom[Total],tblBom[Great-grandparent],tblBom[[#This Row],[Part number]])))</f>
        <v>6.07221</v>
      </c>
      <c r="V29" s="40">
        <f>IF(tblBom[[#This Row],[Part number]]="","",IF(N(tblBom[[#This Row],[Ext. qty (per product)]])=0,"",tblBom[[#This Row],[Rolled-up cost (per product)]]/tblBom[[#This Row],[Ext. qty (per product)]]))</f>
        <v>3.036105</v>
      </c>
      <c r="W29"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6</v>
      </c>
      <c r="X29"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30" spans="2:24" x14ac:dyDescent="0.25">
      <c r="B30" s="28" t="s">
        <v>182</v>
      </c>
      <c r="C30" s="28" t="s">
        <v>183</v>
      </c>
      <c r="D30" s="28" t="s">
        <v>68</v>
      </c>
      <c r="E30" s="29">
        <v>1</v>
      </c>
      <c r="F30" s="28" t="s">
        <v>124</v>
      </c>
      <c r="G30" s="28" t="s">
        <v>131</v>
      </c>
      <c r="H30" s="28" t="s">
        <v>93</v>
      </c>
      <c r="I30" s="29">
        <v>3.4</v>
      </c>
      <c r="J30" s="31">
        <v>0.015</v>
      </c>
      <c r="K30" s="37">
        <v>0</v>
      </c>
      <c r="L30" s="28" t="s">
        <v>137</v>
      </c>
      <c r="M30" s="38" t="str">
        <f>IF(tblBom[[#This Row],[Part number]]="","",IF(tblBom[[#This Row],[Parent]]=ProductCode,ProductCode,IFERROR(INDEX(tblBom[Parent],MATCH(tblBom[[#This Row],[Parent]],tblBom[Part number],0)),"?")))</f>
        <v>WX-200</v>
      </c>
      <c r="N30" s="38" t="str">
        <f>IF(tblBom[[#This Row],[Part number]]="","",IF(tblBom[[#This Row],[Grandparent]]=ProductCode,ProductCode,IFERROR(INDEX(tblBom[Parent],MATCH(tblBom[[#This Row],[Grandparent]],tblBom[Part number],0)),"?")))</f>
        <v>WX-200</v>
      </c>
      <c r="O30" s="39">
        <f>IF(tblBom[[#This Row],[Part number]]="","",1+(tblBom[[#This Row],[Parent]]&lt;&gt;ProductCode)+(tblBom[[#This Row],[Grandparent]]&lt;&gt;ProductCode)+(tblBom[[#This Row],[Great-grandparent]]&lt;&gt;ProductCode))</f>
        <v>1</v>
      </c>
      <c r="P30"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30" s="40">
        <f>IF(tblBom[[#This Row],[Part number]]="","",IF(NOT(ISNUMBER(tblBom[[#This Row],[Ext. qty (per product)]])),"",tblBom[[#This Row],[Ext. qty (per product)]]*tblBom[[#This Row],[Unit cost]]*(1+tblBom[[#This Row],[Scrap]])))</f>
        <v>3.451</v>
      </c>
      <c r="R30" s="40">
        <f>IF(tblBom[[#This Row],[Part number]]="","",IF(NOT(ISNUMBER(tblBom[[#This Row],[Ext. qty (per product)]])),"",tblBom[[#This Row],[Ext. qty (per product)]]*tblBom[[#This Row],[Labour (min/unit)]]/60*LabourRate))</f>
        <v>0</v>
      </c>
      <c r="S30" s="40">
        <f>IF(tblBom[[#This Row],[Part number]]="","",IF(NOT(ISNUMBER(tblBom[[#This Row],[Ext. qty (per product)]])),"",tblBom[[#This Row],[Labour]]*OverheadPct+tblBom[[#This Row],[Material]]*MaterialBurden))</f>
        <v>0.20706</v>
      </c>
      <c r="T30" s="40">
        <f>IF(tblBom[[#This Row],[Part number]]="","",IF(NOT(ISNUMBER(tblBom[[#This Row],[Ext. qty (per product)]])),"",tblBom[[#This Row],[Material]]+tblBom[[#This Row],[Labour]]+tblBom[[#This Row],[Overhead]]))</f>
        <v>3.65806</v>
      </c>
      <c r="U30" s="40">
        <f>IF(tblBom[[#This Row],[Part number]]="","",IF(NOT(ISNUMBER(tblBom[[#This Row],[Ext. qty (per product)]])),"",tblBom[[#This Row],[Total]]+SUMIFS(tblBom[Total],tblBom[Parent],tblBom[[#This Row],[Part number]])+SUMIFS(tblBom[Total],tblBom[Grandparent],tblBom[[#This Row],[Part number]])+SUMIFS(tblBom[Total],tblBom[Great-grandparent],tblBom[[#This Row],[Part number]])))</f>
        <v>3.65806</v>
      </c>
      <c r="V30" s="40">
        <f>IF(tblBom[[#This Row],[Part number]]="","",IF(N(tblBom[[#This Row],[Ext. qty (per product)]])=0,"",tblBom[[#This Row],[Rolled-up cost (per product)]]/tblBom[[#This Row],[Ext. qty (per product)]]))</f>
        <v>3.65806</v>
      </c>
      <c r="W30"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7</v>
      </c>
      <c r="X30"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31" spans="2:24" x14ac:dyDescent="0.25">
      <c r="B31" s="28" t="s">
        <v>184</v>
      </c>
      <c r="C31" s="28" t="s">
        <v>185</v>
      </c>
      <c r="D31" s="28" t="s">
        <v>68</v>
      </c>
      <c r="E31" s="29">
        <v>1</v>
      </c>
      <c r="F31" s="28" t="s">
        <v>156</v>
      </c>
      <c r="G31" s="28" t="s">
        <v>131</v>
      </c>
      <c r="H31" s="28" t="s">
        <v>91</v>
      </c>
      <c r="I31" s="29">
        <v>2.2</v>
      </c>
      <c r="J31" s="31">
        <v>0</v>
      </c>
      <c r="K31" s="37">
        <v>0</v>
      </c>
      <c r="L31" s="28" t="s">
        <v>140</v>
      </c>
      <c r="M31" s="38" t="str">
        <f>IF(tblBom[[#This Row],[Part number]]="","",IF(tblBom[[#This Row],[Parent]]=ProductCode,ProductCode,IFERROR(INDEX(tblBom[Parent],MATCH(tblBom[[#This Row],[Parent]],tblBom[Part number],0)),"?")))</f>
        <v>WX-200</v>
      </c>
      <c r="N31" s="38" t="str">
        <f>IF(tblBom[[#This Row],[Part number]]="","",IF(tblBom[[#This Row],[Grandparent]]=ProductCode,ProductCode,IFERROR(INDEX(tblBom[Parent],MATCH(tblBom[[#This Row],[Grandparent]],tblBom[Part number],0)),"?")))</f>
        <v>WX-200</v>
      </c>
      <c r="O31" s="39">
        <f>IF(tblBom[[#This Row],[Part number]]="","",1+(tblBom[[#This Row],[Parent]]&lt;&gt;ProductCode)+(tblBom[[#This Row],[Grandparent]]&lt;&gt;ProductCode)+(tblBom[[#This Row],[Great-grandparent]]&lt;&gt;ProductCode))</f>
        <v>1</v>
      </c>
      <c r="P31"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31" s="40">
        <f>IF(tblBom[[#This Row],[Part number]]="","",IF(NOT(ISNUMBER(tblBom[[#This Row],[Ext. qty (per product)]])),"",tblBom[[#This Row],[Ext. qty (per product)]]*tblBom[[#This Row],[Unit cost]]*(1+tblBom[[#This Row],[Scrap]])))</f>
        <v>2.2</v>
      </c>
      <c r="R31" s="40">
        <f>IF(tblBom[[#This Row],[Part number]]="","",IF(NOT(ISNUMBER(tblBom[[#This Row],[Ext. qty (per product)]])),"",tblBom[[#This Row],[Ext. qty (per product)]]*tblBom[[#This Row],[Labour (min/unit)]]/60*LabourRate))</f>
        <v>0</v>
      </c>
      <c r="S31" s="40">
        <f>IF(tblBom[[#This Row],[Part number]]="","",IF(NOT(ISNUMBER(tblBom[[#This Row],[Ext. qty (per product)]])),"",tblBom[[#This Row],[Labour]]*OverheadPct+tblBom[[#This Row],[Material]]*MaterialBurden))</f>
        <v>0.132</v>
      </c>
      <c r="T31" s="40">
        <f>IF(tblBom[[#This Row],[Part number]]="","",IF(NOT(ISNUMBER(tblBom[[#This Row],[Ext. qty (per product)]])),"",tblBom[[#This Row],[Material]]+tblBom[[#This Row],[Labour]]+tblBom[[#This Row],[Overhead]]))</f>
        <v>2.332</v>
      </c>
      <c r="U31" s="40">
        <f>IF(tblBom[[#This Row],[Part number]]="","",IF(NOT(ISNUMBER(tblBom[[#This Row],[Ext. qty (per product)]])),"",tblBom[[#This Row],[Total]]+SUMIFS(tblBom[Total],tblBom[Parent],tblBom[[#This Row],[Part number]])+SUMIFS(tblBom[Total],tblBom[Grandparent],tblBom[[#This Row],[Part number]])+SUMIFS(tblBom[Total],tblBom[Great-grandparent],tblBom[[#This Row],[Part number]])))</f>
        <v>2.332</v>
      </c>
      <c r="V31" s="40">
        <f>IF(tblBom[[#This Row],[Part number]]="","",IF(N(tblBom[[#This Row],[Ext. qty (per product)]])=0,"",tblBom[[#This Row],[Rolled-up cost (per product)]]/tblBom[[#This Row],[Ext. qty (per product)]]))</f>
        <v>2.332</v>
      </c>
      <c r="W31"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8</v>
      </c>
      <c r="X31"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row r="32" spans="2:24" x14ac:dyDescent="0.25">
      <c r="B32" s="28" t="s">
        <v>186</v>
      </c>
      <c r="C32" s="28" t="s">
        <v>187</v>
      </c>
      <c r="D32" s="28" t="s">
        <v>68</v>
      </c>
      <c r="E32" s="29">
        <v>1</v>
      </c>
      <c r="F32" s="28" t="s">
        <v>163</v>
      </c>
      <c r="G32" s="28" t="s">
        <v>131</v>
      </c>
      <c r="H32" s="28" t="s">
        <v>95</v>
      </c>
      <c r="I32" s="29">
        <v>1.15</v>
      </c>
      <c r="J32" s="31">
        <v>0.02</v>
      </c>
      <c r="K32" s="37">
        <v>0</v>
      </c>
      <c r="L32" s="28" t="s">
        <v>188</v>
      </c>
      <c r="M32" s="38" t="str">
        <f>IF(tblBom[[#This Row],[Part number]]="","",IF(tblBom[[#This Row],[Parent]]=ProductCode,ProductCode,IFERROR(INDEX(tblBom[Parent],MATCH(tblBom[[#This Row],[Parent]],tblBom[Part number],0)),"?")))</f>
        <v>WX-200</v>
      </c>
      <c r="N32" s="38" t="str">
        <f>IF(tblBom[[#This Row],[Part number]]="","",IF(tblBom[[#This Row],[Grandparent]]=ProductCode,ProductCode,IFERROR(INDEX(tblBom[Parent],MATCH(tblBom[[#This Row],[Grandparent]],tblBom[Part number],0)),"?")))</f>
        <v>WX-200</v>
      </c>
      <c r="O32" s="39">
        <f>IF(tblBom[[#This Row],[Part number]]="","",1+(tblBom[[#This Row],[Parent]]&lt;&gt;ProductCode)+(tblBom[[#This Row],[Grandparent]]&lt;&gt;ProductCode)+(tblBom[[#This Row],[Great-grandparent]]&lt;&gt;ProductCode))</f>
        <v>1</v>
      </c>
      <c r="P32" s="40">
        <f>IF(tblBom[[#This Row],[Part number]]="","",IFERROR(tblBom[[#This Row],[Qty per parent]]*IF(tblBom[[#This Row],[Parent]]=ProductCode,1,INDEX(tblBom[Qty per parent],MATCH(tblBom[[#This Row],[Parent]],tblBom[Part number],0)))*IF(tblBom[[#This Row],[Grandparent]]=ProductCode,1,INDEX(tblBom[Qty per parent],MATCH(tblBom[[#This Row],[Grandparent]],tblBom[Part number],0)))*IF(tblBom[[#This Row],[Great-grandparent]]=ProductCode,1,INDEX(tblBom[Qty per parent],MATCH(tblBom[[#This Row],[Great-grandparent]],tblBom[Part number],0))),""))</f>
        <v>1</v>
      </c>
      <c r="Q32" s="40">
        <f>IF(tblBom[[#This Row],[Part number]]="","",IF(NOT(ISNUMBER(tblBom[[#This Row],[Ext. qty (per product)]])),"",tblBom[[#This Row],[Ext. qty (per product)]]*tblBom[[#This Row],[Unit cost]]*(1+tblBom[[#This Row],[Scrap]])))</f>
        <v>1.173</v>
      </c>
      <c r="R32" s="40">
        <f>IF(tblBom[[#This Row],[Part number]]="","",IF(NOT(ISNUMBER(tblBom[[#This Row],[Ext. qty (per product)]])),"",tblBom[[#This Row],[Ext. qty (per product)]]*tblBom[[#This Row],[Labour (min/unit)]]/60*LabourRate))</f>
        <v>0</v>
      </c>
      <c r="S32" s="40">
        <f>IF(tblBom[[#This Row],[Part number]]="","",IF(NOT(ISNUMBER(tblBom[[#This Row],[Ext. qty (per product)]])),"",tblBom[[#This Row],[Labour]]*OverheadPct+tblBom[[#This Row],[Material]]*MaterialBurden))</f>
        <v>0.07038</v>
      </c>
      <c r="T32" s="40">
        <f>IF(tblBom[[#This Row],[Part number]]="","",IF(NOT(ISNUMBER(tblBom[[#This Row],[Ext. qty (per product)]])),"",tblBom[[#This Row],[Material]]+tblBom[[#This Row],[Labour]]+tblBom[[#This Row],[Overhead]]))</f>
        <v>1.24338</v>
      </c>
      <c r="U32" s="40">
        <f>IF(tblBom[[#This Row],[Part number]]="","",IF(NOT(ISNUMBER(tblBom[[#This Row],[Ext. qty (per product)]])),"",tblBom[[#This Row],[Total]]+SUMIFS(tblBom[Total],tblBom[Parent],tblBom[[#This Row],[Part number]])+SUMIFS(tblBom[Total],tblBom[Grandparent],tblBom[[#This Row],[Part number]])+SUMIFS(tblBom[Total],tblBom[Great-grandparent],tblBom[[#This Row],[Part number]])))</f>
        <v>1.24338</v>
      </c>
      <c r="V32" s="40">
        <f>IF(tblBom[[#This Row],[Part number]]="","",IF(N(tblBom[[#This Row],[Ext. qty (per product)]])=0,"",tblBom[[#This Row],[Rolled-up cost (per product)]]/tblBom[[#This Row],[Ext. qty (per product)]]))</f>
        <v>1.24338</v>
      </c>
      <c r="W32" s="39">
        <f>IF(tblBom[[#This Row],[Part number]]="","",IF(OR(tblBom[[#This Row],[Level]]&lt;&gt;1,NOT(ISNUMBER(tblBom[[#This Row],[Rolled-up cost (per product)]]))),"",COUNTIFS(tblBom[Level],1,tblBom[Rolled-up cost (per product)],"&gt;"&amp;tblBom[[#This Row],[Rolled-up cost (per product)]])+COUNTIFS(tblBom[Level],1,tblBom[Rolled-up cost (per product)],tblBom[[#This Row],[Rolled-up cost (per product)]],tblBom[Part number],"&lt;"&amp;tblBom[[#This Row],[Part number]])+1))</f>
        <v>9</v>
      </c>
      <c r="X32" s="41" t="str">
        <f>IF(tblBom[[#This Row],[Part number]]="","",IF(tblBom[[#This Row],[Parent]]="","Missing parent",IF(tblBom[[#This Row],[Qty per parent]]="","Missing qty per parent",IF(COUNTIF(tblBom[Part number],tblBom[[#This Row],[Part number]])&gt;1,"Duplicate part number",IF(tblBom[[#This Row],[Parent]]=tblBom[[#This Row],[Part number]],"Part is its own parent",IF(OR(tblBom[[#This Row],[Grandparent]]="?",tblBom[[#This Row],[Great-grandparent]]="?"),"Parent not in BOM",IF(IFERROR(INDEX(tblBom[Parent],MATCH(tblBom[[#This Row],[Great-grandparent]],tblBom[Part number],0)),ProductCode)&lt;&gt;ProductCode,"More than 4 levels",IF(AND(tblBom[[#This Row],[Make or buy]]="Buy",COUNTIF(tblBom[Parent],tblBom[[#This Row],[Part number]])&gt;0),"Buy item has components",IF(COUNTIF(tblCommodities[Commodity],tblBom[[#This Row],[Commodity]])=0,"Commodity not on Setup list","OK")))))))))</f>
        <v>OK</v>
      </c>
    </row>
  </sheetData>
  <mergeCells count="3">
    <mergeCell ref="A1:X1"/>
    <mergeCell ref="B2:W2"/>
    <mergeCell ref="B4:X4"/>
  </mergeCells>
  <conditionalFormatting sqref="T7:T532">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X7:X532">
    <cfRule type="expression" dxfId="3" priority="2">
      <formula>$X7="OK"</formula>
    </cfRule>
    <cfRule type="expression" dxfId="1" priority="3">
      <formula>AND($X7&lt;&gt;"",$X7&lt;&gt;"OK")</formula>
    </cfRule>
  </conditionalFormatting>
  <dataValidations count="11">
    <dataValidation type="textLength" allowBlank="1" showInputMessage="1" showErrorMessage="1" errorTitle="Check this entry" error="Text up to 40 characters." promptTitle="Part number" prompt="Text up to 40 characters." sqref="B7:B532">
      <formula1>0</formula1>
      <formula2>40</formula2>
    </dataValidation>
    <dataValidation type="textLength" allowBlank="1" showInputMessage="1" showErrorMessage="1" errorTitle="Check this entry" error="Text up to 80 characters." promptTitle="Description" prompt="Text up to 80 characters." sqref="C7:C532">
      <formula1>0</formula1>
      <formula2>80</formula2>
    </dataValidation>
    <dataValidation type="textLength" allowBlank="1" showInputMessage="1" showErrorMessage="1" errorTitle="Check this entry" error="Text up to 40 characters." promptTitle="Parent" prompt="Part number of the assembly this part goes into, or the product code from Setup for top-level items. Text up to 40 characters." sqref="D7:D532">
      <formula1>0</formula1>
      <formula2>40</formula2>
    </dataValidation>
    <dataValidation type="decimal" allowBlank="1" showInputMessage="1" showErrorMessage="1" errorTitle="Check this entry" error="Enter a number from 0 to 1,000,000." promptTitle="Qty per parent" prompt="Quantity in one unit of the parent, in this part's unit of measure. Enter a number from 0 to 1,000,000." sqref="E7:E532">
      <formula1>0</formula1>
      <formula2>1000000.0</formula2>
    </dataValidation>
    <dataValidation type="textLength" allowBlank="1" showInputMessage="1" showErrorMessage="1" errorTitle="Check this entry" error="Text up to 12 characters." promptTitle="UoM" prompt="Unit of measure (ea, kit, m, kg). Text up to 12 characters." sqref="F7:F532">
      <formula1>0</formula1>
      <formula2>12</formula2>
    </dataValidation>
    <dataValidation type="list" allowBlank="1" showInputMessage="1" showErrorMessage="1" errorTitle="Check this entry" error="Pick one of: Make, Buy." promptTitle="Make or buy" prompt="Pick one of: Make, Buy." sqref="G7:G532">
      <formula1>"Make,Buy"</formula1>
    </dataValidation>
    <dataValidation type="list" allowBlank="1" showInputMessage="1" showErrorMessage="1" errorTitle="Check this entry" error="Pick from the list (edit the list on Setup: Commodities)." promptTitle="Commodity" prompt="Pick from the list (edit the list on Setup: Commodities)." sqref="H7:H532">
      <formula1>Commodities</formula1>
    </dataValidation>
    <dataValidation type="decimal" allowBlank="1" showInputMessage="1" showErrorMessage="1" errorTitle="Check this entry" error="Enter a number of at least 0." promptTitle="Unit cost" prompt="Purchase price per unit of measure for bought parts (latest quote or standard). Usually 0 for made assemblies, whose cost comes from their components and labour. Enter a number of at least 0." sqref="I7:I532">
      <formula1>0</formula1>
      <formula2>1000000000.0</formula2>
    </dataValidation>
    <dataValidation type="decimal" allowBlank="1" showInputMessage="1" showErrorMessage="1" errorTitle="Check this entry" error="Enter a percentage from 0% to 50% (type 85% or 0.85)." promptTitle="Scrap" prompt="Expected scrap or attrition on this part, e.g. 2%. Material cost is grossed up by it. Enter a percentage from 0% to 50% (type 85% or 0.85)." sqref="J7:J532">
      <formula1>0</formula1>
      <formula2>0.5</formula2>
    </dataValidation>
    <dataValidation type="decimal" allowBlank="1" showInputMessage="1" showErrorMessage="1" errorTitle="Check this entry" error="Enter a number from 0 to 100,000." promptTitle="Labour (min/unit)" prompt="Direct labour minutes added at this item per unit (assembly, test). Leave 0 for bought parts. Enter a number from 0 to 100,000." sqref="K7:K532">
      <formula1>0</formula1>
      <formula2>100000</formula2>
    </dataValidation>
    <dataValidation type="textLength" allowBlank="1" showInputMessage="1" showErrorMessage="1" errorTitle="Check this entry" error="Text up to 60 characters." promptTitle="Supplier" prompt="Text up to 60 characters." sqref="L7:L532">
      <formula1>0</formula1>
      <formula2>60</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BOM Cost Rollup&amp;R&amp;8&amp;A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T7:T532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58"/>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42" t="str">
        <f>ProductCode&amp;" "&amp;ProductName&amp;": "&amp;COUNTA(tblBom[Part number])&amp;" BOM lines, "&amp;COUNTIF(tblBom[Check],"OK")&amp;" with Check OK. Costs per finished product in "&amp;Currency&amp;"."</f>
        <v>WX-200 Weather station, solar powered: 26 BOM lines, 26 with Check OK. Costs per finished product in EUR.</v>
      </c>
      <c r="C4" s="42"/>
      <c r="D4" s="42"/>
      <c r="E4" s="42"/>
      <c r="F4" s="42"/>
      <c r="G4" s="42"/>
      <c r="H4" s="42"/>
      <c r="I4" s="42"/>
      <c r="J4" s="42"/>
      <c r="K4" s="42"/>
      <c r="L4" s="42"/>
    </row>
    <row r="6" spans="1:12" ht="18" customHeight="1" x14ac:dyDescent="0.25">
      <c r="B6" s="43" t="str">
        <f>"UNIT COST ("&amp;Currency&amp;")"</f>
        <v>UNIT COST (EUR)</v>
      </c>
      <c r="C6" s="43"/>
      <c r="D6" s="43" t="s">
        <v>189</v>
      </c>
      <c r="E6" s="43"/>
      <c r="F6" s="43"/>
      <c r="G6" s="43" t="str">
        <f>"PRICE AT TARGET MARGIN ("&amp;Currency&amp;")"</f>
        <v>PRICE AT TARGET MARGIN (EUR)</v>
      </c>
      <c r="H6" s="43"/>
      <c r="I6" s="43"/>
      <c r="J6" s="43" t="s">
        <v>190</v>
      </c>
      <c r="K6" s="43"/>
      <c r="L6" s="43"/>
    </row>
    <row r="7" spans="1:12" ht="21" customHeight="1" x14ac:dyDescent="0.25">
      <c r="B7" s="44">
        <f>SUM(tblBom[Total])</f>
        <v>113.826498666667</v>
      </c>
      <c r="C7" s="44"/>
      <c r="D7" s="45">
        <f>IF((SUM(tblBom[Total]))=0,"",(SUM(tblBom[Material]))/(SUM(tblBom[Total])))</f>
        <v>0.539217148194456</v>
      </c>
      <c r="E7" s="45"/>
      <c r="F7" s="45"/>
      <c r="G7" s="44">
        <f>IF(TargetMargin&gt;=1,"",SUM(tblBom[Total])/(1-TargetMargin))</f>
        <v>175.11769025641</v>
      </c>
      <c r="H7" s="44"/>
      <c r="I7" s="44"/>
      <c r="J7" s="46" t="str">
        <f>IF(INDEX($B$32:$B$41,1)="","",INDEX($B$32:$B$41,1))</f>
        <v>PCA-200</v>
      </c>
      <c r="K7" s="46"/>
      <c r="L7" s="46"/>
    </row>
    <row r="8" spans="1:12" ht="21" customHeight="1" x14ac:dyDescent="0.25">
      <c r="B8" s="44"/>
      <c r="C8" s="44"/>
      <c r="D8" s="45"/>
      <c r="E8" s="45"/>
      <c r="F8" s="45"/>
      <c r="G8" s="44"/>
      <c r="H8" s="44"/>
      <c r="I8" s="44"/>
      <c r="J8" s="46"/>
      <c r="K8" s="46"/>
      <c r="L8" s="46"/>
    </row>
    <row r="9" spans="1:12" x14ac:dyDescent="0.25">
      <c r="B9" s="47" t="s">
        <v>191</v>
      </c>
      <c r="C9" s="47"/>
      <c r="D9" s="47" t="s">
        <v>192</v>
      </c>
      <c r="E9" s="47"/>
      <c r="F9" s="47"/>
      <c r="G9" s="47" t="s">
        <v>193</v>
      </c>
      <c r="H9" s="47"/>
      <c r="I9" s="47"/>
      <c r="J9" s="47" t="s">
        <v>194</v>
      </c>
      <c r="K9" s="47"/>
      <c r="L9" s="47"/>
    </row>
    <row r="10" spans="1:12" ht="18" customHeight="1" x14ac:dyDescent="0.25">
      <c r="B10" s="48"/>
      <c r="C10" s="48"/>
      <c r="D10" s="48"/>
      <c r="E10" s="48"/>
      <c r="F10" s="48"/>
      <c r="G10" s="48"/>
      <c r="H10" s="48"/>
      <c r="I10" s="48"/>
      <c r="J10" s="48"/>
      <c r="K10" s="48"/>
      <c r="L10" s="48"/>
    </row>
    <row r="29" spans="2:10" x14ac:dyDescent="0.25">
      <c r="B29" s="33" t="s">
        <v>195</v>
      </c>
      <c r="C29" s="33"/>
      <c r="D29" s="33"/>
      <c r="E29" s="33"/>
      <c r="F29" s="33"/>
      <c r="G29" s="33"/>
      <c r="H29" s="33"/>
      <c r="I29" s="33"/>
      <c r="J29" s="33"/>
    </row>
    <row r="30" spans="2:10" ht="32" customHeight="1" x14ac:dyDescent="0.25">
      <c r="B30" s="49" t="s">
        <v>196</v>
      </c>
      <c r="C30" s="34" t="s">
        <v>100</v>
      </c>
      <c r="D30" s="34"/>
      <c r="E30" s="34"/>
      <c r="F30" s="34" t="s">
        <v>197</v>
      </c>
      <c r="G30" s="34" t="s">
        <v>105</v>
      </c>
      <c r="H30" s="34" t="s">
        <v>198</v>
      </c>
      <c r="I30" s="34" t="s">
        <v>199</v>
      </c>
      <c r="J30" s="34" t="s">
        <v>200</v>
      </c>
    </row>
    <row r="31" spans="2:10" ht="14" customHeight="1" x14ac:dyDescent="0.25">
      <c r="B31" s="36"/>
      <c r="C31" s="36"/>
      <c r="D31" s="36"/>
      <c r="E31" s="36"/>
      <c r="F31" s="36"/>
      <c r="G31" s="36" t="str">
        <f>Currency</f>
        <v>EUR</v>
      </c>
      <c r="H31" s="36" t="str">
        <f>Currency</f>
        <v>EUR</v>
      </c>
      <c r="I31" s="36"/>
      <c r="J31" s="36"/>
    </row>
    <row r="32" spans="2:10" x14ac:dyDescent="0.25">
      <c r="B32" s="50" t="str">
        <f>IFERROR(INDEX(tblBom[Part number],MATCH(1,tblBom[Top-level rank],0)),"")</f>
        <v>PCA-200</v>
      </c>
      <c r="C32" s="38" t="str">
        <f>IF($B$32="","",INDEX(tblBom[Description],MATCH($B$32,tblBom[Part number],0)))</f>
        <v>Main board assembly</v>
      </c>
      <c r="D32" s="38"/>
      <c r="E32" s="38"/>
      <c r="F32" s="40">
        <f>IF($B$32="","",INDEX(tblBom[Ext. qty (per product)],MATCH($B$32,tblBom[Part number],0)))</f>
        <v>1</v>
      </c>
      <c r="G32" s="40">
        <f>IF($B$32="","",INDEX(tblBom[Rolled-up unit cost],MATCH($B$32,tblBom[Part number],0)))</f>
        <v>32.8831733333333</v>
      </c>
      <c r="H32" s="40">
        <f>IF($B$32="","",INDEX(tblBom[Rolled-up cost (per product)],MATCH($B$32,tblBom[Part number],0)))</f>
        <v>32.8831733333333</v>
      </c>
      <c r="I32" s="51">
        <f>IF($B$32="","",IF((SUM(tblBom[Total]))=0,"",($H$32)/(SUM(tblBom[Total]))))</f>
        <v>0.288888560383725</v>
      </c>
      <c r="J32" s="51">
        <f>IF($B$32="","",IF((SUM(tblBom[Total]))=0,"",(SUM(INDEX($H$32:$H$41,1):INDEX($H$32:$H$41,1)))/(SUM(tblBom[Total]))))</f>
        <v>0.288888560383725</v>
      </c>
    </row>
    <row r="33" spans="2:43" x14ac:dyDescent="0.25">
      <c r="B33" s="50" t="str">
        <f>IF($B$32="","",IFERROR(INDEX(tblBom[Part number],MATCH(INDEX(tblBom[Top-level rank],MATCH($B$32,tblBom[Part number],0))+1,tblBom[Top-level rank],0)),""))</f>
        <v>SNS-W</v>
      </c>
      <c r="C33" s="38" t="str">
        <f>IF($B$33="","",INDEX(tblBom[Description],MATCH($B$33,tblBom[Part number],0)))</f>
        <v>Wind sensor assembly</v>
      </c>
      <c r="D33" s="38"/>
      <c r="E33" s="38"/>
      <c r="F33" s="40">
        <f>IF($B$33="","",INDEX(tblBom[Ext. qty (per product)],MATCH($B$33,tblBom[Part number],0)))</f>
        <v>1</v>
      </c>
      <c r="G33" s="40">
        <f>IF($B$33="","",INDEX(tblBom[Rolled-up unit cost],MATCH($B$33,tblBom[Part number],0)))</f>
        <v>23.3022126666667</v>
      </c>
      <c r="H33" s="40">
        <f>IF($B$33="","",INDEX(tblBom[Rolled-up cost (per product)],MATCH($B$33,tblBom[Part number],0)))</f>
        <v>23.3022126666667</v>
      </c>
      <c r="I33" s="51">
        <f>IF($B$33="","",IF((SUM(tblBom[Total]))=0,"",($H$33)/(SUM(tblBom[Total]))))</f>
        <v>0.204716941482191</v>
      </c>
      <c r="J33" s="51">
        <f>IF($B$33="","",IF((SUM(tblBom[Total]))=0,"",(SUM(INDEX($H$32:$H$41,1):INDEX($H$32:$H$41,2)))/(SUM(tblBom[Total]))))</f>
        <v>0.493605501865916</v>
      </c>
    </row>
    <row r="34" spans="2:43" x14ac:dyDescent="0.25">
      <c r="B34" s="50" t="str">
        <f>IF($B$33="","",IFERROR(INDEX(tblBom[Part number],MATCH(INDEX(tblBom[Top-level rank],MATCH($B$33,tblBom[Part number],0))+1,tblBom[Top-level rank],0)),""))</f>
        <v>FA-200</v>
      </c>
      <c r="C34" s="38" t="str">
        <f>IF($B$34="","",INDEX(tblBom[Description],MATCH($B$34,tblBom[Part number],0)))</f>
        <v>Final assembly and test</v>
      </c>
      <c r="D34" s="38"/>
      <c r="E34" s="38"/>
      <c r="F34" s="40">
        <f>IF($B$34="","",INDEX(tblBom[Ext. qty (per product)],MATCH($B$34,tblBom[Part number],0)))</f>
        <v>1</v>
      </c>
      <c r="G34" s="40">
        <f>IF($B$34="","",INDEX(tblBom[Rolled-up unit cost],MATCH($B$34,tblBom[Part number],0)))</f>
        <v>19.5066666666667</v>
      </c>
      <c r="H34" s="40">
        <f>IF($B$34="","",INDEX(tblBom[Rolled-up cost (per product)],MATCH($B$34,tblBom[Part number],0)))</f>
        <v>19.5066666666667</v>
      </c>
      <c r="I34" s="51">
        <f>IF($B$34="","",IF((SUM(tblBom[Total]))=0,"",($H$34)/(SUM(tblBom[Total]))))</f>
        <v>0.171371929165551</v>
      </c>
      <c r="J34" s="51">
        <f>IF($B$34="","",IF((SUM(tblBom[Total]))=0,"",(SUM(INDEX($H$32:$H$41,1):INDEX($H$32:$H$41,3)))/(SUM(tblBom[Total]))))</f>
        <v>0.664977431031467</v>
      </c>
    </row>
    <row r="35" spans="2:43" x14ac:dyDescent="0.25">
      <c r="B35" s="50" t="str">
        <f>IF($B$34="","",IFERROR(INDEX(tblBom[Part number],MATCH(INDEX(tblBom[Top-level rank],MATCH($B$34,tblBom[Part number],0))+1,tblBom[Top-level rank],0)),""))</f>
        <v>HSG-A</v>
      </c>
      <c r="C35" s="38" t="str">
        <f>IF($B$35="","",INDEX(tblBom[Description],MATCH($B$35,tblBom[Part number],0)))</f>
        <v>Housing assembly</v>
      </c>
      <c r="D35" s="38"/>
      <c r="E35" s="38"/>
      <c r="F35" s="40">
        <f>IF($B$35="","",INDEX(tblBom[Ext. qty (per product)],MATCH($B$35,tblBom[Part number],0)))</f>
        <v>1</v>
      </c>
      <c r="G35" s="40">
        <f>IF($B$35="","",INDEX(tblBom[Rolled-up unit cost],MATCH($B$35,tblBom[Part number],0)))</f>
        <v>16.371056</v>
      </c>
      <c r="H35" s="40">
        <f>IF($B$35="","",INDEX(tblBom[Rolled-up cost (per product)],MATCH($B$35,tblBom[Part number],0)))</f>
        <v>16.371056</v>
      </c>
      <c r="I35" s="51">
        <f>IF($B$35="","",IF((SUM(tblBom[Total]))=0,"",($H$35)/(SUM(tblBom[Total]))))</f>
        <v>0.143824647088035</v>
      </c>
      <c r="J35" s="51">
        <f>IF($B$35="","",IF((SUM(tblBom[Total]))=0,"",(SUM(INDEX($H$32:$H$41,1):INDEX($H$32:$H$41,4)))/(SUM(tblBom[Total]))))</f>
        <v>0.808802078119501</v>
      </c>
    </row>
    <row r="36" spans="2:43" x14ac:dyDescent="0.25">
      <c r="B36" s="50" t="str">
        <f>IF($B$35="","",IFERROR(INDEX(tblBom[Part number],MATCH(INDEX(tblBom[Top-level rank],MATCH($B$35,tblBom[Part number],0))+1,tblBom[Top-level rank],0)),""))</f>
        <v>SOL-2</v>
      </c>
      <c r="C36" s="38" t="str">
        <f>IF($B$36="","",INDEX(tblBom[Description],MATCH($B$36,tblBom[Part number],0)))</f>
        <v>Solar panel 2 W</v>
      </c>
      <c r="D36" s="38"/>
      <c r="E36" s="38"/>
      <c r="F36" s="40">
        <f>IF($B$36="","",INDEX(tblBom[Ext. qty (per product)],MATCH($B$36,tblBom[Part number],0)))</f>
        <v>1</v>
      </c>
      <c r="G36" s="40">
        <f>IF($B$36="","",INDEX(tblBom[Rolled-up unit cost],MATCH($B$36,tblBom[Part number],0)))</f>
        <v>8.45774</v>
      </c>
      <c r="H36" s="40">
        <f>IF($B$36="","",INDEX(tblBom[Rolled-up cost (per product)],MATCH($B$36,tblBom[Part number],0)))</f>
        <v>8.45774</v>
      </c>
      <c r="I36" s="51">
        <f>IF($B$36="","",IF((SUM(tblBom[Total]))=0,"",($H$36)/(SUM(tblBom[Total]))))</f>
        <v>0.0743037877741274</v>
      </c>
      <c r="J36" s="51">
        <f>IF($B$36="","",IF((SUM(tblBom[Total]))=0,"",(SUM(INDEX($H$32:$H$41,1):INDEX($H$32:$H$41,5)))/(SUM(tblBom[Total]))))</f>
        <v>0.883105865893629</v>
      </c>
    </row>
    <row r="37" spans="2:43" x14ac:dyDescent="0.25">
      <c r="B37" s="50" t="str">
        <f>IF($B$36="","",IFERROR(INDEX(tblBom[Part number],MATCH(INDEX(tblBom[Top-level rank],MATCH($B$36,tblBom[Part number],0))+1,tblBom[Top-level rank],0)),""))</f>
        <v>BAT-18</v>
      </c>
      <c r="C37" s="38" t="str">
        <f>IF($B$37="","",INDEX(tblBom[Description],MATCH($B$37,tblBom[Part number],0)))</f>
        <v>Li-ion cell 18650</v>
      </c>
      <c r="D37" s="38"/>
      <c r="E37" s="38"/>
      <c r="F37" s="40">
        <f>IF($B$37="","",INDEX(tblBom[Ext. qty (per product)],MATCH($B$37,tblBom[Part number],0)))</f>
        <v>2</v>
      </c>
      <c r="G37" s="40">
        <f>IF($B$37="","",INDEX(tblBom[Rolled-up unit cost],MATCH($B$37,tblBom[Part number],0)))</f>
        <v>3.036105</v>
      </c>
      <c r="H37" s="40">
        <f>IF($B$37="","",INDEX(tblBom[Rolled-up cost (per product)],MATCH($B$37,tblBom[Part number],0)))</f>
        <v>6.07221</v>
      </c>
      <c r="I37" s="51">
        <f>IF($B$37="","",IF((SUM(tblBom[Total]))=0,"",($H$37)/(SUM(tblBom[Total]))))</f>
        <v>0.0533461897811867</v>
      </c>
      <c r="J37" s="51">
        <f>IF($B$37="","",IF((SUM(tblBom[Total]))=0,"",(SUM(INDEX($H$32:$H$41,1):INDEX($H$32:$H$41,6)))/(SUM(tblBom[Total]))))</f>
        <v>0.936452055674816</v>
      </c>
    </row>
    <row r="38" spans="2:43" x14ac:dyDescent="0.25">
      <c r="B38" s="50" t="str">
        <f>IF($B$37="","",IFERROR(INDEX(tblBom[Part number],MATCH(INDEX(tblBom[Top-level rank],MATCH($B$37,tblBom[Part number],0))+1,tblBom[Top-level rank],0)),""))</f>
        <v>CBL-5</v>
      </c>
      <c r="C38" s="38" t="str">
        <f>IF($B$38="","",INDEX(tblBom[Description],MATCH($B$38,tblBom[Part number],0)))</f>
        <v>Cable 5 m with gland</v>
      </c>
      <c r="D38" s="38"/>
      <c r="E38" s="38"/>
      <c r="F38" s="40">
        <f>IF($B$38="","",INDEX(tblBom[Ext. qty (per product)],MATCH($B$38,tblBom[Part number],0)))</f>
        <v>1</v>
      </c>
      <c r="G38" s="40">
        <f>IF($B$38="","",INDEX(tblBom[Rolled-up unit cost],MATCH($B$38,tblBom[Part number],0)))</f>
        <v>3.65806</v>
      </c>
      <c r="H38" s="40">
        <f>IF($B$38="","",INDEX(tblBom[Rolled-up cost (per product)],MATCH($B$38,tblBom[Part number],0)))</f>
        <v>3.65806</v>
      </c>
      <c r="I38" s="51">
        <f>IF($B$38="","",IF((SUM(tblBom[Total]))=0,"",($H$38)/(SUM(tblBom[Total]))))</f>
        <v>0.0321371564868422</v>
      </c>
      <c r="J38" s="51">
        <f>IF($B$38="","",IF((SUM(tblBom[Total]))=0,"",(SUM(INDEX($H$32:$H$41,1):INDEX($H$32:$H$41,7)))/(SUM(tblBom[Total]))))</f>
        <v>0.968589212161658</v>
      </c>
    </row>
    <row r="39" spans="2:43" x14ac:dyDescent="0.25">
      <c r="B39" s="50" t="str">
        <f>IF($B$38="","",IFERROR(INDEX(tblBom[Part number],MATCH(INDEX(tblBom[Top-level rank],MATCH($B$38,tblBom[Part number],0))+1,tblBom[Top-level rank],0)),""))</f>
        <v>MNT-K</v>
      </c>
      <c r="C39" s="38" t="str">
        <f>IF($B$39="","",INDEX(tblBom[Description],MATCH($B$39,tblBom[Part number],0)))</f>
        <v>Mounting kit, mast clamp</v>
      </c>
      <c r="D39" s="38"/>
      <c r="E39" s="38"/>
      <c r="F39" s="40">
        <f>IF($B$39="","",INDEX(tblBom[Ext. qty (per product)],MATCH($B$39,tblBom[Part number],0)))</f>
        <v>1</v>
      </c>
      <c r="G39" s="40">
        <f>IF($B$39="","",INDEX(tblBom[Rolled-up unit cost],MATCH($B$39,tblBom[Part number],0)))</f>
        <v>2.332</v>
      </c>
      <c r="H39" s="40">
        <f>IF($B$39="","",INDEX(tblBom[Rolled-up cost (per product)],MATCH($B$39,tblBom[Part number],0)))</f>
        <v>2.332</v>
      </c>
      <c r="I39" s="51">
        <f>IF($B$39="","",IF((SUM(tblBom[Total]))=0,"",($H$39)/(SUM(tblBom[Total]))))</f>
        <v>0.0204873208551298</v>
      </c>
      <c r="J39" s="51">
        <f>IF($B$39="","",IF((SUM(tblBom[Total]))=0,"",(SUM(INDEX($H$32:$H$41,1):INDEX($H$32:$H$41,8)))/(SUM(tblBom[Total]))))</f>
        <v>0.989076533016788</v>
      </c>
    </row>
    <row r="40" spans="2:43" x14ac:dyDescent="0.25">
      <c r="B40" s="50" t="str">
        <f>IF($B$39="","",IFERROR(INDEX(tblBom[Part number],MATCH(INDEX(tblBom[Top-level rank],MATCH($B$39,tblBom[Part number],0))+1,tblBom[Top-level rank],0)),""))</f>
        <v>PKG-1</v>
      </c>
      <c r="C40" s="38" t="str">
        <f>IF($B$40="","",INDEX(tblBom[Description],MATCH($B$40,tblBom[Part number],0)))</f>
        <v>Box, insert and labels</v>
      </c>
      <c r="D40" s="38"/>
      <c r="E40" s="38"/>
      <c r="F40" s="40">
        <f>IF($B$40="","",INDEX(tblBom[Ext. qty (per product)],MATCH($B$40,tblBom[Part number],0)))</f>
        <v>1</v>
      </c>
      <c r="G40" s="40">
        <f>IF($B$40="","",INDEX(tblBom[Rolled-up unit cost],MATCH($B$40,tblBom[Part number],0)))</f>
        <v>1.24338</v>
      </c>
      <c r="H40" s="40">
        <f>IF($B$40="","",INDEX(tblBom[Rolled-up cost (per product)],MATCH($B$40,tblBom[Part number],0)))</f>
        <v>1.24338</v>
      </c>
      <c r="I40" s="51">
        <f>IF($B$40="","",IF((SUM(tblBom[Total]))=0,"",($H$40)/(SUM(tblBom[Total]))))</f>
        <v>0.0109234669832124</v>
      </c>
      <c r="J40" s="51">
        <f>IF($B$40="","",IF((SUM(tblBom[Total]))=0,"",(SUM(INDEX($H$32:$H$41,1):INDEX($H$32:$H$41,9)))/(SUM(tblBom[Total]))))</f>
        <v>1</v>
      </c>
    </row>
    <row r="41" spans="2:43" x14ac:dyDescent="0.25">
      <c r="B41" s="50">
        <f>IF($B$40="","",IFERROR(INDEX(tblBom[Part number],MATCH(INDEX(tblBom[Top-level rank],MATCH($B$40,tblBom[Part number],0))+1,tblBom[Top-level rank],0)),""))</f>
        <v/>
      </c>
      <c r="C41" s="38">
        <f>IF($B$41="","",INDEX(tblBom[Description],MATCH($B$41,tblBom[Part number],0)))</f>
        <v/>
      </c>
      <c r="D41" s="38"/>
      <c r="E41" s="38"/>
      <c r="F41" s="40">
        <f>IF($B$41="","",INDEX(tblBom[Ext. qty (per product)],MATCH($B$41,tblBom[Part number],0)))</f>
        <v/>
      </c>
      <c r="G41" s="40">
        <f>IF($B$41="","",INDEX(tblBom[Rolled-up unit cost],MATCH($B$41,tblBom[Part number],0)))</f>
        <v/>
      </c>
      <c r="H41" s="40">
        <f>IF($B$41="","",INDEX(tblBom[Rolled-up cost (per product)],MATCH($B$41,tblBom[Part number],0)))</f>
        <v/>
      </c>
      <c r="I41" s="51">
        <f>IF($B$41="","",IF((SUM(tblBom[Total]))=0,"",($H$41)/(SUM(tblBom[Total]))))</f>
        <v/>
      </c>
      <c r="J41" s="51">
        <f>IF($B$41="","",IF((SUM(tblBom[Total]))=0,"",(SUM(INDEX($H$32:$H$41,1):INDEX($H$32:$H$41,10)))/(SUM(tblBom[Total]))))</f>
        <v/>
      </c>
    </row>
    <row r="43" spans="2:43" x14ac:dyDescent="0.25">
      <c r="B43" s="33" t="s">
        <v>201</v>
      </c>
      <c r="C43" s="33"/>
      <c r="D43" s="33"/>
      <c r="E43" s="33"/>
      <c r="G43" s="33" t="s">
        <v>202</v>
      </c>
      <c r="H43" s="33"/>
      <c r="I43" s="33"/>
      <c r="J43" s="33"/>
      <c r="K43" s="33"/>
      <c r="L43" s="33"/>
    </row>
    <row r="44" spans="2:43" ht="20" customHeight="1" x14ac:dyDescent="0.25">
      <c r="B44" s="49" t="s">
        <v>203</v>
      </c>
      <c r="C44" s="34" t="s">
        <v>204</v>
      </c>
      <c r="D44" s="34" t="s">
        <v>199</v>
      </c>
      <c r="E44" s="34" t="s">
        <v>205</v>
      </c>
      <c r="G44" s="34" t="s">
        <v>206</v>
      </c>
      <c r="H44" s="49" t="s">
        <v>60</v>
      </c>
      <c r="I44" s="49"/>
      <c r="J44" s="34" t="s">
        <v>198</v>
      </c>
      <c r="K44" s="34" t="s">
        <v>199</v>
      </c>
      <c r="L44" s="34" t="s">
        <v>200</v>
      </c>
      <c r="AO44" s="7" t="s">
        <v>207</v>
      </c>
      <c r="AP44" s="7" t="s">
        <v>208</v>
      </c>
      <c r="AQ44" s="7" t="s">
        <v>209</v>
      </c>
    </row>
    <row r="45" spans="2:43" ht="14" customHeight="1" x14ac:dyDescent="0.25">
      <c r="B45" s="36"/>
      <c r="C45" s="36" t="str">
        <f>Currency</f>
        <v>EUR</v>
      </c>
      <c r="D45" s="36"/>
      <c r="E45" s="36" t="str">
        <f>Currency</f>
        <v>EUR</v>
      </c>
      <c r="G45" s="36"/>
      <c r="H45" s="36"/>
      <c r="I45" s="36"/>
      <c r="J45" s="36" t="str">
        <f>Currency</f>
        <v>EUR</v>
      </c>
      <c r="K45" s="36" t="s">
        <v>210</v>
      </c>
      <c r="L45" s="36" t="s">
        <v>210</v>
      </c>
    </row>
    <row r="46" spans="2:43" x14ac:dyDescent="0.25">
      <c r="B46" s="50" t="s">
        <v>113</v>
      </c>
      <c r="C46" s="40">
        <f>CHOOSE(1,SUM(tblBom[Material]),SUM(tblBom[Labour]),SUM(tblBom[Overhead]))</f>
        <v>61.3772</v>
      </c>
      <c r="D46" s="51">
        <f>IF((SUM(tblBom[Total]))=0,"",($C$46)/(SUM(tblBom[Total])))</f>
        <v>0.539217148194456</v>
      </c>
      <c r="E46" s="39">
        <f>$C$46*AnnualVolume</f>
        <v>245508.8</v>
      </c>
      <c r="G46" s="52">
        <v>1</v>
      </c>
      <c r="H46" s="38" t="str">
        <f>IF(INDEX($AP$46:$AP$53,MATCH(1,$AQ$46:$AQ$53,0))&lt;0,"",INDEX($AO$46:$AO$53,MATCH(1,$AQ$46:$AQ$53,0)))</f>
        <v>In-house</v>
      </c>
      <c r="I46" s="38"/>
      <c r="J46" s="40">
        <f>IF($H$46="","",INDEX($AP$46:$AP$53,MATCH(1,$AQ$46:$AQ$53,0)))</f>
        <v>48.7666666666667</v>
      </c>
      <c r="K46" s="51">
        <f>IF(OR($H$46="",$J$54=0),"",$J$46/$J$54)</f>
        <v>0.428429822913877</v>
      </c>
      <c r="L46" s="51">
        <f>IF(OR($H$46="",$J$54=0),"",SUM($J$46:$J$46)/$J$54)</f>
        <v>0.428429822913877</v>
      </c>
      <c r="AO46" s="11" t="str">
        <f>IFERROR(INDEX(tblCommodities[Commodity],1)&amp;"","")</f>
        <v>Plastic parts</v>
      </c>
      <c r="AP46" s="53">
        <f>IF($AO$46="",-1,SUMIFS(tblBom[Total],tblBom[Commodity],$AO$46))</f>
        <v>11.67696</v>
      </c>
      <c r="AQ46" s="54">
        <f>COUNTIF($AP$46:$AP$53,"&gt;"&amp;$AP$46)+COUNTIF($AP$46:$AP$46,$AP$46)</f>
        <v>4</v>
      </c>
    </row>
    <row r="47" spans="2:43" x14ac:dyDescent="0.25">
      <c r="B47" s="50" t="s">
        <v>114</v>
      </c>
      <c r="C47" s="40">
        <f>CHOOSE(2,SUM(tblBom[Material]),SUM(tblBom[Labour]),SUM(tblBom[Overhead]))</f>
        <v>22.1666666666667</v>
      </c>
      <c r="D47" s="51">
        <f>IF((SUM(tblBom[Total]))=0,"",($C$47)/(SUM(tblBom[Total])))</f>
        <v>0.194740828597217</v>
      </c>
      <c r="E47" s="39">
        <f>$C$47*AnnualVolume</f>
        <v>88666.6666666667</v>
      </c>
      <c r="G47" s="52">
        <v>2</v>
      </c>
      <c r="H47" s="38" t="str">
        <f>IF(INDEX($AP$46:$AP$53,MATCH(2,$AQ$46:$AQ$53,0))&lt;0,"",INDEX($AO$46:$AO$53,MATCH(2,$AQ$46:$AQ$53,0)))</f>
        <v>PCBs and electronics</v>
      </c>
      <c r="I47" s="38"/>
      <c r="J47" s="40">
        <f>IF($H$47="","",INDEX($AP$46:$AP$53,MATCH(2,$AQ$46:$AQ$53,0)))</f>
        <v>23.18803</v>
      </c>
      <c r="K47" s="51">
        <f>IF(OR($H$47="",$J$54=0),"",$J$47/$J$54)</f>
        <v>0.203713812439269</v>
      </c>
      <c r="L47" s="51">
        <f>IF(OR($H$47="",$J$54=0),"",SUM($J$46:$J$47)/$J$54)</f>
        <v>0.632143635353146</v>
      </c>
      <c r="AO47" s="11" t="str">
        <f>IFERROR(INDEX(tblCommodities[Commodity],2)&amp;"","")</f>
        <v>PCBs and electronics</v>
      </c>
      <c r="AP47" s="53">
        <f>IF($AO$47="",-1,SUMIFS(tblBom[Total],tblBom[Commodity],$AO$47))</f>
        <v>23.18803</v>
      </c>
      <c r="AQ47" s="54">
        <f>COUNTIF($AP$46:$AP$53,"&gt;"&amp;$AP$47)+COUNTIF($AP$46:$AP$47,$AP$47)</f>
        <v>2</v>
      </c>
    </row>
    <row r="48" spans="2:43" x14ac:dyDescent="0.25">
      <c r="B48" s="50" t="s">
        <v>115</v>
      </c>
      <c r="C48" s="40">
        <f>CHOOSE(3,SUM(tblBom[Material]),SUM(tblBom[Labour]),SUM(tblBom[Overhead]))</f>
        <v>30.282632</v>
      </c>
      <c r="D48" s="51">
        <f>IF((SUM(tblBom[Total]))=0,"",($C$48)/(SUM(tblBom[Total])))</f>
        <v>0.266042023208328</v>
      </c>
      <c r="E48" s="39">
        <f>$C$48*AnnualVolume</f>
        <v>121130.528</v>
      </c>
      <c r="G48" s="52">
        <v>3</v>
      </c>
      <c r="H48" s="38" t="str">
        <f>IF(INDEX($AP$46:$AP$53,MATCH(3,$AQ$46:$AQ$53,0))&lt;0,"",INDEX($AO$46:$AO$53,MATCH(3,$AQ$46:$AQ$53,0)))</f>
        <v>Power</v>
      </c>
      <c r="I48" s="38"/>
      <c r="J48" s="40">
        <f>IF($H$48="","",INDEX($AP$46:$AP$53,MATCH(3,$AQ$46:$AQ$53,0)))</f>
        <v>14.52995</v>
      </c>
      <c r="K48" s="51">
        <f>IF(OR($H$48="",$J$54=0),"",$J$48/$J$54)</f>
        <v>0.127649977555314</v>
      </c>
      <c r="L48" s="51">
        <f>IF(OR($H$48="",$J$54=0),"",SUM($J$46:$J$48)/$J$54)</f>
        <v>0.75979361290846</v>
      </c>
      <c r="AO48" s="11" t="str">
        <f>IFERROR(INDEX(tblCommodities[Commodity],3)&amp;"","")</f>
        <v>Sensors</v>
      </c>
      <c r="AP48" s="53">
        <f>IF($AO$48="",-1,SUMIFS(tblBom[Total],tblBom[Commodity],$AO$48))</f>
        <v>5.899006</v>
      </c>
      <c r="AQ48" s="54">
        <f>COUNTIF($AP$46:$AP$53,"&gt;"&amp;$AP$48)+COUNTIF($AP$46:$AP$48,$AP$48)</f>
        <v>5</v>
      </c>
    </row>
    <row r="49" spans="2:43" x14ac:dyDescent="0.25">
      <c r="B49" s="55" t="s">
        <v>116</v>
      </c>
      <c r="C49" s="56">
        <f>SUM($C$46:$C$48)</f>
        <v>113.826498666667</v>
      </c>
      <c r="E49" s="57">
        <f>SUM($E$46:$E$48)</f>
        <v>455305.994666667</v>
      </c>
      <c r="G49" s="52">
        <v>4</v>
      </c>
      <c r="H49" s="38" t="str">
        <f>IF(INDEX($AP$46:$AP$53,MATCH(4,$AQ$46:$AQ$53,0))&lt;0,"",INDEX($AO$46:$AO$53,MATCH(4,$AQ$46:$AQ$53,0)))</f>
        <v>Plastic parts</v>
      </c>
      <c r="I49" s="38"/>
      <c r="J49" s="40">
        <f>IF($H$49="","",INDEX($AP$46:$AP$53,MATCH(4,$AQ$46:$AQ$53,0)))</f>
        <v>11.67696</v>
      </c>
      <c r="K49" s="51">
        <f>IF(OR($H$49="",$J$54=0),"",$J$49/$J$54)</f>
        <v>0.102585602972777</v>
      </c>
      <c r="L49" s="51">
        <f>IF(OR($H$49="",$J$54=0),"",SUM($J$46:$J$49)/$J$54)</f>
        <v>0.862379215881237</v>
      </c>
      <c r="AO49" s="11" t="str">
        <f>IFERROR(INDEX(tblCommodities[Commodity],4)&amp;"","")</f>
        <v>Power</v>
      </c>
      <c r="AP49" s="53">
        <f>IF($AO$49="",-1,SUMIFS(tblBom[Total],tblBom[Commodity],$AO$49))</f>
        <v>14.52995</v>
      </c>
      <c r="AQ49" s="54">
        <f>COUNTIF($AP$46:$AP$53,"&gt;"&amp;$AP$49)+COUNTIF($AP$46:$AP$49,$AP$49)</f>
        <v>3</v>
      </c>
    </row>
    <row r="50" spans="2:43" x14ac:dyDescent="0.25">
      <c r="G50" s="52">
        <v>5</v>
      </c>
      <c r="H50" s="38" t="str">
        <f>IF(INDEX($AP$46:$AP$53,MATCH(5,$AQ$46:$AQ$53,0))&lt;0,"",INDEX($AO$46:$AO$53,MATCH(5,$AQ$46:$AQ$53,0)))</f>
        <v>Sensors</v>
      </c>
      <c r="I50" s="38"/>
      <c r="J50" s="40">
        <f>IF($H$50="","",INDEX($AP$46:$AP$53,MATCH(5,$AQ$46:$AQ$53,0)))</f>
        <v>5.899006</v>
      </c>
      <c r="K50" s="51">
        <f>IF(OR($H$50="",$J$54=0),"",$J$50/$J$54)</f>
        <v>0.0518245405867648</v>
      </c>
      <c r="L50" s="51">
        <f>IF(OR($H$50="",$J$54=0),"",SUM($J$46:$J$50)/$J$54)</f>
        <v>0.914203756468002</v>
      </c>
      <c r="AO50" s="11" t="str">
        <f>IFERROR(INDEX(tblCommodities[Commodity],5)&amp;"","")</f>
        <v>Mechanical</v>
      </c>
      <c r="AP50" s="53">
        <f>IF($AO$50="",-1,SUMIFS(tblBom[Total],tblBom[Commodity],$AO$50))</f>
        <v>4.40589</v>
      </c>
      <c r="AQ50" s="54">
        <f>COUNTIF($AP$46:$AP$53,"&gt;"&amp;$AP$50)+COUNTIF($AP$46:$AP$50,$AP$50)</f>
        <v>6</v>
      </c>
    </row>
    <row r="51" spans="2:43" x14ac:dyDescent="0.25">
      <c r="G51" s="52">
        <v>6</v>
      </c>
      <c r="H51" s="38" t="str">
        <f>IF(INDEX($AP$46:$AP$53,MATCH(6,$AQ$46:$AQ$53,0))&lt;0,"",INDEX($AO$46:$AO$53,MATCH(6,$AQ$46:$AQ$53,0)))</f>
        <v>Mechanical</v>
      </c>
      <c r="I51" s="38"/>
      <c r="J51" s="40">
        <f>IF($H$51="","",INDEX($AP$46:$AP$53,MATCH(6,$AQ$46:$AQ$53,0)))</f>
        <v>4.40589</v>
      </c>
      <c r="K51" s="51">
        <f>IF(OR($H$51="",$J$54=0),"",$J$51/$J$54)</f>
        <v>0.0387070677883395</v>
      </c>
      <c r="L51" s="51">
        <f>IF(OR($H$51="",$J$54=0),"",SUM($J$46:$J$51)/$J$54)</f>
        <v>0.952910824256341</v>
      </c>
      <c r="AO51" s="11" t="str">
        <f>IFERROR(INDEX(tblCommodities[Commodity],6)&amp;"","")</f>
        <v>Cables and seals</v>
      </c>
      <c r="AP51" s="53">
        <f>IF($AO$51="",-1,SUMIFS(tblBom[Total],tblBom[Commodity],$AO$51))</f>
        <v>4.116616</v>
      </c>
      <c r="AQ51" s="54">
        <f>COUNTIF($AP$46:$AP$53,"&gt;"&amp;$AP$51)+COUNTIF($AP$46:$AP$51,$AP$51)</f>
        <v>7</v>
      </c>
    </row>
    <row r="52" spans="2:43" x14ac:dyDescent="0.25">
      <c r="G52" s="52">
        <v>7</v>
      </c>
      <c r="H52" s="38" t="str">
        <f>IF(INDEX($AP$46:$AP$53,MATCH(7,$AQ$46:$AQ$53,0))&lt;0,"",INDEX($AO$46:$AO$53,MATCH(7,$AQ$46:$AQ$53,0)))</f>
        <v>Cables and seals</v>
      </c>
      <c r="I52" s="38"/>
      <c r="J52" s="40">
        <f>IF($H$52="","",INDEX($AP$46:$AP$53,MATCH(7,$AQ$46:$AQ$53,0)))</f>
        <v>4.116616</v>
      </c>
      <c r="K52" s="51">
        <f>IF(OR($H$52="",$J$54=0),"",$J$52/$J$54)</f>
        <v>0.0361657087604463</v>
      </c>
      <c r="L52" s="51">
        <f>IF(OR($H$52="",$J$54=0),"",SUM($J$46:$J$52)/$J$54)</f>
        <v>0.989076533016788</v>
      </c>
      <c r="AO52" s="11" t="str">
        <f>IFERROR(INDEX(tblCommodities[Commodity],7)&amp;"","")</f>
        <v>Packaging</v>
      </c>
      <c r="AP52" s="53">
        <f>IF($AO$52="",-1,SUMIFS(tblBom[Total],tblBom[Commodity],$AO$52))</f>
        <v>1.24338</v>
      </c>
      <c r="AQ52" s="54">
        <f>COUNTIF($AP$46:$AP$53,"&gt;"&amp;$AP$52)+COUNTIF($AP$46:$AP$52,$AP$52)</f>
        <v>8</v>
      </c>
    </row>
    <row r="53" spans="2:43" x14ac:dyDescent="0.25">
      <c r="G53" s="52">
        <v>8</v>
      </c>
      <c r="H53" s="38" t="str">
        <f>IF(INDEX($AP$46:$AP$53,MATCH(8,$AQ$46:$AQ$53,0))&lt;0,"",INDEX($AO$46:$AO$53,MATCH(8,$AQ$46:$AQ$53,0)))</f>
        <v>Packaging</v>
      </c>
      <c r="I53" s="38"/>
      <c r="J53" s="40">
        <f>IF($H$53="","",INDEX($AP$46:$AP$53,MATCH(8,$AQ$46:$AQ$53,0)))</f>
        <v>1.24338</v>
      </c>
      <c r="K53" s="51">
        <f>IF(OR($H$53="",$J$54=0),"",$J$53/$J$54)</f>
        <v>0.0109234669832124</v>
      </c>
      <c r="L53" s="51">
        <f>IF(OR($H$53="",$J$54=0),"",SUM($J$46:$J$53)/$J$54)</f>
        <v>1</v>
      </c>
      <c r="AO53" s="11" t="str">
        <f>IFERROR(INDEX(tblCommodities[Commodity],8)&amp;"","")</f>
        <v>In-house</v>
      </c>
      <c r="AP53" s="53">
        <f>IF($AO$53="",-1,SUMIFS(tblBom[Total],tblBom[Commodity],$AO$53))</f>
        <v>48.7666666666667</v>
      </c>
      <c r="AQ53" s="54">
        <f>COUNTIF($AP$46:$AP$53,"&gt;"&amp;$AP$53)+COUNTIF($AP$46:$AP$53,$AP$53)</f>
        <v>1</v>
      </c>
    </row>
    <row r="54" spans="2:43" x14ac:dyDescent="0.25">
      <c r="G54" s="55"/>
      <c r="H54" s="55" t="s">
        <v>116</v>
      </c>
      <c r="I54" s="55"/>
      <c r="J54" s="56">
        <f>SUMIF($AP$46:$AP$53,"&gt;0")</f>
        <v>113.826498666667</v>
      </c>
      <c r="K54" s="55"/>
      <c r="L54" s="55"/>
    </row>
    <row r="56" spans="2:43" ht="8" customHeight="1" x14ac:dyDescent="0.25"/>
    <row r="57" spans="2:43" x14ac:dyDescent="0.25">
      <c r="B57" s="21" t="s">
        <v>211</v>
      </c>
      <c r="C57" s="21"/>
      <c r="D57" s="21"/>
      <c r="E57" s="21"/>
      <c r="F57" s="21"/>
      <c r="G57" s="21"/>
      <c r="H57" s="21"/>
      <c r="I57" s="21"/>
      <c r="J57" s="21"/>
      <c r="K57" s="21"/>
      <c r="L57" s="21"/>
    </row>
    <row r="58" spans="2:43" x14ac:dyDescent="0.25">
      <c r="B58" s="58">
        <f>IF(OR(COUNTIF(tblBom[Level],1)&gt;10,COUNTA(tblCommodities[Commodity])&gt;8),"The BOM or the commodity list is longer than the Dashboard blocks: some items are not shown.","")</f>
        <v/>
      </c>
      <c r="C58" s="58"/>
      <c r="D58" s="58"/>
      <c r="E58" s="58"/>
      <c r="F58" s="58"/>
      <c r="G58" s="58"/>
      <c r="H58" s="58"/>
      <c r="I58" s="58"/>
      <c r="J58" s="58"/>
      <c r="K58" s="58"/>
      <c r="L58" s="58"/>
    </row>
  </sheetData>
  <sheetProtection sheet="1" formatColumns="0" formatRows="0"/>
  <mergeCells count="48">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J29"/>
    <mergeCell ref="C30:E30"/>
    <mergeCell ref="C31:E31"/>
    <mergeCell ref="C32:E32"/>
    <mergeCell ref="C33:E33"/>
    <mergeCell ref="C34:E34"/>
    <mergeCell ref="C35:E35"/>
    <mergeCell ref="C36:E36"/>
    <mergeCell ref="C37:E37"/>
    <mergeCell ref="C38:E38"/>
    <mergeCell ref="C39:E39"/>
    <mergeCell ref="C40:E40"/>
    <mergeCell ref="C41:E41"/>
    <mergeCell ref="B43:E43"/>
    <mergeCell ref="G43:L43"/>
    <mergeCell ref="H44:I44"/>
    <mergeCell ref="H45:I45"/>
    <mergeCell ref="H46:I46"/>
    <mergeCell ref="H47:I47"/>
    <mergeCell ref="H48:I48"/>
    <mergeCell ref="H49:I49"/>
    <mergeCell ref="H50:I50"/>
    <mergeCell ref="H51:I51"/>
    <mergeCell ref="H52:I52"/>
    <mergeCell ref="H53:I53"/>
    <mergeCell ref="H54:I54"/>
    <mergeCell ref="B57:L57"/>
    <mergeCell ref="B58:L58"/>
  </mergeCells>
  <conditionalFormatting sqref="H32:H41">
    <cfRule type="dataBar" priority="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J46:J53">
    <cfRule type="dataBar" priority="2">
      <dataBar>
        <cfvo type="num" val="0"/>
        <cfvo type="max"/>
        <color rgb="FFA8BDF0"/>
      </dataBar>
      <extLst>
        <ext xmlns:x14="http://schemas.microsoft.com/office/spreadsheetml/2009/9/main" uri="{B025F937-C7B1-47D3-B67F-A62EFF666E3E}">
          <x14:id>{DA7ABA51-AAAA-BBBB-0004-000000000002}</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BOM Cost Rollup&amp;R&amp;8&amp;A</oddHeader>
    <oddFooter>&amp;L&amp;8mfgcalcs.com - free manufacturing templates&amp;R&amp;8Page &amp;P of &amp;N</oddFooter>
  </headerFooter>
  <rowBreaks count="1" manualBreakCount="1">
    <brk id="28"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H32:H41</xm:sqref>
        </x14:conditionalFormatting>
        <x14:conditionalFormatting xmlns:xm="http://schemas.microsoft.com/office/excel/2006/main">
          <x14:cfRule type="dataBar" id="{DA7ABA51-AAAA-BBBB-0004-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J46:J53</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212</v>
      </c>
      <c r="C4" s="8"/>
      <c r="D4" s="8"/>
    </row>
    <row r="5" spans="1:4" ht="5" customHeight="1"/>
    <row r="6" spans="1:4" ht="55.8" customHeight="1">
      <c r="B6" s="10" t="s">
        <v>213</v>
      </c>
      <c r="C6" s="10"/>
      <c r="D6" s="10"/>
    </row>
    <row r="8" spans="1:4" ht="21" customHeight="1">
      <c r="B8" s="8" t="s">
        <v>214</v>
      </c>
      <c r="C8" s="8"/>
      <c r="D8" s="8"/>
    </row>
    <row r="9" spans="1:4" ht="5" customHeight="1"/>
    <row r="10" spans="1:4" ht="20" customHeight="1">
      <c r="B10" s="49" t="s">
        <v>215</v>
      </c>
      <c r="C10" s="49" t="s">
        <v>216</v>
      </c>
      <c r="D10" s="34" t="s">
        <v>217</v>
      </c>
    </row>
    <row r="11" spans="1:4" ht="30.4" customHeight="1">
      <c r="B11" s="59" t="s">
        <v>218</v>
      </c>
      <c r="C11" s="60" t="s">
        <v>219</v>
      </c>
      <c r="D11" s="61" t="s">
        <v>220</v>
      </c>
    </row>
    <row r="12" spans="1:4" ht="30.4" customHeight="1">
      <c r="B12" s="59" t="s">
        <v>111</v>
      </c>
      <c r="C12" s="60" t="s">
        <v>221</v>
      </c>
      <c r="D12" s="61" t="s">
        <v>220</v>
      </c>
    </row>
    <row r="13" spans="1:4" ht="17.2" customHeight="1">
      <c r="B13" s="59" t="s">
        <v>222</v>
      </c>
      <c r="C13" s="60" t="s">
        <v>223</v>
      </c>
      <c r="D13" s="61" t="s">
        <v>103</v>
      </c>
    </row>
    <row r="14" spans="1:4" ht="17.2" customHeight="1">
      <c r="B14" s="59" t="s">
        <v>113</v>
      </c>
      <c r="C14" s="60" t="s">
        <v>224</v>
      </c>
      <c r="D14" s="61" t="s">
        <v>225</v>
      </c>
    </row>
    <row r="15" spans="1:4" ht="17.2" customHeight="1">
      <c r="B15" s="59" t="s">
        <v>114</v>
      </c>
      <c r="C15" s="60" t="s">
        <v>226</v>
      </c>
      <c r="D15" s="61" t="s">
        <v>225</v>
      </c>
    </row>
    <row r="16" spans="1:4" ht="17.2" customHeight="1">
      <c r="B16" s="59" t="s">
        <v>115</v>
      </c>
      <c r="C16" s="60" t="s">
        <v>227</v>
      </c>
      <c r="D16" s="61" t="s">
        <v>225</v>
      </c>
    </row>
    <row r="17" spans="2:4" ht="30.4" customHeight="1">
      <c r="B17" s="59" t="s">
        <v>116</v>
      </c>
      <c r="C17" s="60" t="s">
        <v>228</v>
      </c>
      <c r="D17" s="61" t="s">
        <v>225</v>
      </c>
    </row>
    <row r="18" spans="2:4" ht="30.4" customHeight="1">
      <c r="B18" s="59" t="s">
        <v>229</v>
      </c>
      <c r="C18" s="60" t="s">
        <v>230</v>
      </c>
      <c r="D18" s="61" t="s">
        <v>225</v>
      </c>
    </row>
    <row r="19" spans="2:4" ht="30.4" customHeight="1">
      <c r="B19" s="59" t="s">
        <v>118</v>
      </c>
      <c r="C19" s="60" t="s">
        <v>231</v>
      </c>
      <c r="D19" s="61" t="s">
        <v>232</v>
      </c>
    </row>
    <row r="20" spans="2:4" ht="17.2" customHeight="1">
      <c r="B20" s="59" t="s">
        <v>233</v>
      </c>
      <c r="C20" s="60" t="s">
        <v>234</v>
      </c>
      <c r="D20" s="61" t="s">
        <v>225</v>
      </c>
    </row>
    <row r="21" spans="2:4" ht="30.4" customHeight="1">
      <c r="B21" s="59" t="s">
        <v>235</v>
      </c>
      <c r="C21" s="60" t="s">
        <v>236</v>
      </c>
      <c r="D21" s="61" t="s">
        <v>237</v>
      </c>
    </row>
    <row r="23" spans="2:4" ht="21" customHeight="1">
      <c r="B23" s="8" t="s">
        <v>238</v>
      </c>
      <c r="C23" s="8"/>
      <c r="D23" s="8"/>
    </row>
    <row r="24" spans="2:4" ht="5" customHeight="1"/>
    <row r="25" spans="2:4" ht="16.2" customHeight="1">
      <c r="B25" s="26" t="s">
        <v>53</v>
      </c>
      <c r="C25" s="10" t="s">
        <v>239</v>
      </c>
      <c r="D25" s="10"/>
    </row>
    <row r="26" spans="2:4" ht="16.2" customHeight="1">
      <c r="B26" s="26" t="s">
        <v>53</v>
      </c>
      <c r="C26" s="10" t="s">
        <v>240</v>
      </c>
      <c r="D26" s="10"/>
    </row>
    <row r="27" spans="2:4" ht="16.2" customHeight="1">
      <c r="B27" s="26" t="s">
        <v>53</v>
      </c>
      <c r="C27" s="10" t="s">
        <v>241</v>
      </c>
      <c r="D27" s="10"/>
    </row>
    <row r="28" spans="2:4" ht="16.2" customHeight="1">
      <c r="B28" s="26" t="s">
        <v>53</v>
      </c>
      <c r="C28" s="10" t="s">
        <v>242</v>
      </c>
      <c r="D28" s="10"/>
    </row>
    <row r="30" spans="2:4" ht="21" customHeight="1">
      <c r="B30" s="8" t="s">
        <v>243</v>
      </c>
      <c r="C30" s="8"/>
      <c r="D30" s="8"/>
    </row>
    <row r="31" spans="2:4" ht="5" customHeight="1"/>
    <row r="32" spans="2:4" ht="16.2" customHeight="1">
      <c r="B32" s="26" t="s">
        <v>53</v>
      </c>
      <c r="C32" s="10" t="s">
        <v>244</v>
      </c>
      <c r="D32" s="10"/>
    </row>
    <row r="33" spans="2:4" ht="29.4" customHeight="1">
      <c r="B33" s="26" t="s">
        <v>53</v>
      </c>
      <c r="C33" s="10" t="s">
        <v>245</v>
      </c>
      <c r="D33" s="10"/>
    </row>
    <row r="34" spans="2:4" ht="29.4" customHeight="1">
      <c r="B34" s="26" t="s">
        <v>53</v>
      </c>
      <c r="C34" s="10" t="s">
        <v>246</v>
      </c>
      <c r="D34" s="10"/>
    </row>
    <row r="35" spans="2:4" ht="29.4" customHeight="1">
      <c r="B35" s="26" t="s">
        <v>53</v>
      </c>
      <c r="C35" s="10" t="s">
        <v>247</v>
      </c>
      <c r="D35" s="10"/>
    </row>
    <row r="37" spans="2:4" ht="21" customHeight="1">
      <c r="B37" s="8" t="s">
        <v>248</v>
      </c>
      <c r="C37" s="8"/>
      <c r="D37" s="8"/>
    </row>
    <row r="38" spans="2:4" ht="5" customHeight="1"/>
    <row r="39" spans="2:4" ht="55.8" customHeight="1">
      <c r="B39" s="10" t="s">
        <v>249</v>
      </c>
      <c r="C39" s="10"/>
      <c r="D39" s="10"/>
    </row>
    <row r="40" spans="2:4">
      <c r="B40" s="24" t="s">
        <v>250</v>
      </c>
      <c r="C40" s="24"/>
      <c r="D40" s="24"/>
    </row>
    <row r="42" spans="2:4" ht="21" customHeight="1">
      <c r="B42" s="8" t="s">
        <v>40</v>
      </c>
      <c r="C42" s="8"/>
      <c r="D42" s="8"/>
    </row>
    <row r="43" spans="2:4" ht="5" customHeight="1"/>
    <row r="44" spans="2:4" ht="42.6" customHeight="1">
      <c r="B44" s="10" t="s">
        <v>251</v>
      </c>
      <c r="C44" s="10"/>
      <c r="D44" s="10"/>
    </row>
    <row r="46" spans="2:4" ht="21" customHeight="1">
      <c r="B46" s="8" t="s">
        <v>252</v>
      </c>
      <c r="C46" s="8"/>
      <c r="D46" s="8"/>
    </row>
    <row r="47" spans="2:4" ht="5" customHeight="1"/>
    <row r="48" spans="2:4" ht="29.4" customHeight="1">
      <c r="B48" s="26" t="s">
        <v>53</v>
      </c>
      <c r="C48" s="10" t="s">
        <v>253</v>
      </c>
      <c r="D48" s="10"/>
    </row>
    <row r="49" spans="2:4" ht="16.2" customHeight="1">
      <c r="B49" s="26" t="s">
        <v>53</v>
      </c>
      <c r="C49" s="10" t="s">
        <v>254</v>
      </c>
      <c r="D49" s="10"/>
    </row>
    <row r="50" spans="2:4" ht="29.4" customHeight="1">
      <c r="B50" s="26" t="s">
        <v>53</v>
      </c>
      <c r="C50" s="10" t="s">
        <v>255</v>
      </c>
      <c r="D50" s="10"/>
    </row>
    <row r="51" spans="2:4">
      <c r="B51" s="21" t="s">
        <v>256</v>
      </c>
      <c r="C51" s="21"/>
      <c r="D51" s="21"/>
    </row>
    <row r="53" spans="2:4" ht="21" customHeight="1">
      <c r="B53" s="8" t="s">
        <v>257</v>
      </c>
      <c r="C53" s="8"/>
      <c r="D53" s="8"/>
    </row>
    <row r="54" spans="2:4" ht="5" customHeight="1"/>
    <row r="55" spans="2:4">
      <c r="B55" s="49" t="s">
        <v>48</v>
      </c>
      <c r="C55" s="49" t="s">
        <v>258</v>
      </c>
      <c r="D55" s="34" t="s">
        <v>259</v>
      </c>
    </row>
    <row r="56" spans="2:4" ht="16.2" customHeight="1">
      <c r="B56" s="62" t="s">
        <v>260</v>
      </c>
      <c r="C56" s="63" t="s">
        <v>261</v>
      </c>
      <c r="D56" s="64" t="s">
        <v>262</v>
      </c>
    </row>
    <row r="58" spans="2:4">
      <c r="B58" s="21" t="s">
        <v>59</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BOM Cost Rollup&amp;R&amp;8&amp;A</oddHeader>
    <oddFooter>&amp;L&amp;8mfgcalcs.com - free manufacturing templates&amp;R&amp;8Page &amp;P of &amp;N</oddFooter>
  </headerFooter>
  <rowBreaks count="1" manualBreakCount="1">
    <brk id="2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X64"/>
  <sheetViews>
    <sheetView showGridLines="0" workbookViewId="0"/>
  </sheetViews>
  <sheetFormatPr defaultRowHeight="15" x14ac:dyDescent="0.25"/>
  <cols>
    <col min="1" max="1" width="2.7109375" customWidth="1"/>
    <col min="2" max="19" width="12.7109375" customWidth="1"/>
    <col min="20" max="20" width="9.7109375" customWidth="1"/>
    <col min="21" max="21" width="10.7109375" customWidth="1"/>
    <col min="22" max="22" width="10.28515625" customWidth="1"/>
    <col min="23" max="23" width="8.28515625" customWidth="1"/>
    <col min="24" max="24" width="22.7109375" customWidth="1"/>
  </cols>
  <sheetData>
    <row r="1" spans="1:24" ht="30" customHeight="1" x14ac:dyDescent="0.25">
      <c r="A1" s="1" t="s">
        <v>0</v>
      </c>
      <c r="B1" s="1"/>
      <c r="C1" s="1"/>
      <c r="D1" s="1"/>
      <c r="E1" s="1"/>
      <c r="F1" s="1"/>
      <c r="G1" s="1"/>
      <c r="H1" s="1"/>
      <c r="I1" s="1"/>
      <c r="J1" s="1"/>
      <c r="K1" s="1"/>
      <c r="L1" s="1"/>
      <c r="M1" s="1"/>
      <c r="N1" s="1"/>
      <c r="O1" s="1"/>
      <c r="P1" s="1"/>
      <c r="Q1" s="1"/>
      <c r="R1" s="1"/>
      <c r="S1" s="1"/>
      <c r="T1" s="1"/>
      <c r="U1" s="1"/>
      <c r="V1" s="1"/>
      <c r="W1" s="1"/>
      <c r="X1" s="1"/>
    </row>
    <row r="2" spans="1:24" ht="21" customHeight="1" x14ac:dyDescent="0.25">
      <c r="B2" s="2" t="s">
        <v>26</v>
      </c>
      <c r="C2" s="2"/>
      <c r="D2" s="2"/>
      <c r="E2" s="2"/>
      <c r="F2" s="2"/>
      <c r="G2" s="2"/>
      <c r="H2" s="2"/>
      <c r="I2" s="2"/>
      <c r="J2" s="2"/>
      <c r="K2" s="2"/>
      <c r="L2" s="2"/>
      <c r="M2" s="2"/>
      <c r="N2" s="2"/>
      <c r="O2" s="2"/>
      <c r="P2" s="2"/>
      <c r="Q2" s="2"/>
      <c r="R2" s="2"/>
      <c r="S2" s="2"/>
      <c r="T2" s="2"/>
      <c r="U2" s="2"/>
      <c r="V2" s="2"/>
      <c r="W2" s="2"/>
      <c r="X2" s="3" t="s">
        <v>2</v>
      </c>
    </row>
    <row r="3" spans="1:24" ht="6" customHeight="1" x14ac:dyDescent="0.25"/>
    <row r="4" spans="1:24" ht="30" customHeight="1" x14ac:dyDescent="0.25">
      <c r="B4" s="65" t="s">
        <v>263</v>
      </c>
      <c r="C4" s="65"/>
      <c r="D4" s="22" t="str">
        <f>IF(COUNTIF($K$11:$K$23,"PASS")=13,"PASS","FAIL")</f>
        <v>PASS</v>
      </c>
      <c r="E4" s="22"/>
      <c r="F4" s="23" t="str">
        <f>COUNTIF($K$11:$K$23,"PASS")&amp;" of 13 checks pass"</f>
        <v>13 of 13 checks pass</v>
      </c>
      <c r="G4" s="23"/>
      <c r="H4" s="23"/>
      <c r="I4" s="23"/>
      <c r="J4" s="23"/>
    </row>
    <row r="6" spans="1:24" ht="29.4" customHeight="1" x14ac:dyDescent="0.25">
      <c r="B6" s="10" t="s">
        <v>264</v>
      </c>
      <c r="C6" s="10"/>
      <c r="D6" s="10"/>
      <c r="E6" s="10"/>
      <c r="F6" s="10"/>
      <c r="G6" s="10"/>
      <c r="H6" s="10"/>
      <c r="I6" s="10"/>
      <c r="J6" s="10"/>
      <c r="K6" s="10"/>
      <c r="L6" s="10"/>
    </row>
    <row r="8" spans="1:24" ht="21" customHeight="1" x14ac:dyDescent="0.25">
      <c r="B8" s="8" t="s">
        <v>265</v>
      </c>
      <c r="C8" s="8"/>
      <c r="D8" s="8"/>
      <c r="E8" s="8"/>
      <c r="F8" s="8"/>
      <c r="G8" s="8"/>
      <c r="H8" s="8"/>
      <c r="I8" s="8"/>
      <c r="J8" s="8"/>
      <c r="K8" s="8"/>
      <c r="L8" s="8"/>
    </row>
    <row r="9" spans="1:24" ht="5" customHeight="1" x14ac:dyDescent="0.25"/>
    <row r="10" spans="1:24" ht="30" customHeight="1" x14ac:dyDescent="0.25">
      <c r="B10" s="34" t="s">
        <v>266</v>
      </c>
      <c r="C10" s="49" t="s">
        <v>120</v>
      </c>
      <c r="D10" s="49"/>
      <c r="E10" s="49"/>
      <c r="F10" s="49"/>
      <c r="G10" s="34" t="s">
        <v>267</v>
      </c>
      <c r="H10" s="34" t="s">
        <v>268</v>
      </c>
      <c r="I10" s="34" t="s">
        <v>269</v>
      </c>
      <c r="J10" s="34" t="s">
        <v>270</v>
      </c>
      <c r="K10" s="34" t="s">
        <v>271</v>
      </c>
    </row>
    <row r="11" spans="1:24" ht="16.2" customHeight="1" x14ac:dyDescent="0.25">
      <c r="B11" s="52">
        <v>1</v>
      </c>
      <c r="C11" s="63" t="s">
        <v>272</v>
      </c>
      <c r="D11" s="63"/>
      <c r="E11" s="63"/>
      <c r="F11" s="63"/>
      <c r="G11" s="66">
        <v>4</v>
      </c>
      <c r="H11" s="39">
        <f>$O$48</f>
        <v>4</v>
      </c>
      <c r="I11" s="67">
        <f>IF(AND(ISNUMBER($G$11),ISNUMBER($H$11)),ABS($H$11-$G$11),"")</f>
        <v>0</v>
      </c>
      <c r="J11" s="68">
        <v>1E-09</v>
      </c>
      <c r="K11" s="69" t="str">
        <f>IF(AND(ISNUMBER($G$11),ISNUMBER($H$11)),IF(ABS($H$11-$G$11)&lt;=$J$11,"PASS","FAIL"),"FAIL")</f>
        <v>PASS</v>
      </c>
    </row>
    <row r="12" spans="1:24" ht="16.2" customHeight="1" x14ac:dyDescent="0.25">
      <c r="B12" s="52">
        <v>2</v>
      </c>
      <c r="C12" s="63" t="s">
        <v>273</v>
      </c>
      <c r="D12" s="63"/>
      <c r="E12" s="63"/>
      <c r="F12" s="63"/>
      <c r="G12" s="70">
        <v>16</v>
      </c>
      <c r="H12" s="40">
        <f>$P$48</f>
        <v>16</v>
      </c>
      <c r="I12" s="67">
        <f>IF(AND(ISNUMBER($G$12),ISNUMBER($H$12)),ABS($H$12-$G$12),"")</f>
        <v>0</v>
      </c>
      <c r="J12" s="68">
        <v>1E-09</v>
      </c>
      <c r="K12" s="69" t="str">
        <f>IF(AND(ISNUMBER($G$12),ISNUMBER($H$12)),IF(ABS($H$12-$G$12)&lt;=$J$12,"PASS","FAIL"),"FAIL")</f>
        <v>PASS</v>
      </c>
    </row>
    <row r="13" spans="1:24" ht="16.2" customHeight="1" x14ac:dyDescent="0.25">
      <c r="B13" s="52">
        <v>3</v>
      </c>
      <c r="C13" s="63" t="s">
        <v>274</v>
      </c>
      <c r="D13" s="63"/>
      <c r="E13" s="63"/>
      <c r="F13" s="63"/>
      <c r="G13" s="71">
        <v>9.18</v>
      </c>
      <c r="H13" s="72">
        <f>$Q$45</f>
        <v>9.18</v>
      </c>
      <c r="I13" s="67">
        <f>IF(AND(ISNUMBER($G$13),ISNUMBER($H$13)),ABS($H$13-$G$13),"")</f>
        <v>0</v>
      </c>
      <c r="J13" s="68">
        <v>1E-09</v>
      </c>
      <c r="K13" s="69" t="str">
        <f>IF(AND(ISNUMBER($G$13),ISNUMBER($H$13)),IF(ABS($H$13-$G$13)&lt;=$J$13,"PASS","FAIL"),"FAIL")</f>
        <v>PASS</v>
      </c>
    </row>
    <row r="14" spans="1:24" ht="16.2" customHeight="1" x14ac:dyDescent="0.25">
      <c r="B14" s="52">
        <v>4</v>
      </c>
      <c r="C14" s="63" t="s">
        <v>275</v>
      </c>
      <c r="D14" s="63"/>
      <c r="E14" s="63"/>
      <c r="F14" s="63"/>
      <c r="G14" s="71">
        <v>10</v>
      </c>
      <c r="H14" s="72">
        <f>$R$44</f>
        <v>10</v>
      </c>
      <c r="I14" s="67">
        <f>IF(AND(ISNUMBER($G$14),ISNUMBER($H$14)),ABS($H$14-$G$14),"")</f>
        <v>0</v>
      </c>
      <c r="J14" s="68">
        <v>1E-09</v>
      </c>
      <c r="K14" s="69" t="str">
        <f>IF(AND(ISNUMBER($G$14),ISNUMBER($H$14)),IF(ABS($H$14-$G$14)&lt;=$J$14,"PASS","FAIL"),"FAIL")</f>
        <v>PASS</v>
      </c>
    </row>
    <row r="15" spans="1:24" ht="16.2" customHeight="1" x14ac:dyDescent="0.25">
      <c r="B15" s="52">
        <v>5</v>
      </c>
      <c r="C15" s="63" t="s">
        <v>276</v>
      </c>
      <c r="D15" s="63"/>
      <c r="E15" s="63"/>
      <c r="F15" s="63"/>
      <c r="G15" s="71">
        <v>0.459</v>
      </c>
      <c r="H15" s="72">
        <f>$S$45</f>
        <v>0.459</v>
      </c>
      <c r="I15" s="67">
        <f>IF(AND(ISNUMBER($G$15),ISNUMBER($H$15)),ABS($H$15-$G$15),"")</f>
        <v>0</v>
      </c>
      <c r="J15" s="68">
        <v>1E-09</v>
      </c>
      <c r="K15" s="69" t="str">
        <f>IF(AND(ISNUMBER($G$15),ISNUMBER($H$15)),IF(ABS($H$15-$G$15)&lt;=$J$15,"PASS","FAIL"),"FAIL")</f>
        <v>PASS</v>
      </c>
    </row>
    <row r="16" spans="1:24" ht="16.2" customHeight="1" x14ac:dyDescent="0.25">
      <c r="B16" s="52">
        <v>6</v>
      </c>
      <c r="C16" s="63" t="s">
        <v>277</v>
      </c>
      <c r="D16" s="63"/>
      <c r="E16" s="63"/>
      <c r="F16" s="63"/>
      <c r="G16" s="71">
        <v>10.84</v>
      </c>
      <c r="H16" s="72">
        <f>$T$46</f>
        <v>10.84</v>
      </c>
      <c r="I16" s="67">
        <f>IF(AND(ISNUMBER($G$16),ISNUMBER($H$16)),ABS($H$16-$G$16),"")</f>
        <v>0</v>
      </c>
      <c r="J16" s="68">
        <v>1E-09</v>
      </c>
      <c r="K16" s="69" t="str">
        <f>IF(AND(ISNUMBER($G$16),ISNUMBER($H$16)),IF(ABS($H$16-$G$16)&lt;=$J$16,"PASS","FAIL"),"FAIL")</f>
        <v>PASS</v>
      </c>
    </row>
    <row r="17" spans="2:12" ht="16.2" customHeight="1" x14ac:dyDescent="0.25">
      <c r="B17" s="52">
        <v>7</v>
      </c>
      <c r="C17" s="63" t="s">
        <v>278</v>
      </c>
      <c r="D17" s="63"/>
      <c r="E17" s="63"/>
      <c r="F17" s="63"/>
      <c r="G17" s="71">
        <v>27.082</v>
      </c>
      <c r="H17" s="72">
        <f>$U$46</f>
        <v>27.082</v>
      </c>
      <c r="I17" s="67">
        <f>IF(AND(ISNUMBER($G$17),ISNUMBER($H$17)),ABS($H$17-$G$17),"")</f>
        <v>0</v>
      </c>
      <c r="J17" s="68">
        <v>1E-09</v>
      </c>
      <c r="K17" s="69" t="str">
        <f>IF(AND(ISNUMBER($G$17),ISNUMBER($H$17)),IF(ABS($H$17-$G$17)&lt;=$J$17,"PASS","FAIL"),"FAIL")</f>
        <v>PASS</v>
      </c>
    </row>
    <row r="18" spans="2:12" ht="16.2" customHeight="1" x14ac:dyDescent="0.25">
      <c r="B18" s="52">
        <v>8</v>
      </c>
      <c r="C18" s="63" t="s">
        <v>279</v>
      </c>
      <c r="D18" s="63"/>
      <c r="E18" s="63"/>
      <c r="F18" s="63"/>
      <c r="G18" s="71">
        <v>28.3605</v>
      </c>
      <c r="H18" s="72">
        <f>$V$44</f>
        <v>28.3605</v>
      </c>
      <c r="I18" s="67">
        <f>IF(AND(ISNUMBER($G$18),ISNUMBER($H$18)),ABS($H$18-$G$18),"")</f>
        <v>0</v>
      </c>
      <c r="J18" s="68">
        <v>1E-09</v>
      </c>
      <c r="K18" s="69" t="str">
        <f>IF(AND(ISNUMBER($G$18),ISNUMBER($H$18)),IF(ABS($H$18-$G$18)&lt;=$J$18,"PASS","FAIL"),"FAIL")</f>
        <v>PASS</v>
      </c>
    </row>
    <row r="19" spans="2:12" ht="16.2" customHeight="1" x14ac:dyDescent="0.25">
      <c r="B19" s="52">
        <v>9</v>
      </c>
      <c r="C19" s="63" t="s">
        <v>280</v>
      </c>
      <c r="D19" s="63"/>
      <c r="E19" s="63"/>
      <c r="F19" s="63"/>
      <c r="G19" s="62" t="s">
        <v>281</v>
      </c>
      <c r="H19" s="38" t="str">
        <f>$X$48</f>
        <v>OK</v>
      </c>
      <c r="I19" s="38"/>
      <c r="J19" s="64" t="s">
        <v>282</v>
      </c>
      <c r="K19" s="69" t="str">
        <f>IF($H$19&amp;""=$G$19&amp;"","PASS","FAIL")</f>
        <v>PASS</v>
      </c>
    </row>
    <row r="20" spans="2:12" ht="16.2" customHeight="1" x14ac:dyDescent="0.25">
      <c r="B20" s="52">
        <v>10</v>
      </c>
      <c r="C20" s="63" t="s">
        <v>283</v>
      </c>
      <c r="D20" s="63"/>
      <c r="E20" s="63"/>
      <c r="F20" s="63"/>
      <c r="G20" s="62" t="s">
        <v>284</v>
      </c>
      <c r="H20" s="38" t="str">
        <f>$X$50</f>
        <v>Parent not in BOM</v>
      </c>
      <c r="I20" s="38"/>
      <c r="J20" s="64" t="s">
        <v>282</v>
      </c>
      <c r="K20" s="69" t="str">
        <f>IF($H$20&amp;""=$G$20&amp;"","PASS","FAIL")</f>
        <v>PASS</v>
      </c>
    </row>
    <row r="21" spans="2:12" ht="16.2" customHeight="1" x14ac:dyDescent="0.25">
      <c r="B21" s="52">
        <v>11</v>
      </c>
      <c r="C21" s="63" t="s">
        <v>285</v>
      </c>
      <c r="D21" s="63"/>
      <c r="E21" s="63"/>
      <c r="F21" s="63"/>
      <c r="G21" s="71">
        <v>69.321</v>
      </c>
      <c r="H21" s="72">
        <f>SUM(tblVerifyBom[Total])</f>
        <v>69.321</v>
      </c>
      <c r="I21" s="67">
        <f>IF(AND(ISNUMBER($G$21),ISNUMBER($H$21)),ABS($H$21-$G$21),"")</f>
        <v>0</v>
      </c>
      <c r="J21" s="68">
        <v>1E-09</v>
      </c>
      <c r="K21" s="69" t="str">
        <f>IF(AND(ISNUMBER($G$21),ISNUMBER($H$21)),IF(ABS($H$21-$G$21)&lt;=$J$21,"PASS","FAIL"),"FAIL")</f>
        <v>PASS</v>
      </c>
    </row>
    <row r="22" spans="2:12" ht="16.2" customHeight="1" x14ac:dyDescent="0.25">
      <c r="B22" s="52">
        <v>12</v>
      </c>
      <c r="C22" s="63" t="s">
        <v>286</v>
      </c>
      <c r="D22" s="63"/>
      <c r="E22" s="63"/>
      <c r="F22" s="63"/>
      <c r="G22" s="62" t="s">
        <v>287</v>
      </c>
      <c r="H22" s="38" t="str">
        <f>$B$55</f>
        <v>A1</v>
      </c>
      <c r="I22" s="38"/>
      <c r="J22" s="64" t="s">
        <v>282</v>
      </c>
      <c r="K22" s="69" t="str">
        <f>IF($H$22&amp;""=$G$22&amp;"","PASS","FAIL")</f>
        <v>PASS</v>
      </c>
    </row>
    <row r="23" spans="2:12" ht="16.2" customHeight="1" x14ac:dyDescent="0.25">
      <c r="B23" s="52">
        <v>13</v>
      </c>
      <c r="C23" s="63" t="s">
        <v>288</v>
      </c>
      <c r="D23" s="63"/>
      <c r="E23" s="63"/>
      <c r="F23" s="63"/>
      <c r="G23" s="73">
        <v>0.8182368979097244</v>
      </c>
      <c r="H23" s="51">
        <f>$I$55</f>
        <v>0.818236897909724</v>
      </c>
      <c r="I23" s="67">
        <f>IF(AND(ISNUMBER($G$23),ISNUMBER($H$23)),ABS($H$23-$G$23),"")</f>
        <v>0</v>
      </c>
      <c r="J23" s="68">
        <v>1E-09</v>
      </c>
      <c r="K23" s="69" t="str">
        <f>IF(AND(ISNUMBER($G$23),ISNUMBER($H$23)),IF(ABS($H$23-$G$23)&lt;=$J$23,"PASS","FAIL"),"FAIL")</f>
        <v>PASS</v>
      </c>
    </row>
    <row r="25" spans="2:12" ht="21" customHeight="1" x14ac:dyDescent="0.25">
      <c r="B25" s="8" t="s">
        <v>289</v>
      </c>
      <c r="C25" s="8"/>
      <c r="D25" s="8"/>
      <c r="E25" s="8"/>
      <c r="F25" s="8"/>
      <c r="G25" s="8"/>
      <c r="H25" s="8"/>
      <c r="I25" s="8"/>
      <c r="J25" s="8"/>
      <c r="K25" s="8"/>
      <c r="L25" s="8"/>
    </row>
    <row r="26" spans="2:12" ht="5" customHeight="1" x14ac:dyDescent="0.25"/>
    <row r="27" spans="2:12" x14ac:dyDescent="0.25">
      <c r="B27" s="21" t="s">
        <v>290</v>
      </c>
      <c r="C27" s="21"/>
      <c r="D27" s="21"/>
      <c r="E27" s="21"/>
      <c r="F27" s="21"/>
      <c r="G27" s="21"/>
      <c r="H27" s="21"/>
      <c r="I27" s="21"/>
      <c r="J27" s="21"/>
      <c r="K27" s="21"/>
      <c r="L27" s="21"/>
    </row>
    <row r="28" spans="2:12" x14ac:dyDescent="0.25">
      <c r="B28" s="33" t="s">
        <v>291</v>
      </c>
      <c r="C28" s="33"/>
      <c r="D28" s="33"/>
      <c r="E28" s="33"/>
      <c r="F28" s="33"/>
    </row>
    <row r="29" spans="2:12" x14ac:dyDescent="0.25">
      <c r="B29" s="27" t="s">
        <v>292</v>
      </c>
      <c r="C29" s="27"/>
      <c r="D29" s="27"/>
      <c r="E29" s="62" t="s">
        <v>293</v>
      </c>
      <c r="F29" s="62"/>
    </row>
    <row r="30" spans="2:12" x14ac:dyDescent="0.25">
      <c r="B30" s="27" t="s">
        <v>71</v>
      </c>
      <c r="C30" s="27"/>
      <c r="D30" s="27"/>
      <c r="E30" s="70">
        <v>30</v>
      </c>
      <c r="F30" s="7"/>
    </row>
    <row r="31" spans="2:12" x14ac:dyDescent="0.25">
      <c r="B31" s="27" t="s">
        <v>72</v>
      </c>
      <c r="C31" s="27"/>
      <c r="D31" s="27"/>
      <c r="E31" s="74">
        <v>1</v>
      </c>
      <c r="F31" s="7"/>
    </row>
    <row r="32" spans="2:12" x14ac:dyDescent="0.25">
      <c r="B32" s="27" t="s">
        <v>74</v>
      </c>
      <c r="C32" s="27"/>
      <c r="D32" s="27"/>
      <c r="E32" s="73">
        <v>0.05</v>
      </c>
      <c r="F32" s="7"/>
    </row>
    <row r="33" spans="2:24" x14ac:dyDescent="0.25">
      <c r="B33" s="27" t="s">
        <v>294</v>
      </c>
      <c r="C33" s="27"/>
      <c r="D33" s="27"/>
      <c r="E33" s="74">
        <v>0.3</v>
      </c>
      <c r="F33" s="7"/>
    </row>
    <row r="34" spans="2:24" x14ac:dyDescent="0.25">
      <c r="B34" s="27" t="s">
        <v>78</v>
      </c>
      <c r="C34" s="27"/>
      <c r="D34" s="27"/>
      <c r="E34" s="66">
        <v>1000</v>
      </c>
      <c r="F34" s="7"/>
    </row>
    <row r="36" spans="2:24" x14ac:dyDescent="0.25">
      <c r="B36" s="33" t="s">
        <v>295</v>
      </c>
      <c r="C36" s="33"/>
      <c r="D36" s="33"/>
      <c r="E36" s="33"/>
      <c r="F36" s="33"/>
      <c r="G36" s="33"/>
      <c r="H36" s="33"/>
      <c r="I36" s="33"/>
      <c r="J36" s="33"/>
      <c r="K36" s="33"/>
      <c r="L36" s="33"/>
    </row>
    <row r="37" spans="2:24" ht="20" customHeight="1" x14ac:dyDescent="0.25">
      <c r="B37" s="34" t="s">
        <v>60</v>
      </c>
      <c r="C37" s="34" t="s">
        <v>61</v>
      </c>
    </row>
    <row r="38" spans="2:24" x14ac:dyDescent="0.25">
      <c r="B38" s="62" t="s">
        <v>296</v>
      </c>
      <c r="C38" s="62" t="s">
        <v>126</v>
      </c>
    </row>
    <row r="39" spans="2:24" x14ac:dyDescent="0.25">
      <c r="B39" s="62" t="s">
        <v>297</v>
      </c>
      <c r="C39" s="62" t="s">
        <v>126</v>
      </c>
    </row>
    <row r="41" spans="2:24" x14ac:dyDescent="0.25">
      <c r="B41" s="33" t="s">
        <v>298</v>
      </c>
      <c r="C41" s="33"/>
      <c r="D41" s="33"/>
      <c r="E41" s="33"/>
      <c r="F41" s="33"/>
      <c r="G41" s="33"/>
      <c r="H41" s="33"/>
      <c r="I41" s="33"/>
      <c r="J41" s="33"/>
      <c r="K41" s="33"/>
      <c r="L41" s="33"/>
    </row>
    <row r="42" spans="2:24" ht="14" customHeight="1" x14ac:dyDescent="0.25">
      <c r="B42" s="36"/>
      <c r="C42" s="36"/>
      <c r="D42" s="36"/>
      <c r="E42" s="36"/>
      <c r="F42" s="36"/>
      <c r="G42" s="36"/>
      <c r="H42" s="36"/>
      <c r="I42" s="36" t="str">
        <f>Currency&amp;"/UoM"</f>
        <v>EUR/UoM</v>
      </c>
      <c r="J42" s="36"/>
      <c r="K42" s="36"/>
      <c r="L42" s="36"/>
      <c r="M42" s="36"/>
      <c r="N42" s="36"/>
      <c r="O42" s="36"/>
      <c r="P42" s="36"/>
      <c r="Q42" s="36" t="str">
        <f>Currency&amp;"/product"</f>
        <v>EUR/product</v>
      </c>
      <c r="R42" s="36" t="str">
        <f>Currency&amp;"/product"</f>
        <v>EUR/product</v>
      </c>
      <c r="S42" s="36" t="str">
        <f>Currency&amp;"/product"</f>
        <v>EUR/product</v>
      </c>
      <c r="T42" s="36" t="str">
        <f>Currency&amp;"/product"</f>
        <v>EUR/product</v>
      </c>
      <c r="U42" s="36" t="str">
        <f>Currency&amp;"/product"</f>
        <v>EUR/product</v>
      </c>
      <c r="V42" s="36" t="str">
        <f>Currency&amp;"/UoM"</f>
        <v>EUR/UoM</v>
      </c>
      <c r="W42" s="36"/>
      <c r="X42" s="36"/>
    </row>
    <row r="43" spans="2:24" ht="45.5" customHeight="1" x14ac:dyDescent="0.25">
      <c r="B43" s="34" t="s">
        <v>99</v>
      </c>
      <c r="C43" s="34" t="s">
        <v>100</v>
      </c>
      <c r="D43" s="34" t="s">
        <v>101</v>
      </c>
      <c r="E43" s="34" t="s">
        <v>102</v>
      </c>
      <c r="F43" s="34" t="s">
        <v>103</v>
      </c>
      <c r="G43" s="34" t="s">
        <v>104</v>
      </c>
      <c r="H43" s="34" t="s">
        <v>60</v>
      </c>
      <c r="I43" s="34" t="s">
        <v>105</v>
      </c>
      <c r="J43" s="34" t="s">
        <v>106</v>
      </c>
      <c r="K43" s="34" t="s">
        <v>107</v>
      </c>
      <c r="L43" s="34" t="s">
        <v>108</v>
      </c>
      <c r="M43" s="34" t="s">
        <v>109</v>
      </c>
      <c r="N43" s="34" t="s">
        <v>110</v>
      </c>
      <c r="O43" s="34" t="s">
        <v>111</v>
      </c>
      <c r="P43" s="34" t="s">
        <v>112</v>
      </c>
      <c r="Q43" s="34" t="s">
        <v>113</v>
      </c>
      <c r="R43" s="34" t="s">
        <v>114</v>
      </c>
      <c r="S43" s="34" t="s">
        <v>115</v>
      </c>
      <c r="T43" s="34" t="s">
        <v>116</v>
      </c>
      <c r="U43" s="34" t="s">
        <v>117</v>
      </c>
      <c r="V43" s="34" t="s">
        <v>118</v>
      </c>
      <c r="W43" s="34" t="s">
        <v>119</v>
      </c>
      <c r="X43" s="34" t="s">
        <v>120</v>
      </c>
    </row>
    <row r="44" spans="2:24" x14ac:dyDescent="0.25">
      <c r="B44" s="62" t="s">
        <v>287</v>
      </c>
      <c r="C44" s="62" t="s">
        <v>299</v>
      </c>
      <c r="D44" s="62" t="s">
        <v>293</v>
      </c>
      <c r="E44" s="70">
        <v>2</v>
      </c>
      <c r="F44" s="62" t="s">
        <v>124</v>
      </c>
      <c r="G44" s="62" t="s">
        <v>125</v>
      </c>
      <c r="H44" s="62" t="s">
        <v>296</v>
      </c>
      <c r="I44" s="70">
        <v>0</v>
      </c>
      <c r="J44" s="73">
        <v>0</v>
      </c>
      <c r="K44" s="75">
        <v>10</v>
      </c>
      <c r="L44" s="62" t="s">
        <v>126</v>
      </c>
      <c r="M44" s="38" t="str">
        <f>IF(tblVerifyBom[[#This Row],[Part number]]="","",IF(tblVerifyBom[[#This Row],[Parent]]=$E$29,$E$29,IFERROR(INDEX(tblVerifyBom[Parent],MATCH(tblVerifyBom[[#This Row],[Parent]],tblVerifyBom[Part number],0)),"?")))</f>
        <v>P</v>
      </c>
      <c r="N44" s="38" t="str">
        <f>IF(tblVerifyBom[[#This Row],[Part number]]="","",IF(tblVerifyBom[[#This Row],[Grandparent]]=$E$29,$E$29,IFERROR(INDEX(tblVerifyBom[Parent],MATCH(tblVerifyBom[[#This Row],[Grandparent]],tblVerifyBom[Part number],0)),"?")))</f>
        <v>P</v>
      </c>
      <c r="O44" s="39">
        <f>IF(tblVerifyBom[[#This Row],[Part number]]="","",1+(tblVerifyBom[[#This Row],[Parent]]&lt;&gt;$E$29)+(tblVerifyBom[[#This Row],[Grandparent]]&lt;&gt;$E$29)+(tblVerifyBom[[#This Row],[Great-grandparent]]&lt;&gt;$E$29))</f>
        <v>1</v>
      </c>
      <c r="P44" s="40">
        <f>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f>
        <v>2</v>
      </c>
      <c r="Q44" s="40">
        <f>IF(tblVerifyBom[[#This Row],[Part number]]="","",IF(NOT(ISNUMBER(tblVerifyBom[[#This Row],[Ext. qty (per product)]])),"",tblVerifyBom[[#This Row],[Ext. qty (per product)]]*tblVerifyBom[[#This Row],[Unit cost]]*(1+tblVerifyBom[[#This Row],[Scrap]])))</f>
        <v>0</v>
      </c>
      <c r="R44" s="40">
        <f>IF(tblVerifyBom[[#This Row],[Part number]]="","",IF(NOT(ISNUMBER(tblVerifyBom[[#This Row],[Ext. qty (per product)]])),"",tblVerifyBom[[#This Row],[Ext. qty (per product)]]*tblVerifyBom[[#This Row],[Labour (min/unit)]]/60*$E$30))</f>
        <v>10</v>
      </c>
      <c r="S44" s="40">
        <f>IF(tblVerifyBom[[#This Row],[Part number]]="","",IF(NOT(ISNUMBER(tblVerifyBom[[#This Row],[Ext. qty (per product)]])),"",tblVerifyBom[[#This Row],[Labour]]*$E$31+tblVerifyBom[[#This Row],[Material]]*$E$32))</f>
        <v>10</v>
      </c>
      <c r="T44" s="40">
        <f>IF(tblVerifyBom[[#This Row],[Part number]]="","",IF(NOT(ISNUMBER(tblVerifyBom[[#This Row],[Ext. qty (per product)]])),"",tblVerifyBom[[#This Row],[Material]]+tblVerifyBom[[#This Row],[Labour]]+tblVerifyBom[[#This Row],[Overhead]]))</f>
        <v>20</v>
      </c>
      <c r="U44" s="40">
        <f>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f>
        <v>56.721</v>
      </c>
      <c r="V44" s="40">
        <f>IF(tblVerifyBom[[#This Row],[Part number]]="","",IF(N(tblVerifyBom[[#This Row],[Ext. qty (per product)]])=0,"",tblVerifyBom[[#This Row],[Rolled-up cost (per product)]]/tblVerifyBom[[#This Row],[Ext. qty (per product)]]))</f>
        <v>28.3605</v>
      </c>
      <c r="W44" s="39">
        <f>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f>
        <v>1</v>
      </c>
      <c r="X44" s="41" t="str">
        <f>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f>
        <v>OK</v>
      </c>
    </row>
    <row r="45" spans="2:24" x14ac:dyDescent="0.25">
      <c r="B45" s="62" t="s">
        <v>300</v>
      </c>
      <c r="C45" s="62" t="s">
        <v>301</v>
      </c>
      <c r="D45" s="62" t="s">
        <v>287</v>
      </c>
      <c r="E45" s="70">
        <v>3</v>
      </c>
      <c r="F45" s="62" t="s">
        <v>124</v>
      </c>
      <c r="G45" s="62" t="s">
        <v>131</v>
      </c>
      <c r="H45" s="62" t="s">
        <v>297</v>
      </c>
      <c r="I45" s="70">
        <v>1.5</v>
      </c>
      <c r="J45" s="73">
        <v>0.02</v>
      </c>
      <c r="K45" s="75">
        <v>0</v>
      </c>
      <c r="L45" s="62" t="s">
        <v>126</v>
      </c>
      <c r="M45" s="38" t="str">
        <f>IF(tblVerifyBom[[#This Row],[Part number]]="","",IF(tblVerifyBom[[#This Row],[Parent]]=$E$29,$E$29,IFERROR(INDEX(tblVerifyBom[Parent],MATCH(tblVerifyBom[[#This Row],[Parent]],tblVerifyBom[Part number],0)),"?")))</f>
        <v>P</v>
      </c>
      <c r="N45" s="38" t="str">
        <f>IF(tblVerifyBom[[#This Row],[Part number]]="","",IF(tblVerifyBom[[#This Row],[Grandparent]]=$E$29,$E$29,IFERROR(INDEX(tblVerifyBom[Parent],MATCH(tblVerifyBom[[#This Row],[Grandparent]],tblVerifyBom[Part number],0)),"?")))</f>
        <v>P</v>
      </c>
      <c r="O45" s="39">
        <f>IF(tblVerifyBom[[#This Row],[Part number]]="","",1+(tblVerifyBom[[#This Row],[Parent]]&lt;&gt;$E$29)+(tblVerifyBom[[#This Row],[Grandparent]]&lt;&gt;$E$29)+(tblVerifyBom[[#This Row],[Great-grandparent]]&lt;&gt;$E$29))</f>
        <v>2</v>
      </c>
      <c r="P45" s="40">
        <f>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f>
        <v>6</v>
      </c>
      <c r="Q45" s="40">
        <f>IF(tblVerifyBom[[#This Row],[Part number]]="","",IF(NOT(ISNUMBER(tblVerifyBom[[#This Row],[Ext. qty (per product)]])),"",tblVerifyBom[[#This Row],[Ext. qty (per product)]]*tblVerifyBom[[#This Row],[Unit cost]]*(1+tblVerifyBom[[#This Row],[Scrap]])))</f>
        <v>9.18</v>
      </c>
      <c r="R45" s="40">
        <f>IF(tblVerifyBom[[#This Row],[Part number]]="","",IF(NOT(ISNUMBER(tblVerifyBom[[#This Row],[Ext. qty (per product)]])),"",tblVerifyBom[[#This Row],[Ext. qty (per product)]]*tblVerifyBom[[#This Row],[Labour (min/unit)]]/60*$E$30))</f>
        <v>0</v>
      </c>
      <c r="S45" s="40">
        <f>IF(tblVerifyBom[[#This Row],[Part number]]="","",IF(NOT(ISNUMBER(tblVerifyBom[[#This Row],[Ext. qty (per product)]])),"",tblVerifyBom[[#This Row],[Labour]]*$E$31+tblVerifyBom[[#This Row],[Material]]*$E$32))</f>
        <v>0.459</v>
      </c>
      <c r="T45" s="40">
        <f>IF(tblVerifyBom[[#This Row],[Part number]]="","",IF(NOT(ISNUMBER(tblVerifyBom[[#This Row],[Ext. qty (per product)]])),"",tblVerifyBom[[#This Row],[Material]]+tblVerifyBom[[#This Row],[Labour]]+tblVerifyBom[[#This Row],[Overhead]]))</f>
        <v>9.639</v>
      </c>
      <c r="U45" s="40">
        <f>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f>
        <v>9.639</v>
      </c>
      <c r="V45" s="40">
        <f>IF(tblVerifyBom[[#This Row],[Part number]]="","",IF(N(tblVerifyBom[[#This Row],[Ext. qty (per product)]])=0,"",tblVerifyBom[[#This Row],[Rolled-up cost (per product)]]/tblVerifyBom[[#This Row],[Ext. qty (per product)]]))</f>
        <v>1.6065</v>
      </c>
      <c r="W45" s="39">
        <f>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f>
        <v/>
      </c>
      <c r="X45" s="41" t="str">
        <f>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f>
        <v>OK</v>
      </c>
    </row>
    <row r="46" spans="2:24" x14ac:dyDescent="0.25">
      <c r="B46" s="62" t="s">
        <v>302</v>
      </c>
      <c r="C46" s="62" t="s">
        <v>303</v>
      </c>
      <c r="D46" s="62" t="s">
        <v>287</v>
      </c>
      <c r="E46" s="70">
        <v>1</v>
      </c>
      <c r="F46" s="62" t="s">
        <v>124</v>
      </c>
      <c r="G46" s="62" t="s">
        <v>125</v>
      </c>
      <c r="H46" s="62" t="s">
        <v>296</v>
      </c>
      <c r="I46" s="70">
        <v>0.4</v>
      </c>
      <c r="J46" s="73">
        <v>0</v>
      </c>
      <c r="K46" s="75">
        <v>5</v>
      </c>
      <c r="L46" s="62" t="s">
        <v>126</v>
      </c>
      <c r="M46" s="38" t="str">
        <f>IF(tblVerifyBom[[#This Row],[Part number]]="","",IF(tblVerifyBom[[#This Row],[Parent]]=$E$29,$E$29,IFERROR(INDEX(tblVerifyBom[Parent],MATCH(tblVerifyBom[[#This Row],[Parent]],tblVerifyBom[Part number],0)),"?")))</f>
        <v>P</v>
      </c>
      <c r="N46" s="38" t="str">
        <f>IF(tblVerifyBom[[#This Row],[Part number]]="","",IF(tblVerifyBom[[#This Row],[Grandparent]]=$E$29,$E$29,IFERROR(INDEX(tblVerifyBom[Parent],MATCH(tblVerifyBom[[#This Row],[Grandparent]],tblVerifyBom[Part number],0)),"?")))</f>
        <v>P</v>
      </c>
      <c r="O46" s="39">
        <f>IF(tblVerifyBom[[#This Row],[Part number]]="","",1+(tblVerifyBom[[#This Row],[Parent]]&lt;&gt;$E$29)+(tblVerifyBom[[#This Row],[Grandparent]]&lt;&gt;$E$29)+(tblVerifyBom[[#This Row],[Great-grandparent]]&lt;&gt;$E$29))</f>
        <v>2</v>
      </c>
      <c r="P46" s="40">
        <f>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f>
        <v>2</v>
      </c>
      <c r="Q46" s="40">
        <f>IF(tblVerifyBom[[#This Row],[Part number]]="","",IF(NOT(ISNUMBER(tblVerifyBom[[#This Row],[Ext. qty (per product)]])),"",tblVerifyBom[[#This Row],[Ext. qty (per product)]]*tblVerifyBom[[#This Row],[Unit cost]]*(1+tblVerifyBom[[#This Row],[Scrap]])))</f>
        <v>0.8</v>
      </c>
      <c r="R46" s="40">
        <f>IF(tblVerifyBom[[#This Row],[Part number]]="","",IF(NOT(ISNUMBER(tblVerifyBom[[#This Row],[Ext. qty (per product)]])),"",tblVerifyBom[[#This Row],[Ext. qty (per product)]]*tblVerifyBom[[#This Row],[Labour (min/unit)]]/60*$E$30))</f>
        <v>5</v>
      </c>
      <c r="S46" s="40">
        <f>IF(tblVerifyBom[[#This Row],[Part number]]="","",IF(NOT(ISNUMBER(tblVerifyBom[[#This Row],[Ext. qty (per product)]])),"",tblVerifyBom[[#This Row],[Labour]]*$E$31+tblVerifyBom[[#This Row],[Material]]*$E$32))</f>
        <v>5.04</v>
      </c>
      <c r="T46" s="40">
        <f>IF(tblVerifyBom[[#This Row],[Part number]]="","",IF(NOT(ISNUMBER(tblVerifyBom[[#This Row],[Ext. qty (per product)]])),"",tblVerifyBom[[#This Row],[Material]]+tblVerifyBom[[#This Row],[Labour]]+tblVerifyBom[[#This Row],[Overhead]]))</f>
        <v>10.84</v>
      </c>
      <c r="U46" s="40">
        <f>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f>
        <v>27.082</v>
      </c>
      <c r="V46" s="40">
        <f>IF(tblVerifyBom[[#This Row],[Part number]]="","",IF(N(tblVerifyBom[[#This Row],[Ext. qty (per product)]])=0,"",tblVerifyBom[[#This Row],[Rolled-up cost (per product)]]/tblVerifyBom[[#This Row],[Ext. qty (per product)]]))</f>
        <v>13.541</v>
      </c>
      <c r="W46" s="39">
        <f>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f>
        <v/>
      </c>
      <c r="X46" s="41" t="str">
        <f>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f>
        <v>OK</v>
      </c>
    </row>
    <row r="47" spans="2:24" x14ac:dyDescent="0.25">
      <c r="B47" s="62" t="s">
        <v>304</v>
      </c>
      <c r="C47" s="62" t="s">
        <v>305</v>
      </c>
      <c r="D47" s="62" t="s">
        <v>302</v>
      </c>
      <c r="E47" s="70">
        <v>4</v>
      </c>
      <c r="F47" s="62" t="s">
        <v>124</v>
      </c>
      <c r="G47" s="62" t="s">
        <v>125</v>
      </c>
      <c r="H47" s="62" t="s">
        <v>296</v>
      </c>
      <c r="I47" s="70">
        <v>0</v>
      </c>
      <c r="J47" s="73">
        <v>0</v>
      </c>
      <c r="K47" s="75">
        <v>1.5</v>
      </c>
      <c r="L47" s="62" t="s">
        <v>126</v>
      </c>
      <c r="M47" s="38" t="str">
        <f>IF(tblVerifyBom[[#This Row],[Part number]]="","",IF(tblVerifyBom[[#This Row],[Parent]]=$E$29,$E$29,IFERROR(INDEX(tblVerifyBom[Parent],MATCH(tblVerifyBom[[#This Row],[Parent]],tblVerifyBom[Part number],0)),"?")))</f>
        <v>A1</v>
      </c>
      <c r="N47" s="38" t="str">
        <f>IF(tblVerifyBom[[#This Row],[Part number]]="","",IF(tblVerifyBom[[#This Row],[Grandparent]]=$E$29,$E$29,IFERROR(INDEX(tblVerifyBom[Parent],MATCH(tblVerifyBom[[#This Row],[Grandparent]],tblVerifyBom[Part number],0)),"?")))</f>
        <v>P</v>
      </c>
      <c r="O47" s="39">
        <f>IF(tblVerifyBom[[#This Row],[Part number]]="","",1+(tblVerifyBom[[#This Row],[Parent]]&lt;&gt;$E$29)+(tblVerifyBom[[#This Row],[Grandparent]]&lt;&gt;$E$29)+(tblVerifyBom[[#This Row],[Great-grandparent]]&lt;&gt;$E$29))</f>
        <v>3</v>
      </c>
      <c r="P47" s="40">
        <f>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f>
        <v>8</v>
      </c>
      <c r="Q47" s="40">
        <f>IF(tblVerifyBom[[#This Row],[Part number]]="","",IF(NOT(ISNUMBER(tblVerifyBom[[#This Row],[Ext. qty (per product)]])),"",tblVerifyBom[[#This Row],[Ext. qty (per product)]]*tblVerifyBom[[#This Row],[Unit cost]]*(1+tblVerifyBom[[#This Row],[Scrap]])))</f>
        <v>0</v>
      </c>
      <c r="R47" s="40">
        <f>IF(tblVerifyBom[[#This Row],[Part number]]="","",IF(NOT(ISNUMBER(tblVerifyBom[[#This Row],[Ext. qty (per product)]])),"",tblVerifyBom[[#This Row],[Ext. qty (per product)]]*tblVerifyBom[[#This Row],[Labour (min/unit)]]/60*$E$30))</f>
        <v>6</v>
      </c>
      <c r="S47" s="40">
        <f>IF(tblVerifyBom[[#This Row],[Part number]]="","",IF(NOT(ISNUMBER(tblVerifyBom[[#This Row],[Ext. qty (per product)]])),"",tblVerifyBom[[#This Row],[Labour]]*$E$31+tblVerifyBom[[#This Row],[Material]]*$E$32))</f>
        <v>6</v>
      </c>
      <c r="T47" s="40">
        <f>IF(tblVerifyBom[[#This Row],[Part number]]="","",IF(NOT(ISNUMBER(tblVerifyBom[[#This Row],[Ext. qty (per product)]])),"",tblVerifyBom[[#This Row],[Material]]+tblVerifyBom[[#This Row],[Labour]]+tblVerifyBom[[#This Row],[Overhead]]))</f>
        <v>12</v>
      </c>
      <c r="U47" s="40">
        <f>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f>
        <v>16.242</v>
      </c>
      <c r="V47" s="40">
        <f>IF(tblVerifyBom[[#This Row],[Part number]]="","",IF(N(tblVerifyBom[[#This Row],[Ext. qty (per product)]])=0,"",tblVerifyBom[[#This Row],[Rolled-up cost (per product)]]/tblVerifyBom[[#This Row],[Ext. qty (per product)]]))</f>
        <v>2.03025</v>
      </c>
      <c r="W47" s="39">
        <f>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f>
        <v/>
      </c>
      <c r="X47" s="41" t="str">
        <f>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f>
        <v>OK</v>
      </c>
    </row>
    <row r="48" spans="2:24" x14ac:dyDescent="0.25">
      <c r="B48" s="62" t="s">
        <v>306</v>
      </c>
      <c r="C48" s="62" t="s">
        <v>307</v>
      </c>
      <c r="D48" s="62" t="s">
        <v>304</v>
      </c>
      <c r="E48" s="70">
        <v>2</v>
      </c>
      <c r="F48" s="62" t="s">
        <v>124</v>
      </c>
      <c r="G48" s="62" t="s">
        <v>131</v>
      </c>
      <c r="H48" s="62" t="s">
        <v>297</v>
      </c>
      <c r="I48" s="70">
        <v>0.25</v>
      </c>
      <c r="J48" s="73">
        <v>0.01</v>
      </c>
      <c r="K48" s="75">
        <v>0</v>
      </c>
      <c r="L48" s="62" t="s">
        <v>126</v>
      </c>
      <c r="M48" s="38" t="str">
        <f>IF(tblVerifyBom[[#This Row],[Part number]]="","",IF(tblVerifyBom[[#This Row],[Parent]]=$E$29,$E$29,IFERROR(INDEX(tblVerifyBom[Parent],MATCH(tblVerifyBom[[#This Row],[Parent]],tblVerifyBom[Part number],0)),"?")))</f>
        <v>A1-2</v>
      </c>
      <c r="N48" s="38" t="str">
        <f>IF(tblVerifyBom[[#This Row],[Part number]]="","",IF(tblVerifyBom[[#This Row],[Grandparent]]=$E$29,$E$29,IFERROR(INDEX(tblVerifyBom[Parent],MATCH(tblVerifyBom[[#This Row],[Grandparent]],tblVerifyBom[Part number],0)),"?")))</f>
        <v>A1</v>
      </c>
      <c r="O48" s="39">
        <f>IF(tblVerifyBom[[#This Row],[Part number]]="","",1+(tblVerifyBom[[#This Row],[Parent]]&lt;&gt;$E$29)+(tblVerifyBom[[#This Row],[Grandparent]]&lt;&gt;$E$29)+(tblVerifyBom[[#This Row],[Great-grandparent]]&lt;&gt;$E$29))</f>
        <v>4</v>
      </c>
      <c r="P48" s="40">
        <f>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f>
        <v>16</v>
      </c>
      <c r="Q48" s="40">
        <f>IF(tblVerifyBom[[#This Row],[Part number]]="","",IF(NOT(ISNUMBER(tblVerifyBom[[#This Row],[Ext. qty (per product)]])),"",tblVerifyBom[[#This Row],[Ext. qty (per product)]]*tblVerifyBom[[#This Row],[Unit cost]]*(1+tblVerifyBom[[#This Row],[Scrap]])))</f>
        <v>4.04</v>
      </c>
      <c r="R48" s="40">
        <f>IF(tblVerifyBom[[#This Row],[Part number]]="","",IF(NOT(ISNUMBER(tblVerifyBom[[#This Row],[Ext. qty (per product)]])),"",tblVerifyBom[[#This Row],[Ext. qty (per product)]]*tblVerifyBom[[#This Row],[Labour (min/unit)]]/60*$E$30))</f>
        <v>0</v>
      </c>
      <c r="S48" s="40">
        <f>IF(tblVerifyBom[[#This Row],[Part number]]="","",IF(NOT(ISNUMBER(tblVerifyBom[[#This Row],[Ext. qty (per product)]])),"",tblVerifyBom[[#This Row],[Labour]]*$E$31+tblVerifyBom[[#This Row],[Material]]*$E$32))</f>
        <v>0.202</v>
      </c>
      <c r="T48" s="40">
        <f>IF(tblVerifyBom[[#This Row],[Part number]]="","",IF(NOT(ISNUMBER(tblVerifyBom[[#This Row],[Ext. qty (per product)]])),"",tblVerifyBom[[#This Row],[Material]]+tblVerifyBom[[#This Row],[Labour]]+tblVerifyBom[[#This Row],[Overhead]]))</f>
        <v>4.242</v>
      </c>
      <c r="U48" s="40">
        <f>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f>
        <v>4.242</v>
      </c>
      <c r="V48" s="40">
        <f>IF(tblVerifyBom[[#This Row],[Part number]]="","",IF(N(tblVerifyBom[[#This Row],[Ext. qty (per product)]])=0,"",tblVerifyBom[[#This Row],[Rolled-up cost (per product)]]/tblVerifyBom[[#This Row],[Ext. qty (per product)]]))</f>
        <v>0.265125</v>
      </c>
      <c r="W48" s="39">
        <f>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f>
        <v/>
      </c>
      <c r="X48" s="41" t="str">
        <f>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f>
        <v>OK</v>
      </c>
    </row>
    <row r="49" spans="2:24" x14ac:dyDescent="0.25">
      <c r="B49" s="62" t="s">
        <v>308</v>
      </c>
      <c r="C49" s="62" t="s">
        <v>309</v>
      </c>
      <c r="D49" s="62" t="s">
        <v>293</v>
      </c>
      <c r="E49" s="70">
        <v>1</v>
      </c>
      <c r="F49" s="62" t="s">
        <v>124</v>
      </c>
      <c r="G49" s="62" t="s">
        <v>131</v>
      </c>
      <c r="H49" s="62" t="s">
        <v>297</v>
      </c>
      <c r="I49" s="70">
        <v>12</v>
      </c>
      <c r="J49" s="73">
        <v>0</v>
      </c>
      <c r="K49" s="75">
        <v>0</v>
      </c>
      <c r="L49" s="62" t="s">
        <v>126</v>
      </c>
      <c r="M49" s="38" t="str">
        <f>IF(tblVerifyBom[[#This Row],[Part number]]="","",IF(tblVerifyBom[[#This Row],[Parent]]=$E$29,$E$29,IFERROR(INDEX(tblVerifyBom[Parent],MATCH(tblVerifyBom[[#This Row],[Parent]],tblVerifyBom[Part number],0)),"?")))</f>
        <v>P</v>
      </c>
      <c r="N49" s="38" t="str">
        <f>IF(tblVerifyBom[[#This Row],[Part number]]="","",IF(tblVerifyBom[[#This Row],[Grandparent]]=$E$29,$E$29,IFERROR(INDEX(tblVerifyBom[Parent],MATCH(tblVerifyBom[[#This Row],[Grandparent]],tblVerifyBom[Part number],0)),"?")))</f>
        <v>P</v>
      </c>
      <c r="O49" s="39">
        <f>IF(tblVerifyBom[[#This Row],[Part number]]="","",1+(tblVerifyBom[[#This Row],[Parent]]&lt;&gt;$E$29)+(tblVerifyBom[[#This Row],[Grandparent]]&lt;&gt;$E$29)+(tblVerifyBom[[#This Row],[Great-grandparent]]&lt;&gt;$E$29))</f>
        <v>1</v>
      </c>
      <c r="P49" s="40">
        <f>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f>
        <v>1</v>
      </c>
      <c r="Q49" s="40">
        <f>IF(tblVerifyBom[[#This Row],[Part number]]="","",IF(NOT(ISNUMBER(tblVerifyBom[[#This Row],[Ext. qty (per product)]])),"",tblVerifyBom[[#This Row],[Ext. qty (per product)]]*tblVerifyBom[[#This Row],[Unit cost]]*(1+tblVerifyBom[[#This Row],[Scrap]])))</f>
        <v>12</v>
      </c>
      <c r="R49" s="40">
        <f>IF(tblVerifyBom[[#This Row],[Part number]]="","",IF(NOT(ISNUMBER(tblVerifyBom[[#This Row],[Ext. qty (per product)]])),"",tblVerifyBom[[#This Row],[Ext. qty (per product)]]*tblVerifyBom[[#This Row],[Labour (min/unit)]]/60*$E$30))</f>
        <v>0</v>
      </c>
      <c r="S49" s="40">
        <f>IF(tblVerifyBom[[#This Row],[Part number]]="","",IF(NOT(ISNUMBER(tblVerifyBom[[#This Row],[Ext. qty (per product)]])),"",tblVerifyBom[[#This Row],[Labour]]*$E$31+tblVerifyBom[[#This Row],[Material]]*$E$32))</f>
        <v>0.6</v>
      </c>
      <c r="T49" s="40">
        <f>IF(tblVerifyBom[[#This Row],[Part number]]="","",IF(NOT(ISNUMBER(tblVerifyBom[[#This Row],[Ext. qty (per product)]])),"",tblVerifyBom[[#This Row],[Material]]+tblVerifyBom[[#This Row],[Labour]]+tblVerifyBom[[#This Row],[Overhead]]))</f>
        <v>12.6</v>
      </c>
      <c r="U49" s="40">
        <f>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f>
        <v>12.6</v>
      </c>
      <c r="V49" s="40">
        <f>IF(tblVerifyBom[[#This Row],[Part number]]="","",IF(N(tblVerifyBom[[#This Row],[Ext. qty (per product)]])=0,"",tblVerifyBom[[#This Row],[Rolled-up cost (per product)]]/tblVerifyBom[[#This Row],[Ext. qty (per product)]]))</f>
        <v>12.6</v>
      </c>
      <c r="W49" s="39">
        <f>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f>
        <v>2</v>
      </c>
      <c r="X49" s="41" t="str">
        <f>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f>
        <v>OK</v>
      </c>
    </row>
    <row r="50" spans="2:24" x14ac:dyDescent="0.25">
      <c r="B50" s="62" t="s">
        <v>310</v>
      </c>
      <c r="C50" s="62" t="s">
        <v>311</v>
      </c>
      <c r="D50" s="62" t="s">
        <v>312</v>
      </c>
      <c r="E50" s="70">
        <v>1</v>
      </c>
      <c r="F50" s="62" t="s">
        <v>124</v>
      </c>
      <c r="G50" s="62" t="s">
        <v>131</v>
      </c>
      <c r="H50" s="62" t="s">
        <v>297</v>
      </c>
      <c r="I50" s="70">
        <v>5</v>
      </c>
      <c r="J50" s="73">
        <v>0</v>
      </c>
      <c r="K50" s="75">
        <v>0</v>
      </c>
      <c r="L50" s="62" t="s">
        <v>126</v>
      </c>
      <c r="M50" s="38" t="str">
        <f>IF(tblVerifyBom[[#This Row],[Part number]]="","",IF(tblVerifyBom[[#This Row],[Parent]]=$E$29,$E$29,IFERROR(INDEX(tblVerifyBom[Parent],MATCH(tblVerifyBom[[#This Row],[Parent]],tblVerifyBom[Part number],0)),"?")))</f>
        <v>?</v>
      </c>
      <c r="N50" s="38" t="str">
        <f>IF(tblVerifyBom[[#This Row],[Part number]]="","",IF(tblVerifyBom[[#This Row],[Grandparent]]=$E$29,$E$29,IFERROR(INDEX(tblVerifyBom[Parent],MATCH(tblVerifyBom[[#This Row],[Grandparent]],tblVerifyBom[Part number],0)),"?")))</f>
        <v>?</v>
      </c>
      <c r="O50" s="39">
        <f>IF(tblVerifyBom[[#This Row],[Part number]]="","",1+(tblVerifyBom[[#This Row],[Parent]]&lt;&gt;$E$29)+(tblVerifyBom[[#This Row],[Grandparent]]&lt;&gt;$E$29)+(tblVerifyBom[[#This Row],[Great-grandparent]]&lt;&gt;$E$29))</f>
        <v>4</v>
      </c>
      <c r="P50" s="40">
        <f>IF(tblVerifyBom[[#This Row],[Part number]]="","",IFERROR(tblVerifyBom[[#This Row],[Qty per parent]]*IF(tblVerifyBom[[#This Row],[Parent]]=$E$29,1,INDEX(tblVerifyBom[Qty per parent],MATCH(tblVerifyBom[[#This Row],[Parent]],tblVerifyBom[Part number],0)))*IF(tblVerifyBom[[#This Row],[Grandparent]]=$E$29,1,INDEX(tblVerifyBom[Qty per parent],MATCH(tblVerifyBom[[#This Row],[Grandparent]],tblVerifyBom[Part number],0)))*IF(tblVerifyBom[[#This Row],[Great-grandparent]]=$E$29,1,INDEX(tblVerifyBom[Qty per parent],MATCH(tblVerifyBom[[#This Row],[Great-grandparent]],tblVerifyBom[Part number],0))),""))</f>
        <v/>
      </c>
      <c r="Q50" s="40">
        <f>IF(tblVerifyBom[[#This Row],[Part number]]="","",IF(NOT(ISNUMBER(tblVerifyBom[[#This Row],[Ext. qty (per product)]])),"",tblVerifyBom[[#This Row],[Ext. qty (per product)]]*tblVerifyBom[[#This Row],[Unit cost]]*(1+tblVerifyBom[[#This Row],[Scrap]])))</f>
        <v/>
      </c>
      <c r="R50" s="40">
        <f>IF(tblVerifyBom[[#This Row],[Part number]]="","",IF(NOT(ISNUMBER(tblVerifyBom[[#This Row],[Ext. qty (per product)]])),"",tblVerifyBom[[#This Row],[Ext. qty (per product)]]*tblVerifyBom[[#This Row],[Labour (min/unit)]]/60*$E$30))</f>
        <v/>
      </c>
      <c r="S50" s="40">
        <f>IF(tblVerifyBom[[#This Row],[Part number]]="","",IF(NOT(ISNUMBER(tblVerifyBom[[#This Row],[Ext. qty (per product)]])),"",tblVerifyBom[[#This Row],[Labour]]*$E$31+tblVerifyBom[[#This Row],[Material]]*$E$32))</f>
        <v/>
      </c>
      <c r="T50" s="40">
        <f>IF(tblVerifyBom[[#This Row],[Part number]]="","",IF(NOT(ISNUMBER(tblVerifyBom[[#This Row],[Ext. qty (per product)]])),"",tblVerifyBom[[#This Row],[Material]]+tblVerifyBom[[#This Row],[Labour]]+tblVerifyBom[[#This Row],[Overhead]]))</f>
        <v/>
      </c>
      <c r="U50" s="40">
        <f>IF(tblVerifyBom[[#This Row],[Part number]]="","",IF(NOT(ISNUMBER(tblVerifyBom[[#This Row],[Ext. qty (per product)]])),"",tblVerifyBom[[#This Row],[Total]]+SUMIFS(tblVerifyBom[Total],tblVerifyBom[Parent],tblVerifyBom[[#This Row],[Part number]])+SUMIFS(tblVerifyBom[Total],tblVerifyBom[Grandparent],tblVerifyBom[[#This Row],[Part number]])+SUMIFS(tblVerifyBom[Total],tblVerifyBom[Great-grandparent],tblVerifyBom[[#This Row],[Part number]])))</f>
        <v/>
      </c>
      <c r="V50" s="40">
        <f>IF(tblVerifyBom[[#This Row],[Part number]]="","",IF(N(tblVerifyBom[[#This Row],[Ext. qty (per product)]])=0,"",tblVerifyBom[[#This Row],[Rolled-up cost (per product)]]/tblVerifyBom[[#This Row],[Ext. qty (per product)]]))</f>
        <v/>
      </c>
      <c r="W50" s="39">
        <f>IF(tblVerifyBom[[#This Row],[Part number]]="","",IF(OR(tblVerifyBom[[#This Row],[Level]]&lt;&gt;1,NOT(ISNUMBER(tblVerifyBom[[#This Row],[Rolled-up cost (per product)]]))),"",COUNTIFS(tblVerifyBom[Level],1,tblVerifyBom[Rolled-up cost (per product)],"&gt;"&amp;tblVerifyBom[[#This Row],[Rolled-up cost (per product)]])+COUNTIFS(tblVerifyBom[Level],1,tblVerifyBom[Rolled-up cost (per product)],tblVerifyBom[[#This Row],[Rolled-up cost (per product)]],tblVerifyBom[Part number],"&lt;"&amp;tblVerifyBom[[#This Row],[Part number]])+1))</f>
        <v/>
      </c>
      <c r="X50" s="41" t="str">
        <f>IF(tblVerifyBom[[#This Row],[Part number]]="","",IF(tblVerifyBom[[#This Row],[Parent]]="","Missing parent",IF(tblVerifyBom[[#This Row],[Qty per parent]]="","Missing qty per parent",IF(COUNTIF(tblVerifyBom[Part number],tblVerifyBom[[#This Row],[Part number]])&gt;1,"Duplicate part number",IF(tblVerifyBom[[#This Row],[Parent]]=tblVerifyBom[[#This Row],[Part number]],"Part is its own parent",IF(OR(tblVerifyBom[[#This Row],[Grandparent]]="?",tblVerifyBom[[#This Row],[Great-grandparent]]="?"),"Parent not in BOM",IF(IFERROR(INDEX(tblVerifyBom[Parent],MATCH(tblVerifyBom[[#This Row],[Great-grandparent]],tblVerifyBom[Part number],0)),$E$29)&lt;&gt;$E$29,"More than 4 levels",IF(AND(tblVerifyBom[[#This Row],[Make or buy]]="Buy",COUNTIF(tblVerifyBom[Parent],tblVerifyBom[[#This Row],[Part number]])&gt;0),"Buy item has components",IF(COUNTIF(tblVerifyCommodities[Commodity],tblVerifyBom[[#This Row],[Commodity]])=0,"Commodity not on Setup list","OK")))))))))</f>
        <v>Parent not in BOM</v>
      </c>
    </row>
    <row r="52" spans="2:24" x14ac:dyDescent="0.25">
      <c r="B52" s="33" t="s">
        <v>313</v>
      </c>
      <c r="C52" s="33"/>
      <c r="D52" s="33"/>
      <c r="E52" s="33"/>
      <c r="F52" s="33"/>
      <c r="G52" s="33"/>
      <c r="H52" s="33"/>
      <c r="I52" s="33"/>
      <c r="J52" s="33"/>
      <c r="K52" s="33"/>
      <c r="L52" s="33"/>
    </row>
    <row r="53" spans="2:24" ht="32" customHeight="1" x14ac:dyDescent="0.25">
      <c r="B53" s="49" t="s">
        <v>196</v>
      </c>
      <c r="C53" s="34" t="s">
        <v>100</v>
      </c>
      <c r="D53" s="34"/>
      <c r="E53" s="34"/>
      <c r="F53" s="34" t="s">
        <v>197</v>
      </c>
      <c r="G53" s="34" t="s">
        <v>105</v>
      </c>
      <c r="H53" s="34" t="s">
        <v>198</v>
      </c>
      <c r="I53" s="34" t="s">
        <v>199</v>
      </c>
      <c r="J53" s="34" t="s">
        <v>200</v>
      </c>
    </row>
    <row r="54" spans="2:24" ht="14" customHeight="1" x14ac:dyDescent="0.25">
      <c r="B54" s="36"/>
      <c r="C54" s="36"/>
      <c r="D54" s="36"/>
      <c r="E54" s="36"/>
      <c r="F54" s="36"/>
      <c r="G54" s="36" t="str">
        <f>Currency</f>
        <v>EUR</v>
      </c>
      <c r="H54" s="36" t="str">
        <f>Currency</f>
        <v>EUR</v>
      </c>
      <c r="I54" s="36"/>
      <c r="J54" s="36"/>
    </row>
    <row r="55" spans="2:24" x14ac:dyDescent="0.25">
      <c r="B55" s="50" t="str">
        <f>IFERROR(INDEX(tblVerifyBom[Part number],MATCH(1,tblVerifyBom[Top-level rank],0)),"")</f>
        <v>A1</v>
      </c>
      <c r="C55" s="38" t="str">
        <f>IF($B$55="","",INDEX(tblVerifyBom[Description],MATCH($B$55,tblVerifyBom[Part number],0)))</f>
        <v>Assembly</v>
      </c>
      <c r="D55" s="38"/>
      <c r="E55" s="38"/>
      <c r="F55" s="40">
        <f>IF($B$55="","",INDEX(tblVerifyBom[Ext. qty (per product)],MATCH($B$55,tblVerifyBom[Part number],0)))</f>
        <v>2</v>
      </c>
      <c r="G55" s="40">
        <f>IF($B$55="","",INDEX(tblVerifyBom[Rolled-up unit cost],MATCH($B$55,tblVerifyBom[Part number],0)))</f>
        <v>28.3605</v>
      </c>
      <c r="H55" s="40">
        <f>IF($B$55="","",INDEX(tblVerifyBom[Rolled-up cost (per product)],MATCH($B$55,tblVerifyBom[Part number],0)))</f>
        <v>56.721</v>
      </c>
      <c r="I55" s="51">
        <f>IF($B$55="","",IF((SUM(tblVerifyBom[Total]))=0,"",($H$55)/(SUM(tblVerifyBom[Total]))))</f>
        <v>0.818236897909724</v>
      </c>
      <c r="J55" s="51">
        <f>IF($B$55="","",IF((SUM(tblVerifyBom[Total]))=0,"",(SUM(INDEX($H$55:$H$64,1):INDEX($H$55:$H$64,1)))/(SUM(tblVerifyBom[Total]))))</f>
        <v>0.818236897909724</v>
      </c>
    </row>
    <row r="56" spans="2:24" x14ac:dyDescent="0.25">
      <c r="B56" s="50" t="str">
        <f>IF($B$55="","",IFERROR(INDEX(tblVerifyBom[Part number],MATCH(INDEX(tblVerifyBom[Top-level rank],MATCH($B$55,tblVerifyBom[Part number],0))+1,tblVerifyBom[Top-level rank],0)),""))</f>
        <v>B1</v>
      </c>
      <c r="C56" s="38" t="str">
        <f>IF($B$56="","",INDEX(tblVerifyBom[Description],MATCH($B$56,tblVerifyBom[Part number],0)))</f>
        <v>Bought top-level part</v>
      </c>
      <c r="D56" s="38"/>
      <c r="E56" s="38"/>
      <c r="F56" s="40">
        <f>IF($B$56="","",INDEX(tblVerifyBom[Ext. qty (per product)],MATCH($B$56,tblVerifyBom[Part number],0)))</f>
        <v>1</v>
      </c>
      <c r="G56" s="40">
        <f>IF($B$56="","",INDEX(tblVerifyBom[Rolled-up unit cost],MATCH($B$56,tblVerifyBom[Part number],0)))</f>
        <v>12.6</v>
      </c>
      <c r="H56" s="40">
        <f>IF($B$56="","",INDEX(tblVerifyBom[Rolled-up cost (per product)],MATCH($B$56,tblVerifyBom[Part number],0)))</f>
        <v>12.6</v>
      </c>
      <c r="I56" s="51">
        <f>IF($B$56="","",IF((SUM(tblVerifyBom[Total]))=0,"",($H$56)/(SUM(tblVerifyBom[Total]))))</f>
        <v>0.181763102090276</v>
      </c>
      <c r="J56" s="51">
        <f>IF($B$56="","",IF((SUM(tblVerifyBom[Total]))=0,"",(SUM(INDEX($H$55:$H$64,1):INDEX($H$55:$H$64,2)))/(SUM(tblVerifyBom[Total]))))</f>
        <v>1</v>
      </c>
    </row>
    <row r="57" spans="2:24" x14ac:dyDescent="0.25">
      <c r="B57" s="50">
        <f>IF($B$56="","",IFERROR(INDEX(tblVerifyBom[Part number],MATCH(INDEX(tblVerifyBom[Top-level rank],MATCH($B$56,tblVerifyBom[Part number],0))+1,tblVerifyBom[Top-level rank],0)),""))</f>
        <v/>
      </c>
      <c r="C57" s="38">
        <f>IF($B$57="","",INDEX(tblVerifyBom[Description],MATCH($B$57,tblVerifyBom[Part number],0)))</f>
        <v/>
      </c>
      <c r="D57" s="38"/>
      <c r="E57" s="38"/>
      <c r="F57" s="40">
        <f>IF($B$57="","",INDEX(tblVerifyBom[Ext. qty (per product)],MATCH($B$57,tblVerifyBom[Part number],0)))</f>
        <v/>
      </c>
      <c r="G57" s="40">
        <f>IF($B$57="","",INDEX(tblVerifyBom[Rolled-up unit cost],MATCH($B$57,tblVerifyBom[Part number],0)))</f>
        <v/>
      </c>
      <c r="H57" s="40">
        <f>IF($B$57="","",INDEX(tblVerifyBom[Rolled-up cost (per product)],MATCH($B$57,tblVerifyBom[Part number],0)))</f>
        <v/>
      </c>
      <c r="I57" s="51">
        <f>IF($B$57="","",IF((SUM(tblVerifyBom[Total]))=0,"",($H$57)/(SUM(tblVerifyBom[Total]))))</f>
        <v/>
      </c>
      <c r="J57" s="51">
        <f>IF($B$57="","",IF((SUM(tblVerifyBom[Total]))=0,"",(SUM(INDEX($H$55:$H$64,1):INDEX($H$55:$H$64,3)))/(SUM(tblVerifyBom[Total]))))</f>
        <v/>
      </c>
    </row>
    <row r="58" spans="2:24" x14ac:dyDescent="0.25">
      <c r="B58" s="50">
        <f>IF($B$57="","",IFERROR(INDEX(tblVerifyBom[Part number],MATCH(INDEX(tblVerifyBom[Top-level rank],MATCH($B$57,tblVerifyBom[Part number],0))+1,tblVerifyBom[Top-level rank],0)),""))</f>
        <v/>
      </c>
      <c r="C58" s="38">
        <f>IF($B$58="","",INDEX(tblVerifyBom[Description],MATCH($B$58,tblVerifyBom[Part number],0)))</f>
        <v/>
      </c>
      <c r="D58" s="38"/>
      <c r="E58" s="38"/>
      <c r="F58" s="40">
        <f>IF($B$58="","",INDEX(tblVerifyBom[Ext. qty (per product)],MATCH($B$58,tblVerifyBom[Part number],0)))</f>
        <v/>
      </c>
      <c r="G58" s="40">
        <f>IF($B$58="","",INDEX(tblVerifyBom[Rolled-up unit cost],MATCH($B$58,tblVerifyBom[Part number],0)))</f>
        <v/>
      </c>
      <c r="H58" s="40">
        <f>IF($B$58="","",INDEX(tblVerifyBom[Rolled-up cost (per product)],MATCH($B$58,tblVerifyBom[Part number],0)))</f>
        <v/>
      </c>
      <c r="I58" s="51">
        <f>IF($B$58="","",IF((SUM(tblVerifyBom[Total]))=0,"",($H$58)/(SUM(tblVerifyBom[Total]))))</f>
        <v/>
      </c>
      <c r="J58" s="51">
        <f>IF($B$58="","",IF((SUM(tblVerifyBom[Total]))=0,"",(SUM(INDEX($H$55:$H$64,1):INDEX($H$55:$H$64,4)))/(SUM(tblVerifyBom[Total]))))</f>
        <v/>
      </c>
    </row>
    <row r="59" spans="2:24" x14ac:dyDescent="0.25">
      <c r="B59" s="50">
        <f>IF($B$58="","",IFERROR(INDEX(tblVerifyBom[Part number],MATCH(INDEX(tblVerifyBom[Top-level rank],MATCH($B$58,tblVerifyBom[Part number],0))+1,tblVerifyBom[Top-level rank],0)),""))</f>
        <v/>
      </c>
      <c r="C59" s="38">
        <f>IF($B$59="","",INDEX(tblVerifyBom[Description],MATCH($B$59,tblVerifyBom[Part number],0)))</f>
        <v/>
      </c>
      <c r="D59" s="38"/>
      <c r="E59" s="38"/>
      <c r="F59" s="40">
        <f>IF($B$59="","",INDEX(tblVerifyBom[Ext. qty (per product)],MATCH($B$59,tblVerifyBom[Part number],0)))</f>
        <v/>
      </c>
      <c r="G59" s="40">
        <f>IF($B$59="","",INDEX(tblVerifyBom[Rolled-up unit cost],MATCH($B$59,tblVerifyBom[Part number],0)))</f>
        <v/>
      </c>
      <c r="H59" s="40">
        <f>IF($B$59="","",INDEX(tblVerifyBom[Rolled-up cost (per product)],MATCH($B$59,tblVerifyBom[Part number],0)))</f>
        <v/>
      </c>
      <c r="I59" s="51">
        <f>IF($B$59="","",IF((SUM(tblVerifyBom[Total]))=0,"",($H$59)/(SUM(tblVerifyBom[Total]))))</f>
        <v/>
      </c>
      <c r="J59" s="51">
        <f>IF($B$59="","",IF((SUM(tblVerifyBom[Total]))=0,"",(SUM(INDEX($H$55:$H$64,1):INDEX($H$55:$H$64,5)))/(SUM(tblVerifyBom[Total]))))</f>
        <v/>
      </c>
    </row>
    <row r="60" spans="2:24" x14ac:dyDescent="0.25">
      <c r="B60" s="50">
        <f>IF($B$59="","",IFERROR(INDEX(tblVerifyBom[Part number],MATCH(INDEX(tblVerifyBom[Top-level rank],MATCH($B$59,tblVerifyBom[Part number],0))+1,tblVerifyBom[Top-level rank],0)),""))</f>
        <v/>
      </c>
      <c r="C60" s="38">
        <f>IF($B$60="","",INDEX(tblVerifyBom[Description],MATCH($B$60,tblVerifyBom[Part number],0)))</f>
        <v/>
      </c>
      <c r="D60" s="38"/>
      <c r="E60" s="38"/>
      <c r="F60" s="40">
        <f>IF($B$60="","",INDEX(tblVerifyBom[Ext. qty (per product)],MATCH($B$60,tblVerifyBom[Part number],0)))</f>
        <v/>
      </c>
      <c r="G60" s="40">
        <f>IF($B$60="","",INDEX(tblVerifyBom[Rolled-up unit cost],MATCH($B$60,tblVerifyBom[Part number],0)))</f>
        <v/>
      </c>
      <c r="H60" s="40">
        <f>IF($B$60="","",INDEX(tblVerifyBom[Rolled-up cost (per product)],MATCH($B$60,tblVerifyBom[Part number],0)))</f>
        <v/>
      </c>
      <c r="I60" s="51">
        <f>IF($B$60="","",IF((SUM(tblVerifyBom[Total]))=0,"",($H$60)/(SUM(tblVerifyBom[Total]))))</f>
        <v/>
      </c>
      <c r="J60" s="51">
        <f>IF($B$60="","",IF((SUM(tblVerifyBom[Total]))=0,"",(SUM(INDEX($H$55:$H$64,1):INDEX($H$55:$H$64,6)))/(SUM(tblVerifyBom[Total]))))</f>
        <v/>
      </c>
    </row>
    <row r="61" spans="2:24" x14ac:dyDescent="0.25">
      <c r="B61" s="50">
        <f>IF($B$60="","",IFERROR(INDEX(tblVerifyBom[Part number],MATCH(INDEX(tblVerifyBom[Top-level rank],MATCH($B$60,tblVerifyBom[Part number],0))+1,tblVerifyBom[Top-level rank],0)),""))</f>
        <v/>
      </c>
      <c r="C61" s="38">
        <f>IF($B$61="","",INDEX(tblVerifyBom[Description],MATCH($B$61,tblVerifyBom[Part number],0)))</f>
        <v/>
      </c>
      <c r="D61" s="38"/>
      <c r="E61" s="38"/>
      <c r="F61" s="40">
        <f>IF($B$61="","",INDEX(tblVerifyBom[Ext. qty (per product)],MATCH($B$61,tblVerifyBom[Part number],0)))</f>
        <v/>
      </c>
      <c r="G61" s="40">
        <f>IF($B$61="","",INDEX(tblVerifyBom[Rolled-up unit cost],MATCH($B$61,tblVerifyBom[Part number],0)))</f>
        <v/>
      </c>
      <c r="H61" s="40">
        <f>IF($B$61="","",INDEX(tblVerifyBom[Rolled-up cost (per product)],MATCH($B$61,tblVerifyBom[Part number],0)))</f>
        <v/>
      </c>
      <c r="I61" s="51">
        <f>IF($B$61="","",IF((SUM(tblVerifyBom[Total]))=0,"",($H$61)/(SUM(tblVerifyBom[Total]))))</f>
        <v/>
      </c>
      <c r="J61" s="51">
        <f>IF($B$61="","",IF((SUM(tblVerifyBom[Total]))=0,"",(SUM(INDEX($H$55:$H$64,1):INDEX($H$55:$H$64,7)))/(SUM(tblVerifyBom[Total]))))</f>
        <v/>
      </c>
    </row>
    <row r="62" spans="2:24" x14ac:dyDescent="0.25">
      <c r="B62" s="50">
        <f>IF($B$61="","",IFERROR(INDEX(tblVerifyBom[Part number],MATCH(INDEX(tblVerifyBom[Top-level rank],MATCH($B$61,tblVerifyBom[Part number],0))+1,tblVerifyBom[Top-level rank],0)),""))</f>
        <v/>
      </c>
      <c r="C62" s="38">
        <f>IF($B$62="","",INDEX(tblVerifyBom[Description],MATCH($B$62,tblVerifyBom[Part number],0)))</f>
        <v/>
      </c>
      <c r="D62" s="38"/>
      <c r="E62" s="38"/>
      <c r="F62" s="40">
        <f>IF($B$62="","",INDEX(tblVerifyBom[Ext. qty (per product)],MATCH($B$62,tblVerifyBom[Part number],0)))</f>
        <v/>
      </c>
      <c r="G62" s="40">
        <f>IF($B$62="","",INDEX(tblVerifyBom[Rolled-up unit cost],MATCH($B$62,tblVerifyBom[Part number],0)))</f>
        <v/>
      </c>
      <c r="H62" s="40">
        <f>IF($B$62="","",INDEX(tblVerifyBom[Rolled-up cost (per product)],MATCH($B$62,tblVerifyBom[Part number],0)))</f>
        <v/>
      </c>
      <c r="I62" s="51">
        <f>IF($B$62="","",IF((SUM(tblVerifyBom[Total]))=0,"",($H$62)/(SUM(tblVerifyBom[Total]))))</f>
        <v/>
      </c>
      <c r="J62" s="51">
        <f>IF($B$62="","",IF((SUM(tblVerifyBom[Total]))=0,"",(SUM(INDEX($H$55:$H$64,1):INDEX($H$55:$H$64,8)))/(SUM(tblVerifyBom[Total]))))</f>
        <v/>
      </c>
    </row>
    <row r="63" spans="2:24" x14ac:dyDescent="0.25">
      <c r="B63" s="50">
        <f>IF($B$62="","",IFERROR(INDEX(tblVerifyBom[Part number],MATCH(INDEX(tblVerifyBom[Top-level rank],MATCH($B$62,tblVerifyBom[Part number],0))+1,tblVerifyBom[Top-level rank],0)),""))</f>
        <v/>
      </c>
      <c r="C63" s="38">
        <f>IF($B$63="","",INDEX(tblVerifyBom[Description],MATCH($B$63,tblVerifyBom[Part number],0)))</f>
        <v/>
      </c>
      <c r="D63" s="38"/>
      <c r="E63" s="38"/>
      <c r="F63" s="40">
        <f>IF($B$63="","",INDEX(tblVerifyBom[Ext. qty (per product)],MATCH($B$63,tblVerifyBom[Part number],0)))</f>
        <v/>
      </c>
      <c r="G63" s="40">
        <f>IF($B$63="","",INDEX(tblVerifyBom[Rolled-up unit cost],MATCH($B$63,tblVerifyBom[Part number],0)))</f>
        <v/>
      </c>
      <c r="H63" s="40">
        <f>IF($B$63="","",INDEX(tblVerifyBom[Rolled-up cost (per product)],MATCH($B$63,tblVerifyBom[Part number],0)))</f>
        <v/>
      </c>
      <c r="I63" s="51">
        <f>IF($B$63="","",IF((SUM(tblVerifyBom[Total]))=0,"",($H$63)/(SUM(tblVerifyBom[Total]))))</f>
        <v/>
      </c>
      <c r="J63" s="51">
        <f>IF($B$63="","",IF((SUM(tblVerifyBom[Total]))=0,"",(SUM(INDEX($H$55:$H$64,1):INDEX($H$55:$H$64,9)))/(SUM(tblVerifyBom[Total]))))</f>
        <v/>
      </c>
    </row>
    <row r="64" spans="2:24" x14ac:dyDescent="0.25">
      <c r="B64" s="50">
        <f>IF($B$63="","",IFERROR(INDEX(tblVerifyBom[Part number],MATCH(INDEX(tblVerifyBom[Top-level rank],MATCH($B$63,tblVerifyBom[Part number],0))+1,tblVerifyBom[Top-level rank],0)),""))</f>
        <v/>
      </c>
      <c r="C64" s="38">
        <f>IF($B$64="","",INDEX(tblVerifyBom[Description],MATCH($B$64,tblVerifyBom[Part number],0)))</f>
        <v/>
      </c>
      <c r="D64" s="38"/>
      <c r="E64" s="38"/>
      <c r="F64" s="40">
        <f>IF($B$64="","",INDEX(tblVerifyBom[Ext. qty (per product)],MATCH($B$64,tblVerifyBom[Part number],0)))</f>
        <v/>
      </c>
      <c r="G64" s="40">
        <f>IF($B$64="","",INDEX(tblVerifyBom[Rolled-up unit cost],MATCH($B$64,tblVerifyBom[Part number],0)))</f>
        <v/>
      </c>
      <c r="H64" s="40">
        <f>IF($B$64="","",INDEX(tblVerifyBom[Rolled-up cost (per product)],MATCH($B$64,tblVerifyBom[Part number],0)))</f>
        <v/>
      </c>
      <c r="I64" s="51">
        <f>IF($B$64="","",IF((SUM(tblVerifyBom[Total]))=0,"",($H$64)/(SUM(tblVerifyBom[Total]))))</f>
        <v/>
      </c>
      <c r="J64" s="51">
        <f>IF($B$64="","",IF((SUM(tblVerifyBom[Total]))=0,"",(SUM(INDEX($H$55:$H$64,1):INDEX($H$55:$H$64,10)))/(SUM(tblVerifyBom[Total]))))</f>
        <v/>
      </c>
    </row>
  </sheetData>
  <sheetProtection sheet="1" formatColumns="0" formatRows="0"/>
  <mergeCells count="46">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B25:L25"/>
    <mergeCell ref="B27:L27"/>
    <mergeCell ref="B28:F28"/>
    <mergeCell ref="B29:D29"/>
    <mergeCell ref="E29:F29"/>
    <mergeCell ref="B30:D30"/>
    <mergeCell ref="B31:D31"/>
    <mergeCell ref="B32:D32"/>
    <mergeCell ref="B33:D33"/>
    <mergeCell ref="B34:D34"/>
    <mergeCell ref="B36:L36"/>
    <mergeCell ref="B41:L41"/>
    <mergeCell ref="B52:L52"/>
    <mergeCell ref="C53:E53"/>
    <mergeCell ref="C54:E54"/>
    <mergeCell ref="C55:E55"/>
    <mergeCell ref="C56:E56"/>
    <mergeCell ref="C57:E57"/>
    <mergeCell ref="C58:E58"/>
    <mergeCell ref="C59:E59"/>
    <mergeCell ref="C60:E60"/>
    <mergeCell ref="C61:E61"/>
    <mergeCell ref="C62:E62"/>
    <mergeCell ref="C63:E63"/>
    <mergeCell ref="C64:E64"/>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55:H64">
    <cfRule type="dataBar" priority="43">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K11:K2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X44:X50">
    <cfRule type="expression" dxfId="3" priority="41">
      <formula>$X44="OK"</formula>
    </cfRule>
    <cfRule type="expression" dxfId="1" priority="42">
      <formula>AND($X44&lt;&gt;"",$X44&lt;&gt;"OK")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BOM Cost Rollup&amp;R&amp;8&amp;A</oddHeader>
    <oddFooter>&amp;L&amp;8mfgcalcs.com - free manufacturing templates&amp;R&amp;8Page &amp;P of &amp;N</oddFooter>
  </headerFooter>
  <rowBreaks count="1" manualBreakCount="1">
    <brk id="51" max="16383" man="1"/>
  </rowBreaks>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H55:H64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Start Here</vt:lpstr>
      <vt:lpstr>Setup</vt:lpstr>
      <vt:lpstr>BOM</vt:lpstr>
      <vt:lpstr>Dashboard</vt:lpstr>
      <vt:lpstr>Method</vt:lpstr>
      <vt:lpstr>Verify</vt:lpstr>
      <vt:lpstr>AnnualVolume</vt:lpstr>
      <vt:lpstr>Currency</vt:lpstr>
      <vt:lpstr>KpiCost</vt:lpstr>
      <vt:lpstr>KpiMat</vt:lpstr>
      <vt:lpstr>KpiPrice</vt:lpstr>
      <vt:lpstr>KpiTopItem</vt:lpstr>
      <vt:lpstr>LabourRate</vt:lpstr>
      <vt:lpstr>MaterialBurden</vt:lpstr>
      <vt:lpstr>OverheadPct</vt:lpstr>
      <vt:lpstr>PlantName</vt:lpstr>
      <vt:lpstr>BOM!Print_Area</vt:lpstr>
      <vt:lpstr>Dashboard!Print_Area</vt:lpstr>
      <vt:lpstr>Method!Print_Area</vt:lpstr>
      <vt:lpstr>Setup!Print_Area</vt:lpstr>
      <vt:lpstr>'Start Here'!Print_Area</vt:lpstr>
      <vt:lpstr>Verify!Print_Area</vt:lpstr>
      <vt:lpstr>BOM!Print_Titles</vt:lpstr>
      <vt:lpstr>Method!Print_Titles</vt:lpstr>
      <vt:lpstr>ProductCode</vt:lpstr>
      <vt:lpstr>ProductName</vt:lpstr>
      <vt:lpstr>SelfCheck</vt:lpstr>
      <vt:lpstr>SelfCheckSummary</vt:lpstr>
      <vt:lpstr>TargetMargin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BOM Cost Rollup - free Excel template from MFG Calcs</dc:title>
  <dc:subject>Cost an indented bill of materials line by line, roll material, labour and overhead up through every assembly, and see the unit cost and price at your margin.</dc:subject>
  <dc:creator>MFG Calcs</dc:creator>
  <cp:keywords>BOM cost, cost rollup, bill of materials, indented BOM, product cost, standard cost, should cost, material cost</cp:keywords>
  <dc:description>https://www.mfgcalcs.com/templates/bom-cost-rollup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bom-cost-rollup</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calculator</vt:lpwstr>
  </property>
  <property fmtid="{D5CDD505-2E9C-101B-9397-08002B2CF9AE}" pid="6" name="Template URL">
    <vt:lpwstr>https://www.mfgcalcs.com/templates/bom-cost-rollup</vt:lpwstr>
  </property>
  <property fmtid="{D5CDD505-2E9C-101B-9397-08002B2CF9AE}" pid="7" name="Template sheet roles">
    <vt:lpwstr>Start Here=start;Setup=setup;BOM=work;Dashboard=dashboard;Method=method;Verify=verify</vt:lpwstr>
  </property>
</Properties>
</file>