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Break-Even" sheetId="3" r:id="rId3"/>
    <sheet name="Dashboard" sheetId="4" r:id="rId4"/>
    <sheet name="Method" sheetId="5" r:id="rId5"/>
    <sheet name="Verify" sheetId="6" r:id="rId6"/>
  </sheets>
  <definedNames>
    <definedName name="CoName">Setup!$C$6</definedName>
    <definedName name="Currency">Setup!$C$7</definedName>
    <definedName name="Customer">'Break-Even'!$C$9</definedName>
    <definedName name="DashOption">Dashboard!$C$4</definedName>
    <definedName name="JobName">'Break-Even'!$C$8</definedName>
    <definedName name="KpiBE">Dashboard!$B$8</definedName>
    <definedName name="KpiBest">Dashboard!$J$8</definedName>
    <definedName name="KpiMoS">Dashboard!$D$8</definedName>
    <definedName name="KpiProfit">Dashboard!$G$8</definedName>
    <definedName name="MoSTarget">Setup!$C$11</definedName>
    <definedName name="OptionList">'Break-Even'!$D$15:$F$15</definedName>
    <definedName name="PreparedBy">'Break-Even'!$C$10</definedName>
    <definedName name="_xlnm.Print_Area" localSheetId="2">'Break-Even'!$A$1:$H$57</definedName>
    <definedName name="_xlnm.Print_Area" localSheetId="3">Dashboard!$A$1:$L$71</definedName>
    <definedName name="_xlnm.Print_Area" localSheetId="4">Method!$A$1:$D$60</definedName>
    <definedName name="_xlnm.Print_Area" localSheetId="1">Setup!$A$1:$E$13</definedName>
    <definedName name="_xlnm.Print_Area" localSheetId="0">'Start Here'!$A$1:$F$56</definedName>
    <definedName name="_xlnm.Print_Area" localSheetId="5">Verify!$A$1:$L$88</definedName>
    <definedName name="_xlnm.Print_Titles" localSheetId="4">Method!$1:$2</definedName>
    <definedName name="SelfCheck">Verify!$D$4</definedName>
    <definedName name="SelfCheckSummary">Verify!$F$4</definedName>
    <definedName name="SelIdx">IFERROR(MATCH(DashOption,'Break-Even'!$D$15:$F$15,0),1)</definedName>
    <definedName name="StudyDate">'Break-Even'!$C$11</definedName>
    <definedName name="VolRaw">MAX(1,MAX('Break-Even'!$D$17:$F$17,'Break-Even'!$D$22:$F$22)*1.2)/10</definedName>
    <definedName name="VolStep">10^INT(LOG10(VolRaw))*IF(VolRaw/10^INT(LOG10(VolRaw))&lt;=1,1,IF(VolRaw/10^INT(LOG10(VolRaw))&lt;=2,2,IF(VolRaw/10^INT(LOG10(VolRaw))&lt;=5,5,10)))</definedName>
  </definedNames>
  <calcPr calcId="124519" fullCalcOnLoad="1"/>
</workbook>
</file>

<file path=xl/sharedStrings.xml><?xml version="1.0" encoding="utf-8"?>
<sst xmlns="http://schemas.openxmlformats.org/spreadsheetml/2006/main" count="480" uniqueCount="289">
  <si>
    <t>Break-Even Analysis</t>
  </si>
  <si>
    <t>Read this first: what the workbook does and how to use it.</t>
  </si>
  <si>
    <t>mfgcalcs.com</t>
  </si>
  <si>
    <t>Find the volume where a job or product starts to make money, compare up to three tooling or sourcing options, and see how price changes move break-even.</t>
  </si>
  <si>
    <t>For: Estimators, plant and product managers, sales engineers and owners deciding on a job, a price or a tooling investment.</t>
  </si>
  <si>
    <t>Version 1.0.0  ·  updated 15 October 2026</t>
  </si>
  <si>
    <t>Quick start</t>
  </si>
  <si>
    <t>1.</t>
  </si>
  <si>
    <t>On Setup, type your company name, currency and the margin of safety you require.</t>
  </si>
  <si>
    <t>2.</t>
  </si>
  <si>
    <t>On Break-Even, name up to three options and type each one's price per unit and planned volume.</t>
  </si>
  <si>
    <t>3.</t>
  </si>
  <si>
    <t>List the one-off fixed costs (tooling, fixtures, approval) and the variable cost per unit, with an amount in each option's column.</t>
  </si>
  <si>
    <t>4.</t>
  </si>
  <si>
    <t>Read contribution, break-even volume, profit and margin of safety per option; the Check row says when a price or plan does not work.</t>
  </si>
  <si>
    <t>5.</t>
  </si>
  <si>
    <t>On the Dashboard, pick the option to show: break-even chart, profit by volume for every option, crossover volumes and price sensitivity.</t>
  </si>
  <si>
    <t>What is in this workbook</t>
  </si>
  <si>
    <t>Start Here</t>
  </si>
  <si>
    <t>Setup</t>
  </si>
  <si>
    <t>Company, currency and the margin of safety you require.</t>
  </si>
  <si>
    <t>Break-Even</t>
  </si>
  <si>
    <t>Options, prices and volumes, the fixed and variable costs of each option, and the break-even results.</t>
  </si>
  <si>
    <t>Dashboard</t>
  </si>
  <si>
    <t>Break-even, profit and margin of safety for the option you pick, and every option compared.</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</si>
  <si>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</si>
  <si>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</si>
  <si>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</si>
  <si>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</si>
  <si>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</si>
  <si>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</si>
  <si>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</si>
  <si>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</si>
  <si>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</si>
  <si>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</si>
  <si>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</si>
  <si>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</si>
  <si>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</si>
  <si>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</si>
  <si>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</si>
  <si>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</si>
  <si>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</si>
  <si>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</si>
  <si>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</si>
  <si>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</si>
  <si>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Break-Even Quantity Calculator on mfgcalcs.com</t>
  </si>
  <si>
    <t>Latest version</t>
  </si>
  <si>
    <t>mfgcalcs.com/templates/break-even-analysis</t>
  </si>
  <si>
    <t>More free templates</t>
  </si>
  <si>
    <t>mfgcalcs.com/templates</t>
  </si>
  <si>
    <t>Version</t>
  </si>
  <si>
    <t>1.0.0 (updated 15 October 2026)</t>
  </si>
  <si>
    <t>About the example data</t>
  </si>
  <si>
    <t>Every number already in this workbook is example data for Halvorsen Plastics, a fictional business invented for this template, so the dashboard and charts show something meaningful on day one. It compares three ways to supply a new pump housing for a 30,000-part programme: an aluminium single-cavity mould, a steel four-cavity mould and buying the part from a supplier. All costs and prices are invented for the example. To start with your own data, overwrite the yellow cells.</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</si>
  <si>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</si>
  <si>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</si>
  <si>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</si>
  <si>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</si>
  <si>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</si>
  <si>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</si>
  <si>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</si>
  <si>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</si>
  <si>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Company and currency</t>
  </si>
  <si>
    <t>Company name</t>
  </si>
  <si>
    <t>Halvorsen Plastics (example)</t>
  </si>
  <si>
    <t>Currency label</t>
  </si>
  <si>
    <t>EUR</t>
  </si>
  <si>
    <t>Decision rule</t>
  </si>
  <si>
    <t>Margin of safety you require</t>
  </si>
  <si>
    <t>Margin of safety = (planned volume - break-even volume) / planned volume. With a 40% requirement, an option is On target when the plan could fall by 40% and still break even, Near target within 5% of that (38% to 40%), and Below target otherwise or when its price does not cover its variable cost.</t>
  </si>
  <si>
    <t>Item</t>
  </si>
  <si>
    <t>Category</t>
  </si>
  <si>
    <t>Option A</t>
  </si>
  <si>
    <t>Option B</t>
  </si>
  <si>
    <t>Option C</t>
  </si>
  <si>
    <t>Check</t>
  </si>
  <si>
    <t>Notes</t>
  </si>
  <si>
    <t>Example for Halvorsen Plastics (fictional). Overwrite the yellow cells with your own job; delete or add cost rows in the two tables (right-click &gt; Delete &gt; Table Rows). Blue cells calculate.</t>
  </si>
  <si>
    <t>Job or product</t>
  </si>
  <si>
    <t>HX-40 pump housing, PA66 GF30 (example)</t>
  </si>
  <si>
    <t>Customer</t>
  </si>
  <si>
    <t>Arden Pumps (example)</t>
  </si>
  <si>
    <t>Prepared by</t>
  </si>
  <si>
    <t>Estimating</t>
  </si>
  <si>
    <t>Date</t>
  </si>
  <si>
    <t>Options compared (one column per option; costs come from the two tables below)</t>
  </si>
  <si>
    <t>Option</t>
  </si>
  <si>
    <t>Unit</t>
  </si>
  <si>
    <t>Aluminium mould</t>
  </si>
  <si>
    <t>Steel 4-cavity mould</t>
  </si>
  <si>
    <t>Buy from supplier</t>
  </si>
  <si>
    <t>Price per unit</t>
  </si>
  <si>
    <t>Planned volume</t>
  </si>
  <si>
    <t>units</t>
  </si>
  <si>
    <t>Fixed costs (table below)</t>
  </si>
  <si>
    <t>Variable cost per unit (table below)</t>
  </si>
  <si>
    <t>Contribution per unit</t>
  </si>
  <si>
    <t>Contribution ratio</t>
  </si>
  <si>
    <t>% of price</t>
  </si>
  <si>
    <t>Break-even volume</t>
  </si>
  <si>
    <t>Break-even, whole units</t>
  </si>
  <si>
    <t>Break-even revenue</t>
  </si>
  <si>
    <t>Profit at planned volume</t>
  </si>
  <si>
    <t>Margin of safety</t>
  </si>
  <si>
    <t>% of plan</t>
  </si>
  <si>
    <t>Margin of safety status</t>
  </si>
  <si>
    <t>Contribution per unit = price - variable cost. Break-even volume = fixed costs / contribution per unit; whole units round it up. Margin of safety = (planned volume - break-even) / planned volume, judged against the requirement on Setup. Columns Option A, B and C of the two tables below belong to the options in the same columns above.</t>
  </si>
  <si>
    <t>Fixed costs: one-off, whatever the volume</t>
  </si>
  <si>
    <t>Tooling, fixtures, programming, trials, approval and launch costs paid once for this job. Setup is fixed per batch: count every planned setup. To add a row: right-click a row &gt; Insert &gt; Table Rows Above.</t>
  </si>
  <si>
    <t>Injection mould</t>
  </si>
  <si>
    <t>Tooling</t>
  </si>
  <si>
    <t>Example quotes: aluminium 1-cavity vs hardened steel 4-cavity</t>
  </si>
  <si>
    <t>Mould trials and sampling</t>
  </si>
  <si>
    <t>Trials and approval</t>
  </si>
  <si>
    <t/>
  </si>
  <si>
    <t>Assembly fixture and check gauge</t>
  </si>
  <si>
    <t>Fixtures and gauges</t>
  </si>
  <si>
    <t>Buy-in needs an incoming inspection gauge only</t>
  </si>
  <si>
    <t>First article and customer approval</t>
  </si>
  <si>
    <t>Supplier route adds a supplier audit</t>
  </si>
  <si>
    <t>Supplier tooling contribution</t>
  </si>
  <si>
    <t>Charged once by the supplier</t>
  </si>
  <si>
    <t>Packaging design and trials</t>
  </si>
  <si>
    <t>Launch and setup</t>
  </si>
  <si>
    <t>Variable cost per unit: rises with every unit made</t>
  </si>
  <si>
    <t>Material, machine time, labour, bought-in parts, packaging and freight per unit. Overhead that does not change with volume belongs in fixed costs. Add rows by typing below the table.</t>
  </si>
  <si>
    <t>Resin, PA66 GF30</t>
  </si>
  <si>
    <t>Material</t>
  </si>
  <si>
    <t>Hot runner on the steel mould: less runner waste</t>
  </si>
  <si>
    <t>Press time</t>
  </si>
  <si>
    <t>Machine time</t>
  </si>
  <si>
    <t>38 s per part vs 40 s per shot of 4</t>
  </si>
  <si>
    <t>Operator and packing</t>
  </si>
  <si>
    <t>Labour</t>
  </si>
  <si>
    <t>Threaded inserts</t>
  </si>
  <si>
    <t>Bought-in parts</t>
  </si>
  <si>
    <t>Included in the supplier's price</t>
  </si>
  <si>
    <t>Mould wear allowance</t>
  </si>
  <si>
    <t>Other</t>
  </si>
  <si>
    <t>Aluminium wears faster</t>
  </si>
  <si>
    <t>Supplier part price</t>
  </si>
  <si>
    <t>Example quote, delivered</t>
  </si>
  <si>
    <t>Inbound freight and inspection</t>
  </si>
  <si>
    <t>Freight</t>
  </si>
  <si>
    <t>Carton and bag</t>
  </si>
  <si>
    <t>Packaging</t>
  </si>
  <si>
    <t>Freight to customer</t>
  </si>
  <si>
    <t>Option shown</t>
  </si>
  <si>
    <t>BREAK-EVEN VOLUME (UNITS)</t>
  </si>
  <si>
    <t>MARGIN OF SAFETY</t>
  </si>
  <si>
    <t>HIGHEST PROFIT AT PLANNED VOLUME</t>
  </si>
  <si>
    <t>Whole units, rounded up</t>
  </si>
  <si>
    <t>Contribution x volume - fixed costs</t>
  </si>
  <si>
    <t>Of the options compared</t>
  </si>
  <si>
    <t>Options compared</t>
  </si>
  <si>
    <t>Fixed costs</t>
  </si>
  <si>
    <t>Variable per unit</t>
  </si>
  <si>
    <t>Break-even</t>
  </si>
  <si>
    <t>Profit at plan</t>
  </si>
  <si>
    <t>Status</t>
  </si>
  <si>
    <t>%</t>
  </si>
  <si>
    <t>Crossover volumes: where two options make the same profit</t>
  </si>
  <si>
    <t>Pair of options</t>
  </si>
  <si>
    <t>Crossover volume</t>
  </si>
  <si>
    <t>What it means</t>
  </si>
  <si>
    <t>A vs B</t>
  </si>
  <si>
    <t>A vs C</t>
  </si>
  <si>
    <t>B vs C</t>
  </si>
  <si>
    <t>Price sensitivity for the option shown</t>
  </si>
  <si>
    <t>Price change</t>
  </si>
  <si>
    <t>Price</t>
  </si>
  <si>
    <t>Contribution</t>
  </si>
  <si>
    <t>Chart data: revenue, cost and profit by volume (the axis step adapts to the largest plan or break-even)</t>
  </si>
  <si>
    <t>Volume (units)</t>
  </si>
  <si>
    <t>Revenue</t>
  </si>
  <si>
    <t>Total cost</t>
  </si>
  <si>
    <t>Profit, option shown</t>
  </si>
  <si>
    <t>Profit, option A</t>
  </si>
  <si>
    <t>Profit, option B</t>
  </si>
  <si>
    <t>Profit, option C</t>
  </si>
  <si>
    <t>Zero profit</t>
  </si>
  <si>
    <t>The workbook compares three options. Leave an option's name and amounts blank if you need fewer; its profit line then sits on zero. Crossover volumes are blank when two options never cross at a positive volume.</t>
  </si>
  <si>
    <t>What this workbook calculates</t>
  </si>
  <si>
    <t>Break-even analysis splits cost into a fixed part, paid once whatever the volume (tooling, fixtures, approval), and a variable part, paid for every unit (material, machine time, labour, bought-in parts, freight). Each unit sold earns its contribution, price minus variable cost, towards the fixed costs; break-even is the volume at which the contributions have paid them back. Up to three options are costed side by side, so a high-tooling, low-variable route can be compared with a low-tooling one, or with buying the part.</t>
  </si>
  <si>
    <t>Calculations</t>
  </si>
  <si>
    <t>Quantity</t>
  </si>
  <si>
    <t>How it is calculated</t>
  </si>
  <si>
    <t>Units</t>
  </si>
  <si>
    <t>Sum of the option's column in the Fixed costs table.</t>
  </si>
  <si>
    <t>currency</t>
  </si>
  <si>
    <t>Variable cost per unit</t>
  </si>
  <si>
    <t>Sum of the option's column in the Variable cost table.</t>
  </si>
  <si>
    <t>currency/unit</t>
  </si>
  <si>
    <t>Price per unit - variable cost per unit.</t>
  </si>
  <si>
    <t>Contribution per unit / price per unit.</t>
  </si>
  <si>
    <t>Fixed costs / contribution per unit, unrounded (as the live calculator shows it). Blank when the price does not cover the variable cost: that option never breaks even.</t>
  </si>
  <si>
    <t>CEILING(break-even volume, 1): the first whole unit at which profit is zero or better.</t>
  </si>
  <si>
    <t>Break-even volume x price per unit (= fixed costs / contribution ratio).</t>
  </si>
  <si>
    <t>Contribution per unit x planned volume - fixed costs. Negative is a loss.</t>
  </si>
  <si>
    <t>(Planned volume - break-even volume) / planned volume: how far the plan may fall before the option loses money.</t>
  </si>
  <si>
    <t>On target when the margin of safety is at least your requirement on Setup, Near target within 5% of it, Below target otherwise or when the price does not cover the variable cost.</t>
  </si>
  <si>
    <t>-</t>
  </si>
  <si>
    <t>(Fixed costs of one option - fixed costs of the other) / (contribution of one - contribution of the other): the volume where both make the same profit. Above it the option with the higher contribution per unit makes more.</t>
  </si>
  <si>
    <t>Price sensitivity</t>
  </si>
  <si>
    <t>The option's price x (1 + price change), then contribution, break-even (whole units), profit and margin of safety at the planned volume, recomputed.</t>
  </si>
  <si>
    <t>Break-even chart</t>
  </si>
  <si>
    <t>Revenue = price x volume; total cost = fixed costs + variable cost x volume; at 11 volumes from zero in steps of 1, 2 or 5 x 10^n chosen to cover 120% of the largest plan or break-even.</t>
  </si>
  <si>
    <t>Assumptions</t>
  </si>
  <si>
    <t>Price and variable cost per unit stay the same at every volume (no volume discounts, no learning curve).</t>
  </si>
  <si>
    <t>Fixed costs are paid once over the planned volume; a cost that recurs every year or every batch must be entered for every occurrence.</t>
  </si>
  <si>
    <t>Every unit made is sold; scrap is a variable cost (include it in the material and machine time per good unit).</t>
  </si>
  <si>
    <t>Money is not discounted: a long programme where timing matters needs a cash-flow view (see the Capex NPV template).</t>
  </si>
  <si>
    <t>Limitations</t>
  </si>
  <si>
    <t>Capacity is not checked: a break-even volume the plant cannot make in time is still shown.</t>
  </si>
  <si>
    <t>Semi-variable costs (a second shift, a second mould at high volume) must be split into fixed and variable parts by you.</t>
  </si>
  <si>
    <t>Three options are compared; leave unused option names and amounts blank.</t>
  </si>
  <si>
    <t>Taxes, financing and currency movements are not modelled.</t>
  </si>
  <si>
    <t>Agreement with the live calculator</t>
  </si>
  <si>
    <t>For one option, this workbook and the live Break-Even Quantity calculator use the same inputs and formulas: contribution = price - variable cost; break-even = fixed cost / contribution (unrounded); break-even revenue = break-even x price; profit at the target (planned) volume = contribution x volume - fixed cost; margin of safety = (volume - break-even) / volume. The workbook adds the cost tables, whole units, three options, crossovers and price sensitivity. The build checks the reference implementation against the calculator's engine for its own example (18,000 fixed, 12.50 variable, 21.00 price, 3,000 units: break-even 2,117.6 units, profit 7,500, margin of safety 29.4%) and for an option of the example data.</t>
  </si>
  <si>
    <t>Open the Break-Even Quantity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</si>
  <si>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</si>
  <si>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</si>
  <si>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Cost-volume-profit analysis as taught in management accounting texts, e.g. Horngren, Datar and Rajan, Cost Accounting: A Managerial Emphasis (CVP analysis chapter).</t>
  </si>
  <si>
    <t>CIMA Official Terminology: contribution, break-even point and margin of safety, by definition.</t>
  </si>
  <si>
    <t>MFG Calcs Break-Even Quantity calculator (break-even-quantity): the same formulas for one option.</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</si>
  <si>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</si>
  <si>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</si>
  <si>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</si>
  <si>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</si>
  <si>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</si>
  <si>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</si>
  <si>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</si>
  <si>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</si>
  <si>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</si>
  <si>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</si>
  <si>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</si>
  <si>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</si>
  <si>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</si>
  <si>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</si>
  <si>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</si>
  <si>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Option A: fixed costs summed from the table</t>
  </si>
  <si>
    <t>Option A: variable cost per unit summed</t>
  </si>
  <si>
    <t>Option A: contribution per unit</t>
  </si>
  <si>
    <t>Option A: contribution ratio</t>
  </si>
  <si>
    <t>Option A: break-even volume (calculator: 2,117.6)</t>
  </si>
  <si>
    <t>Option A: break-even, whole units</t>
  </si>
  <si>
    <t>Option A: break-even revenue</t>
  </si>
  <si>
    <t>Option A: profit at planned volume</t>
  </si>
  <si>
    <t>Option A: margin of safety</t>
  </si>
  <si>
    <t>Option A: status against a 25% requirement</t>
  </si>
  <si>
    <t>On target</t>
  </si>
  <si>
    <t>exact</t>
  </si>
  <si>
    <t>Option B: break-even volume</t>
  </si>
  <si>
    <t>Option B: profit at planned volume</t>
  </si>
  <si>
    <t>Option B: Check reports a plan below break-even</t>
  </si>
  <si>
    <t>Volume below break-even</t>
  </si>
  <si>
    <t>Option C (price below variable cost): break-even volume is blank</t>
  </si>
  <si>
    <t>Option C: Check reports price below variable cost</t>
  </si>
  <si>
    <t>Price below variable cost</t>
  </si>
  <si>
    <t>Option C: status</t>
  </si>
  <si>
    <t>Below target</t>
  </si>
  <si>
    <t>Fixed costs row 3: Check names the empty row</t>
  </si>
  <si>
    <t>No amount entered</t>
  </si>
  <si>
    <t>Crossover A vs B</t>
  </si>
  <si>
    <t>Crossover A vs B: reading</t>
  </si>
  <si>
    <t>Hard tooling makes more above it, Calculator example below it</t>
  </si>
  <si>
    <t>Option 2 at -10% price: break-even, whole units</t>
  </si>
  <si>
    <t>Option 2 at -10% price: profit at plan</t>
  </si>
  <si>
    <t>Dashboard: break-even tile for option 2</t>
  </si>
  <si>
    <t>Dashboard: option with the highest profit</t>
  </si>
  <si>
    <t>Calculator example</t>
  </si>
  <si>
    <t>Fixed test inputs</t>
  </si>
  <si>
    <t>White cells are fixed test inputs; blue cells are the workbook's formulas evaluated on them.</t>
  </si>
  <si>
    <t>Parameters</t>
  </si>
  <si>
    <t>Margin of safety required</t>
  </si>
  <si>
    <t>Option shown (slot number)</t>
  </si>
  <si>
    <t>Test table: Fixed</t>
  </si>
  <si>
    <t>Tool</t>
  </si>
  <si>
    <t>Approval</t>
  </si>
  <si>
    <t>Empty row</t>
  </si>
  <si>
    <t>Test table: Variable</t>
  </si>
  <si>
    <t>Conversion</t>
  </si>
  <si>
    <t>Bought-in part</t>
  </si>
  <si>
    <t>Above the price</t>
  </si>
  <si>
    <t>Test options (option A is the live calculator's example: 18,000 fixed, 12.50 variable, 21.00 price, 3,000 units)</t>
  </si>
  <si>
    <t>Hard tooling</t>
  </si>
  <si>
    <t>Buy-in, price below cost</t>
  </si>
  <si>
    <t>Test crossover volumes (same formulas as the Dashboard)</t>
  </si>
  <si>
    <t>Test price sensitivity for option 2 (same formulas as the Dashboard)</t>
  </si>
</sst>
</file>

<file path=xl/styles.xml><?xml version="1.0" encoding="utf-8"?>
<styleSheet xmlns="http://schemas.openxmlformats.org/spreadsheetml/2006/main">
  <numFmts count="9">
    <numFmt numFmtId="164" formatCode="0.0%"/>
    <numFmt numFmtId="165" formatCode="d mmm yyyy"/>
    <numFmt numFmtId="166" formatCode="#,##0.00"/>
    <numFmt numFmtId="167" formatCode="#,##0"/>
    <numFmt numFmtId="168" formatCode="#,##0.0"/>
    <numFmt numFmtId="169" formatCode="&quot;Target &quot;0.0%"/>
    <numFmt numFmtId="170" formatCode="+0.0%;-0.0%;0.0%"/>
    <numFmt numFmtId="171" formatCode="0.0E+00"/>
    <numFmt numFmtId="172" formatCode="0.00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sz val="9"/>
      <color rgb="FF8A4A06"/>
      <name val="Calibri"/>
      <family val="2"/>
      <scheme val="minor"/>
    </font>
    <font>
      <b/>
      <sz val="10"/>
      <color rgb="FFFFFFFF"/>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b/>
      <sz val="14"/>
      <color rgb="FF14386C"/>
      <name val="Calibri"/>
      <family val="2"/>
      <scheme val="minor"/>
    </font>
    <font>
      <sz val="9"/>
      <color rgb="FF4A5361"/>
      <name val="Calibri"/>
      <family val="2"/>
      <scheme val="minor"/>
    </font>
    <font>
      <b/>
      <sz val="10"/>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7">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7" borderId="2" xfId="0" applyFont="1" applyFill="1" applyBorder="1" applyAlignment="1">
      <alignment vertical="center" wrapText="1"/>
    </xf>
    <xf numFmtId="0" fontId="10" fillId="3" borderId="2" xfId="0" applyFont="1" applyFill="1" applyBorder="1" applyAlignment="1" applyProtection="1">
      <alignment vertical="top" wrapText="1"/>
      <protection locked="0"/>
    </xf>
    <xf numFmtId="165" fontId="10" fillId="3" borderId="2" xfId="0" applyNumberFormat="1" applyFont="1" applyFill="1" applyBorder="1" applyAlignment="1" applyProtection="1">
      <alignment horizontal="left" vertical="center"/>
      <protection locked="0"/>
    </xf>
    <xf numFmtId="0" fontId="18" fillId="2" borderId="5" xfId="0" applyFont="1" applyFill="1" applyBorder="1" applyAlignment="1">
      <alignment horizontal="left" vertical="center" wrapText="1"/>
    </xf>
    <xf numFmtId="0" fontId="18" fillId="2" borderId="5" xfId="0" applyFont="1" applyFill="1" applyBorder="1" applyAlignment="1">
      <alignment horizontal="center" vertical="center" wrapText="1"/>
    </xf>
    <xf numFmtId="0" fontId="10" fillId="3" borderId="2" xfId="0" applyFont="1" applyFill="1" applyBorder="1" applyAlignment="1" applyProtection="1">
      <alignment horizontal="center"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166" fontId="9"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7" fontId="15" fillId="4" borderId="3" xfId="0" applyNumberFormat="1" applyFont="1" applyFill="1" applyBorder="1" applyAlignment="1">
      <alignment horizontal="center" vertical="center"/>
    </xf>
    <xf numFmtId="167" fontId="9"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19" fillId="0" borderId="0" xfId="0" applyFont="1" applyAlignment="1">
      <alignment horizontal="center" vertical="center"/>
    </xf>
    <xf numFmtId="0" fontId="20" fillId="4" borderId="3" xfId="0" applyFont="1" applyFill="1" applyBorder="1" applyAlignment="1">
      <alignment vertical="center"/>
    </xf>
    <xf numFmtId="0" fontId="19" fillId="0" borderId="0" xfId="0" applyFont="1" applyAlignment="1">
      <alignment vertical="center"/>
    </xf>
    <xf numFmtId="0" fontId="21" fillId="9" borderId="6" xfId="0" applyFont="1" applyFill="1" applyBorder="1" applyAlignment="1">
      <alignment vertical="center" wrapText="1"/>
    </xf>
    <xf numFmtId="167" fontId="4" fillId="9" borderId="7" xfId="0" applyNumberFormat="1" applyFont="1" applyFill="1" applyBorder="1" applyAlignment="1">
      <alignment horizontal="left" vertical="center"/>
    </xf>
    <xf numFmtId="164" fontId="4" fillId="9" borderId="7" xfId="0" applyNumberFormat="1" applyFont="1" applyFill="1" applyBorder="1" applyAlignment="1">
      <alignment horizontal="left" vertical="center"/>
    </xf>
    <xf numFmtId="0" fontId="22" fillId="9" borderId="7" xfId="0" applyFont="1" applyFill="1" applyBorder="1" applyAlignment="1">
      <alignment horizontal="left" vertical="center"/>
    </xf>
    <xf numFmtId="0" fontId="23" fillId="9" borderId="7" xfId="0" applyFont="1" applyFill="1" applyBorder="1" applyAlignment="1">
      <alignment vertical="center"/>
    </xf>
    <xf numFmtId="169" fontId="23" fillId="9" borderId="7" xfId="0" applyNumberFormat="1" applyFont="1" applyFill="1" applyBorder="1" applyAlignment="1">
      <alignment horizontal="left" vertical="center"/>
    </xf>
    <xf numFmtId="0" fontId="21" fillId="9" borderId="8" xfId="0" applyFont="1" applyFill="1" applyBorder="1" applyAlignment="1">
      <alignment vertical="center"/>
    </xf>
    <xf numFmtId="0" fontId="24" fillId="0" borderId="0" xfId="0" applyFont="1" applyAlignment="1">
      <alignment vertical="center"/>
    </xf>
    <xf numFmtId="0" fontId="9" fillId="0" borderId="9" xfId="0" applyFont="1" applyBorder="1" applyAlignment="1">
      <alignment vertical="center"/>
    </xf>
    <xf numFmtId="0" fontId="10" fillId="4" borderId="3" xfId="0" applyFont="1" applyFill="1" applyBorder="1" applyAlignment="1">
      <alignment vertical="center"/>
    </xf>
    <xf numFmtId="170" fontId="10" fillId="3" borderId="2" xfId="0" applyNumberFormat="1" applyFont="1" applyFill="1" applyBorder="1" applyAlignment="1" applyProtection="1">
      <alignment horizontal="center" vertical="center"/>
      <protection locked="0"/>
    </xf>
    <xf numFmtId="167" fontId="10" fillId="0" borderId="9" xfId="0" applyNumberFormat="1" applyFont="1" applyBorder="1" applyAlignment="1">
      <alignment vertical="center"/>
    </xf>
    <xf numFmtId="167" fontId="9" fillId="0" borderId="9" xfId="0" applyNumberFormat="1" applyFont="1" applyBorder="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7" fontId="9" fillId="0" borderId="9" xfId="0" applyNumberFormat="1" applyFont="1" applyBorder="1" applyAlignment="1">
      <alignment horizontal="center" vertical="center"/>
    </xf>
    <xf numFmtId="171" fontId="10" fillId="4" borderId="3" xfId="0" applyNumberFormat="1" applyFont="1" applyFill="1" applyBorder="1" applyAlignment="1">
      <alignment vertical="center"/>
    </xf>
    <xf numFmtId="171" fontId="10" fillId="0" borderId="9" xfId="0" applyNumberFormat="1" applyFont="1" applyBorder="1" applyAlignment="1">
      <alignment vertical="center"/>
    </xf>
    <xf numFmtId="166" fontId="10" fillId="0" borderId="9" xfId="0" applyNumberFormat="1" applyFont="1" applyBorder="1" applyAlignment="1">
      <alignment vertical="center"/>
    </xf>
    <xf numFmtId="164" fontId="10" fillId="0" borderId="9" xfId="0" applyNumberFormat="1" applyFont="1" applyBorder="1" applyAlignment="1">
      <alignment vertical="center"/>
    </xf>
    <xf numFmtId="172" fontId="10" fillId="0" borderId="9" xfId="0" applyNumberFormat="1" applyFont="1" applyBorder="1" applyAlignment="1">
      <alignment vertical="center"/>
    </xf>
    <xf numFmtId="172" fontId="10" fillId="4" borderId="3" xfId="0" applyNumberFormat="1" applyFont="1" applyFill="1" applyBorder="1" applyAlignment="1">
      <alignment vertical="center"/>
    </xf>
    <xf numFmtId="170"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Break-even chart: option shown</a:t>
            </a:r>
          </a:p>
        </c:rich>
      </c:tx>
      <c:layout/>
    </c:title>
    <c:plotArea>
      <c:layout/>
      <c:lineChart>
        <c:grouping val="standard"/>
        <c:ser>
          <c:idx val="0"/>
          <c:order val="0"/>
          <c:tx>
            <c:v>Revenue</c:v>
          </c:tx>
          <c:spPr>
            <a:ln w="28575">
              <a:solidFill>
                <a:srgbClr val="3B64D8"/>
              </a:solidFill>
            </a:ln>
          </c:spPr>
          <c:marker>
            <c:symbol val="circle"/>
            <c:size val="5"/>
            <c:spPr>
              <a:solidFill>
                <a:srgbClr val="3B64D8"/>
              </a:solidFill>
              <a:ln>
                <a:solidFill>
                  <a:srgbClr val="3B64D8"/>
                </a:solidFill>
              </a:ln>
            </c:spPr>
          </c:marker>
          <c:cat>
            <c:numRef>
              <c:f>Dashboard!$B$59:$B$69</c:f>
              <c:numCache>
                <c:formatCode>General</c:formatCode>
                <c:ptCount val="11"/>
                <c:pt idx="0">
                  <c:v>0</c:v>
                </c:pt>
                <c:pt idx="1">
                  <c:v>5000</c:v>
                </c:pt>
                <c:pt idx="2">
                  <c:v>10000</c:v>
                </c:pt>
                <c:pt idx="3">
                  <c:v>15000</c:v>
                </c:pt>
                <c:pt idx="4">
                  <c:v>20000</c:v>
                </c:pt>
                <c:pt idx="5">
                  <c:v>25000</c:v>
                </c:pt>
                <c:pt idx="6">
                  <c:v>30000</c:v>
                </c:pt>
                <c:pt idx="7">
                  <c:v>35000</c:v>
                </c:pt>
                <c:pt idx="8">
                  <c:v>40000</c:v>
                </c:pt>
                <c:pt idx="9">
                  <c:v>45000</c:v>
                </c:pt>
                <c:pt idx="10">
                  <c:v>50000</c:v>
                </c:pt>
              </c:numCache>
            </c:numRef>
          </c:cat>
          <c:val>
            <c:numRef>
              <c:f>Dashboard!$C$59:$C$69</c:f>
              <c:numCache>
                <c:formatCode>General</c:formatCode>
                <c:ptCount val="11"/>
                <c:pt idx="0">
                  <c:v>0</c:v>
                </c:pt>
                <c:pt idx="1">
                  <c:v>19750</c:v>
                </c:pt>
                <c:pt idx="2">
                  <c:v>39500</c:v>
                </c:pt>
                <c:pt idx="3">
                  <c:v>59250</c:v>
                </c:pt>
                <c:pt idx="4">
                  <c:v>79000</c:v>
                </c:pt>
                <c:pt idx="5">
                  <c:v>98750</c:v>
                </c:pt>
                <c:pt idx="6">
                  <c:v>118500</c:v>
                </c:pt>
                <c:pt idx="7">
                  <c:v>138250</c:v>
                </c:pt>
                <c:pt idx="8">
                  <c:v>158000</c:v>
                </c:pt>
                <c:pt idx="9">
                  <c:v>177750</c:v>
                </c:pt>
                <c:pt idx="10">
                  <c:v>197500</c:v>
                </c:pt>
              </c:numCache>
            </c:numRef>
          </c:val>
        </c:ser>
        <c:ser>
          <c:idx val="1"/>
          <c:order val="1"/>
          <c:tx>
            <c:v>Total cost</c:v>
          </c:tx>
          <c:spPr>
            <a:ln w="28575">
              <a:solidFill>
                <a:srgbClr val="E8702A"/>
              </a:solidFill>
            </a:ln>
          </c:spPr>
          <c:marker>
            <c:symbol val="circle"/>
            <c:size val="5"/>
            <c:spPr>
              <a:solidFill>
                <a:srgbClr val="E8702A"/>
              </a:solidFill>
              <a:ln>
                <a:solidFill>
                  <a:srgbClr val="E8702A"/>
                </a:solidFill>
              </a:ln>
            </c:spPr>
          </c:marker>
          <c:cat>
            <c:numRef>
              <c:f>Dashboard!$B$59:$B$69</c:f>
              <c:numCache>
                <c:formatCode>General</c:formatCode>
                <c:ptCount val="11"/>
                <c:pt idx="0">
                  <c:v>0</c:v>
                </c:pt>
                <c:pt idx="1">
                  <c:v>5000</c:v>
                </c:pt>
                <c:pt idx="2">
                  <c:v>10000</c:v>
                </c:pt>
                <c:pt idx="3">
                  <c:v>15000</c:v>
                </c:pt>
                <c:pt idx="4">
                  <c:v>20000</c:v>
                </c:pt>
                <c:pt idx="5">
                  <c:v>25000</c:v>
                </c:pt>
                <c:pt idx="6">
                  <c:v>30000</c:v>
                </c:pt>
                <c:pt idx="7">
                  <c:v>35000</c:v>
                </c:pt>
                <c:pt idx="8">
                  <c:v>40000</c:v>
                </c:pt>
                <c:pt idx="9">
                  <c:v>45000</c:v>
                </c:pt>
                <c:pt idx="10">
                  <c:v>50000</c:v>
                </c:pt>
              </c:numCache>
            </c:numRef>
          </c:cat>
          <c:val>
            <c:numRef>
              <c:f>Dashboard!$D$59:$D$69</c:f>
              <c:numCache>
                <c:formatCode>General</c:formatCode>
                <c:ptCount val="11"/>
                <c:pt idx="0">
                  <c:v>22900</c:v>
                </c:pt>
                <c:pt idx="1">
                  <c:v>35700</c:v>
                </c:pt>
                <c:pt idx="2">
                  <c:v>48500</c:v>
                </c:pt>
                <c:pt idx="3">
                  <c:v>61300</c:v>
                </c:pt>
                <c:pt idx="4">
                  <c:v>74100</c:v>
                </c:pt>
                <c:pt idx="5">
                  <c:v>86900</c:v>
                </c:pt>
                <c:pt idx="6">
                  <c:v>99700</c:v>
                </c:pt>
                <c:pt idx="7">
                  <c:v>112500</c:v>
                </c:pt>
                <c:pt idx="8">
                  <c:v>125300</c:v>
                </c:pt>
                <c:pt idx="9">
                  <c:v>138100</c:v>
                </c:pt>
                <c:pt idx="10">
                  <c:v>150900</c:v>
                </c:pt>
              </c:numCache>
            </c:numRef>
          </c:val>
        </c:ser>
        <c:ser>
          <c:idx val="2"/>
          <c:order val="2"/>
          <c:tx>
            <c:v>Fixed costs</c:v>
          </c:tx>
          <c:spPr>
            <a:ln w="19050">
              <a:solidFill>
                <a:srgbClr val="4A5361"/>
              </a:solidFill>
              <a:prstDash val="dash"/>
            </a:ln>
          </c:spPr>
          <c:marker>
            <c:symbol val="none"/>
          </c:marker>
          <c:cat>
            <c:numRef>
              <c:f>Dashboard!$B$59:$B$69</c:f>
              <c:numCache>
                <c:formatCode>General</c:formatCode>
                <c:ptCount val="11"/>
                <c:pt idx="0">
                  <c:v>0</c:v>
                </c:pt>
                <c:pt idx="1">
                  <c:v>5000</c:v>
                </c:pt>
                <c:pt idx="2">
                  <c:v>10000</c:v>
                </c:pt>
                <c:pt idx="3">
                  <c:v>15000</c:v>
                </c:pt>
                <c:pt idx="4">
                  <c:v>20000</c:v>
                </c:pt>
                <c:pt idx="5">
                  <c:v>25000</c:v>
                </c:pt>
                <c:pt idx="6">
                  <c:v>30000</c:v>
                </c:pt>
                <c:pt idx="7">
                  <c:v>35000</c:v>
                </c:pt>
                <c:pt idx="8">
                  <c:v>40000</c:v>
                </c:pt>
                <c:pt idx="9">
                  <c:v>45000</c:v>
                </c:pt>
                <c:pt idx="10">
                  <c:v>50000</c:v>
                </c:pt>
              </c:numCache>
            </c:numRef>
          </c:cat>
          <c:val>
            <c:numRef>
              <c:f>Dashboard!$E$59:$E$69</c:f>
              <c:numCache>
                <c:formatCode>General</c:formatCode>
                <c:ptCount val="11"/>
                <c:pt idx="0">
                  <c:v>22900</c:v>
                </c:pt>
                <c:pt idx="1">
                  <c:v>22900</c:v>
                </c:pt>
                <c:pt idx="2">
                  <c:v>22900</c:v>
                </c:pt>
                <c:pt idx="3">
                  <c:v>22900</c:v>
                </c:pt>
                <c:pt idx="4">
                  <c:v>22900</c:v>
                </c:pt>
                <c:pt idx="5">
                  <c:v>22900</c:v>
                </c:pt>
                <c:pt idx="6">
                  <c:v>22900</c:v>
                </c:pt>
                <c:pt idx="7">
                  <c:v>22900</c:v>
                </c:pt>
                <c:pt idx="8">
                  <c:v>22900</c:v>
                </c:pt>
                <c:pt idx="9">
                  <c:v>22900</c:v>
                </c:pt>
                <c:pt idx="10">
                  <c:v>22900</c:v>
                </c:pt>
              </c:numCache>
            </c:numRef>
          </c:val>
        </c:ser>
        <c:marker val="1"/>
        <c:axId val="50010001"/>
        <c:axId val="50010002"/>
      </c:lineChart>
      <c:catAx>
        <c:axId val="50010001"/>
        <c:scaling>
          <c:orientation val="minMax"/>
        </c:scaling>
        <c:axPos val="b"/>
        <c:title>
          <c:tx>
            <c:rich>
              <a:bodyPr/>
              <a:lstStyle/>
              <a:p>
                <a:pPr>
                  <a:defRPr sz="900" b="0" baseline="0">
                    <a:solidFill>
                      <a:srgbClr val="4A5361"/>
                    </a:solidFill>
                    <a:latin typeface="Calibri"/>
                  </a:defRPr>
                </a:pPr>
                <a:r>
                  <a:rPr lang="en-US" sz="900" b="0" baseline="0">
                    <a:solidFill>
                      <a:srgbClr val="4A5361"/>
                    </a:solidFill>
                    <a:latin typeface="Calibri"/>
                  </a:rPr>
                  <a:t>Volume (units)</a:t>
                </a:r>
              </a:p>
            </c:rich>
          </c:tx>
          <c:layout/>
        </c:title>
        <c:numFmt formatCode="#,##0"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Profit by volume, every option</a:t>
            </a:r>
          </a:p>
        </c:rich>
      </c:tx>
      <c:layout/>
    </c:title>
    <c:plotArea>
      <c:layout/>
      <c:lineChart>
        <c:grouping val="standard"/>
        <c:ser>
          <c:idx val="0"/>
          <c:order val="0"/>
          <c:tx>
            <c:strRef>
              <c:f>'Break-Even'!$D$15</c:f>
              <c:strCache>
                <c:ptCount val="1"/>
                <c:pt idx="0">
                  <c:v>Aluminium mould</c:v>
                </c:pt>
              </c:strCache>
            </c:strRef>
          </c:tx>
          <c:spPr>
            <a:ln w="28575">
              <a:solidFill>
                <a:srgbClr val="3B64D8"/>
              </a:solidFill>
            </a:ln>
          </c:spPr>
          <c:marker>
            <c:symbol val="circle"/>
            <c:size val="5"/>
            <c:spPr>
              <a:solidFill>
                <a:srgbClr val="3B64D8"/>
              </a:solidFill>
              <a:ln>
                <a:solidFill>
                  <a:srgbClr val="3B64D8"/>
                </a:solidFill>
              </a:ln>
            </c:spPr>
          </c:marker>
          <c:cat>
            <c:numRef>
              <c:f>Dashboard!$B$59:$B$69</c:f>
              <c:numCache>
                <c:formatCode>General</c:formatCode>
                <c:ptCount val="11"/>
                <c:pt idx="0">
                  <c:v>0</c:v>
                </c:pt>
                <c:pt idx="1">
                  <c:v>5000</c:v>
                </c:pt>
                <c:pt idx="2">
                  <c:v>10000</c:v>
                </c:pt>
                <c:pt idx="3">
                  <c:v>15000</c:v>
                </c:pt>
                <c:pt idx="4">
                  <c:v>20000</c:v>
                </c:pt>
                <c:pt idx="5">
                  <c:v>25000</c:v>
                </c:pt>
                <c:pt idx="6">
                  <c:v>30000</c:v>
                </c:pt>
                <c:pt idx="7">
                  <c:v>35000</c:v>
                </c:pt>
                <c:pt idx="8">
                  <c:v>40000</c:v>
                </c:pt>
                <c:pt idx="9">
                  <c:v>45000</c:v>
                </c:pt>
                <c:pt idx="10">
                  <c:v>50000</c:v>
                </c:pt>
              </c:numCache>
            </c:numRef>
          </c:cat>
          <c:val>
            <c:numRef>
              <c:f>Dashboard!$G$59:$G$69</c:f>
              <c:numCache>
                <c:formatCode>General</c:formatCode>
                <c:ptCount val="11"/>
                <c:pt idx="0">
                  <c:v>-22900</c:v>
                </c:pt>
                <c:pt idx="1">
                  <c:v>-15950</c:v>
                </c:pt>
                <c:pt idx="2">
                  <c:v>-9000</c:v>
                </c:pt>
                <c:pt idx="3">
                  <c:v>-2050</c:v>
                </c:pt>
                <c:pt idx="4">
                  <c:v>4900</c:v>
                </c:pt>
                <c:pt idx="5">
                  <c:v>11850</c:v>
                </c:pt>
                <c:pt idx="6">
                  <c:v>18800</c:v>
                </c:pt>
                <c:pt idx="7">
                  <c:v>25750</c:v>
                </c:pt>
                <c:pt idx="8">
                  <c:v>32700</c:v>
                </c:pt>
                <c:pt idx="9">
                  <c:v>39650</c:v>
                </c:pt>
                <c:pt idx="10">
                  <c:v>46600</c:v>
                </c:pt>
              </c:numCache>
            </c:numRef>
          </c:val>
        </c:ser>
        <c:ser>
          <c:idx val="1"/>
          <c:order val="1"/>
          <c:tx>
            <c:strRef>
              <c:f>'Break-Even'!$E$15</c:f>
              <c:strCache>
                <c:ptCount val="1"/>
                <c:pt idx="0">
                  <c:v>Steel 4-cavity mould</c:v>
                </c:pt>
              </c:strCache>
            </c:strRef>
          </c:tx>
          <c:spPr>
            <a:ln w="28575">
              <a:solidFill>
                <a:srgbClr val="E8702A"/>
              </a:solidFill>
            </a:ln>
          </c:spPr>
          <c:marker>
            <c:symbol val="circle"/>
            <c:size val="5"/>
            <c:spPr>
              <a:solidFill>
                <a:srgbClr val="E8702A"/>
              </a:solidFill>
              <a:ln>
                <a:solidFill>
                  <a:srgbClr val="E8702A"/>
                </a:solidFill>
              </a:ln>
            </c:spPr>
          </c:marker>
          <c:cat>
            <c:numRef>
              <c:f>Dashboard!$B$59:$B$69</c:f>
              <c:numCache>
                <c:formatCode>General</c:formatCode>
                <c:ptCount val="11"/>
                <c:pt idx="0">
                  <c:v>0</c:v>
                </c:pt>
                <c:pt idx="1">
                  <c:v>5000</c:v>
                </c:pt>
                <c:pt idx="2">
                  <c:v>10000</c:v>
                </c:pt>
                <c:pt idx="3">
                  <c:v>15000</c:v>
                </c:pt>
                <c:pt idx="4">
                  <c:v>20000</c:v>
                </c:pt>
                <c:pt idx="5">
                  <c:v>25000</c:v>
                </c:pt>
                <c:pt idx="6">
                  <c:v>30000</c:v>
                </c:pt>
                <c:pt idx="7">
                  <c:v>35000</c:v>
                </c:pt>
                <c:pt idx="8">
                  <c:v>40000</c:v>
                </c:pt>
                <c:pt idx="9">
                  <c:v>45000</c:v>
                </c:pt>
                <c:pt idx="10">
                  <c:v>50000</c:v>
                </c:pt>
              </c:numCache>
            </c:numRef>
          </c:cat>
          <c:val>
            <c:numRef>
              <c:f>Dashboard!$H$59:$H$69</c:f>
              <c:numCache>
                <c:formatCode>General</c:formatCode>
                <c:ptCount val="11"/>
                <c:pt idx="0">
                  <c:v>-47200</c:v>
                </c:pt>
                <c:pt idx="1">
                  <c:v>-35550</c:v>
                </c:pt>
                <c:pt idx="2">
                  <c:v>-23900</c:v>
                </c:pt>
                <c:pt idx="3">
                  <c:v>-12250</c:v>
                </c:pt>
                <c:pt idx="4">
                  <c:v>-600</c:v>
                </c:pt>
                <c:pt idx="5">
                  <c:v>11050</c:v>
                </c:pt>
                <c:pt idx="6">
                  <c:v>22700</c:v>
                </c:pt>
                <c:pt idx="7">
                  <c:v>34350</c:v>
                </c:pt>
                <c:pt idx="8">
                  <c:v>46000</c:v>
                </c:pt>
                <c:pt idx="9">
                  <c:v>57650</c:v>
                </c:pt>
                <c:pt idx="10">
                  <c:v>69300</c:v>
                </c:pt>
              </c:numCache>
            </c:numRef>
          </c:val>
        </c:ser>
        <c:ser>
          <c:idx val="2"/>
          <c:order val="2"/>
          <c:tx>
            <c:strRef>
              <c:f>'Break-Even'!$F$15</c:f>
              <c:strCache>
                <c:ptCount val="1"/>
                <c:pt idx="0">
                  <c:v>Buy from supplier</c:v>
                </c:pt>
              </c:strCache>
            </c:strRef>
          </c:tx>
          <c:spPr>
            <a:ln w="28575">
              <a:solidFill>
                <a:srgbClr val="1BA37A"/>
              </a:solidFill>
            </a:ln>
          </c:spPr>
          <c:marker>
            <c:symbol val="circle"/>
            <c:size val="5"/>
            <c:spPr>
              <a:solidFill>
                <a:srgbClr val="1BA37A"/>
              </a:solidFill>
              <a:ln>
                <a:solidFill>
                  <a:srgbClr val="1BA37A"/>
                </a:solidFill>
              </a:ln>
            </c:spPr>
          </c:marker>
          <c:cat>
            <c:numRef>
              <c:f>Dashboard!$B$59:$B$69</c:f>
              <c:numCache>
                <c:formatCode>General</c:formatCode>
                <c:ptCount val="11"/>
                <c:pt idx="0">
                  <c:v>0</c:v>
                </c:pt>
                <c:pt idx="1">
                  <c:v>5000</c:v>
                </c:pt>
                <c:pt idx="2">
                  <c:v>10000</c:v>
                </c:pt>
                <c:pt idx="3">
                  <c:v>15000</c:v>
                </c:pt>
                <c:pt idx="4">
                  <c:v>20000</c:v>
                </c:pt>
                <c:pt idx="5">
                  <c:v>25000</c:v>
                </c:pt>
                <c:pt idx="6">
                  <c:v>30000</c:v>
                </c:pt>
                <c:pt idx="7">
                  <c:v>35000</c:v>
                </c:pt>
                <c:pt idx="8">
                  <c:v>40000</c:v>
                </c:pt>
                <c:pt idx="9">
                  <c:v>45000</c:v>
                </c:pt>
                <c:pt idx="10">
                  <c:v>50000</c:v>
                </c:pt>
              </c:numCache>
            </c:numRef>
          </c:cat>
          <c:val>
            <c:numRef>
              <c:f>Dashboard!$I$59:$I$69</c:f>
              <c:numCache>
                <c:formatCode>General</c:formatCode>
                <c:ptCount val="11"/>
                <c:pt idx="0">
                  <c:v>-12100</c:v>
                </c:pt>
                <c:pt idx="1">
                  <c:v>-6400</c:v>
                </c:pt>
                <c:pt idx="2">
                  <c:v>-699.999999999995</c:v>
                </c:pt>
                <c:pt idx="3">
                  <c:v>5000.00000000001</c:v>
                </c:pt>
                <c:pt idx="4">
                  <c:v>10700</c:v>
                </c:pt>
                <c:pt idx="5">
                  <c:v>16400</c:v>
                </c:pt>
                <c:pt idx="6">
                  <c:v>22100</c:v>
                </c:pt>
                <c:pt idx="7">
                  <c:v>27800</c:v>
                </c:pt>
                <c:pt idx="8">
                  <c:v>33500</c:v>
                </c:pt>
                <c:pt idx="9">
                  <c:v>39200</c:v>
                </c:pt>
                <c:pt idx="10">
                  <c:v>44900</c:v>
                </c:pt>
              </c:numCache>
            </c:numRef>
          </c:val>
        </c:ser>
        <c:ser>
          <c:idx val="3"/>
          <c:order val="3"/>
          <c:tx>
            <c:v>Zero profit</c:v>
          </c:tx>
          <c:spPr>
            <a:ln w="19050">
              <a:solidFill>
                <a:srgbClr val="4A5361"/>
              </a:solidFill>
              <a:prstDash val="dash"/>
            </a:ln>
          </c:spPr>
          <c:marker>
            <c:symbol val="none"/>
          </c:marker>
          <c:cat>
            <c:numRef>
              <c:f>Dashboard!$B$59:$B$69</c:f>
              <c:numCache>
                <c:formatCode>General</c:formatCode>
                <c:ptCount val="11"/>
                <c:pt idx="0">
                  <c:v>0</c:v>
                </c:pt>
                <c:pt idx="1">
                  <c:v>5000</c:v>
                </c:pt>
                <c:pt idx="2">
                  <c:v>10000</c:v>
                </c:pt>
                <c:pt idx="3">
                  <c:v>15000</c:v>
                </c:pt>
                <c:pt idx="4">
                  <c:v>20000</c:v>
                </c:pt>
                <c:pt idx="5">
                  <c:v>25000</c:v>
                </c:pt>
                <c:pt idx="6">
                  <c:v>30000</c:v>
                </c:pt>
                <c:pt idx="7">
                  <c:v>35000</c:v>
                </c:pt>
                <c:pt idx="8">
                  <c:v>40000</c:v>
                </c:pt>
                <c:pt idx="9">
                  <c:v>45000</c:v>
                </c:pt>
                <c:pt idx="10">
                  <c:v>50000</c:v>
                </c:pt>
              </c:numCache>
            </c:numRef>
          </c:cat>
          <c:val>
            <c:numRef>
              <c:f>Dashboard!$J$59:$J$69</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ser>
        <c:marker val="1"/>
        <c:axId val="50020001"/>
        <c:axId val="50020002"/>
      </c:lineChart>
      <c:catAx>
        <c:axId val="50020001"/>
        <c:scaling>
          <c:orientation val="minMax"/>
        </c:scaling>
        <c:axPos val="b"/>
        <c:title>
          <c:tx>
            <c:rich>
              <a:bodyPr/>
              <a:lstStyle/>
              <a:p>
                <a:pPr>
                  <a:defRPr sz="900" b="0" baseline="0">
                    <a:solidFill>
                      <a:srgbClr val="4A5361"/>
                    </a:solidFill>
                    <a:latin typeface="Calibri"/>
                  </a:defRPr>
                </a:pPr>
                <a:r>
                  <a:rPr lang="en-US" sz="900" b="0" baseline="0">
                    <a:solidFill>
                      <a:srgbClr val="4A5361"/>
                    </a:solidFill>
                    <a:latin typeface="Calibri"/>
                  </a:rPr>
                  <a:t>Volume (units)</a:t>
                </a:r>
              </a:p>
            </c:rich>
          </c:tx>
          <c:layout/>
        </c:title>
        <c:numFmt formatCode="#,##0" sourceLinked="0"/>
        <c:majorTickMark val="none"/>
        <c:minorTickMark val="none"/>
        <c:tickLblPos val="low"/>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Break-even volume by price change</a:t>
            </a:r>
          </a:p>
        </c:rich>
      </c:tx>
      <c:layout/>
    </c:title>
    <c:plotArea>
      <c:layout/>
      <c:barChart>
        <c:barDir val="col"/>
        <c:grouping val="clustered"/>
        <c:ser>
          <c:idx val="0"/>
          <c:order val="0"/>
          <c:tx>
            <c:v>Break-even volume</c:v>
          </c:tx>
          <c:spPr>
            <a:solidFill>
              <a:srgbClr val="3B64D8"/>
            </a:solidFill>
            <a:ln w="9525">
              <a:solidFill>
                <a:srgbClr val="FFFFFF"/>
              </a:solidFill>
            </a:ln>
          </c:spPr>
          <c:cat>
            <c:numRef>
              <c:f>Dashboard!$B$47:$B$53</c:f>
              <c:numCache>
                <c:formatCode>General</c:formatCode>
                <c:ptCount val="7"/>
                <c:pt idx="0">
                  <c:v>-0.15</c:v>
                </c:pt>
                <c:pt idx="1">
                  <c:v>-0.1</c:v>
                </c:pt>
                <c:pt idx="2">
                  <c:v>-0.05</c:v>
                </c:pt>
                <c:pt idx="3">
                  <c:v>0</c:v>
                </c:pt>
                <c:pt idx="4">
                  <c:v>0.05</c:v>
                </c:pt>
                <c:pt idx="5">
                  <c:v>0.1</c:v>
                </c:pt>
                <c:pt idx="6">
                  <c:v>0.15</c:v>
                </c:pt>
              </c:numCache>
            </c:numRef>
          </c:cat>
          <c:val>
            <c:numRef>
              <c:f>Dashboard!$E$47:$E$53</c:f>
              <c:numCache>
                <c:formatCode>General</c:formatCode>
                <c:ptCount val="7"/>
                <c:pt idx="0">
                  <c:v>28715</c:v>
                </c:pt>
                <c:pt idx="1">
                  <c:v>23016</c:v>
                </c:pt>
                <c:pt idx="2">
                  <c:v>19204</c:v>
                </c:pt>
                <c:pt idx="3">
                  <c:v>16475</c:v>
                </c:pt>
                <c:pt idx="4">
                  <c:v>14426</c:v>
                </c:pt>
                <c:pt idx="5">
                  <c:v>12830</c:v>
                </c:pt>
                <c:pt idx="6">
                  <c:v>11552</c:v>
                </c:pt>
              </c:numCache>
            </c:numRef>
          </c:val>
        </c:ser>
        <c:gapWidth val="60"/>
        <c:overlap val="-10"/>
        <c:axId val="50030001"/>
        <c:axId val="50030002"/>
      </c:barChart>
      <c:lineChart>
        <c:grouping val="standard"/>
        <c:ser>
          <c:idx val="1"/>
          <c:order val="1"/>
          <c:tx>
            <c:v>Planned volume</c:v>
          </c:tx>
          <c:spPr>
            <a:ln w="19050">
              <a:solidFill>
                <a:srgbClr val="4A5361"/>
              </a:solidFill>
              <a:prstDash val="dash"/>
            </a:ln>
          </c:spPr>
          <c:marker>
            <c:symbol val="none"/>
          </c:marker>
          <c:cat>
            <c:numRef>
              <c:f>Dashboard!$B$47:$B$53</c:f>
              <c:numCache>
                <c:formatCode>General</c:formatCode>
                <c:ptCount val="7"/>
                <c:pt idx="0">
                  <c:v>-0.15</c:v>
                </c:pt>
                <c:pt idx="1">
                  <c:v>-0.1</c:v>
                </c:pt>
                <c:pt idx="2">
                  <c:v>-0.05</c:v>
                </c:pt>
                <c:pt idx="3">
                  <c:v>0</c:v>
                </c:pt>
                <c:pt idx="4">
                  <c:v>0.05</c:v>
                </c:pt>
                <c:pt idx="5">
                  <c:v>0.1</c:v>
                </c:pt>
                <c:pt idx="6">
                  <c:v>0.15</c:v>
                </c:pt>
              </c:numCache>
            </c:numRef>
          </c:cat>
          <c:val>
            <c:numRef>
              <c:f>Dashboard!$H$47:$H$53</c:f>
              <c:numCache>
                <c:formatCode>General</c:formatCode>
                <c:ptCount val="7"/>
                <c:pt idx="0">
                  <c:v>30000</c:v>
                </c:pt>
                <c:pt idx="1">
                  <c:v>30000</c:v>
                </c:pt>
                <c:pt idx="2">
                  <c:v>30000</c:v>
                </c:pt>
                <c:pt idx="3">
                  <c:v>30000</c:v>
                </c:pt>
                <c:pt idx="4">
                  <c:v>30000</c:v>
                </c:pt>
                <c:pt idx="5">
                  <c:v>30000</c:v>
                </c:pt>
                <c:pt idx="6">
                  <c:v>30000</c:v>
                </c:pt>
              </c:numCache>
            </c:numRef>
          </c:val>
        </c:ser>
        <c:marker val="1"/>
        <c:axId val="50030001"/>
        <c:axId val="50030002"/>
      </c:lineChart>
      <c:catAx>
        <c:axId val="50030001"/>
        <c:scaling>
          <c:orientation val="minMax"/>
        </c:scaling>
        <c:axPos val="b"/>
        <c:numFmt formatCode="+0%;-0%;0%"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27</xdr:row>
      <xdr:rowOff>152400</xdr:rowOff>
    </xdr:to>
    <xdr:graphicFrame macro="">
      <xdr:nvGraphicFramePr>
        <xdr:cNvPr id="2" name="Chart 1" descr="Line chart of revenue and total cost against volume for the option shown, with fixed costs as a dashed line; the lines cross at the break-even volum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27</xdr:row>
      <xdr:rowOff>152400</xdr:rowOff>
    </xdr:to>
    <xdr:graphicFrame macro="">
      <xdr:nvGraphicFramePr>
        <xdr:cNvPr id="3" name="Chart 2" descr="Line chart of profit against volume for each option; each line crosses zero at that option's break-even volume and the lines cross each other at the crossover volume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38100</xdr:colOff>
      <xdr:row>43</xdr:row>
      <xdr:rowOff>38100</xdr:rowOff>
    </xdr:from>
    <xdr:to>
      <xdr:col>11</xdr:col>
      <xdr:colOff>676275</xdr:colOff>
      <xdr:row>53</xdr:row>
      <xdr:rowOff>171450</xdr:rowOff>
    </xdr:to>
    <xdr:graphicFrame macro="">
      <xdr:nvGraphicFramePr>
        <xdr:cNvPr id="4" name="Chart 3" descr="Column chart of the break-even volume of the option shown at each price change, with the planned volume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id="1" name="tblFixed" displayName="tblFixed" ref="B36:H42" totalsRowShown="0">
  <autoFilter ref="B36:H42"/>
  <tableColumns count="7">
    <tableColumn id="1" name="Item"/>
    <tableColumn id="2" name="Category"/>
    <tableColumn id="3" name="Option A"/>
    <tableColumn id="4" name="Option B"/>
    <tableColumn id="5" name="Option C"/>
    <tableColumn id="6" name="Check">
      <calculatedColumnFormula>IF(tblFixed[[#This Row],[Item]]="","",IF(tblFixed[[#This Row],[Category]]="","Missing category",IF(AND(tblFixed[[#This Row],[Option A]]="",tblFixed[[#This Row],[Option B]]="",tblFixed[[#This Row],[Option C]]=""),"No amount entered","OK")))</calculatedColumnFormula>
    </tableColumn>
    <tableColumn id="7" name="Notes"/>
  </tableColumns>
  <tableStyleInfo name="TableStyleLight1" showFirstColumn="0" showLastColumn="0" showRowStripes="0" showColumnStripes="0"/>
</table>
</file>

<file path=xl/tables/table2.xml><?xml version="1.0" encoding="utf-8"?>
<table xmlns="http://schemas.openxmlformats.org/spreadsheetml/2006/main" id="2" name="tblVariable" displayName="tblVariable" ref="B48:H57" totalsRowShown="0">
  <autoFilter ref="B48:H57"/>
  <tableColumns count="7">
    <tableColumn id="1" name="Item"/>
    <tableColumn id="2" name="Category"/>
    <tableColumn id="3" name="Option A"/>
    <tableColumn id="4" name="Option B"/>
    <tableColumn id="5" name="Option C"/>
    <tableColumn id="6" name="Check">
      <calculatedColumnFormula>IF(tblVariable[[#This Row],[Item]]="","",IF(tblVariable[[#This Row],[Category]]="","Missing category",IF(AND(tblVariable[[#This Row],[Option A]]="",tblVariable[[#This Row],[Option B]]="",tblVariable[[#This Row],[Option C]]=""),"No amount entered","OK")))</calculatedColumnFormula>
    </tableColumn>
    <tableColumn id="7" name="Notes"/>
  </tableColumns>
  <tableStyleInfo name="TableStyleLight1" showFirstColumn="0" showLastColumn="0" showRowStripes="0" showColumnStripes="0"/>
</table>
</file>

<file path=xl/tables/table3.xml><?xml version="1.0" encoding="utf-8"?>
<table xmlns="http://schemas.openxmlformats.org/spreadsheetml/2006/main" id="3" name="tblVerifyFixed" displayName="tblVerifyFixed" ref="B44:H47" totalsRowShown="0">
  <tableColumns count="7">
    <tableColumn id="1" name="Item"/>
    <tableColumn id="2" name="Category"/>
    <tableColumn id="3" name="Option A"/>
    <tableColumn id="4" name="Option B"/>
    <tableColumn id="5" name="Option C"/>
    <tableColumn id="6" name="Check">
      <calculatedColumnFormula>IF(tblVerifyFixed[[#This Row],[Item]]="","",IF(tblVerifyFixed[[#This Row],[Category]]="","Missing category",IF(AND(tblVerifyFixed[[#This Row],[Option A]]="",tblVerifyFixed[[#This Row],[Option B]]="",tblVerifyFixed[[#This Row],[Option C]]=""),"No amount entered","OK")))</calculatedColumnFormula>
    </tableColumn>
    <tableColumn id="7" name="Notes"/>
  </tableColumns>
  <tableStyleInfo name="TableStyleLight1" showFirstColumn="0" showLastColumn="0" showRowStripes="0" showColumnStripes="0"/>
</table>
</file>

<file path=xl/tables/table4.xml><?xml version="1.0" encoding="utf-8"?>
<table xmlns="http://schemas.openxmlformats.org/spreadsheetml/2006/main" id="4" name="tblVerifyVariable" displayName="tblVerifyVariable" ref="B51:H54" totalsRowShown="0">
  <tableColumns count="7">
    <tableColumn id="1" name="Item"/>
    <tableColumn id="2" name="Category"/>
    <tableColumn id="3" name="Option A"/>
    <tableColumn id="4" name="Option B"/>
    <tableColumn id="5" name="Option C"/>
    <tableColumn id="6" name="Check">
      <calculatedColumnFormula>IF(tblVerifyVariable[[#This Row],[Item]]="","",IF(tblVerifyVariable[[#This Row],[Category]]="","Missing category",IF(AND(tblVerifyVariable[[#This Row],[Option A]]="",tblVerifyVariable[[#This Row],[Option B]]="",tblVerifyVariable[[#This Row],[Option C]]=""),"No amount entered","OK")))</calculatedColumnFormula>
    </tableColumn>
    <tableColumn id="7"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break-even-analysis" TargetMode="External"/><Relationship Id="rId2" Type="http://schemas.openxmlformats.org/officeDocument/2006/relationships/hyperlink" Target="https://www.mfgcalcs.com/calculators/lean-manufacturing-operations/break-even-quantity?utm_source=mfgcalcs-template&amp;utm_medium=xlsx&amp;utm_campaign=break-even-analysis" TargetMode="External"/><Relationship Id="rId3" Type="http://schemas.openxmlformats.org/officeDocument/2006/relationships/hyperlink" Target="https://www.mfgcalcs.com/templates/break-even-analysis?utm_source=mfgcalcs-template&amp;utm_medium=xlsx&amp;utm_campaign=break-even-analysis" TargetMode="External"/><Relationship Id="rId4" Type="http://schemas.openxmlformats.org/officeDocument/2006/relationships/hyperlink" Target="https://www.mfgcalcs.com/templates?utm_source=mfgcalcs-template&amp;utm_medium=xlsx&amp;utm_campaign=break-even-analysis"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break-even-analysi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break-even-analysis"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break-even-analysis"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break-even-analysis" TargetMode="External"/><Relationship Id="rId2" Type="http://schemas.openxmlformats.org/officeDocument/2006/relationships/hyperlink" Target="https://www.mfgcalcs.com/calculators/lean-manufacturing-operations/break-even-quantity?utm_source=mfgcalcs-template&amp;utm_medium=xlsx&amp;utm_campaign=break-even-analysi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break-even-analysis" TargetMode="External"/><Relationship Id="rId2" Type="http://schemas.openxmlformats.org/officeDocument/2006/relationships/table" Target="../tables/table3.xml"/><Relationship Id="rId3"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16.2" customHeight="1">
      <c r="B12" s="9" t="s">
        <v>7</v>
      </c>
      <c r="C12" s="10" t="s">
        <v>8</v>
      </c>
      <c r="D12" s="10"/>
      <c r="E12" s="10"/>
      <c r="F12" s="10"/>
    </row>
    <row r="13" spans="1:6" ht="16.2" customHeight="1">
      <c r="B13" s="9" t="s">
        <v>9</v>
      </c>
      <c r="C13" s="10" t="s">
        <v>10</v>
      </c>
      <c r="D13" s="10"/>
      <c r="E13" s="10"/>
      <c r="F13" s="10"/>
    </row>
    <row r="14" spans="1:6" ht="29.4" customHeight="1">
      <c r="B14" s="9" t="s">
        <v>11</v>
      </c>
      <c r="C14" s="10" t="s">
        <v>12</v>
      </c>
      <c r="D14" s="10"/>
      <c r="E14" s="10"/>
      <c r="F14" s="10"/>
    </row>
    <row r="15" spans="1:6" ht="29.4" customHeight="1">
      <c r="B15" s="9" t="s">
        <v>13</v>
      </c>
      <c r="C15" s="10" t="s">
        <v>14</v>
      </c>
      <c r="D15" s="10"/>
      <c r="E15" s="10"/>
      <c r="F15" s="10"/>
    </row>
    <row r="16" spans="1:6" ht="29.4"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23 of 23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61.8"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Break-Even'!A1" tooltip="Go to Break-Even" display="Break-Even"/>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Break-Even Analysis&amp;R&amp;8&amp;A</oddHeader>
    <oddFooter>&amp;L&amp;8mfgcalcs.com - free manufacturing templates&amp;R&amp;8Page &amp;P of &amp;N</oddFooter>
  </headerFooter>
  <rowBreaks count="1" manualBreakCount="1">
    <brk id="26"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13"/>
  <sheetViews>
    <sheetView showGridLines="0" workbookViewId="0"/>
  </sheetViews>
  <sheetFormatPr defaultRowHeight="15"/>
  <cols>
    <col min="1" max="1" width="2.7109375" customWidth="1"/>
    <col min="2" max="2" width="34.7109375" customWidth="1"/>
    <col min="3" max="3" width="16.7109375" customWidth="1"/>
    <col min="4" max="4" width="46.7109375" customWidth="1"/>
  </cols>
  <sheetData>
    <row r="1" spans="1:5" ht="30" customHeight="1">
      <c r="A1" s="1" t="s">
        <v>0</v>
      </c>
      <c r="B1" s="1"/>
      <c r="C1" s="1"/>
      <c r="D1" s="1"/>
      <c r="E1" s="1"/>
    </row>
    <row r="2" spans="1:5" ht="21" customHeight="1">
      <c r="B2" s="2" t="s">
        <v>20</v>
      </c>
      <c r="C2" s="2"/>
      <c r="D2" s="3" t="s">
        <v>2</v>
      </c>
      <c r="E2" s="3"/>
    </row>
    <row r="3" spans="1:5" ht="6" customHeight="1"/>
    <row r="4" spans="1:5" ht="21" customHeight="1">
      <c r="B4" s="8" t="s">
        <v>62</v>
      </c>
      <c r="C4" s="8"/>
      <c r="D4" s="8"/>
    </row>
    <row r="5" spans="1:5" ht="5" customHeight="1"/>
    <row r="6" spans="1:5">
      <c r="B6" s="27" t="s">
        <v>63</v>
      </c>
      <c r="C6" s="28" t="s">
        <v>64</v>
      </c>
      <c r="D6" s="28"/>
    </row>
    <row r="7" spans="1:5">
      <c r="B7" s="27" t="s">
        <v>65</v>
      </c>
      <c r="C7" s="28" t="s">
        <v>66</v>
      </c>
      <c r="D7" s="28"/>
    </row>
    <row r="9" spans="1:5" ht="21" customHeight="1">
      <c r="B9" s="8" t="s">
        <v>67</v>
      </c>
      <c r="C9" s="8"/>
      <c r="D9" s="8"/>
    </row>
    <row r="10" spans="1:5" ht="5" customHeight="1"/>
    <row r="11" spans="1:5">
      <c r="B11" s="27" t="s">
        <v>68</v>
      </c>
      <c r="C11" s="29">
        <v>0.4</v>
      </c>
      <c r="D11" s="7"/>
    </row>
    <row r="13" spans="1:5" ht="48.6" customHeight="1">
      <c r="B13" s="25" t="s">
        <v>69</v>
      </c>
      <c r="C13" s="25"/>
      <c r="D13" s="25"/>
    </row>
  </sheetData>
  <mergeCells count="8">
    <mergeCell ref="A1:E1"/>
    <mergeCell ref="B2:C2"/>
    <mergeCell ref="D2:E2"/>
    <mergeCell ref="B4:D4"/>
    <mergeCell ref="C6:D6"/>
    <mergeCell ref="C7:D7"/>
    <mergeCell ref="B9:D9"/>
    <mergeCell ref="B13:D13"/>
  </mergeCells>
  <dataValidations count="3">
    <dataValidation type="textLength" allowBlank="1" showInputMessage="1" showErrorMessage="1" errorTitle="Check this entry" error="Text up to 80 characters." promptTitle="Company name" prompt="Shown on the Break-Even sheet header. Text up to 80 characters." sqref="C6">
      <formula1>0</formula1>
      <formula2>80</formula2>
    </dataValidation>
    <dataValidation type="textLength" allowBlank="1" showInputMessage="1" showErrorMessage="1" errorTitle="Check this entry" error="Text up to 12 characters." promptTitle="Currency label" prompt="Text shown next to every amount, e.g. USD, EUR, GBP, INR, MXN. No exchange rate is applied. Text up to 12 characters." sqref="C7">
      <formula1>0</formula1>
      <formula2>12</formula2>
    </dataValidation>
    <dataValidation type="decimal" allowBlank="1" showInputMessage="1" showErrorMessage="1" errorTitle="Check this entry" error="Enter a percentage from 0% to 99% (type 85% or 0.85)." promptTitle="Margin of safety you require" prompt="How far the planned volume may fall before the option stops making money, as a share of the plan. Your own rule; no industry benchmark is assumed. Enter a percentage from 0% to 99% (type 85% or 0.85)." sqref="C11">
      <formula1>0</formula1>
      <formula2>0.99</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Break-Even Analysis&amp;R&amp;8&amp;A</oddHeader>
    <oddFooter>&amp;L&amp;8mfgcalcs.com - free manufacturing templates&amp;R&amp;8Page &amp;P of &amp;N</oddFooter>
  </headerFooter>
</worksheet>
</file>

<file path=xl/worksheets/sheet3.xml><?xml version="1.0" encoding="utf-8"?>
<worksheet xmlns="http://schemas.openxmlformats.org/spreadsheetml/2006/main" xmlns:r="http://schemas.openxmlformats.org/officeDocument/2006/relationships">
  <sheetPr>
    <tabColor rgb="FF3B64D8"/>
    <pageSetUpPr fitToPage="1"/>
  </sheetPr>
  <dimension ref="A1:H57"/>
  <sheetViews>
    <sheetView showGridLines="0" workbookViewId="0"/>
  </sheetViews>
  <sheetFormatPr defaultRowHeight="15"/>
  <cols>
    <col min="1" max="1" width="2.7109375" customWidth="1"/>
    <col min="2" max="2" width="36.7109375" customWidth="1"/>
    <col min="3" max="3" width="18.7109375" customWidth="1"/>
    <col min="4" max="6" width="19.7109375" customWidth="1"/>
    <col min="7" max="7" width="24.7109375" customWidth="1"/>
    <col min="8" max="8" width="40.7109375" customWidth="1"/>
  </cols>
  <sheetData>
    <row r="1" spans="1:8" ht="30" customHeight="1">
      <c r="A1" s="1" t="s">
        <v>0</v>
      </c>
      <c r="B1" s="1"/>
      <c r="C1" s="1"/>
      <c r="D1" s="1"/>
      <c r="E1" s="1"/>
      <c r="F1" s="1"/>
      <c r="G1" s="1"/>
      <c r="H1" s="1"/>
    </row>
    <row r="2" spans="1:8" ht="21" customHeight="1">
      <c r="B2" s="2" t="s">
        <v>22</v>
      </c>
      <c r="C2" s="2"/>
      <c r="D2" s="2"/>
      <c r="E2" s="2"/>
      <c r="F2" s="2"/>
      <c r="G2" s="2"/>
      <c r="H2" s="3" t="s">
        <v>2</v>
      </c>
    </row>
    <row r="3" spans="1:8" ht="6" customHeight="1"/>
    <row r="4" spans="1:8" ht="21" customHeight="1">
      <c r="B4" s="30" t="s">
        <v>77</v>
      </c>
      <c r="C4" s="30"/>
      <c r="D4" s="30"/>
      <c r="E4" s="30"/>
      <c r="F4" s="30"/>
      <c r="G4" s="30"/>
      <c r="H4" s="30"/>
    </row>
    <row r="6" spans="1:8" ht="21" customHeight="1">
      <c r="B6" s="8" t="s">
        <v>78</v>
      </c>
      <c r="C6" s="8"/>
      <c r="D6" s="8"/>
      <c r="E6" s="8"/>
      <c r="F6" s="8"/>
      <c r="G6" s="8"/>
      <c r="H6" s="8"/>
    </row>
    <row r="7" spans="1:8" ht="5" customHeight="1"/>
    <row r="8" spans="1:8">
      <c r="B8" s="27" t="s">
        <v>78</v>
      </c>
      <c r="C8" s="31" t="s">
        <v>79</v>
      </c>
      <c r="D8" s="31"/>
      <c r="E8" s="31"/>
    </row>
    <row r="9" spans="1:8">
      <c r="B9" s="27" t="s">
        <v>80</v>
      </c>
      <c r="C9" s="31" t="s">
        <v>81</v>
      </c>
      <c r="D9" s="31"/>
      <c r="E9" s="31"/>
    </row>
    <row r="10" spans="1:8">
      <c r="B10" s="27" t="s">
        <v>82</v>
      </c>
      <c r="C10" s="31" t="s">
        <v>83</v>
      </c>
      <c r="D10" s="31"/>
      <c r="E10" s="31"/>
    </row>
    <row r="11" spans="1:8">
      <c r="B11" s="27" t="s">
        <v>84</v>
      </c>
      <c r="C11" s="32">
        <v>46307</v>
      </c>
      <c r="D11" s="32"/>
      <c r="E11" s="32"/>
    </row>
    <row r="13" spans="1:8" ht="21" customHeight="1">
      <c r="B13" s="8" t="s">
        <v>85</v>
      </c>
      <c r="C13" s="8"/>
      <c r="D13" s="8"/>
      <c r="E13" s="8"/>
      <c r="F13" s="8"/>
      <c r="G13" s="8"/>
      <c r="H13" s="8"/>
    </row>
    <row r="14" spans="1:8" ht="5" customHeight="1"/>
    <row r="15" spans="1:8">
      <c r="B15" s="33" t="s">
        <v>86</v>
      </c>
      <c r="C15" s="34" t="s">
        <v>87</v>
      </c>
      <c r="D15" s="35" t="s">
        <v>88</v>
      </c>
      <c r="E15" s="35" t="s">
        <v>89</v>
      </c>
      <c r="F15" s="35" t="s">
        <v>90</v>
      </c>
    </row>
    <row r="16" spans="1:8">
      <c r="B16" s="27" t="s">
        <v>91</v>
      </c>
      <c r="C16" s="7" t="str">
        <f>Currency&amp;"/unit"</f>
        <v>EUR/unit</v>
      </c>
      <c r="D16" s="36">
        <v>3.95</v>
      </c>
      <c r="E16" s="36">
        <v>3.95</v>
      </c>
      <c r="F16" s="36">
        <v>3.95</v>
      </c>
    </row>
    <row r="17" spans="2:8">
      <c r="B17" s="27" t="s">
        <v>92</v>
      </c>
      <c r="C17" s="7" t="s">
        <v>93</v>
      </c>
      <c r="D17" s="37">
        <v>30000</v>
      </c>
      <c r="E17" s="37">
        <v>30000</v>
      </c>
      <c r="F17" s="37">
        <v>30000</v>
      </c>
    </row>
    <row r="18" spans="2:8">
      <c r="B18" s="27" t="s">
        <v>94</v>
      </c>
      <c r="C18" s="7" t="str">
        <f>Currency</f>
        <v>EUR</v>
      </c>
      <c r="D18" s="38">
        <f>SUM(tblFixed[Option A])</f>
        <v>22900</v>
      </c>
      <c r="E18" s="38">
        <f>SUM(tblFixed[Option B])</f>
        <v>47200</v>
      </c>
      <c r="F18" s="38">
        <f>SUM(tblFixed[Option C])</f>
        <v>12100</v>
      </c>
    </row>
    <row r="19" spans="2:8">
      <c r="B19" s="27" t="s">
        <v>95</v>
      </c>
      <c r="C19" s="7" t="str">
        <f>Currency&amp;"/unit"</f>
        <v>EUR/unit</v>
      </c>
      <c r="D19" s="39">
        <f>SUM(tblVariable[Option A])</f>
        <v>2.56</v>
      </c>
      <c r="E19" s="39">
        <f>SUM(tblVariable[Option B])</f>
        <v>1.62</v>
      </c>
      <c r="F19" s="39">
        <f>SUM(tblVariable[Option C])</f>
        <v>2.81</v>
      </c>
    </row>
    <row r="20" spans="2:8">
      <c r="B20" s="27" t="s">
        <v>96</v>
      </c>
      <c r="C20" s="7" t="str">
        <f>Currency&amp;"/unit"</f>
        <v>EUR/unit</v>
      </c>
      <c r="D20" s="40">
        <f>$D$16-$D$19</f>
        <v>1.39</v>
      </c>
      <c r="E20" s="40">
        <f>$E$16-$E$19</f>
        <v>2.33</v>
      </c>
      <c r="F20" s="40">
        <f>$F$16-$F$19</f>
        <v>1.14</v>
      </c>
    </row>
    <row r="21" spans="2:8">
      <c r="B21" s="27" t="s">
        <v>97</v>
      </c>
      <c r="C21" s="7" t="s">
        <v>98</v>
      </c>
      <c r="D21" s="41">
        <f>IF(($D$16)=0,"",($D$20)/($D$16))</f>
        <v>0.351898734177215</v>
      </c>
      <c r="E21" s="41">
        <f>IF(($E$16)=0,"",($E$20)/($E$16))</f>
        <v>0.589873417721519</v>
      </c>
      <c r="F21" s="41">
        <f>IF(($F$16)=0,"",($F$20)/($F$16))</f>
        <v>0.288607594936709</v>
      </c>
    </row>
    <row r="22" spans="2:8">
      <c r="B22" s="27" t="s">
        <v>99</v>
      </c>
      <c r="C22" s="7" t="s">
        <v>93</v>
      </c>
      <c r="D22" s="42">
        <f>IF($D$20&gt;0,$D$18/$D$20,"")</f>
        <v>16474.8201438849</v>
      </c>
      <c r="E22" s="42">
        <f>IF($E$20&gt;0,$E$18/$E$20,"")</f>
        <v>20257.5107296137</v>
      </c>
      <c r="F22" s="42">
        <f>IF($F$20&gt;0,$F$18/$F$20,"")</f>
        <v>10614.0350877193</v>
      </c>
    </row>
    <row r="23" spans="2:8">
      <c r="B23" s="27" t="s">
        <v>100</v>
      </c>
      <c r="C23" s="7" t="s">
        <v>93</v>
      </c>
      <c r="D23" s="43">
        <f>IF($D$22="","",CEILING($D$22,1))</f>
        <v>16475</v>
      </c>
      <c r="E23" s="43">
        <f>IF($E$22="","",CEILING($E$22,1))</f>
        <v>20258</v>
      </c>
      <c r="F23" s="43">
        <f>IF($F$22="","",CEILING($F$22,1))</f>
        <v>10615</v>
      </c>
    </row>
    <row r="24" spans="2:8">
      <c r="B24" s="27" t="s">
        <v>101</v>
      </c>
      <c r="C24" s="7" t="str">
        <f>Currency</f>
        <v>EUR</v>
      </c>
      <c r="D24" s="38">
        <f>IF($D$22="","",$D$22*$D$16)</f>
        <v>65075.5395683453</v>
      </c>
      <c r="E24" s="38">
        <f>IF($E$22="","",$E$22*$E$16)</f>
        <v>80017.1673819742</v>
      </c>
      <c r="F24" s="38">
        <f>IF($F$22="","",$F$22*$F$16)</f>
        <v>41925.4385964912</v>
      </c>
    </row>
    <row r="25" spans="2:8">
      <c r="B25" s="27" t="s">
        <v>102</v>
      </c>
      <c r="C25" s="7" t="str">
        <f>Currency</f>
        <v>EUR</v>
      </c>
      <c r="D25" s="44">
        <f>$D$20*$D$17-$D$18</f>
        <v>18800</v>
      </c>
      <c r="E25" s="44">
        <f>$E$20*$E$17-$E$18</f>
        <v>22700</v>
      </c>
      <c r="F25" s="44">
        <f>$F$20*$F$17-$F$18</f>
        <v>22100</v>
      </c>
    </row>
    <row r="26" spans="2:8">
      <c r="B26" s="27" t="s">
        <v>103</v>
      </c>
      <c r="C26" s="7" t="s">
        <v>104</v>
      </c>
      <c r="D26" s="41">
        <f>IF(OR($D$22="",$D$17=0),"",($D$17-$D$22)/$D$17)</f>
        <v>0.45083932853717</v>
      </c>
      <c r="E26" s="41">
        <f>IF(OR($E$22="",$E$17=0),"",($E$17-$E$22)/$E$17)</f>
        <v>0.324749642346209</v>
      </c>
      <c r="F26" s="41">
        <f>IF(OR($F$22="",$F$17=0),"",($F$17-$F$22)/$F$17)</f>
        <v>0.646198830409357</v>
      </c>
    </row>
    <row r="27" spans="2:8">
      <c r="B27" s="27" t="s">
        <v>105</v>
      </c>
      <c r="C27" s="7"/>
      <c r="D27" s="45" t="str">
        <f>IF($D$20&lt;=0,"Below target",IF($D$26="","",IF($D$26&gt;=MoSTarget,"On target",IF($D$26&gt;=MoSTarget*(1-0.05),"Near target","Below target"))))</f>
        <v>On target</v>
      </c>
      <c r="E27" s="45" t="str">
        <f>IF($E$20&lt;=0,"Below target",IF($E$26="","",IF($E$26&gt;=MoSTarget,"On target",IF($E$26&gt;=MoSTarget*(1-0.05),"Near target","Below target"))))</f>
        <v>Below target</v>
      </c>
      <c r="F27" s="45" t="str">
        <f>IF($F$20&lt;=0,"Below target",IF($F$26="","",IF($F$26&gt;=MoSTarget,"On target",IF($F$26&gt;=MoSTarget*(1-0.05),"Near target","Below target"))))</f>
        <v>On target</v>
      </c>
    </row>
    <row r="28" spans="2:8">
      <c r="B28" s="27" t="s">
        <v>75</v>
      </c>
      <c r="C28" s="7"/>
      <c r="D28" s="45" t="str">
        <f>IF($D$16&lt;=0,"Enter a price",IF($D$20&lt;=0,"Price below variable cost",IF($D$17&lt;$D$22,"Volume below break-even","OK")))</f>
        <v>OK</v>
      </c>
      <c r="E28" s="45" t="str">
        <f>IF($E$16&lt;=0,"Enter a price",IF($E$20&lt;=0,"Price below variable cost",IF($E$17&lt;$E$22,"Volume below break-even","OK")))</f>
        <v>OK</v>
      </c>
      <c r="F28" s="45" t="str">
        <f>IF($F$16&lt;=0,"Enter a price",IF($F$20&lt;=0,"Price below variable cost",IF($F$17&lt;$F$22,"Volume below break-even","OK")))</f>
        <v>OK</v>
      </c>
    </row>
    <row r="30" spans="2:8" ht="26.76" customHeight="1">
      <c r="B30" s="21" t="s">
        <v>106</v>
      </c>
      <c r="C30" s="21"/>
      <c r="D30" s="21"/>
      <c r="E30" s="21"/>
      <c r="F30" s="21"/>
      <c r="G30" s="21"/>
      <c r="H30" s="21"/>
    </row>
    <row r="32" spans="2:8" ht="21" customHeight="1">
      <c r="B32" s="8" t="s">
        <v>107</v>
      </c>
      <c r="C32" s="8"/>
      <c r="D32" s="8"/>
      <c r="E32" s="8"/>
      <c r="F32" s="8"/>
      <c r="G32" s="8"/>
      <c r="H32" s="8"/>
    </row>
    <row r="33" spans="2:8" ht="5" customHeight="1"/>
    <row r="34" spans="2:8" ht="18" customHeight="1">
      <c r="B34" s="30" t="s">
        <v>108</v>
      </c>
      <c r="C34" s="30"/>
      <c r="D34" s="30"/>
      <c r="E34" s="30"/>
      <c r="F34" s="30"/>
      <c r="G34" s="30"/>
      <c r="H34" s="30"/>
    </row>
    <row r="35" spans="2:8" ht="14" customHeight="1">
      <c r="B35" s="46"/>
      <c r="C35" s="46"/>
      <c r="D35" s="46" t="str">
        <f>Currency</f>
        <v>EUR</v>
      </c>
      <c r="E35" s="46" t="str">
        <f>Currency</f>
        <v>EUR</v>
      </c>
      <c r="F35" s="46" t="str">
        <f>Currency</f>
        <v>EUR</v>
      </c>
      <c r="G35" s="46"/>
      <c r="H35" s="46"/>
    </row>
    <row r="36" spans="2:8" ht="20" customHeight="1">
      <c r="B36" s="34" t="s">
        <v>70</v>
      </c>
      <c r="C36" s="34" t="s">
        <v>71</v>
      </c>
      <c r="D36" s="34" t="s">
        <v>72</v>
      </c>
      <c r="E36" s="34" t="s">
        <v>73</v>
      </c>
      <c r="F36" s="34" t="s">
        <v>74</v>
      </c>
      <c r="G36" s="34" t="s">
        <v>75</v>
      </c>
      <c r="H36" s="34" t="s">
        <v>76</v>
      </c>
    </row>
    <row r="37" spans="2:8">
      <c r="B37" s="31" t="s">
        <v>109</v>
      </c>
      <c r="C37" s="28" t="s">
        <v>110</v>
      </c>
      <c r="D37" s="37">
        <v>14500</v>
      </c>
      <c r="E37" s="37">
        <v>38000</v>
      </c>
      <c r="F37" s="37">
        <v>0</v>
      </c>
      <c r="G37" s="47" t="str">
        <f>IF(tblFixed[[#This Row],[Item]]="","",IF(tblFixed[[#This Row],[Category]]="","Missing category",IF(AND(tblFixed[[#This Row],[Option A]]="",tblFixed[[#This Row],[Option B]]="",tblFixed[[#This Row],[Option C]]=""),"No amount entered","OK")))</f>
        <v>OK</v>
      </c>
      <c r="H37" s="31" t="s">
        <v>111</v>
      </c>
    </row>
    <row r="38" spans="2:8">
      <c r="B38" s="31" t="s">
        <v>112</v>
      </c>
      <c r="C38" s="28" t="s">
        <v>113</v>
      </c>
      <c r="D38" s="37">
        <v>1800</v>
      </c>
      <c r="E38" s="37">
        <v>2600</v>
      </c>
      <c r="F38" s="37">
        <v>0</v>
      </c>
      <c r="G38" s="47" t="str">
        <f>IF(tblFixed[[#This Row],[Item]]="","",IF(tblFixed[[#This Row],[Category]]="","Missing category",IF(AND(tblFixed[[#This Row],[Option A]]="",tblFixed[[#This Row],[Option B]]="",tblFixed[[#This Row],[Option C]]=""),"No amount entered","OK")))</f>
        <v>OK</v>
      </c>
      <c r="H38" s="31" t="s">
        <v>114</v>
      </c>
    </row>
    <row r="39" spans="2:8">
      <c r="B39" s="31" t="s">
        <v>115</v>
      </c>
      <c r="C39" s="28" t="s">
        <v>116</v>
      </c>
      <c r="D39" s="37">
        <v>2200</v>
      </c>
      <c r="E39" s="37">
        <v>2200</v>
      </c>
      <c r="F39" s="37">
        <v>1200</v>
      </c>
      <c r="G39" s="47" t="str">
        <f>IF(tblFixed[[#This Row],[Item]]="","",IF(tblFixed[[#This Row],[Category]]="","Missing category",IF(AND(tblFixed[[#This Row],[Option A]]="",tblFixed[[#This Row],[Option B]]="",tblFixed[[#This Row],[Option C]]=""),"No amount entered","OK")))</f>
        <v>OK</v>
      </c>
      <c r="H39" s="31" t="s">
        <v>117</v>
      </c>
    </row>
    <row r="40" spans="2:8">
      <c r="B40" s="31" t="s">
        <v>118</v>
      </c>
      <c r="C40" s="28" t="s">
        <v>113</v>
      </c>
      <c r="D40" s="37">
        <v>3500</v>
      </c>
      <c r="E40" s="37">
        <v>3500</v>
      </c>
      <c r="F40" s="37">
        <v>4000</v>
      </c>
      <c r="G40" s="47" t="str">
        <f>IF(tblFixed[[#This Row],[Item]]="","",IF(tblFixed[[#This Row],[Category]]="","Missing category",IF(AND(tblFixed[[#This Row],[Option A]]="",tblFixed[[#This Row],[Option B]]="",tblFixed[[#This Row],[Option C]]=""),"No amount entered","OK")))</f>
        <v>OK</v>
      </c>
      <c r="H40" s="31" t="s">
        <v>119</v>
      </c>
    </row>
    <row r="41" spans="2:8">
      <c r="B41" s="31" t="s">
        <v>120</v>
      </c>
      <c r="C41" s="28" t="s">
        <v>110</v>
      </c>
      <c r="D41" s="37">
        <v>0</v>
      </c>
      <c r="E41" s="37">
        <v>0</v>
      </c>
      <c r="F41" s="37">
        <v>6000</v>
      </c>
      <c r="G41" s="47" t="str">
        <f>IF(tblFixed[[#This Row],[Item]]="","",IF(tblFixed[[#This Row],[Category]]="","Missing category",IF(AND(tblFixed[[#This Row],[Option A]]="",tblFixed[[#This Row],[Option B]]="",tblFixed[[#This Row],[Option C]]=""),"No amount entered","OK")))</f>
        <v>OK</v>
      </c>
      <c r="H41" s="31" t="s">
        <v>121</v>
      </c>
    </row>
    <row r="42" spans="2:8">
      <c r="B42" s="31" t="s">
        <v>122</v>
      </c>
      <c r="C42" s="28" t="s">
        <v>123</v>
      </c>
      <c r="D42" s="37">
        <v>900</v>
      </c>
      <c r="E42" s="37">
        <v>900</v>
      </c>
      <c r="F42" s="37">
        <v>900</v>
      </c>
      <c r="G42" s="47" t="str">
        <f>IF(tblFixed[[#This Row],[Item]]="","",IF(tblFixed[[#This Row],[Category]]="","Missing category",IF(AND(tblFixed[[#This Row],[Option A]]="",tblFixed[[#This Row],[Option B]]="",tblFixed[[#This Row],[Option C]]=""),"No amount entered","OK")))</f>
        <v>OK</v>
      </c>
      <c r="H42" s="31" t="s">
        <v>114</v>
      </c>
    </row>
    <row r="44" spans="2:8" ht="21" customHeight="1">
      <c r="B44" s="8" t="s">
        <v>124</v>
      </c>
      <c r="C44" s="8"/>
      <c r="D44" s="8"/>
      <c r="E44" s="8"/>
      <c r="F44" s="8"/>
      <c r="G44" s="8"/>
      <c r="H44" s="8"/>
    </row>
    <row r="45" spans="2:8" ht="5" customHeight="1"/>
    <row r="46" spans="2:8" ht="18" customHeight="1">
      <c r="B46" s="30" t="s">
        <v>125</v>
      </c>
      <c r="C46" s="30"/>
      <c r="D46" s="30"/>
      <c r="E46" s="30"/>
      <c r="F46" s="30"/>
      <c r="G46" s="30"/>
      <c r="H46" s="30"/>
    </row>
    <row r="47" spans="2:8" ht="14" customHeight="1">
      <c r="B47" s="46"/>
      <c r="C47" s="46"/>
      <c r="D47" s="46" t="str">
        <f>Currency&amp;"/unit"</f>
        <v>EUR/unit</v>
      </c>
      <c r="E47" s="46" t="str">
        <f>Currency&amp;"/unit"</f>
        <v>EUR/unit</v>
      </c>
      <c r="F47" s="46" t="str">
        <f>Currency&amp;"/unit"</f>
        <v>EUR/unit</v>
      </c>
      <c r="G47" s="46"/>
      <c r="H47" s="46"/>
    </row>
    <row r="48" spans="2:8" ht="20" customHeight="1">
      <c r="B48" s="34" t="s">
        <v>70</v>
      </c>
      <c r="C48" s="34" t="s">
        <v>71</v>
      </c>
      <c r="D48" s="34" t="s">
        <v>72</v>
      </c>
      <c r="E48" s="34" t="s">
        <v>73</v>
      </c>
      <c r="F48" s="34" t="s">
        <v>74</v>
      </c>
      <c r="G48" s="34" t="s">
        <v>75</v>
      </c>
      <c r="H48" s="34" t="s">
        <v>76</v>
      </c>
    </row>
    <row r="49" spans="2:8">
      <c r="B49" s="31" t="s">
        <v>126</v>
      </c>
      <c r="C49" s="28" t="s">
        <v>127</v>
      </c>
      <c r="D49" s="36">
        <v>0.86</v>
      </c>
      <c r="E49" s="36">
        <v>0.82</v>
      </c>
      <c r="F49" s="36">
        <v>0</v>
      </c>
      <c r="G49" s="47" t="str">
        <f>IF(tblVariable[[#This Row],[Item]]="","",IF(tblVariable[[#This Row],[Category]]="","Missing category",IF(AND(tblVariable[[#This Row],[Option A]]="",tblVariable[[#This Row],[Option B]]="",tblVariable[[#This Row],[Option C]]=""),"No amount entered","OK")))</f>
        <v>OK</v>
      </c>
      <c r="H49" s="31" t="s">
        <v>128</v>
      </c>
    </row>
    <row r="50" spans="2:8">
      <c r="B50" s="31" t="s">
        <v>129</v>
      </c>
      <c r="C50" s="28" t="s">
        <v>130</v>
      </c>
      <c r="D50" s="36">
        <v>0.92</v>
      </c>
      <c r="E50" s="36">
        <v>0.29</v>
      </c>
      <c r="F50" s="36">
        <v>0</v>
      </c>
      <c r="G50" s="47" t="str">
        <f>IF(tblVariable[[#This Row],[Item]]="","",IF(tblVariable[[#This Row],[Category]]="","Missing category",IF(AND(tblVariable[[#This Row],[Option A]]="",tblVariable[[#This Row],[Option B]]="",tblVariable[[#This Row],[Option C]]=""),"No amount entered","OK")))</f>
        <v>OK</v>
      </c>
      <c r="H50" s="31" t="s">
        <v>131</v>
      </c>
    </row>
    <row r="51" spans="2:8">
      <c r="B51" s="31" t="s">
        <v>132</v>
      </c>
      <c r="C51" s="28" t="s">
        <v>133</v>
      </c>
      <c r="D51" s="36">
        <v>0.38</v>
      </c>
      <c r="E51" s="36">
        <v>0.14</v>
      </c>
      <c r="F51" s="36">
        <v>0</v>
      </c>
      <c r="G51" s="47" t="str">
        <f>IF(tblVariable[[#This Row],[Item]]="","",IF(tblVariable[[#This Row],[Category]]="","Missing category",IF(AND(tblVariable[[#This Row],[Option A]]="",tblVariable[[#This Row],[Option B]]="",tblVariable[[#This Row],[Option C]]=""),"No amount entered","OK")))</f>
        <v>OK</v>
      </c>
      <c r="H51" s="31" t="s">
        <v>114</v>
      </c>
    </row>
    <row r="52" spans="2:8">
      <c r="B52" s="31" t="s">
        <v>134</v>
      </c>
      <c r="C52" s="28" t="s">
        <v>135</v>
      </c>
      <c r="D52" s="36">
        <v>0.21</v>
      </c>
      <c r="E52" s="36">
        <v>0.21</v>
      </c>
      <c r="F52" s="36">
        <v>0</v>
      </c>
      <c r="G52" s="47" t="str">
        <f>IF(tblVariable[[#This Row],[Item]]="","",IF(tblVariable[[#This Row],[Category]]="","Missing category",IF(AND(tblVariable[[#This Row],[Option A]]="",tblVariable[[#This Row],[Option B]]="",tblVariable[[#This Row],[Option C]]=""),"No amount entered","OK")))</f>
        <v>OK</v>
      </c>
      <c r="H52" s="31" t="s">
        <v>136</v>
      </c>
    </row>
    <row r="53" spans="2:8">
      <c r="B53" s="31" t="s">
        <v>137</v>
      </c>
      <c r="C53" s="28" t="s">
        <v>138</v>
      </c>
      <c r="D53" s="36">
        <v>0.05</v>
      </c>
      <c r="E53" s="36">
        <v>0.02</v>
      </c>
      <c r="F53" s="36">
        <v>0</v>
      </c>
      <c r="G53" s="47" t="str">
        <f>IF(tblVariable[[#This Row],[Item]]="","",IF(tblVariable[[#This Row],[Category]]="","Missing category",IF(AND(tblVariable[[#This Row],[Option A]]="",tblVariable[[#This Row],[Option B]]="",tblVariable[[#This Row],[Option C]]=""),"No amount entered","OK")))</f>
        <v>OK</v>
      </c>
      <c r="H53" s="31" t="s">
        <v>139</v>
      </c>
    </row>
    <row r="54" spans="2:8">
      <c r="B54" s="31" t="s">
        <v>140</v>
      </c>
      <c r="C54" s="28" t="s">
        <v>135</v>
      </c>
      <c r="D54" s="36">
        <v>0</v>
      </c>
      <c r="E54" s="36">
        <v>0</v>
      </c>
      <c r="F54" s="36">
        <v>2.55</v>
      </c>
      <c r="G54" s="47" t="str">
        <f>IF(tblVariable[[#This Row],[Item]]="","",IF(tblVariable[[#This Row],[Category]]="","Missing category",IF(AND(tblVariable[[#This Row],[Option A]]="",tblVariable[[#This Row],[Option B]]="",tblVariable[[#This Row],[Option C]]=""),"No amount entered","OK")))</f>
        <v>OK</v>
      </c>
      <c r="H54" s="31" t="s">
        <v>141</v>
      </c>
    </row>
    <row r="55" spans="2:8">
      <c r="B55" s="31" t="s">
        <v>142</v>
      </c>
      <c r="C55" s="28" t="s">
        <v>143</v>
      </c>
      <c r="D55" s="36">
        <v>0</v>
      </c>
      <c r="E55" s="36">
        <v>0</v>
      </c>
      <c r="F55" s="36">
        <v>0.12</v>
      </c>
      <c r="G55" s="47" t="str">
        <f>IF(tblVariable[[#This Row],[Item]]="","",IF(tblVariable[[#This Row],[Category]]="","Missing category",IF(AND(tblVariable[[#This Row],[Option A]]="",tblVariable[[#This Row],[Option B]]="",tblVariable[[#This Row],[Option C]]=""),"No amount entered","OK")))</f>
        <v>OK</v>
      </c>
      <c r="H55" s="31" t="s">
        <v>114</v>
      </c>
    </row>
    <row r="56" spans="2:8">
      <c r="B56" s="31" t="s">
        <v>144</v>
      </c>
      <c r="C56" s="28" t="s">
        <v>145</v>
      </c>
      <c r="D56" s="36">
        <v>0.06</v>
      </c>
      <c r="E56" s="36">
        <v>0.06</v>
      </c>
      <c r="F56" s="36">
        <v>0.06</v>
      </c>
      <c r="G56" s="47" t="str">
        <f>IF(tblVariable[[#This Row],[Item]]="","",IF(tblVariable[[#This Row],[Category]]="","Missing category",IF(AND(tblVariable[[#This Row],[Option A]]="",tblVariable[[#This Row],[Option B]]="",tblVariable[[#This Row],[Option C]]=""),"No amount entered","OK")))</f>
        <v>OK</v>
      </c>
      <c r="H56" s="31" t="s">
        <v>114</v>
      </c>
    </row>
    <row r="57" spans="2:8">
      <c r="B57" s="31" t="s">
        <v>146</v>
      </c>
      <c r="C57" s="28" t="s">
        <v>143</v>
      </c>
      <c r="D57" s="36">
        <v>0.08</v>
      </c>
      <c r="E57" s="36">
        <v>0.08</v>
      </c>
      <c r="F57" s="36">
        <v>0.08</v>
      </c>
      <c r="G57" s="47" t="str">
        <f>IF(tblVariable[[#This Row],[Item]]="","",IF(tblVariable[[#This Row],[Category]]="","Missing category",IF(AND(tblVariable[[#This Row],[Option A]]="",tblVariable[[#This Row],[Option B]]="",tblVariable[[#This Row],[Option C]]=""),"No amount entered","OK")))</f>
        <v>OK</v>
      </c>
      <c r="H57" s="31" t="s">
        <v>114</v>
      </c>
    </row>
  </sheetData>
  <mergeCells count="14">
    <mergeCell ref="A1:H1"/>
    <mergeCell ref="B2:G2"/>
    <mergeCell ref="B4:H4"/>
    <mergeCell ref="B6:H6"/>
    <mergeCell ref="C8:E8"/>
    <mergeCell ref="C9:E9"/>
    <mergeCell ref="C10:E10"/>
    <mergeCell ref="C11:E11"/>
    <mergeCell ref="B13:H13"/>
    <mergeCell ref="B30:H30"/>
    <mergeCell ref="B32:H32"/>
    <mergeCell ref="B34:H34"/>
    <mergeCell ref="B44:H44"/>
    <mergeCell ref="B46:H46"/>
  </mergeCells>
  <conditionalFormatting sqref="D27:F2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28">
    <cfRule type="expression" dxfId="3" priority="21">
      <formula>$D28="OK"</formula>
    </cfRule>
    <cfRule type="expression" dxfId="1" priority="22">
      <formula>AND($D28&lt;&gt;"",$D28&lt;&gt;"OK")</formula>
    </cfRule>
  </conditionalFormatting>
  <conditionalFormatting sqref="E28">
    <cfRule type="expression" dxfId="3" priority="23">
      <formula>$E28="OK"</formula>
    </cfRule>
    <cfRule type="expression" dxfId="1" priority="24">
      <formula>AND($E28&lt;&gt;"",$E28&lt;&gt;"OK")</formula>
    </cfRule>
  </conditionalFormatting>
  <conditionalFormatting sqref="F28">
    <cfRule type="expression" dxfId="3" priority="25">
      <formula>$F28="OK"</formula>
    </cfRule>
    <cfRule type="expression" dxfId="1" priority="26">
      <formula>AND($F28&lt;&gt;"",$F28&lt;&gt;"OK")</formula>
    </cfRule>
  </conditionalFormatting>
  <conditionalFormatting sqref="G37:G43">
    <cfRule type="expression" dxfId="3" priority="27">
      <formula>$G37="OK"</formula>
    </cfRule>
    <cfRule type="expression" dxfId="1" priority="28">
      <formula>AND($G37&lt;&gt;"",$G37&lt;&gt;"OK")</formula>
    </cfRule>
  </conditionalFormatting>
  <conditionalFormatting sqref="G49:G107">
    <cfRule type="expression" dxfId="3" priority="29">
      <formula>$G49="OK"</formula>
    </cfRule>
    <cfRule type="expression" dxfId="1" priority="30">
      <formula>AND($G49&lt;&gt;"",$G49&lt;&gt;"OK")</formula>
    </cfRule>
  </conditionalFormatting>
  <dataValidations count="25">
    <dataValidation type="textLength" allowBlank="1" showInputMessage="1" showErrorMessage="1" errorTitle="Check this entry" error="Text up to 100 characters." promptTitle="Job or product" prompt="Text up to 100 characters." sqref="C8">
      <formula1>0</formula1>
      <formula2>100</formula2>
    </dataValidation>
    <dataValidation type="textLength" allowBlank="1" showInputMessage="1" showErrorMessage="1" errorTitle="Check this entry" error="Text up to 80 characters." promptTitle="Customer" prompt="Text up to 80 characters." sqref="C9">
      <formula1>0</formula1>
      <formula2>80</formula2>
    </dataValidation>
    <dataValidation type="textLength" allowBlank="1" showInputMessage="1" showErrorMessage="1" errorTitle="Check this entry" error="Text up to 60 characters." promptTitle="Prepared by" prompt="Text up to 60 characters." sqref="C10">
      <formula1>0</formula1>
      <formula2>60</formula2>
    </dataValidation>
    <dataValidation type="date" allowBlank="1" showInputMessage="1" showErrorMessage="1" errorTitle="Check this entry" error="Enter a date between 01 Jan 2000 and 31 Dec 2100." promptTitle="Date" prompt="Enter a date between 01 Jan 2000 and 31 Dec 2100." sqref="C11">
      <formula1>36526</formula1>
      <formula2>73415</formula2>
    </dataValidation>
    <dataValidation type="textLength" allowBlank="1" showInputMessage="1" showErrorMessage="1" errorTitle="Check this entry" error="Text up to 24 characters." promptTitle="Option name" prompt="A short name (up to 24 characters) for this option, e.g. Steel mould, Buy-in, Price 4.20. Text up to 24 characters." sqref="D15">
      <formula1>0</formula1>
      <formula2>24</formula2>
    </dataValidation>
    <dataValidation type="textLength" allowBlank="1" showInputMessage="1" showErrorMessage="1" errorTitle="Check this entry" error="Text up to 24 characters." promptTitle="Option name" prompt="A short name (up to 24 characters) for this option, e.g. Steel mould, Buy-in, Price 4.20. Text up to 24 characters." sqref="E15">
      <formula1>0</formula1>
      <formula2>24</formula2>
    </dataValidation>
    <dataValidation type="textLength" allowBlank="1" showInputMessage="1" showErrorMessage="1" errorTitle="Check this entry" error="Text up to 24 characters." promptTitle="Option name" prompt="A short name (up to 24 characters) for this option, e.g. Steel mould, Buy-in, Price 4.20. Text up to 24 characters." sqref="F15">
      <formula1>0</formula1>
      <formula2>24</formula2>
    </dataValidation>
    <dataValidation type="decimal" allowBlank="1" showInputMessage="1" showErrorMessage="1" errorTitle="Check this entry" error="Enter a number of at least 0." promptTitle="Price per unit" prompt="Net selling price per unit for this option. Enter a number of at least 0." sqref="D16">
      <formula1>0</formula1>
      <formula2>1000000000.0</formula2>
    </dataValidation>
    <dataValidation type="decimal" allowBlank="1" showInputMessage="1" showErrorMessage="1" errorTitle="Check this entry" error="Enter a number of at least 0." promptTitle="Price per unit" prompt="Net selling price per unit for this option. Enter a number of at least 0." sqref="E16">
      <formula1>0</formula1>
      <formula2>1000000000.0</formula2>
    </dataValidation>
    <dataValidation type="decimal" allowBlank="1" showInputMessage="1" showErrorMessage="1" errorTitle="Check this entry" error="Enter a number of at least 0." promptTitle="Price per unit" prompt="Net selling price per unit for this option. Enter a number of at least 0." sqref="F16">
      <formula1>0</formula1>
      <formula2>1000000000.0</formula2>
    </dataValidation>
    <dataValidation type="whole" allowBlank="1" showInputMessage="1" showErrorMessage="1" errorTitle="Check this entry" error="Enter a whole number of at least 0." promptTitle="Planned volume" prompt="The volume the fixed costs must be recovered over, e.g. the whole programme or one year. Enter a whole number of at least 0." sqref="D17">
      <formula1>0</formula1>
      <formula2>10000000000.0</formula2>
    </dataValidation>
    <dataValidation type="whole" allowBlank="1" showInputMessage="1" showErrorMessage="1" errorTitle="Check this entry" error="Enter a whole number of at least 0." promptTitle="Planned volume" prompt="The volume the fixed costs must be recovered over, e.g. the whole programme or one year. Enter a whole number of at least 0." sqref="E17">
      <formula1>0</formula1>
      <formula2>10000000000.0</formula2>
    </dataValidation>
    <dataValidation type="whole" allowBlank="1" showInputMessage="1" showErrorMessage="1" errorTitle="Check this entry" error="Enter a whole number of at least 0." promptTitle="Planned volume" prompt="The volume the fixed costs must be recovered over, e.g. the whole programme or one year. Enter a whole number of at least 0." sqref="F17">
      <formula1>0</formula1>
      <formula2>10000000000.0</formula2>
    </dataValidation>
    <dataValidation type="textLength" allowBlank="1" showInputMessage="1" showErrorMessage="1" errorTitle="Check this entry" error="Text up to 80 characters." promptTitle="Item" prompt="Text up to 80 characters." sqref="B37:B43">
      <formula1>0</formula1>
      <formula2>80</formula2>
    </dataValidation>
    <dataValidation type="list" allowBlank="1" showInputMessage="1" showErrorMessage="1" errorTitle="Check this entry" error="Pick one of: Tooling, Fixtures and gauges, Trials and approval, Engineering and NRE, Launch and setup, Allocated overhead, Other." promptTitle="Category" prompt="Pick one of: Tooling, Fixtures and gauges, Trials and approval, Engineering and NRE, Launch and setup, Allocated overhead, Other." sqref="C37:C43">
      <formula1>"Tooling,Fixtures and gauges,Trials and approval,Engineering and NRE,Launch and setup,Allocated overhead,Other"</formula1>
    </dataValidation>
    <dataValidation type="decimal" allowBlank="1" showInputMessage="1" showErrorMessage="1" errorTitle="Check this entry" error="Enter a number of at least 0." promptTitle="Option A" prompt="One-off cost of this item under option a. Leave 0 or blank if it does not apply. Enter a number of at least 0." sqref="D37:D43">
      <formula1>0</formula1>
      <formula2>10000000000.0</formula2>
    </dataValidation>
    <dataValidation type="decimal" allowBlank="1" showInputMessage="1" showErrorMessage="1" errorTitle="Check this entry" error="Enter a number of at least 0." promptTitle="Option B" prompt="One-off cost of this item under option b. Leave 0 or blank if it does not apply. Enter a number of at least 0." sqref="E37:E43">
      <formula1>0</formula1>
      <formula2>10000000000.0</formula2>
    </dataValidation>
    <dataValidation type="decimal" allowBlank="1" showInputMessage="1" showErrorMessage="1" errorTitle="Check this entry" error="Enter a number of at least 0." promptTitle="Option C" prompt="One-off cost of this item under option c. Leave 0 or blank if it does not apply. Enter a number of at least 0." sqref="F37:F43">
      <formula1>0</formula1>
      <formula2>10000000000.0</formula2>
    </dataValidation>
    <dataValidation type="textLength" allowBlank="1" showInputMessage="1" showErrorMessage="1" errorTitle="Check this entry" error="Text up to 160 characters." promptTitle="Notes" prompt="Text up to 160 characters." sqref="H37:H43">
      <formula1>0</formula1>
      <formula2>160</formula2>
    </dataValidation>
    <dataValidation type="textLength" allowBlank="1" showInputMessage="1" showErrorMessage="1" errorTitle="Check this entry" error="Text up to 80 characters." promptTitle="Item" prompt="Text up to 80 characters." sqref="B49:B107">
      <formula1>0</formula1>
      <formula2>80</formula2>
    </dataValidation>
    <dataValidation type="list" allowBlank="1" showInputMessage="1" showErrorMessage="1" errorTitle="Check this entry" error="Pick one of: Material, Machine time, Labour, Bought-in parts, Outside processing, Packaging, Freight, Other." promptTitle="Category" prompt="Pick one of: Material, Machine time, Labour, Bought-in parts, Outside processing, Packaging, Freight, Other." sqref="C49:C107">
      <formula1>"Material,Machine time,Labour,Bought-in parts,Outside processing,Packaging,Freight,Other"</formula1>
    </dataValidation>
    <dataValidation type="decimal" allowBlank="1" showInputMessage="1" showErrorMessage="1" errorTitle="Check this entry" error="Enter a number of at least 0." promptTitle="Option A" prompt="Cost per unit of this item under option a. Leave 0 or blank if it does not apply. Enter a number of at least 0." sqref="D49:D107">
      <formula1>0</formula1>
      <formula2>1000000000.0</formula2>
    </dataValidation>
    <dataValidation type="decimal" allowBlank="1" showInputMessage="1" showErrorMessage="1" errorTitle="Check this entry" error="Enter a number of at least 0." promptTitle="Option B" prompt="Cost per unit of this item under option b. Leave 0 or blank if it does not apply. Enter a number of at least 0." sqref="E49:E107">
      <formula1>0</formula1>
      <formula2>1000000000.0</formula2>
    </dataValidation>
    <dataValidation type="decimal" allowBlank="1" showInputMessage="1" showErrorMessage="1" errorTitle="Check this entry" error="Enter a number of at least 0." promptTitle="Option C" prompt="Cost per unit of this item under option c. Leave 0 or blank if it does not apply. Enter a number of at least 0." sqref="F49:F107">
      <formula1>0</formula1>
      <formula2>1000000000.0</formula2>
    </dataValidation>
    <dataValidation type="textLength" allowBlank="1" showInputMessage="1" showErrorMessage="1" errorTitle="Check this entry" error="Text up to 160 characters." promptTitle="Notes" prompt="Text up to 160 characters." sqref="H49:H107">
      <formula1>0</formula1>
      <formula2>160</formula2>
    </dataValidation>
  </dataValidations>
  <hyperlinks>
    <hyperlink ref="H2" r:id="rId1" tooltip="Free manufacturing calculators and templates"/>
  </hyperlinks>
  <pageMargins left="0.4" right="0.4" top="0.7" bottom="0.65" header="0.3" footer="0.3"/>
  <pageSetup fitToHeight="0" orientation="landscape"/>
  <headerFooter>
    <oddHeader>&amp;L&amp;8MFG Calcs - Break-Even Analysis&amp;R&amp;8&amp;A</oddHeader>
    <oddFooter>&amp;L&amp;8mfgcalcs.com - free manufacturing templates&amp;R&amp;8Page &amp;P of &amp;N</oddFooter>
  </headerFooter>
  <rowBreaks count="1" manualBreakCount="1">
    <brk id="31" max="16383" man="1"/>
  </rowBreaks>
  <tableParts count="2">
    <tablePart r:id="rId2"/>
    <tablePart r:id="rId3"/>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71"/>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24</v>
      </c>
      <c r="C2" s="2"/>
      <c r="D2" s="2"/>
      <c r="E2" s="2"/>
      <c r="F2" s="2"/>
      <c r="G2" s="2"/>
      <c r="H2" s="2"/>
      <c r="I2" s="2"/>
      <c r="J2" s="2"/>
      <c r="K2" s="3" t="s">
        <v>2</v>
      </c>
      <c r="L2" s="3"/>
    </row>
    <row r="3" spans="1:12" ht="6" customHeight="1"/>
    <row r="4" spans="1:12">
      <c r="B4" s="27" t="s">
        <v>147</v>
      </c>
      <c r="C4" s="28"/>
      <c r="D4" s="28"/>
      <c r="E4" s="28"/>
    </row>
    <row r="5" spans="1:12">
      <c r="B5" s="48" t="str">
        <f>"Showing: "&amp;INDEX('Break-Even'!$D$15:$F$15,SelIdx)&amp;"  (price "&amp;FIXED(INDEX('Break-Even'!$D$16:$F$16,SelIdx),2)&amp;" "&amp;Currency&amp;" per unit, planned volume "&amp;FIXED(INDEX('Break-Even'!$D$17:$F$17,SelIdx),0)&amp;" units). Pick another option in the yellow cell."</f>
        <v>Showing: Aluminium mould  (price 3.95 EUR per unit, planned volume 30,000 units). Pick another option in the yellow cell.</v>
      </c>
      <c r="C5" s="48"/>
      <c r="D5" s="48"/>
      <c r="E5" s="48"/>
      <c r="F5" s="48"/>
      <c r="G5" s="48"/>
      <c r="H5" s="48"/>
      <c r="I5" s="48"/>
      <c r="J5" s="48"/>
      <c r="K5" s="48"/>
      <c r="L5" s="48"/>
    </row>
    <row r="7" spans="1:12" ht="18" customHeight="1">
      <c r="B7" s="49" t="s">
        <v>148</v>
      </c>
      <c r="C7" s="49"/>
      <c r="D7" s="49" t="s">
        <v>149</v>
      </c>
      <c r="E7" s="49"/>
      <c r="F7" s="49"/>
      <c r="G7" s="49" t="str">
        <f>"PROFIT AT PLANNED VOLUME ("&amp;Currency&amp;")"</f>
        <v>PROFIT AT PLANNED VOLUME (EUR)</v>
      </c>
      <c r="H7" s="49"/>
      <c r="I7" s="49"/>
      <c r="J7" s="49" t="s">
        <v>150</v>
      </c>
      <c r="K7" s="49"/>
      <c r="L7" s="49"/>
    </row>
    <row r="8" spans="1:12" ht="21" customHeight="1">
      <c r="B8" s="50">
        <f>INDEX('Break-Even'!$D$23:$F$23,SelIdx)</f>
        <v>16475</v>
      </c>
      <c r="C8" s="50"/>
      <c r="D8" s="51">
        <f>INDEX('Break-Even'!$D$26:$F$26,SelIdx)</f>
        <v>0.45083932853717</v>
      </c>
      <c r="E8" s="51"/>
      <c r="F8" s="51"/>
      <c r="G8" s="50">
        <f>INDEX('Break-Even'!$D$25:$F$25,SelIdx)</f>
        <v>18800</v>
      </c>
      <c r="H8" s="50"/>
      <c r="I8" s="50"/>
      <c r="J8" s="52" t="str">
        <f>IF(COUNT('Break-Even'!$D$25:$F$25)=0,"",INDEX('Break-Even'!$D$15:$F$15,MATCH(MAX('Break-Even'!$D$25:$F$25),'Break-Even'!$D$25:$F$25,0)))</f>
        <v>Steel 4-cavity mould</v>
      </c>
      <c r="K8" s="52"/>
      <c r="L8" s="52"/>
    </row>
    <row r="9" spans="1:12" ht="21" customHeight="1">
      <c r="B9" s="50"/>
      <c r="C9" s="50"/>
      <c r="D9" s="51"/>
      <c r="E9" s="51"/>
      <c r="F9" s="51"/>
      <c r="G9" s="50"/>
      <c r="H9" s="50"/>
      <c r="I9" s="50"/>
      <c r="J9" s="52"/>
      <c r="K9" s="52"/>
      <c r="L9" s="52"/>
    </row>
    <row r="10" spans="1:12">
      <c r="B10" s="53" t="s">
        <v>151</v>
      </c>
      <c r="C10" s="53"/>
      <c r="D10" s="54">
        <f>MoSTarget</f>
        <v>0.4</v>
      </c>
      <c r="E10" s="54"/>
      <c r="F10" s="54"/>
      <c r="G10" s="53" t="s">
        <v>152</v>
      </c>
      <c r="H10" s="53"/>
      <c r="I10" s="53"/>
      <c r="J10" s="53" t="s">
        <v>153</v>
      </c>
      <c r="K10" s="53"/>
      <c r="L10" s="53"/>
    </row>
    <row r="11" spans="1:12" ht="18" customHeight="1">
      <c r="B11" s="55"/>
      <c r="C11" s="55"/>
      <c r="D11" s="55" t="str">
        <f>IF(NOT(ISNUMBER(KpiMoS)),"No data",IF(KpiMoS&gt;=(MoSTarget),"On target",IF(KpiMoS&gt;=(MoSTarget)*(1-0.05),"Near target","Below target")))</f>
        <v>On target</v>
      </c>
      <c r="E11" s="55"/>
      <c r="F11" s="55"/>
      <c r="G11" s="55"/>
      <c r="H11" s="55"/>
      <c r="I11" s="55"/>
      <c r="J11" s="55"/>
      <c r="K11" s="55"/>
      <c r="L11" s="55"/>
    </row>
    <row r="30" spans="2:11">
      <c r="B30" s="56" t="s">
        <v>154</v>
      </c>
      <c r="C30" s="56"/>
      <c r="D30" s="56"/>
      <c r="E30" s="56"/>
      <c r="F30" s="56"/>
      <c r="G30" s="56"/>
      <c r="H30" s="56"/>
      <c r="I30" s="56"/>
      <c r="J30" s="56"/>
      <c r="K30" s="56"/>
    </row>
    <row r="31" spans="2:11" ht="32" customHeight="1">
      <c r="B31" s="33" t="s">
        <v>86</v>
      </c>
      <c r="C31" s="34" t="s">
        <v>155</v>
      </c>
      <c r="D31" s="34" t="s">
        <v>156</v>
      </c>
      <c r="E31" s="34" t="s">
        <v>96</v>
      </c>
      <c r="F31" s="34" t="s">
        <v>157</v>
      </c>
      <c r="G31" s="34" t="s">
        <v>92</v>
      </c>
      <c r="H31" s="34" t="s">
        <v>158</v>
      </c>
      <c r="I31" s="34" t="s">
        <v>103</v>
      </c>
      <c r="J31" s="34" t="s">
        <v>159</v>
      </c>
      <c r="K31" s="34"/>
    </row>
    <row r="32" spans="2:11" ht="14" customHeight="1">
      <c r="B32" s="46"/>
      <c r="C32" s="46" t="str">
        <f>Currency</f>
        <v>EUR</v>
      </c>
      <c r="D32" s="46" t="str">
        <f>Currency&amp;"/unit"</f>
        <v>EUR/unit</v>
      </c>
      <c r="E32" s="46" t="str">
        <f>Currency&amp;"/unit"</f>
        <v>EUR/unit</v>
      </c>
      <c r="F32" s="46" t="s">
        <v>93</v>
      </c>
      <c r="G32" s="46" t="s">
        <v>93</v>
      </c>
      <c r="H32" s="46" t="str">
        <f>Currency</f>
        <v>EUR</v>
      </c>
      <c r="I32" s="46" t="s">
        <v>160</v>
      </c>
      <c r="J32" s="46"/>
      <c r="K32" s="46"/>
    </row>
    <row r="33" spans="2:12">
      <c r="B33" s="57" t="str">
        <f>"A  "&amp;INDEX('Break-Even'!$D$15:$F$15,1)</f>
        <v>A  Aluminium mould</v>
      </c>
      <c r="C33" s="38">
        <f>INDEX('Break-Even'!$D$18:$F$18,1)</f>
        <v>22900</v>
      </c>
      <c r="D33" s="39">
        <f>INDEX('Break-Even'!$D$19:$F$19,1)</f>
        <v>2.56</v>
      </c>
      <c r="E33" s="39">
        <f>INDEX('Break-Even'!$D$20:$F$20,1)</f>
        <v>1.39</v>
      </c>
      <c r="F33" s="38">
        <f>INDEX('Break-Even'!$D$23:$F$23,1)</f>
        <v>16475</v>
      </c>
      <c r="G33" s="38">
        <f>INDEX('Break-Even'!$D$17:$F$17,1)</f>
        <v>30000</v>
      </c>
      <c r="H33" s="38">
        <f>INDEX('Break-Even'!$D$25:$F$25,1)</f>
        <v>18800</v>
      </c>
      <c r="I33" s="41">
        <f>INDEX('Break-Even'!$D$26:$F$26,1)</f>
        <v>0.45083932853717</v>
      </c>
      <c r="J33" s="45" t="str">
        <f>INDEX('Break-Even'!$D$27:$F$27,1)</f>
        <v>On target</v>
      </c>
      <c r="K33" s="45"/>
    </row>
    <row r="34" spans="2:12">
      <c r="B34" s="57" t="str">
        <f>"B  "&amp;INDEX('Break-Even'!$D$15:$F$15,2)</f>
        <v>B  Steel 4-cavity mould</v>
      </c>
      <c r="C34" s="38">
        <f>INDEX('Break-Even'!$D$18:$F$18,2)</f>
        <v>47200</v>
      </c>
      <c r="D34" s="39">
        <f>INDEX('Break-Even'!$D$19:$F$19,2)</f>
        <v>1.62</v>
      </c>
      <c r="E34" s="39">
        <f>INDEX('Break-Even'!$D$20:$F$20,2)</f>
        <v>2.33</v>
      </c>
      <c r="F34" s="38">
        <f>INDEX('Break-Even'!$D$23:$F$23,2)</f>
        <v>20258</v>
      </c>
      <c r="G34" s="38">
        <f>INDEX('Break-Even'!$D$17:$F$17,2)</f>
        <v>30000</v>
      </c>
      <c r="H34" s="38">
        <f>INDEX('Break-Even'!$D$25:$F$25,2)</f>
        <v>22700</v>
      </c>
      <c r="I34" s="41">
        <f>INDEX('Break-Even'!$D$26:$F$26,2)</f>
        <v>0.324749642346209</v>
      </c>
      <c r="J34" s="45" t="str">
        <f>INDEX('Break-Even'!$D$27:$F$27,2)</f>
        <v>Below target</v>
      </c>
      <c r="K34" s="45"/>
    </row>
    <row r="35" spans="2:12">
      <c r="B35" s="57" t="str">
        <f>"C  "&amp;INDEX('Break-Even'!$D$15:$F$15,3)</f>
        <v>C  Buy from supplier</v>
      </c>
      <c r="C35" s="38">
        <f>INDEX('Break-Even'!$D$18:$F$18,3)</f>
        <v>12100</v>
      </c>
      <c r="D35" s="39">
        <f>INDEX('Break-Even'!$D$19:$F$19,3)</f>
        <v>2.81</v>
      </c>
      <c r="E35" s="39">
        <f>INDEX('Break-Even'!$D$20:$F$20,3)</f>
        <v>1.14</v>
      </c>
      <c r="F35" s="38">
        <f>INDEX('Break-Even'!$D$23:$F$23,3)</f>
        <v>10615</v>
      </c>
      <c r="G35" s="38">
        <f>INDEX('Break-Even'!$D$17:$F$17,3)</f>
        <v>30000</v>
      </c>
      <c r="H35" s="38">
        <f>INDEX('Break-Even'!$D$25:$F$25,3)</f>
        <v>22100</v>
      </c>
      <c r="I35" s="41">
        <f>INDEX('Break-Even'!$D$26:$F$26,3)</f>
        <v>0.646198830409357</v>
      </c>
      <c r="J35" s="45" t="str">
        <f>INDEX('Break-Even'!$D$27:$F$27,3)</f>
        <v>On target</v>
      </c>
      <c r="K35" s="45"/>
    </row>
    <row r="37" spans="2:12">
      <c r="B37" s="56" t="s">
        <v>161</v>
      </c>
      <c r="C37" s="56"/>
      <c r="D37" s="56"/>
      <c r="E37" s="56"/>
      <c r="F37" s="56"/>
      <c r="G37" s="56"/>
      <c r="H37" s="56"/>
      <c r="I37" s="56"/>
      <c r="J37" s="56"/>
      <c r="K37" s="56"/>
      <c r="L37" s="56"/>
    </row>
    <row r="38" spans="2:12" ht="20" customHeight="1">
      <c r="B38" s="33" t="s">
        <v>162</v>
      </c>
      <c r="C38" s="34" t="s">
        <v>163</v>
      </c>
      <c r="D38" s="34"/>
      <c r="E38" s="34" t="s">
        <v>164</v>
      </c>
      <c r="F38" s="34"/>
      <c r="G38" s="34"/>
      <c r="H38" s="34"/>
      <c r="I38" s="34"/>
      <c r="J38" s="34"/>
      <c r="K38" s="34"/>
      <c r="L38" s="34"/>
    </row>
    <row r="39" spans="2:12" ht="14" customHeight="1">
      <c r="B39" s="46"/>
      <c r="C39" s="46" t="s">
        <v>93</v>
      </c>
      <c r="D39" s="46"/>
      <c r="E39" s="46"/>
      <c r="F39" s="46"/>
      <c r="G39" s="46"/>
      <c r="H39" s="46"/>
      <c r="I39" s="46"/>
      <c r="J39" s="46"/>
      <c r="K39" s="46"/>
      <c r="L39" s="46"/>
    </row>
    <row r="40" spans="2:12">
      <c r="B40" s="57" t="s">
        <v>165</v>
      </c>
      <c r="C40" s="38">
        <f>IF(INDEX('Break-Even'!$D$20:$F$20,1)=INDEX('Break-Even'!$D$20:$F$20,2),"",IF((INDEX('Break-Even'!$D$18:$F$18,1)-INDEX('Break-Even'!$D$18:$F$18,2))/(INDEX('Break-Even'!$D$20:$F$20,1)-INDEX('Break-Even'!$D$20:$F$20,2))&gt;0,(INDEX('Break-Even'!$D$18:$F$18,1)-INDEX('Break-Even'!$D$18:$F$18,2))/(INDEX('Break-Even'!$D$20:$F$20,1)-INDEX('Break-Even'!$D$20:$F$20,2)),""))</f>
        <v>25851.0638297872</v>
      </c>
      <c r="D40" s="38"/>
      <c r="E40" s="58" t="str">
        <f>IF($C$40="",IF(INDEX('Break-Even'!$D$25:$F$25,1)&gt;=INDEX('Break-Even'!$D$25:$F$25,2),INDEX('Break-Even'!$D$15:$F$15,1),INDEX('Break-Even'!$D$15:$F$15,2))&amp;" makes more at every volume",IF(INDEX('Break-Even'!$D$20:$F$20,1)&gt;INDEX('Break-Even'!$D$20:$F$20,2),INDEX('Break-Even'!$D$15:$F$15,1)&amp;" makes more above it, "&amp;INDEX('Break-Even'!$D$15:$F$15,2)&amp;" below it",INDEX('Break-Even'!$D$15:$F$15,2)&amp;" makes more above it, "&amp;INDEX('Break-Even'!$D$15:$F$15,1)&amp;" below it"))</f>
        <v>Steel 4-cavity mould makes more above it, Aluminium mould below it</v>
      </c>
      <c r="F40" s="58"/>
      <c r="G40" s="58"/>
      <c r="H40" s="58"/>
      <c r="I40" s="58"/>
      <c r="J40" s="58"/>
      <c r="K40" s="58"/>
      <c r="L40" s="58"/>
    </row>
    <row r="41" spans="2:12">
      <c r="B41" s="57" t="s">
        <v>166</v>
      </c>
      <c r="C41" s="38">
        <f>IF(INDEX('Break-Even'!$D$20:$F$20,1)=INDEX('Break-Even'!$D$20:$F$20,3),"",IF((INDEX('Break-Even'!$D$18:$F$18,1)-INDEX('Break-Even'!$D$18:$F$18,3))/(INDEX('Break-Even'!$D$20:$F$20,1)-INDEX('Break-Even'!$D$20:$F$20,3))&gt;0,(INDEX('Break-Even'!$D$18:$F$18,1)-INDEX('Break-Even'!$D$18:$F$18,3))/(INDEX('Break-Even'!$D$20:$F$20,1)-INDEX('Break-Even'!$D$20:$F$20,3)),""))</f>
        <v>43200.0000000001</v>
      </c>
      <c r="D41" s="38"/>
      <c r="E41" s="58" t="str">
        <f>IF($C$41="",IF(INDEX('Break-Even'!$D$25:$F$25,1)&gt;=INDEX('Break-Even'!$D$25:$F$25,3),INDEX('Break-Even'!$D$15:$F$15,1),INDEX('Break-Even'!$D$15:$F$15,3))&amp;" makes more at every volume",IF(INDEX('Break-Even'!$D$20:$F$20,1)&gt;INDEX('Break-Even'!$D$20:$F$20,3),INDEX('Break-Even'!$D$15:$F$15,1)&amp;" makes more above it, "&amp;INDEX('Break-Even'!$D$15:$F$15,3)&amp;" below it",INDEX('Break-Even'!$D$15:$F$15,3)&amp;" makes more above it, "&amp;INDEX('Break-Even'!$D$15:$F$15,1)&amp;" below it"))</f>
        <v>Aluminium mould makes more above it, Buy from supplier below it</v>
      </c>
      <c r="F41" s="58"/>
      <c r="G41" s="58"/>
      <c r="H41" s="58"/>
      <c r="I41" s="58"/>
      <c r="J41" s="58"/>
      <c r="K41" s="58"/>
      <c r="L41" s="58"/>
    </row>
    <row r="42" spans="2:12">
      <c r="B42" s="57" t="s">
        <v>167</v>
      </c>
      <c r="C42" s="38">
        <f>IF(INDEX('Break-Even'!$D$20:$F$20,2)=INDEX('Break-Even'!$D$20:$F$20,3),"",IF((INDEX('Break-Even'!$D$18:$F$18,2)-INDEX('Break-Even'!$D$18:$F$18,3))/(INDEX('Break-Even'!$D$20:$F$20,2)-INDEX('Break-Even'!$D$20:$F$20,3))&gt;0,(INDEX('Break-Even'!$D$18:$F$18,2)-INDEX('Break-Even'!$D$18:$F$18,3))/(INDEX('Break-Even'!$D$20:$F$20,2)-INDEX('Break-Even'!$D$20:$F$20,3)),""))</f>
        <v>29495.7983193277</v>
      </c>
      <c r="D42" s="38"/>
      <c r="E42" s="58" t="str">
        <f>IF($C$42="",IF(INDEX('Break-Even'!$D$25:$F$25,2)&gt;=INDEX('Break-Even'!$D$25:$F$25,3),INDEX('Break-Even'!$D$15:$F$15,2),INDEX('Break-Even'!$D$15:$F$15,3))&amp;" makes more at every volume",IF(INDEX('Break-Even'!$D$20:$F$20,2)&gt;INDEX('Break-Even'!$D$20:$F$20,3),INDEX('Break-Even'!$D$15:$F$15,2)&amp;" makes more above it, "&amp;INDEX('Break-Even'!$D$15:$F$15,3)&amp;" below it",INDEX('Break-Even'!$D$15:$F$15,3)&amp;" makes more above it, "&amp;INDEX('Break-Even'!$D$15:$F$15,2)&amp;" below it"))</f>
        <v>Steel 4-cavity mould makes more above it, Buy from supplier below it</v>
      </c>
      <c r="F42" s="58"/>
      <c r="G42" s="58"/>
      <c r="H42" s="58"/>
      <c r="I42" s="58"/>
      <c r="J42" s="58"/>
      <c r="K42" s="58"/>
      <c r="L42" s="58"/>
    </row>
    <row r="44" spans="2:12">
      <c r="B44" s="56" t="s">
        <v>168</v>
      </c>
      <c r="C44" s="56"/>
      <c r="D44" s="56"/>
      <c r="E44" s="56"/>
      <c r="F44" s="56"/>
      <c r="G44" s="56"/>
      <c r="H44" s="56"/>
    </row>
    <row r="45" spans="2:12" ht="32" customHeight="1">
      <c r="B45" s="33" t="s">
        <v>169</v>
      </c>
      <c r="C45" s="34" t="s">
        <v>170</v>
      </c>
      <c r="D45" s="34" t="s">
        <v>171</v>
      </c>
      <c r="E45" s="34" t="s">
        <v>157</v>
      </c>
      <c r="F45" s="34" t="s">
        <v>158</v>
      </c>
      <c r="G45" s="34" t="s">
        <v>103</v>
      </c>
      <c r="H45" s="34" t="s">
        <v>92</v>
      </c>
    </row>
    <row r="46" spans="2:12" ht="14" customHeight="1">
      <c r="B46" s="46"/>
      <c r="C46" s="46" t="str">
        <f>Currency&amp;"/unit"</f>
        <v>EUR/unit</v>
      </c>
      <c r="D46" s="46" t="str">
        <f>Currency&amp;"/unit"</f>
        <v>EUR/unit</v>
      </c>
      <c r="E46" s="46" t="s">
        <v>93</v>
      </c>
      <c r="F46" s="46" t="str">
        <f>Currency</f>
        <v>EUR</v>
      </c>
      <c r="G46" s="46" t="s">
        <v>160</v>
      </c>
      <c r="H46" s="46" t="s">
        <v>93</v>
      </c>
    </row>
    <row r="47" spans="2:12">
      <c r="B47" s="59">
        <v>-0.15</v>
      </c>
      <c r="C47" s="39">
        <f>INDEX('Break-Even'!$D$16:$F$16,SelIdx)*(1+$B$47)</f>
        <v>3.3575</v>
      </c>
      <c r="D47" s="39">
        <f>$C$47-INDEX('Break-Even'!$D$19:$F$19,SelIdx)</f>
        <v>0.7975</v>
      </c>
      <c r="E47" s="38">
        <f>IF($D$47&gt;0,CEILING(INDEX('Break-Even'!$D$18:$F$18,SelIdx)/$D$47,1),"")</f>
        <v>28715</v>
      </c>
      <c r="F47" s="38">
        <f>$D$47*INDEX('Break-Even'!$D$17:$F$17,SelIdx)-INDEX('Break-Even'!$D$18:$F$18,SelIdx)</f>
        <v>1025</v>
      </c>
      <c r="G47" s="41">
        <f>IF(OR($D$47&lt;=0,INDEX('Break-Even'!$D$17:$F$17,SelIdx)=0),"",(INDEX('Break-Even'!$D$17:$F$17,SelIdx)-INDEX('Break-Even'!$D$18:$F$18,SelIdx)/$D$47)/INDEX('Break-Even'!$D$17:$F$17,SelIdx))</f>
        <v>0.0428422152560082</v>
      </c>
      <c r="H47" s="60">
        <f>INDEX('Break-Even'!$D$17:$F$17,SelIdx)</f>
        <v>30000</v>
      </c>
    </row>
    <row r="48" spans="2:12">
      <c r="B48" s="59">
        <v>-0.1</v>
      </c>
      <c r="C48" s="39">
        <f>INDEX('Break-Even'!$D$16:$F$16,SelIdx)*(1+$B$48)</f>
        <v>3.555</v>
      </c>
      <c r="D48" s="39">
        <f>$C$48-INDEX('Break-Even'!$D$19:$F$19,SelIdx)</f>
        <v>0.995</v>
      </c>
      <c r="E48" s="38">
        <f>IF($D$48&gt;0,CEILING(INDEX('Break-Even'!$D$18:$F$18,SelIdx)/$D$48,1),"")</f>
        <v>23016</v>
      </c>
      <c r="F48" s="38">
        <f>$D$48*INDEX('Break-Even'!$D$17:$F$17,SelIdx)-INDEX('Break-Even'!$D$18:$F$18,SelIdx)</f>
        <v>6950</v>
      </c>
      <c r="G48" s="41">
        <f>IF(OR($D$48&lt;=0,INDEX('Break-Even'!$D$17:$F$17,SelIdx)=0),"",(INDEX('Break-Even'!$D$17:$F$17,SelIdx)-INDEX('Break-Even'!$D$18:$F$18,SelIdx)/$D$48)/INDEX('Break-Even'!$D$17:$F$17,SelIdx))</f>
        <v>0.232830820770519</v>
      </c>
      <c r="H48" s="60">
        <f>INDEX('Break-Even'!$D$17:$F$17,SelIdx)</f>
        <v>30000</v>
      </c>
    </row>
    <row r="49" spans="2:10">
      <c r="B49" s="59">
        <v>-0.05</v>
      </c>
      <c r="C49" s="39">
        <f>INDEX('Break-Even'!$D$16:$F$16,SelIdx)*(1+$B$49)</f>
        <v>3.7525</v>
      </c>
      <c r="D49" s="39">
        <f>$C$49-INDEX('Break-Even'!$D$19:$F$19,SelIdx)</f>
        <v>1.1925</v>
      </c>
      <c r="E49" s="38">
        <f>IF($D$49&gt;0,CEILING(INDEX('Break-Even'!$D$18:$F$18,SelIdx)/$D$49,1),"")</f>
        <v>19204</v>
      </c>
      <c r="F49" s="38">
        <f>$D$49*INDEX('Break-Even'!$D$17:$F$17,SelIdx)-INDEX('Break-Even'!$D$18:$F$18,SelIdx)</f>
        <v>12875</v>
      </c>
      <c r="G49" s="41">
        <f>IF(OR($D$49&lt;=0,INDEX('Break-Even'!$D$17:$F$17,SelIdx)=0),"",(INDEX('Break-Even'!$D$17:$F$17,SelIdx)-INDEX('Break-Even'!$D$18:$F$18,SelIdx)/$D$49)/INDEX('Break-Even'!$D$17:$F$17,SelIdx))</f>
        <v>0.359888190076869</v>
      </c>
      <c r="H49" s="60">
        <f>INDEX('Break-Even'!$D$17:$F$17,SelIdx)</f>
        <v>30000</v>
      </c>
    </row>
    <row r="50" spans="2:10">
      <c r="B50" s="59">
        <v>0</v>
      </c>
      <c r="C50" s="39">
        <f>INDEX('Break-Even'!$D$16:$F$16,SelIdx)*(1+$B$50)</f>
        <v>3.95</v>
      </c>
      <c r="D50" s="39">
        <f>$C$50-INDEX('Break-Even'!$D$19:$F$19,SelIdx)</f>
        <v>1.39</v>
      </c>
      <c r="E50" s="38">
        <f>IF($D$50&gt;0,CEILING(INDEX('Break-Even'!$D$18:$F$18,SelIdx)/$D$50,1),"")</f>
        <v>16475</v>
      </c>
      <c r="F50" s="38">
        <f>$D$50*INDEX('Break-Even'!$D$17:$F$17,SelIdx)-INDEX('Break-Even'!$D$18:$F$18,SelIdx)</f>
        <v>18800</v>
      </c>
      <c r="G50" s="41">
        <f>IF(OR($D$50&lt;=0,INDEX('Break-Even'!$D$17:$F$17,SelIdx)=0),"",(INDEX('Break-Even'!$D$17:$F$17,SelIdx)-INDEX('Break-Even'!$D$18:$F$18,SelIdx)/$D$50)/INDEX('Break-Even'!$D$17:$F$17,SelIdx))</f>
        <v>0.45083932853717</v>
      </c>
      <c r="H50" s="60">
        <f>INDEX('Break-Even'!$D$17:$F$17,SelIdx)</f>
        <v>30000</v>
      </c>
    </row>
    <row r="51" spans="2:10">
      <c r="B51" s="59">
        <v>0.05</v>
      </c>
      <c r="C51" s="39">
        <f>INDEX('Break-Even'!$D$16:$F$16,SelIdx)*(1+$B$51)</f>
        <v>4.1475</v>
      </c>
      <c r="D51" s="39">
        <f>$C$51-INDEX('Break-Even'!$D$19:$F$19,SelIdx)</f>
        <v>1.5875</v>
      </c>
      <c r="E51" s="38">
        <f>IF($D$51&gt;0,CEILING(INDEX('Break-Even'!$D$18:$F$18,SelIdx)/$D$51,1),"")</f>
        <v>14426</v>
      </c>
      <c r="F51" s="38">
        <f>$D$51*INDEX('Break-Even'!$D$17:$F$17,SelIdx)-INDEX('Break-Even'!$D$18:$F$18,SelIdx)</f>
        <v>24725</v>
      </c>
      <c r="G51" s="41">
        <f>IF(OR($D$51&lt;=0,INDEX('Break-Even'!$D$17:$F$17,SelIdx)=0),"",(INDEX('Break-Even'!$D$17:$F$17,SelIdx)-INDEX('Break-Even'!$D$18:$F$18,SelIdx)/$D$51)/INDEX('Break-Even'!$D$17:$F$17,SelIdx))</f>
        <v>0.519160104986877</v>
      </c>
      <c r="H51" s="60">
        <f>INDEX('Break-Even'!$D$17:$F$17,SelIdx)</f>
        <v>30000</v>
      </c>
    </row>
    <row r="52" spans="2:10">
      <c r="B52" s="59">
        <v>0.1</v>
      </c>
      <c r="C52" s="39">
        <f>INDEX('Break-Even'!$D$16:$F$16,SelIdx)*(1+$B$52)</f>
        <v>4.345</v>
      </c>
      <c r="D52" s="39">
        <f>$C$52-INDEX('Break-Even'!$D$19:$F$19,SelIdx)</f>
        <v>1.785</v>
      </c>
      <c r="E52" s="38">
        <f>IF($D$52&gt;0,CEILING(INDEX('Break-Even'!$D$18:$F$18,SelIdx)/$D$52,1),"")</f>
        <v>12830</v>
      </c>
      <c r="F52" s="38">
        <f>$D$52*INDEX('Break-Even'!$D$17:$F$17,SelIdx)-INDEX('Break-Even'!$D$18:$F$18,SelIdx)</f>
        <v>30650</v>
      </c>
      <c r="G52" s="41">
        <f>IF(OR($D$52&lt;=0,INDEX('Break-Even'!$D$17:$F$17,SelIdx)=0),"",(INDEX('Break-Even'!$D$17:$F$17,SelIdx)-INDEX('Break-Even'!$D$18:$F$18,SelIdx)/$D$52)/INDEX('Break-Even'!$D$17:$F$17,SelIdx))</f>
        <v>0.572362278244631</v>
      </c>
      <c r="H52" s="60">
        <f>INDEX('Break-Even'!$D$17:$F$17,SelIdx)</f>
        <v>30000</v>
      </c>
    </row>
    <row r="53" spans="2:10">
      <c r="B53" s="59">
        <v>0.15</v>
      </c>
      <c r="C53" s="39">
        <f>INDEX('Break-Even'!$D$16:$F$16,SelIdx)*(1+$B$53)</f>
        <v>4.5425</v>
      </c>
      <c r="D53" s="39">
        <f>$C$53-INDEX('Break-Even'!$D$19:$F$19,SelIdx)</f>
        <v>1.9825</v>
      </c>
      <c r="E53" s="38">
        <f>IF($D$53&gt;0,CEILING(INDEX('Break-Even'!$D$18:$F$18,SelIdx)/$D$53,1),"")</f>
        <v>11552</v>
      </c>
      <c r="F53" s="38">
        <f>$D$53*INDEX('Break-Even'!$D$17:$F$17,SelIdx)-INDEX('Break-Even'!$D$18:$F$18,SelIdx)</f>
        <v>36575</v>
      </c>
      <c r="G53" s="41">
        <f>IF(OR($D$53&lt;=0,INDEX('Break-Even'!$D$17:$F$17,SelIdx)=0),"",(INDEX('Break-Even'!$D$17:$F$17,SelIdx)-INDEX('Break-Even'!$D$18:$F$18,SelIdx)/$D$53)/INDEX('Break-Even'!$D$17:$F$17,SelIdx))</f>
        <v>0.614964270701976</v>
      </c>
      <c r="H53" s="60">
        <f>INDEX('Break-Even'!$D$17:$F$17,SelIdx)</f>
        <v>30000</v>
      </c>
    </row>
    <row r="56" spans="2:10">
      <c r="B56" s="56" t="s">
        <v>172</v>
      </c>
      <c r="C56" s="56"/>
      <c r="D56" s="56"/>
      <c r="E56" s="56"/>
      <c r="F56" s="56"/>
      <c r="G56" s="56"/>
      <c r="H56" s="56"/>
      <c r="I56" s="56"/>
      <c r="J56" s="56"/>
    </row>
    <row r="57" spans="2:10" ht="32" customHeight="1">
      <c r="B57" s="33" t="s">
        <v>173</v>
      </c>
      <c r="C57" s="34" t="s">
        <v>174</v>
      </c>
      <c r="D57" s="34" t="s">
        <v>175</v>
      </c>
      <c r="E57" s="34" t="s">
        <v>155</v>
      </c>
      <c r="F57" s="34" t="s">
        <v>176</v>
      </c>
      <c r="G57" s="34" t="s">
        <v>177</v>
      </c>
      <c r="H57" s="34" t="s">
        <v>178</v>
      </c>
      <c r="I57" s="34" t="s">
        <v>179</v>
      </c>
      <c r="J57" s="34" t="s">
        <v>180</v>
      </c>
    </row>
    <row r="58" spans="2:10" ht="14" customHeight="1">
      <c r="B58" s="46"/>
      <c r="C58" s="46" t="str">
        <f>Currency</f>
        <v>EUR</v>
      </c>
      <c r="D58" s="46" t="str">
        <f>Currency</f>
        <v>EUR</v>
      </c>
      <c r="E58" s="46" t="str">
        <f>Currency</f>
        <v>EUR</v>
      </c>
      <c r="F58" s="46" t="str">
        <f>Currency</f>
        <v>EUR</v>
      </c>
      <c r="G58" s="46" t="str">
        <f>Currency</f>
        <v>EUR</v>
      </c>
      <c r="H58" s="46" t="str">
        <f>Currency</f>
        <v>EUR</v>
      </c>
      <c r="I58" s="46" t="str">
        <f>Currency</f>
        <v>EUR</v>
      </c>
      <c r="J58" s="46" t="str">
        <f>Currency</f>
        <v>EUR</v>
      </c>
    </row>
    <row r="59" spans="2:10">
      <c r="B59" s="61">
        <v>0</v>
      </c>
      <c r="C59" s="38">
        <f>INDEX('Break-Even'!$D$16:$F$16,SelIdx)*$B$59</f>
        <v>0</v>
      </c>
      <c r="D59" s="38">
        <f>INDEX('Break-Even'!$D$18:$F$18,SelIdx)+INDEX('Break-Even'!$D$19:$F$19,SelIdx)*$B$59</f>
        <v>22900</v>
      </c>
      <c r="E59" s="38">
        <f>INDEX('Break-Even'!$D$18:$F$18,SelIdx)</f>
        <v>22900</v>
      </c>
      <c r="F59" s="38">
        <f>$C$59-$D$59</f>
        <v>-22900</v>
      </c>
      <c r="G59" s="38">
        <f>(INDEX('Break-Even'!$D$16:$F$16,1)-INDEX('Break-Even'!$D$19:$F$19,1))*$B$59-INDEX('Break-Even'!$D$18:$F$18,1)</f>
        <v>-22900</v>
      </c>
      <c r="H59" s="38">
        <f>(INDEX('Break-Even'!$D$16:$F$16,2)-INDEX('Break-Even'!$D$19:$F$19,2))*$B$59-INDEX('Break-Even'!$D$18:$F$18,2)</f>
        <v>-47200</v>
      </c>
      <c r="I59" s="38">
        <f>(INDEX('Break-Even'!$D$16:$F$16,3)-INDEX('Break-Even'!$D$19:$F$19,3))*$B$59-INDEX('Break-Even'!$D$18:$F$18,3)</f>
        <v>-12100</v>
      </c>
      <c r="J59" s="60">
        <f>0</f>
        <v>0</v>
      </c>
    </row>
    <row r="60" spans="2:10">
      <c r="B60" s="61">
        <f>$B$59+VolStep</f>
        <v>5000</v>
      </c>
      <c r="C60" s="38">
        <f>INDEX('Break-Even'!$D$16:$F$16,SelIdx)*$B$60</f>
        <v>19750</v>
      </c>
      <c r="D60" s="38">
        <f>INDEX('Break-Even'!$D$18:$F$18,SelIdx)+INDEX('Break-Even'!$D$19:$F$19,SelIdx)*$B$60</f>
        <v>35700</v>
      </c>
      <c r="E60" s="38">
        <f>INDEX('Break-Even'!$D$18:$F$18,SelIdx)</f>
        <v>22900</v>
      </c>
      <c r="F60" s="38">
        <f>$C$60-$D$60</f>
        <v>-15950</v>
      </c>
      <c r="G60" s="38">
        <f>(INDEX('Break-Even'!$D$16:$F$16,1)-INDEX('Break-Even'!$D$19:$F$19,1))*$B$60-INDEX('Break-Even'!$D$18:$F$18,1)</f>
        <v>-15950</v>
      </c>
      <c r="H60" s="38">
        <f>(INDEX('Break-Even'!$D$16:$F$16,2)-INDEX('Break-Even'!$D$19:$F$19,2))*$B$60-INDEX('Break-Even'!$D$18:$F$18,2)</f>
        <v>-35550</v>
      </c>
      <c r="I60" s="38">
        <f>(INDEX('Break-Even'!$D$16:$F$16,3)-INDEX('Break-Even'!$D$19:$F$19,3))*$B$60-INDEX('Break-Even'!$D$18:$F$18,3)</f>
        <v>-6400</v>
      </c>
      <c r="J60" s="60">
        <f>0</f>
        <v>0</v>
      </c>
    </row>
    <row r="61" spans="2:10">
      <c r="B61" s="61">
        <f>$B$60+VolStep</f>
        <v>10000</v>
      </c>
      <c r="C61" s="38">
        <f>INDEX('Break-Even'!$D$16:$F$16,SelIdx)*$B$61</f>
        <v>39500</v>
      </c>
      <c r="D61" s="38">
        <f>INDEX('Break-Even'!$D$18:$F$18,SelIdx)+INDEX('Break-Even'!$D$19:$F$19,SelIdx)*$B$61</f>
        <v>48500</v>
      </c>
      <c r="E61" s="38">
        <f>INDEX('Break-Even'!$D$18:$F$18,SelIdx)</f>
        <v>22900</v>
      </c>
      <c r="F61" s="38">
        <f>$C$61-$D$61</f>
        <v>-9000</v>
      </c>
      <c r="G61" s="38">
        <f>(INDEX('Break-Even'!$D$16:$F$16,1)-INDEX('Break-Even'!$D$19:$F$19,1))*$B$61-INDEX('Break-Even'!$D$18:$F$18,1)</f>
        <v>-9000</v>
      </c>
      <c r="H61" s="38">
        <f>(INDEX('Break-Even'!$D$16:$F$16,2)-INDEX('Break-Even'!$D$19:$F$19,2))*$B$61-INDEX('Break-Even'!$D$18:$F$18,2)</f>
        <v>-23900</v>
      </c>
      <c r="I61" s="38">
        <f>(INDEX('Break-Even'!$D$16:$F$16,3)-INDEX('Break-Even'!$D$19:$F$19,3))*$B$61-INDEX('Break-Even'!$D$18:$F$18,3)</f>
        <v>-699.999999999995</v>
      </c>
      <c r="J61" s="60">
        <f>0</f>
        <v>0</v>
      </c>
    </row>
    <row r="62" spans="2:10">
      <c r="B62" s="61">
        <f>$B$61+VolStep</f>
        <v>15000</v>
      </c>
      <c r="C62" s="38">
        <f>INDEX('Break-Even'!$D$16:$F$16,SelIdx)*$B$62</f>
        <v>59250</v>
      </c>
      <c r="D62" s="38">
        <f>INDEX('Break-Even'!$D$18:$F$18,SelIdx)+INDEX('Break-Even'!$D$19:$F$19,SelIdx)*$B$62</f>
        <v>61300</v>
      </c>
      <c r="E62" s="38">
        <f>INDEX('Break-Even'!$D$18:$F$18,SelIdx)</f>
        <v>22900</v>
      </c>
      <c r="F62" s="38">
        <f>$C$62-$D$62</f>
        <v>-2050</v>
      </c>
      <c r="G62" s="38">
        <f>(INDEX('Break-Even'!$D$16:$F$16,1)-INDEX('Break-Even'!$D$19:$F$19,1))*$B$62-INDEX('Break-Even'!$D$18:$F$18,1)</f>
        <v>-2050</v>
      </c>
      <c r="H62" s="38">
        <f>(INDEX('Break-Even'!$D$16:$F$16,2)-INDEX('Break-Even'!$D$19:$F$19,2))*$B$62-INDEX('Break-Even'!$D$18:$F$18,2)</f>
        <v>-12250</v>
      </c>
      <c r="I62" s="38">
        <f>(INDEX('Break-Even'!$D$16:$F$16,3)-INDEX('Break-Even'!$D$19:$F$19,3))*$B$62-INDEX('Break-Even'!$D$18:$F$18,3)</f>
        <v>5000.00000000001</v>
      </c>
      <c r="J62" s="60">
        <f>0</f>
        <v>0</v>
      </c>
    </row>
    <row r="63" spans="2:10">
      <c r="B63" s="61">
        <f>$B$62+VolStep</f>
        <v>20000</v>
      </c>
      <c r="C63" s="38">
        <f>INDEX('Break-Even'!$D$16:$F$16,SelIdx)*$B$63</f>
        <v>79000</v>
      </c>
      <c r="D63" s="38">
        <f>INDEX('Break-Even'!$D$18:$F$18,SelIdx)+INDEX('Break-Even'!$D$19:$F$19,SelIdx)*$B$63</f>
        <v>74100</v>
      </c>
      <c r="E63" s="38">
        <f>INDEX('Break-Even'!$D$18:$F$18,SelIdx)</f>
        <v>22900</v>
      </c>
      <c r="F63" s="38">
        <f>$C$63-$D$63</f>
        <v>4900</v>
      </c>
      <c r="G63" s="38">
        <f>(INDEX('Break-Even'!$D$16:$F$16,1)-INDEX('Break-Even'!$D$19:$F$19,1))*$B$63-INDEX('Break-Even'!$D$18:$F$18,1)</f>
        <v>4900</v>
      </c>
      <c r="H63" s="38">
        <f>(INDEX('Break-Even'!$D$16:$F$16,2)-INDEX('Break-Even'!$D$19:$F$19,2))*$B$63-INDEX('Break-Even'!$D$18:$F$18,2)</f>
        <v>-600</v>
      </c>
      <c r="I63" s="38">
        <f>(INDEX('Break-Even'!$D$16:$F$16,3)-INDEX('Break-Even'!$D$19:$F$19,3))*$B$63-INDEX('Break-Even'!$D$18:$F$18,3)</f>
        <v>10700</v>
      </c>
      <c r="J63" s="60">
        <f>0</f>
        <v>0</v>
      </c>
    </row>
    <row r="64" spans="2:10">
      <c r="B64" s="61">
        <f>$B$63+VolStep</f>
        <v>25000</v>
      </c>
      <c r="C64" s="38">
        <f>INDEX('Break-Even'!$D$16:$F$16,SelIdx)*$B$64</f>
        <v>98750</v>
      </c>
      <c r="D64" s="38">
        <f>INDEX('Break-Even'!$D$18:$F$18,SelIdx)+INDEX('Break-Even'!$D$19:$F$19,SelIdx)*$B$64</f>
        <v>86900</v>
      </c>
      <c r="E64" s="38">
        <f>INDEX('Break-Even'!$D$18:$F$18,SelIdx)</f>
        <v>22900</v>
      </c>
      <c r="F64" s="38">
        <f>$C$64-$D$64</f>
        <v>11850</v>
      </c>
      <c r="G64" s="38">
        <f>(INDEX('Break-Even'!$D$16:$F$16,1)-INDEX('Break-Even'!$D$19:$F$19,1))*$B$64-INDEX('Break-Even'!$D$18:$F$18,1)</f>
        <v>11850</v>
      </c>
      <c r="H64" s="38">
        <f>(INDEX('Break-Even'!$D$16:$F$16,2)-INDEX('Break-Even'!$D$19:$F$19,2))*$B$64-INDEX('Break-Even'!$D$18:$F$18,2)</f>
        <v>11050</v>
      </c>
      <c r="I64" s="38">
        <f>(INDEX('Break-Even'!$D$16:$F$16,3)-INDEX('Break-Even'!$D$19:$F$19,3))*$B$64-INDEX('Break-Even'!$D$18:$F$18,3)</f>
        <v>16400</v>
      </c>
      <c r="J64" s="60">
        <f>0</f>
        <v>0</v>
      </c>
    </row>
    <row r="65" spans="2:12">
      <c r="B65" s="61">
        <f>$B$64+VolStep</f>
        <v>30000</v>
      </c>
      <c r="C65" s="38">
        <f>INDEX('Break-Even'!$D$16:$F$16,SelIdx)*$B$65</f>
        <v>118500</v>
      </c>
      <c r="D65" s="38">
        <f>INDEX('Break-Even'!$D$18:$F$18,SelIdx)+INDEX('Break-Even'!$D$19:$F$19,SelIdx)*$B$65</f>
        <v>99700</v>
      </c>
      <c r="E65" s="38">
        <f>INDEX('Break-Even'!$D$18:$F$18,SelIdx)</f>
        <v>22900</v>
      </c>
      <c r="F65" s="38">
        <f>$C$65-$D$65</f>
        <v>18800</v>
      </c>
      <c r="G65" s="38">
        <f>(INDEX('Break-Even'!$D$16:$F$16,1)-INDEX('Break-Even'!$D$19:$F$19,1))*$B$65-INDEX('Break-Even'!$D$18:$F$18,1)</f>
        <v>18800</v>
      </c>
      <c r="H65" s="38">
        <f>(INDEX('Break-Even'!$D$16:$F$16,2)-INDEX('Break-Even'!$D$19:$F$19,2))*$B$65-INDEX('Break-Even'!$D$18:$F$18,2)</f>
        <v>22700</v>
      </c>
      <c r="I65" s="38">
        <f>(INDEX('Break-Even'!$D$16:$F$16,3)-INDEX('Break-Even'!$D$19:$F$19,3))*$B$65-INDEX('Break-Even'!$D$18:$F$18,3)</f>
        <v>22100</v>
      </c>
      <c r="J65" s="60">
        <f>0</f>
        <v>0</v>
      </c>
    </row>
    <row r="66" spans="2:12">
      <c r="B66" s="61">
        <f>$B$65+VolStep</f>
        <v>35000</v>
      </c>
      <c r="C66" s="38">
        <f>INDEX('Break-Even'!$D$16:$F$16,SelIdx)*$B$66</f>
        <v>138250</v>
      </c>
      <c r="D66" s="38">
        <f>INDEX('Break-Even'!$D$18:$F$18,SelIdx)+INDEX('Break-Even'!$D$19:$F$19,SelIdx)*$B$66</f>
        <v>112500</v>
      </c>
      <c r="E66" s="38">
        <f>INDEX('Break-Even'!$D$18:$F$18,SelIdx)</f>
        <v>22900</v>
      </c>
      <c r="F66" s="38">
        <f>$C$66-$D$66</f>
        <v>25750</v>
      </c>
      <c r="G66" s="38">
        <f>(INDEX('Break-Even'!$D$16:$F$16,1)-INDEX('Break-Even'!$D$19:$F$19,1))*$B$66-INDEX('Break-Even'!$D$18:$F$18,1)</f>
        <v>25750</v>
      </c>
      <c r="H66" s="38">
        <f>(INDEX('Break-Even'!$D$16:$F$16,2)-INDEX('Break-Even'!$D$19:$F$19,2))*$B$66-INDEX('Break-Even'!$D$18:$F$18,2)</f>
        <v>34350</v>
      </c>
      <c r="I66" s="38">
        <f>(INDEX('Break-Even'!$D$16:$F$16,3)-INDEX('Break-Even'!$D$19:$F$19,3))*$B$66-INDEX('Break-Even'!$D$18:$F$18,3)</f>
        <v>27800</v>
      </c>
      <c r="J66" s="60">
        <f>0</f>
        <v>0</v>
      </c>
    </row>
    <row r="67" spans="2:12">
      <c r="B67" s="61">
        <f>$B$66+VolStep</f>
        <v>40000</v>
      </c>
      <c r="C67" s="38">
        <f>INDEX('Break-Even'!$D$16:$F$16,SelIdx)*$B$67</f>
        <v>158000</v>
      </c>
      <c r="D67" s="38">
        <f>INDEX('Break-Even'!$D$18:$F$18,SelIdx)+INDEX('Break-Even'!$D$19:$F$19,SelIdx)*$B$67</f>
        <v>125300</v>
      </c>
      <c r="E67" s="38">
        <f>INDEX('Break-Even'!$D$18:$F$18,SelIdx)</f>
        <v>22900</v>
      </c>
      <c r="F67" s="38">
        <f>$C$67-$D$67</f>
        <v>32700</v>
      </c>
      <c r="G67" s="38">
        <f>(INDEX('Break-Even'!$D$16:$F$16,1)-INDEX('Break-Even'!$D$19:$F$19,1))*$B$67-INDEX('Break-Even'!$D$18:$F$18,1)</f>
        <v>32700</v>
      </c>
      <c r="H67" s="38">
        <f>(INDEX('Break-Even'!$D$16:$F$16,2)-INDEX('Break-Even'!$D$19:$F$19,2))*$B$67-INDEX('Break-Even'!$D$18:$F$18,2)</f>
        <v>46000</v>
      </c>
      <c r="I67" s="38">
        <f>(INDEX('Break-Even'!$D$16:$F$16,3)-INDEX('Break-Even'!$D$19:$F$19,3))*$B$67-INDEX('Break-Even'!$D$18:$F$18,3)</f>
        <v>33500</v>
      </c>
      <c r="J67" s="60">
        <f>0</f>
        <v>0</v>
      </c>
    </row>
    <row r="68" spans="2:12">
      <c r="B68" s="61">
        <f>$B$67+VolStep</f>
        <v>45000</v>
      </c>
      <c r="C68" s="38">
        <f>INDEX('Break-Even'!$D$16:$F$16,SelIdx)*$B$68</f>
        <v>177750</v>
      </c>
      <c r="D68" s="38">
        <f>INDEX('Break-Even'!$D$18:$F$18,SelIdx)+INDEX('Break-Even'!$D$19:$F$19,SelIdx)*$B$68</f>
        <v>138100</v>
      </c>
      <c r="E68" s="38">
        <f>INDEX('Break-Even'!$D$18:$F$18,SelIdx)</f>
        <v>22900</v>
      </c>
      <c r="F68" s="38">
        <f>$C$68-$D$68</f>
        <v>39650</v>
      </c>
      <c r="G68" s="38">
        <f>(INDEX('Break-Even'!$D$16:$F$16,1)-INDEX('Break-Even'!$D$19:$F$19,1))*$B$68-INDEX('Break-Even'!$D$18:$F$18,1)</f>
        <v>39650</v>
      </c>
      <c r="H68" s="38">
        <f>(INDEX('Break-Even'!$D$16:$F$16,2)-INDEX('Break-Even'!$D$19:$F$19,2))*$B$68-INDEX('Break-Even'!$D$18:$F$18,2)</f>
        <v>57650</v>
      </c>
      <c r="I68" s="38">
        <f>(INDEX('Break-Even'!$D$16:$F$16,3)-INDEX('Break-Even'!$D$19:$F$19,3))*$B$68-INDEX('Break-Even'!$D$18:$F$18,3)</f>
        <v>39200</v>
      </c>
      <c r="J68" s="60">
        <f>0</f>
        <v>0</v>
      </c>
    </row>
    <row r="69" spans="2:12">
      <c r="B69" s="61">
        <f>$B$68+VolStep</f>
        <v>50000</v>
      </c>
      <c r="C69" s="38">
        <f>INDEX('Break-Even'!$D$16:$F$16,SelIdx)*$B$69</f>
        <v>197500</v>
      </c>
      <c r="D69" s="38">
        <f>INDEX('Break-Even'!$D$18:$F$18,SelIdx)+INDEX('Break-Even'!$D$19:$F$19,SelIdx)*$B$69</f>
        <v>150900</v>
      </c>
      <c r="E69" s="38">
        <f>INDEX('Break-Even'!$D$18:$F$18,SelIdx)</f>
        <v>22900</v>
      </c>
      <c r="F69" s="38">
        <f>$C$69-$D$69</f>
        <v>46600</v>
      </c>
      <c r="G69" s="38">
        <f>(INDEX('Break-Even'!$D$16:$F$16,1)-INDEX('Break-Even'!$D$19:$F$19,1))*$B$69-INDEX('Break-Even'!$D$18:$F$18,1)</f>
        <v>46600</v>
      </c>
      <c r="H69" s="38">
        <f>(INDEX('Break-Even'!$D$16:$F$16,2)-INDEX('Break-Even'!$D$19:$F$19,2))*$B$69-INDEX('Break-Even'!$D$18:$F$18,2)</f>
        <v>69300</v>
      </c>
      <c r="I69" s="38">
        <f>(INDEX('Break-Even'!$D$16:$F$16,3)-INDEX('Break-Even'!$D$19:$F$19,3))*$B$69-INDEX('Break-Even'!$D$18:$F$18,3)</f>
        <v>44900</v>
      </c>
      <c r="J69" s="60">
        <f>0</f>
        <v>0</v>
      </c>
    </row>
    <row r="70" spans="2:12" ht="8" customHeight="1"/>
    <row r="71" spans="2:12" ht="26.76" customHeight="1">
      <c r="B71" s="21" t="s">
        <v>181</v>
      </c>
      <c r="C71" s="21"/>
      <c r="D71" s="21"/>
      <c r="E71" s="21"/>
      <c r="F71" s="21"/>
      <c r="G71" s="21"/>
      <c r="H71" s="21"/>
      <c r="I71" s="21"/>
      <c r="J71" s="21"/>
      <c r="K71" s="21"/>
      <c r="L71" s="21"/>
    </row>
  </sheetData>
  <sheetProtection sheet="1" formatColumns="0" formatRows="0"/>
  <mergeCells count="41">
    <mergeCell ref="A1:L1"/>
    <mergeCell ref="B2:J2"/>
    <mergeCell ref="K2:L2"/>
    <mergeCell ref="C4:E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30:K30"/>
    <mergeCell ref="J31:K31"/>
    <mergeCell ref="J32:K32"/>
    <mergeCell ref="J33:K33"/>
    <mergeCell ref="J34:K34"/>
    <mergeCell ref="J35:K35"/>
    <mergeCell ref="B37:L37"/>
    <mergeCell ref="C38:D38"/>
    <mergeCell ref="E38:L38"/>
    <mergeCell ref="C39:D39"/>
    <mergeCell ref="E39:L39"/>
    <mergeCell ref="C40:D40"/>
    <mergeCell ref="C41:D41"/>
    <mergeCell ref="C42:D42"/>
    <mergeCell ref="E40:L40"/>
    <mergeCell ref="E41:L41"/>
    <mergeCell ref="E42:L42"/>
    <mergeCell ref="B44:H44"/>
    <mergeCell ref="B56:J56"/>
    <mergeCell ref="B71:L71"/>
  </mergeCells>
  <conditionalFormatting sqref="D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G47:G53">
    <cfRule type="expression" dxfId="3" priority="44" stopIfTrue="1">
      <formula>AND(ISNUMBER(G47),G47&gt;=(MoSTarget))</formula>
    </cfRule>
    <cfRule type="expression" dxfId="4" priority="45" stopIfTrue="1">
      <formula>AND(ISNUMBER(G47),G47&gt;=(MoSTarget)*(1-0.05))</formula>
    </cfRule>
    <cfRule type="expression" dxfId="5" priority="46">
      <formula>ISNUMBER(G47)</formula>
    </cfRule>
  </conditionalFormatting>
  <conditionalFormatting sqref="I33:I35">
    <cfRule type="expression" dxfId="3" priority="21" stopIfTrue="1">
      <formula>AND(ISNUMBER(I33),I33&gt;=(MoSTarget))</formula>
    </cfRule>
    <cfRule type="expression" dxfId="4" priority="22" stopIfTrue="1">
      <formula>AND(ISNUMBER(I33),I33&gt;=(MoSTarget)*(1-0.05))</formula>
    </cfRule>
    <cfRule type="expression" dxfId="5" priority="23">
      <formula>ISNUMBER(I33)</formula>
    </cfRule>
  </conditionalFormatting>
  <conditionalFormatting sqref="J33:J35">
    <cfRule type="cellIs" dxfId="0" priority="24" operator="equal">
      <formula>"On target"</formula>
    </cfRule>
    <cfRule type="cellIs" dxfId="0" priority="25" operator="equal">
      <formula>"PASS"</formula>
    </cfRule>
    <cfRule type="cellIs" dxfId="0" priority="26" operator="equal">
      <formula>"OK"</formula>
    </cfRule>
    <cfRule type="cellIs" dxfId="0" priority="27" operator="equal">
      <formula>"Within limits"</formula>
    </cfRule>
    <cfRule type="cellIs" dxfId="0" priority="28" operator="equal">
      <formula>"Under capacity"</formula>
    </cfRule>
    <cfRule type="cellIs" dxfId="0" priority="29" operator="equal">
      <formula>"Complete"</formula>
    </cfRule>
    <cfRule type="cellIs" dxfId="0" priority="30" operator="equal">
      <formula>"Yes"</formula>
    </cfRule>
    <cfRule type="cellIs" dxfId="1" priority="31" operator="equal">
      <formula>"Near target"</formula>
    </cfRule>
    <cfRule type="cellIs" dxfId="1" priority="32" operator="equal">
      <formula>"Check"</formula>
    </cfRule>
    <cfRule type="cellIs" dxfId="1" priority="33" operator="equal">
      <formula>"Due soon"</formula>
    </cfRule>
    <cfRule type="cellIs" dxfId="1" priority="34" operator="equal">
      <formula>"Near capacity"</formula>
    </cfRule>
    <cfRule type="cellIs" dxfId="1" priority="35" operator="equal">
      <formula>"In progress"</formula>
    </cfRule>
    <cfRule type="cellIs" dxfId="1" priority="36" operator="equal">
      <formula>"Partial"</formula>
    </cfRule>
    <cfRule type="cellIs" dxfId="2" priority="37" operator="equal">
      <formula>"Below target"</formula>
    </cfRule>
    <cfRule type="cellIs" dxfId="2" priority="38" operator="equal">
      <formula>"Above target"</formula>
    </cfRule>
    <cfRule type="cellIs" dxfId="2" priority="39" operator="equal">
      <formula>"FAIL"</formula>
    </cfRule>
    <cfRule type="cellIs" dxfId="2" priority="40" operator="equal">
      <formula>"Over capacity"</formula>
    </cfRule>
    <cfRule type="cellIs" dxfId="2" priority="41" operator="equal">
      <formula>"Overdue"</formula>
    </cfRule>
    <cfRule type="cellIs" dxfId="2" priority="42" operator="equal">
      <formula>"Out of limits"</formula>
    </cfRule>
    <cfRule type="cellIs" dxfId="2" priority="43" operator="equal">
      <formula>"No"</formula>
    </cfRule>
  </conditionalFormatting>
  <dataValidations count="8">
    <dataValidation type="list" allowBlank="1" showInputMessage="1" showErrorMessage="1" errorTitle="Check this entry" error="Pick from the list (edit the list on Setup: OptionList)." promptTitle="Option shown" prompt="The option the tiles, the break-even chart and the price table show. Leave blank for the first option. Pick from the list (edit the list on Setup: OptionList)." sqref="C4">
      <formula1>OptionList</formula1>
    </dataValidation>
    <dataValidation type="decimal" allowBlank="1" showInputMessage="1" showErrorMessage="1" errorTitle="Check this entry" error="Enter a percentage from -90% to 500% (type 85% or 0.85)." promptTitle="Price change" prompt="Price change against the option's price, e.g. -5% or +10%. Enter a percentage from -90% to 500% (type 85% or 0.85)." sqref="B47">
      <formula1>-0.9</formula1>
      <formula2>5</formula2>
    </dataValidation>
    <dataValidation type="decimal" allowBlank="1" showInputMessage="1" showErrorMessage="1" errorTitle="Check this entry" error="Enter a percentage from -90% to 500% (type 85% or 0.85)." promptTitle="Price change" prompt="Price change against the option's price, e.g. -5% or +10%. Enter a percentage from -90% to 500% (type 85% or 0.85)." sqref="B48">
      <formula1>-0.9</formula1>
      <formula2>5</formula2>
    </dataValidation>
    <dataValidation type="decimal" allowBlank="1" showInputMessage="1" showErrorMessage="1" errorTitle="Check this entry" error="Enter a percentage from -90% to 500% (type 85% or 0.85)." promptTitle="Price change" prompt="Price change against the option's price, e.g. -5% or +10%. Enter a percentage from -90% to 500% (type 85% or 0.85)." sqref="B49">
      <formula1>-0.9</formula1>
      <formula2>5</formula2>
    </dataValidation>
    <dataValidation type="decimal" allowBlank="1" showInputMessage="1" showErrorMessage="1" errorTitle="Check this entry" error="Enter a percentage from -90% to 500% (type 85% or 0.85)." promptTitle="Price change" prompt="Price change against the option's price, e.g. -5% or +10%. Enter a percentage from -90% to 500% (type 85% or 0.85)." sqref="B50">
      <formula1>-0.9</formula1>
      <formula2>5</formula2>
    </dataValidation>
    <dataValidation type="decimal" allowBlank="1" showInputMessage="1" showErrorMessage="1" errorTitle="Check this entry" error="Enter a percentage from -90% to 500% (type 85% or 0.85)." promptTitle="Price change" prompt="Price change against the option's price, e.g. -5% or +10%. Enter a percentage from -90% to 500% (type 85% or 0.85)." sqref="B51">
      <formula1>-0.9</formula1>
      <formula2>5</formula2>
    </dataValidation>
    <dataValidation type="decimal" allowBlank="1" showInputMessage="1" showErrorMessage="1" errorTitle="Check this entry" error="Enter a percentage from -90% to 500% (type 85% or 0.85)." promptTitle="Price change" prompt="Price change against the option's price, e.g. -5% or +10%. Enter a percentage from -90% to 500% (type 85% or 0.85)." sqref="B52">
      <formula1>-0.9</formula1>
      <formula2>5</formula2>
    </dataValidation>
    <dataValidation type="decimal" allowBlank="1" showInputMessage="1" showErrorMessage="1" errorTitle="Check this entry" error="Enter a percentage from -90% to 500% (type 85% or 0.85)." promptTitle="Price change" prompt="Price change against the option's price, e.g. -5% or +10%. Enter a percentage from -90% to 500% (type 85% or 0.85)." sqref="B53">
      <formula1>-0.9</formula1>
      <formula2>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Break-Even Analysis&amp;R&amp;8&amp;A</oddHeader>
    <oddFooter>&amp;L&amp;8mfgcalcs.com - free manufacturing templates&amp;R&amp;8Page &amp;P of &amp;N</oddFooter>
  </headerFooter>
  <rowBreaks count="2" manualBreakCount="2">
    <brk id="29" max="16383" man="1"/>
    <brk id="55"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0"/>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182</v>
      </c>
      <c r="C4" s="8"/>
      <c r="D4" s="8"/>
    </row>
    <row r="5" spans="1:4" ht="5" customHeight="1"/>
    <row r="6" spans="1:4" ht="55.8" customHeight="1">
      <c r="B6" s="10" t="s">
        <v>183</v>
      </c>
      <c r="C6" s="10"/>
      <c r="D6" s="10"/>
    </row>
    <row r="8" spans="1:4" ht="21" customHeight="1">
      <c r="B8" s="8" t="s">
        <v>184</v>
      </c>
      <c r="C8" s="8"/>
      <c r="D8" s="8"/>
    </row>
    <row r="9" spans="1:4" ht="5" customHeight="1"/>
    <row r="10" spans="1:4" ht="20" customHeight="1">
      <c r="B10" s="33" t="s">
        <v>185</v>
      </c>
      <c r="C10" s="33" t="s">
        <v>186</v>
      </c>
      <c r="D10" s="34" t="s">
        <v>187</v>
      </c>
    </row>
    <row r="11" spans="1:4" ht="17.2" customHeight="1">
      <c r="B11" s="62" t="s">
        <v>155</v>
      </c>
      <c r="C11" s="63" t="s">
        <v>188</v>
      </c>
      <c r="D11" s="64" t="s">
        <v>189</v>
      </c>
    </row>
    <row r="12" spans="1:4" ht="17.2" customHeight="1">
      <c r="B12" s="62" t="s">
        <v>190</v>
      </c>
      <c r="C12" s="63" t="s">
        <v>191</v>
      </c>
      <c r="D12" s="64" t="s">
        <v>192</v>
      </c>
    </row>
    <row r="13" spans="1:4" ht="17.2" customHeight="1">
      <c r="B13" s="62" t="s">
        <v>96</v>
      </c>
      <c r="C13" s="63" t="s">
        <v>193</v>
      </c>
      <c r="D13" s="64" t="s">
        <v>192</v>
      </c>
    </row>
    <row r="14" spans="1:4" ht="17.2" customHeight="1">
      <c r="B14" s="62" t="s">
        <v>97</v>
      </c>
      <c r="C14" s="63" t="s">
        <v>194</v>
      </c>
      <c r="D14" s="64" t="s">
        <v>160</v>
      </c>
    </row>
    <row r="15" spans="1:4" ht="43.6" customHeight="1">
      <c r="B15" s="62" t="s">
        <v>99</v>
      </c>
      <c r="C15" s="63" t="s">
        <v>195</v>
      </c>
      <c r="D15" s="64" t="s">
        <v>93</v>
      </c>
    </row>
    <row r="16" spans="1:4" ht="30.4" customHeight="1">
      <c r="B16" s="62" t="s">
        <v>100</v>
      </c>
      <c r="C16" s="63" t="s">
        <v>196</v>
      </c>
      <c r="D16" s="64" t="s">
        <v>93</v>
      </c>
    </row>
    <row r="17" spans="2:4" ht="17.2" customHeight="1">
      <c r="B17" s="62" t="s">
        <v>101</v>
      </c>
      <c r="C17" s="63" t="s">
        <v>197</v>
      </c>
      <c r="D17" s="64" t="s">
        <v>189</v>
      </c>
    </row>
    <row r="18" spans="2:4" ht="17.2" customHeight="1">
      <c r="B18" s="62" t="s">
        <v>102</v>
      </c>
      <c r="C18" s="63" t="s">
        <v>198</v>
      </c>
      <c r="D18" s="64" t="s">
        <v>189</v>
      </c>
    </row>
    <row r="19" spans="2:4" ht="30.4" customHeight="1">
      <c r="B19" s="62" t="s">
        <v>103</v>
      </c>
      <c r="C19" s="63" t="s">
        <v>199</v>
      </c>
      <c r="D19" s="64" t="s">
        <v>160</v>
      </c>
    </row>
    <row r="20" spans="2:4" ht="43.6" customHeight="1">
      <c r="B20" s="62" t="s">
        <v>159</v>
      </c>
      <c r="C20" s="63" t="s">
        <v>200</v>
      </c>
      <c r="D20" s="64" t="s">
        <v>201</v>
      </c>
    </row>
    <row r="21" spans="2:4" ht="43.6" customHeight="1">
      <c r="B21" s="62" t="s">
        <v>163</v>
      </c>
      <c r="C21" s="63" t="s">
        <v>202</v>
      </c>
      <c r="D21" s="64" t="s">
        <v>93</v>
      </c>
    </row>
    <row r="22" spans="2:4" ht="30.4" customHeight="1">
      <c r="B22" s="62" t="s">
        <v>203</v>
      </c>
      <c r="C22" s="63" t="s">
        <v>204</v>
      </c>
      <c r="D22" s="64" t="s">
        <v>201</v>
      </c>
    </row>
    <row r="23" spans="2:4" ht="43.6" customHeight="1">
      <c r="B23" s="62" t="s">
        <v>205</v>
      </c>
      <c r="C23" s="63" t="s">
        <v>206</v>
      </c>
      <c r="D23" s="64" t="s">
        <v>189</v>
      </c>
    </row>
    <row r="25" spans="2:4" ht="21" customHeight="1">
      <c r="B25" s="8" t="s">
        <v>207</v>
      </c>
      <c r="C25" s="8"/>
      <c r="D25" s="8"/>
    </row>
    <row r="26" spans="2:4" ht="5" customHeight="1"/>
    <row r="27" spans="2:4" ht="29.4" customHeight="1">
      <c r="B27" s="26" t="s">
        <v>55</v>
      </c>
      <c r="C27" s="10" t="s">
        <v>208</v>
      </c>
      <c r="D27" s="10"/>
    </row>
    <row r="28" spans="2:4" ht="29.4" customHeight="1">
      <c r="B28" s="26" t="s">
        <v>55</v>
      </c>
      <c r="C28" s="10" t="s">
        <v>209</v>
      </c>
      <c r="D28" s="10"/>
    </row>
    <row r="29" spans="2:4" ht="29.4" customHeight="1">
      <c r="B29" s="26" t="s">
        <v>55</v>
      </c>
      <c r="C29" s="10" t="s">
        <v>210</v>
      </c>
      <c r="D29" s="10"/>
    </row>
    <row r="30" spans="2:4" ht="29.4" customHeight="1">
      <c r="B30" s="26" t="s">
        <v>55</v>
      </c>
      <c r="C30" s="10" t="s">
        <v>211</v>
      </c>
      <c r="D30" s="10"/>
    </row>
    <row r="32" spans="2:4" ht="21" customHeight="1">
      <c r="B32" s="8" t="s">
        <v>212</v>
      </c>
      <c r="C32" s="8"/>
      <c r="D32" s="8"/>
    </row>
    <row r="33" spans="2:4" ht="5" customHeight="1"/>
    <row r="34" spans="2:4" ht="16.2" customHeight="1">
      <c r="B34" s="26" t="s">
        <v>55</v>
      </c>
      <c r="C34" s="10" t="s">
        <v>213</v>
      </c>
      <c r="D34" s="10"/>
    </row>
    <row r="35" spans="2:4" ht="29.4" customHeight="1">
      <c r="B35" s="26" t="s">
        <v>55</v>
      </c>
      <c r="C35" s="10" t="s">
        <v>214</v>
      </c>
      <c r="D35" s="10"/>
    </row>
    <row r="36" spans="2:4" ht="16.2" customHeight="1">
      <c r="B36" s="26" t="s">
        <v>55</v>
      </c>
      <c r="C36" s="10" t="s">
        <v>215</v>
      </c>
      <c r="D36" s="10"/>
    </row>
    <row r="37" spans="2:4" ht="16.2" customHeight="1">
      <c r="B37" s="26" t="s">
        <v>55</v>
      </c>
      <c r="C37" s="10" t="s">
        <v>216</v>
      </c>
      <c r="D37" s="10"/>
    </row>
    <row r="39" spans="2:4" ht="21" customHeight="1">
      <c r="B39" s="8" t="s">
        <v>217</v>
      </c>
      <c r="C39" s="8"/>
      <c r="D39" s="8"/>
    </row>
    <row r="40" spans="2:4" ht="5" customHeight="1"/>
    <row r="41" spans="2:4" ht="82.2" customHeight="1">
      <c r="B41" s="10" t="s">
        <v>218</v>
      </c>
      <c r="C41" s="10"/>
      <c r="D41" s="10"/>
    </row>
    <row r="42" spans="2:4">
      <c r="B42" s="24" t="s">
        <v>219</v>
      </c>
      <c r="C42" s="24"/>
      <c r="D42" s="24"/>
    </row>
    <row r="44" spans="2:4" ht="21" customHeight="1">
      <c r="B44" s="8" t="s">
        <v>42</v>
      </c>
      <c r="C44" s="8"/>
      <c r="D44" s="8"/>
    </row>
    <row r="45" spans="2:4" ht="5" customHeight="1"/>
    <row r="46" spans="2:4" ht="42.6" customHeight="1">
      <c r="B46" s="10" t="s">
        <v>220</v>
      </c>
      <c r="C46" s="10"/>
      <c r="D46" s="10"/>
    </row>
    <row r="48" spans="2:4" ht="21" customHeight="1">
      <c r="B48" s="8" t="s">
        <v>221</v>
      </c>
      <c r="C48" s="8"/>
      <c r="D48" s="8"/>
    </row>
    <row r="49" spans="2:4" ht="5" customHeight="1"/>
    <row r="50" spans="2:4" ht="29.4" customHeight="1">
      <c r="B50" s="26" t="s">
        <v>55</v>
      </c>
      <c r="C50" s="10" t="s">
        <v>222</v>
      </c>
      <c r="D50" s="10"/>
    </row>
    <row r="51" spans="2:4" ht="16.2" customHeight="1">
      <c r="B51" s="26" t="s">
        <v>55</v>
      </c>
      <c r="C51" s="10" t="s">
        <v>223</v>
      </c>
      <c r="D51" s="10"/>
    </row>
    <row r="52" spans="2:4" ht="16.2" customHeight="1">
      <c r="B52" s="26" t="s">
        <v>55</v>
      </c>
      <c r="C52" s="10" t="s">
        <v>224</v>
      </c>
      <c r="D52" s="10"/>
    </row>
    <row r="53" spans="2:4">
      <c r="B53" s="21" t="s">
        <v>225</v>
      </c>
      <c r="C53" s="21"/>
      <c r="D53" s="21"/>
    </row>
    <row r="55" spans="2:4" ht="21" customHeight="1">
      <c r="B55" s="8" t="s">
        <v>226</v>
      </c>
      <c r="C55" s="8"/>
      <c r="D55" s="8"/>
    </row>
    <row r="56" spans="2:4" ht="5" customHeight="1"/>
    <row r="57" spans="2:4">
      <c r="B57" s="33" t="s">
        <v>50</v>
      </c>
      <c r="C57" s="33" t="s">
        <v>227</v>
      </c>
      <c r="D57" s="34" t="s">
        <v>84</v>
      </c>
    </row>
    <row r="58" spans="2:4" ht="16.2" customHeight="1">
      <c r="B58" s="65" t="s">
        <v>228</v>
      </c>
      <c r="C58" s="66" t="s">
        <v>229</v>
      </c>
      <c r="D58" s="67" t="s">
        <v>230</v>
      </c>
    </row>
    <row r="60" spans="2:4">
      <c r="B60" s="21" t="s">
        <v>61</v>
      </c>
      <c r="C60" s="21"/>
      <c r="D60" s="21"/>
    </row>
  </sheetData>
  <sheetProtection sheet="1" formatColumns="0" formatRows="0"/>
  <mergeCells count="27">
    <mergeCell ref="A1:D1"/>
    <mergeCell ref="B2:C2"/>
    <mergeCell ref="B4:D4"/>
    <mergeCell ref="B6:D6"/>
    <mergeCell ref="B8:D8"/>
    <mergeCell ref="B25:D25"/>
    <mergeCell ref="C27:D27"/>
    <mergeCell ref="C28:D28"/>
    <mergeCell ref="C29:D29"/>
    <mergeCell ref="C30:D30"/>
    <mergeCell ref="B32:D32"/>
    <mergeCell ref="C34:D34"/>
    <mergeCell ref="C35:D35"/>
    <mergeCell ref="C36:D36"/>
    <mergeCell ref="C37:D37"/>
    <mergeCell ref="B39:D39"/>
    <mergeCell ref="B41:D41"/>
    <mergeCell ref="B42:D42"/>
    <mergeCell ref="B44:D44"/>
    <mergeCell ref="B46:D46"/>
    <mergeCell ref="B48:D48"/>
    <mergeCell ref="C50:D50"/>
    <mergeCell ref="C51:D51"/>
    <mergeCell ref="C52:D52"/>
    <mergeCell ref="B53:D53"/>
    <mergeCell ref="B55:D55"/>
    <mergeCell ref="B60:D60"/>
  </mergeCells>
  <hyperlinks>
    <hyperlink ref="D2" r:id="rId1" tooltip="Free manufacturing calculators and templates"/>
    <hyperlink ref="B42" r:id="rId2"/>
  </hyperlinks>
  <printOptions horizontalCentered="1"/>
  <pageMargins left="0.4" right="0.4" top="0.7" bottom="0.65" header="0.3" footer="0.3"/>
  <pageSetup fitToHeight="0" orientation="portrait"/>
  <headerFooter>
    <oddHeader>&amp;L&amp;8MFG Calcs - Break-Even Analysis&amp;R&amp;8&amp;A</oddHeader>
    <oddFooter>&amp;L&amp;8mfgcalcs.com - free manufacturing templates&amp;R&amp;8Page &amp;P of &amp;N</oddFooter>
  </headerFooter>
  <rowBreaks count="2" manualBreakCount="2">
    <brk id="24" max="16383" man="1"/>
    <brk id="54"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L88"/>
  <sheetViews>
    <sheetView showGridLines="0" workbookViewId="0"/>
  </sheetViews>
  <sheetFormatPr defaultRowHeight="15"/>
  <cols>
    <col min="1" max="1" width="2.7109375" customWidth="1"/>
    <col min="2" max="19" width="12.7109375" customWidth="1"/>
  </cols>
  <sheetData>
    <row r="1" spans="1:12" ht="30" customHeight="1">
      <c r="A1" s="1" t="s">
        <v>0</v>
      </c>
      <c r="B1" s="1"/>
      <c r="C1" s="1"/>
      <c r="D1" s="1"/>
      <c r="E1" s="1"/>
      <c r="F1" s="1"/>
      <c r="G1" s="1"/>
      <c r="H1" s="1"/>
      <c r="I1" s="1"/>
      <c r="J1" s="1"/>
      <c r="K1" s="1"/>
      <c r="L1" s="1"/>
    </row>
    <row r="2" spans="1:12" ht="21" customHeight="1">
      <c r="B2" s="2" t="s">
        <v>28</v>
      </c>
      <c r="C2" s="2"/>
      <c r="D2" s="2"/>
      <c r="E2" s="2"/>
      <c r="F2" s="2"/>
      <c r="G2" s="2"/>
      <c r="H2" s="2"/>
      <c r="I2" s="2"/>
      <c r="J2" s="2"/>
      <c r="K2" s="2"/>
      <c r="L2" s="3" t="s">
        <v>2</v>
      </c>
    </row>
    <row r="3" spans="1:12" ht="6" customHeight="1"/>
    <row r="4" spans="1:12" ht="30" customHeight="1">
      <c r="B4" s="68" t="s">
        <v>231</v>
      </c>
      <c r="C4" s="68"/>
      <c r="D4" s="22" t="str">
        <f>IF(COUNTIF($K$11:$K$33,"PASS")=23,"PASS","FAIL")</f>
        <v>PASS</v>
      </c>
      <c r="E4" s="22"/>
      <c r="F4" s="23" t="str">
        <f>COUNTIF($K$11:$K$33,"PASS")&amp;" of 23 checks pass"</f>
        <v>23 of 23 checks pass</v>
      </c>
      <c r="G4" s="23"/>
      <c r="H4" s="23"/>
      <c r="I4" s="23"/>
      <c r="J4" s="23"/>
    </row>
    <row r="6" spans="1:12" ht="29.4" customHeight="1">
      <c r="B6" s="10" t="s">
        <v>232</v>
      </c>
      <c r="C6" s="10"/>
      <c r="D6" s="10"/>
      <c r="E6" s="10"/>
      <c r="F6" s="10"/>
      <c r="G6" s="10"/>
      <c r="H6" s="10"/>
      <c r="I6" s="10"/>
      <c r="J6" s="10"/>
      <c r="K6" s="10"/>
      <c r="L6" s="10"/>
    </row>
    <row r="8" spans="1:12" ht="21" customHeight="1">
      <c r="B8" s="8" t="s">
        <v>233</v>
      </c>
      <c r="C8" s="8"/>
      <c r="D8" s="8"/>
      <c r="E8" s="8"/>
      <c r="F8" s="8"/>
      <c r="G8" s="8"/>
      <c r="H8" s="8"/>
      <c r="I8" s="8"/>
      <c r="J8" s="8"/>
      <c r="K8" s="8"/>
      <c r="L8" s="8"/>
    </row>
    <row r="9" spans="1:12" ht="5" customHeight="1"/>
    <row r="10" spans="1:12" ht="30" customHeight="1">
      <c r="B10" s="34" t="s">
        <v>234</v>
      </c>
      <c r="C10" s="33" t="s">
        <v>75</v>
      </c>
      <c r="D10" s="33"/>
      <c r="E10" s="33"/>
      <c r="F10" s="33"/>
      <c r="G10" s="34" t="s">
        <v>235</v>
      </c>
      <c r="H10" s="34" t="s">
        <v>236</v>
      </c>
      <c r="I10" s="34" t="s">
        <v>237</v>
      </c>
      <c r="J10" s="34" t="s">
        <v>238</v>
      </c>
      <c r="K10" s="34" t="s">
        <v>239</v>
      </c>
    </row>
    <row r="11" spans="1:12" ht="16.2" customHeight="1">
      <c r="B11" s="69">
        <v>1</v>
      </c>
      <c r="C11" s="66" t="s">
        <v>240</v>
      </c>
      <c r="D11" s="66"/>
      <c r="E11" s="66"/>
      <c r="F11" s="66"/>
      <c r="G11" s="60">
        <v>18000</v>
      </c>
      <c r="H11" s="38">
        <f>$F$60</f>
        <v>18000</v>
      </c>
      <c r="I11" s="70">
        <f>IF(AND(ISNUMBER($G$11),ISNUMBER($H$11)),ABS($H$11-$G$11),"")</f>
        <v>0</v>
      </c>
      <c r="J11" s="71">
        <v>1E-09</v>
      </c>
      <c r="K11" s="45" t="str">
        <f>IF(AND(ISNUMBER($G$11),ISNUMBER($H$11)),IF(ABS($H$11-$G$11)&lt;=$J$11,"PASS","FAIL"),"FAIL")</f>
        <v>PASS</v>
      </c>
    </row>
    <row r="12" spans="1:12" ht="16.2" customHeight="1">
      <c r="B12" s="69">
        <v>2</v>
      </c>
      <c r="C12" s="66" t="s">
        <v>241</v>
      </c>
      <c r="D12" s="66"/>
      <c r="E12" s="66"/>
      <c r="F12" s="66"/>
      <c r="G12" s="72">
        <v>12.5</v>
      </c>
      <c r="H12" s="39">
        <f>$F$61</f>
        <v>12.5</v>
      </c>
      <c r="I12" s="70">
        <f>IF(AND(ISNUMBER($G$12),ISNUMBER($H$12)),ABS($H$12-$G$12),"")</f>
        <v>0</v>
      </c>
      <c r="J12" s="71">
        <v>1E-09</v>
      </c>
      <c r="K12" s="45" t="str">
        <f>IF(AND(ISNUMBER($G$12),ISNUMBER($H$12)),IF(ABS($H$12-$G$12)&lt;=$J$12,"PASS","FAIL"),"FAIL")</f>
        <v>PASS</v>
      </c>
    </row>
    <row r="13" spans="1:12" ht="16.2" customHeight="1">
      <c r="B13" s="69">
        <v>3</v>
      </c>
      <c r="C13" s="66" t="s">
        <v>242</v>
      </c>
      <c r="D13" s="66"/>
      <c r="E13" s="66"/>
      <c r="F13" s="66"/>
      <c r="G13" s="72">
        <v>8.5</v>
      </c>
      <c r="H13" s="39">
        <f>$F$62</f>
        <v>8.5</v>
      </c>
      <c r="I13" s="70">
        <f>IF(AND(ISNUMBER($G$13),ISNUMBER($H$13)),ABS($H$13-$G$13),"")</f>
        <v>0</v>
      </c>
      <c r="J13" s="71">
        <v>1E-09</v>
      </c>
      <c r="K13" s="45" t="str">
        <f>IF(AND(ISNUMBER($G$13),ISNUMBER($H$13)),IF(ABS($H$13-$G$13)&lt;=$J$13,"PASS","FAIL"),"FAIL")</f>
        <v>PASS</v>
      </c>
    </row>
    <row r="14" spans="1:12" ht="16.2" customHeight="1">
      <c r="B14" s="69">
        <v>4</v>
      </c>
      <c r="C14" s="66" t="s">
        <v>243</v>
      </c>
      <c r="D14" s="66"/>
      <c r="E14" s="66"/>
      <c r="F14" s="66"/>
      <c r="G14" s="73">
        <v>0.4047619047619048</v>
      </c>
      <c r="H14" s="41">
        <f>$F$63</f>
        <v>0.404761904761905</v>
      </c>
      <c r="I14" s="70">
        <f>IF(AND(ISNUMBER($G$14),ISNUMBER($H$14)),ABS($H$14-$G$14),"")</f>
        <v>0</v>
      </c>
      <c r="J14" s="71">
        <v>1E-09</v>
      </c>
      <c r="K14" s="45" t="str">
        <f>IF(AND(ISNUMBER($G$14),ISNUMBER($H$14)),IF(ABS($H$14-$G$14)&lt;=$J$14,"PASS","FAIL"),"FAIL")</f>
        <v>PASS</v>
      </c>
    </row>
    <row r="15" spans="1:12" ht="16.2" customHeight="1">
      <c r="B15" s="69">
        <v>5</v>
      </c>
      <c r="C15" s="66" t="s">
        <v>244</v>
      </c>
      <c r="D15" s="66"/>
      <c r="E15" s="66"/>
      <c r="F15" s="66"/>
      <c r="G15" s="74">
        <v>2117.647058823529</v>
      </c>
      <c r="H15" s="75">
        <f>$F$64</f>
        <v>2117.64705882353</v>
      </c>
      <c r="I15" s="70">
        <f>IF(AND(ISNUMBER($G$15),ISNUMBER($H$15)),ABS($H$15-$G$15),"")</f>
        <v>0</v>
      </c>
      <c r="J15" s="71">
        <v>1E-09</v>
      </c>
      <c r="K15" s="45" t="str">
        <f>IF(AND(ISNUMBER($G$15),ISNUMBER($H$15)),IF(ABS($H$15-$G$15)&lt;=$J$15,"PASS","FAIL"),"FAIL")</f>
        <v>PASS</v>
      </c>
    </row>
    <row r="16" spans="1:12" ht="16.2" customHeight="1">
      <c r="B16" s="69">
        <v>6</v>
      </c>
      <c r="C16" s="66" t="s">
        <v>245</v>
      </c>
      <c r="D16" s="66"/>
      <c r="E16" s="66"/>
      <c r="F16" s="66"/>
      <c r="G16" s="60">
        <v>2118</v>
      </c>
      <c r="H16" s="38">
        <f>$F$65</f>
        <v>2118</v>
      </c>
      <c r="I16" s="70">
        <f>IF(AND(ISNUMBER($G$16),ISNUMBER($H$16)),ABS($H$16-$G$16),"")</f>
        <v>0</v>
      </c>
      <c r="J16" s="71">
        <v>1E-09</v>
      </c>
      <c r="K16" s="45" t="str">
        <f>IF(AND(ISNUMBER($G$16),ISNUMBER($H$16)),IF(ABS($H$16-$G$16)&lt;=$J$16,"PASS","FAIL"),"FAIL")</f>
        <v>PASS</v>
      </c>
    </row>
    <row r="17" spans="2:11" ht="16.2" customHeight="1">
      <c r="B17" s="69">
        <v>7</v>
      </c>
      <c r="C17" s="66" t="s">
        <v>246</v>
      </c>
      <c r="D17" s="66"/>
      <c r="E17" s="66"/>
      <c r="F17" s="66"/>
      <c r="G17" s="72">
        <v>44470.58823529411</v>
      </c>
      <c r="H17" s="39">
        <f>$F$66</f>
        <v>44470.5882352941</v>
      </c>
      <c r="I17" s="70">
        <f>IF(AND(ISNUMBER($G$17),ISNUMBER($H$17)),ABS($H$17-$G$17),"")</f>
        <v>0</v>
      </c>
      <c r="J17" s="71">
        <v>1E-09</v>
      </c>
      <c r="K17" s="45" t="str">
        <f>IF(AND(ISNUMBER($G$17),ISNUMBER($H$17)),IF(ABS($H$17-$G$17)&lt;=$J$17,"PASS","FAIL"),"FAIL")</f>
        <v>PASS</v>
      </c>
    </row>
    <row r="18" spans="2:11" ht="16.2" customHeight="1">
      <c r="B18" s="69">
        <v>8</v>
      </c>
      <c r="C18" s="66" t="s">
        <v>247</v>
      </c>
      <c r="D18" s="66"/>
      <c r="E18" s="66"/>
      <c r="F18" s="66"/>
      <c r="G18" s="72">
        <v>7500</v>
      </c>
      <c r="H18" s="39">
        <f>$F$67</f>
        <v>7500</v>
      </c>
      <c r="I18" s="70">
        <f>IF(AND(ISNUMBER($G$18),ISNUMBER($H$18)),ABS($H$18-$G$18),"")</f>
        <v>0</v>
      </c>
      <c r="J18" s="71">
        <v>1E-09</v>
      </c>
      <c r="K18" s="45" t="str">
        <f>IF(AND(ISNUMBER($G$18),ISNUMBER($H$18)),IF(ABS($H$18-$G$18)&lt;=$J$18,"PASS","FAIL"),"FAIL")</f>
        <v>PASS</v>
      </c>
    </row>
    <row r="19" spans="2:11" ht="16.2" customHeight="1">
      <c r="B19" s="69">
        <v>9</v>
      </c>
      <c r="C19" s="66" t="s">
        <v>248</v>
      </c>
      <c r="D19" s="66"/>
      <c r="E19" s="66"/>
      <c r="F19" s="66"/>
      <c r="G19" s="73">
        <v>0.2941176470588236</v>
      </c>
      <c r="H19" s="41">
        <f>$F$68</f>
        <v>0.294117647058824</v>
      </c>
      <c r="I19" s="70">
        <f>IF(AND(ISNUMBER($G$19),ISNUMBER($H$19)),ABS($H$19-$G$19),"")</f>
        <v>0</v>
      </c>
      <c r="J19" s="71">
        <v>1E-09</v>
      </c>
      <c r="K19" s="45" t="str">
        <f>IF(AND(ISNUMBER($G$19),ISNUMBER($H$19)),IF(ABS($H$19-$G$19)&lt;=$J$19,"PASS","FAIL"),"FAIL")</f>
        <v>PASS</v>
      </c>
    </row>
    <row r="20" spans="2:11" ht="16.2" customHeight="1">
      <c r="B20" s="69">
        <v>10</v>
      </c>
      <c r="C20" s="66" t="s">
        <v>249</v>
      </c>
      <c r="D20" s="66"/>
      <c r="E20" s="66"/>
      <c r="F20" s="66"/>
      <c r="G20" s="65" t="s">
        <v>250</v>
      </c>
      <c r="H20" s="58" t="str">
        <f>$F$69</f>
        <v>On target</v>
      </c>
      <c r="I20" s="58"/>
      <c r="J20" s="67" t="s">
        <v>251</v>
      </c>
      <c r="K20" s="45" t="str">
        <f>IF($H$20&amp;""=$G$20&amp;"","PASS","FAIL")</f>
        <v>PASS</v>
      </c>
    </row>
    <row r="21" spans="2:11" ht="16.2" customHeight="1">
      <c r="B21" s="69">
        <v>11</v>
      </c>
      <c r="C21" s="66" t="s">
        <v>252</v>
      </c>
      <c r="D21" s="66"/>
      <c r="E21" s="66"/>
      <c r="F21" s="66"/>
      <c r="G21" s="74">
        <v>2608.695652173913</v>
      </c>
      <c r="H21" s="75">
        <f>$G$64</f>
        <v>2608.69565217391</v>
      </c>
      <c r="I21" s="70">
        <f>IF(AND(ISNUMBER($G$21),ISNUMBER($H$21)),ABS($H$21-$G$21),"")</f>
        <v>0</v>
      </c>
      <c r="J21" s="71">
        <v>1E-09</v>
      </c>
      <c r="K21" s="45" t="str">
        <f>IF(AND(ISNUMBER($G$21),ISNUMBER($H$21)),IF(ABS($H$21-$G$21)&lt;=$J$21,"PASS","FAIL"),"FAIL")</f>
        <v>PASS</v>
      </c>
    </row>
    <row r="22" spans="2:11" ht="16.2" customHeight="1">
      <c r="B22" s="69">
        <v>12</v>
      </c>
      <c r="C22" s="66" t="s">
        <v>253</v>
      </c>
      <c r="D22" s="66"/>
      <c r="E22" s="66"/>
      <c r="F22" s="66"/>
      <c r="G22" s="72">
        <v>-1250</v>
      </c>
      <c r="H22" s="39">
        <f>$G$67</f>
        <v>-1250</v>
      </c>
      <c r="I22" s="70">
        <f>IF(AND(ISNUMBER($G$22),ISNUMBER($H$22)),ABS($H$22-$G$22),"")</f>
        <v>0</v>
      </c>
      <c r="J22" s="71">
        <v>1E-09</v>
      </c>
      <c r="K22" s="45" t="str">
        <f>IF(AND(ISNUMBER($G$22),ISNUMBER($H$22)),IF(ABS($H$22-$G$22)&lt;=$J$22,"PASS","FAIL"),"FAIL")</f>
        <v>PASS</v>
      </c>
    </row>
    <row r="23" spans="2:11" ht="16.2" customHeight="1">
      <c r="B23" s="69">
        <v>13</v>
      </c>
      <c r="C23" s="66" t="s">
        <v>254</v>
      </c>
      <c r="D23" s="66"/>
      <c r="E23" s="66"/>
      <c r="F23" s="66"/>
      <c r="G23" s="65" t="s">
        <v>255</v>
      </c>
      <c r="H23" s="58" t="str">
        <f>$G$70</f>
        <v>Volume below break-even</v>
      </c>
      <c r="I23" s="58"/>
      <c r="J23" s="67" t="s">
        <v>251</v>
      </c>
      <c r="K23" s="45" t="str">
        <f>IF($H$23&amp;""=$G$23&amp;"","PASS","FAIL")</f>
        <v>PASS</v>
      </c>
    </row>
    <row r="24" spans="2:11" ht="29.4" customHeight="1">
      <c r="B24" s="69">
        <v>14</v>
      </c>
      <c r="C24" s="66" t="s">
        <v>256</v>
      </c>
      <c r="D24" s="66"/>
      <c r="E24" s="66"/>
      <c r="F24" s="66"/>
      <c r="G24" s="65" t="s">
        <v>114</v>
      </c>
      <c r="H24" s="58">
        <f>$H$64</f>
        <v/>
      </c>
      <c r="I24" s="58"/>
      <c r="J24" s="67" t="s">
        <v>251</v>
      </c>
      <c r="K24" s="45" t="str">
        <f>IF($H$24&amp;""=$G$24&amp;"","PASS","FAIL")</f>
        <v>PASS</v>
      </c>
    </row>
    <row r="25" spans="2:11" ht="16.2" customHeight="1">
      <c r="B25" s="69">
        <v>15</v>
      </c>
      <c r="C25" s="66" t="s">
        <v>257</v>
      </c>
      <c r="D25" s="66"/>
      <c r="E25" s="66"/>
      <c r="F25" s="66"/>
      <c r="G25" s="65" t="s">
        <v>258</v>
      </c>
      <c r="H25" s="58" t="str">
        <f>$H$70</f>
        <v>Price below variable cost</v>
      </c>
      <c r="I25" s="58"/>
      <c r="J25" s="67" t="s">
        <v>251</v>
      </c>
      <c r="K25" s="45" t="str">
        <f>IF($H$25&amp;""=$G$25&amp;"","PASS","FAIL")</f>
        <v>PASS</v>
      </c>
    </row>
    <row r="26" spans="2:11" ht="16.2" customHeight="1">
      <c r="B26" s="69">
        <v>16</v>
      </c>
      <c r="C26" s="66" t="s">
        <v>259</v>
      </c>
      <c r="D26" s="66"/>
      <c r="E26" s="66"/>
      <c r="F26" s="66"/>
      <c r="G26" s="65" t="s">
        <v>260</v>
      </c>
      <c r="H26" s="58" t="str">
        <f>$H$69</f>
        <v>Below target</v>
      </c>
      <c r="I26" s="58"/>
      <c r="J26" s="67" t="s">
        <v>251</v>
      </c>
      <c r="K26" s="45" t="str">
        <f>IF($H$26&amp;""=$G$26&amp;"","PASS","FAIL")</f>
        <v>PASS</v>
      </c>
    </row>
    <row r="27" spans="2:11" ht="16.2" customHeight="1">
      <c r="B27" s="69">
        <v>17</v>
      </c>
      <c r="C27" s="66" t="s">
        <v>261</v>
      </c>
      <c r="D27" s="66"/>
      <c r="E27" s="66"/>
      <c r="F27" s="66"/>
      <c r="G27" s="65" t="s">
        <v>262</v>
      </c>
      <c r="H27" s="58" t="str">
        <f>$G$47</f>
        <v>No amount entered</v>
      </c>
      <c r="I27" s="58"/>
      <c r="J27" s="67" t="s">
        <v>251</v>
      </c>
      <c r="K27" s="45" t="str">
        <f>IF($H$27&amp;""=$G$27&amp;"","PASS","FAIL")</f>
        <v>PASS</v>
      </c>
    </row>
    <row r="28" spans="2:11" ht="16.2" customHeight="1">
      <c r="B28" s="69">
        <v>18</v>
      </c>
      <c r="C28" s="66" t="s">
        <v>263</v>
      </c>
      <c r="D28" s="66"/>
      <c r="E28" s="66"/>
      <c r="F28" s="66"/>
      <c r="G28" s="74">
        <v>4000</v>
      </c>
      <c r="H28" s="75">
        <f>$C$75</f>
        <v>4000</v>
      </c>
      <c r="I28" s="70">
        <f>IF(AND(ISNUMBER($G$28),ISNUMBER($H$28)),ABS($H$28-$G$28),"")</f>
        <v>0</v>
      </c>
      <c r="J28" s="71">
        <v>1E-09</v>
      </c>
      <c r="K28" s="45" t="str">
        <f>IF(AND(ISNUMBER($G$28),ISNUMBER($H$28)),IF(ABS($H$28-$G$28)&lt;=$J$28,"PASS","FAIL"),"FAIL")</f>
        <v>PASS</v>
      </c>
    </row>
    <row r="29" spans="2:11" ht="16.2" customHeight="1">
      <c r="B29" s="69">
        <v>19</v>
      </c>
      <c r="C29" s="66" t="s">
        <v>264</v>
      </c>
      <c r="D29" s="66"/>
      <c r="E29" s="66"/>
      <c r="F29" s="66"/>
      <c r="G29" s="65" t="s">
        <v>265</v>
      </c>
      <c r="H29" s="58" t="str">
        <f>$E$75</f>
        <v>Hard tooling makes more above it, Calculator example below it</v>
      </c>
      <c r="I29" s="58"/>
      <c r="J29" s="67" t="s">
        <v>251</v>
      </c>
      <c r="K29" s="45" t="str">
        <f>IF($H$29&amp;""=$G$29&amp;"","PASS","FAIL")</f>
        <v>PASS</v>
      </c>
    </row>
    <row r="30" spans="2:11" ht="16.2" customHeight="1">
      <c r="B30" s="69">
        <v>20</v>
      </c>
      <c r="C30" s="66" t="s">
        <v>266</v>
      </c>
      <c r="D30" s="66"/>
      <c r="E30" s="66"/>
      <c r="F30" s="66"/>
      <c r="G30" s="60">
        <v>3192</v>
      </c>
      <c r="H30" s="38">
        <f>$E$83</f>
        <v>3192</v>
      </c>
      <c r="I30" s="70">
        <f>IF(AND(ISNUMBER($G$30),ISNUMBER($H$30)),ABS($H$30-$G$30),"")</f>
        <v>0</v>
      </c>
      <c r="J30" s="71">
        <v>1E-09</v>
      </c>
      <c r="K30" s="45" t="str">
        <f>IF(AND(ISNUMBER($G$30),ISNUMBER($H$30)),IF(ABS($H$30-$G$30)&lt;=$J$30,"PASS","FAIL"),"FAIL")</f>
        <v>PASS</v>
      </c>
    </row>
    <row r="31" spans="2:11" ht="16.2" customHeight="1">
      <c r="B31" s="69">
        <v>21</v>
      </c>
      <c r="C31" s="66" t="s">
        <v>267</v>
      </c>
      <c r="D31" s="66"/>
      <c r="E31" s="66"/>
      <c r="F31" s="66"/>
      <c r="G31" s="72">
        <v>-6499.999999999996</v>
      </c>
      <c r="H31" s="39">
        <f>$F$83</f>
        <v>-6500</v>
      </c>
      <c r="I31" s="70">
        <f>IF(AND(ISNUMBER($G$31),ISNUMBER($H$31)),ABS($H$31-$G$31),"")</f>
        <v>0</v>
      </c>
      <c r="J31" s="71">
        <v>1E-09</v>
      </c>
      <c r="K31" s="45" t="str">
        <f>IF(AND(ISNUMBER($G$31),ISNUMBER($H$31)),IF(ABS($H$31-$G$31)&lt;=$J$31,"PASS","FAIL"),"FAIL")</f>
        <v>PASS</v>
      </c>
    </row>
    <row r="32" spans="2:11" ht="16.2" customHeight="1">
      <c r="B32" s="69">
        <v>22</v>
      </c>
      <c r="C32" s="66" t="s">
        <v>268</v>
      </c>
      <c r="D32" s="66"/>
      <c r="E32" s="66"/>
      <c r="F32" s="66"/>
      <c r="G32" s="60">
        <v>2609</v>
      </c>
      <c r="H32" s="38">
        <f>INDEX($F$65:$H$65,$E$40)</f>
        <v>2609</v>
      </c>
      <c r="I32" s="70">
        <f>IF(AND(ISNUMBER($G$32),ISNUMBER($H$32)),ABS($H$32-$G$32),"")</f>
        <v>0</v>
      </c>
      <c r="J32" s="71">
        <v>1E-09</v>
      </c>
      <c r="K32" s="45" t="str">
        <f>IF(AND(ISNUMBER($G$32),ISNUMBER($H$32)),IF(ABS($H$32-$G$32)&lt;=$J$32,"PASS","FAIL"),"FAIL")</f>
        <v>PASS</v>
      </c>
    </row>
    <row r="33" spans="2:12" ht="16.2" customHeight="1">
      <c r="B33" s="69">
        <v>23</v>
      </c>
      <c r="C33" s="66" t="s">
        <v>269</v>
      </c>
      <c r="D33" s="66"/>
      <c r="E33" s="66"/>
      <c r="F33" s="66"/>
      <c r="G33" s="65" t="s">
        <v>270</v>
      </c>
      <c r="H33" s="58" t="str">
        <f>IF(COUNT($F$67:$H$67)=0,"",INDEX($F$57:$H$57,MATCH(MAX($F$67:$H$67),$F$67:$H$67,0)))</f>
        <v>Calculator example</v>
      </c>
      <c r="I33" s="58"/>
      <c r="J33" s="67" t="s">
        <v>251</v>
      </c>
      <c r="K33" s="45" t="str">
        <f>IF($H$33&amp;""=$G$33&amp;"","PASS","FAIL")</f>
        <v>PASS</v>
      </c>
    </row>
    <row r="35" spans="2:12" ht="21" customHeight="1">
      <c r="B35" s="8" t="s">
        <v>271</v>
      </c>
      <c r="C35" s="8"/>
      <c r="D35" s="8"/>
      <c r="E35" s="8"/>
      <c r="F35" s="8"/>
      <c r="G35" s="8"/>
      <c r="H35" s="8"/>
      <c r="I35" s="8"/>
      <c r="J35" s="8"/>
      <c r="K35" s="8"/>
      <c r="L35" s="8"/>
    </row>
    <row r="36" spans="2:12" ht="5" customHeight="1"/>
    <row r="37" spans="2:12">
      <c r="B37" s="21" t="s">
        <v>272</v>
      </c>
      <c r="C37" s="21"/>
      <c r="D37" s="21"/>
      <c r="E37" s="21"/>
      <c r="F37" s="21"/>
      <c r="G37" s="21"/>
      <c r="H37" s="21"/>
      <c r="I37" s="21"/>
      <c r="J37" s="21"/>
      <c r="K37" s="21"/>
      <c r="L37" s="21"/>
    </row>
    <row r="38" spans="2:12">
      <c r="B38" s="56" t="s">
        <v>273</v>
      </c>
      <c r="C38" s="56"/>
      <c r="D38" s="56"/>
      <c r="E38" s="56"/>
      <c r="F38" s="56"/>
    </row>
    <row r="39" spans="2:12">
      <c r="B39" s="27" t="s">
        <v>274</v>
      </c>
      <c r="C39" s="27"/>
      <c r="D39" s="27"/>
      <c r="E39" s="73">
        <v>0.25</v>
      </c>
      <c r="F39" s="7"/>
    </row>
    <row r="40" spans="2:12">
      <c r="B40" s="27" t="s">
        <v>275</v>
      </c>
      <c r="C40" s="27"/>
      <c r="D40" s="27"/>
      <c r="E40" s="60">
        <v>2</v>
      </c>
      <c r="F40" s="7"/>
    </row>
    <row r="42" spans="2:12">
      <c r="B42" s="56" t="s">
        <v>276</v>
      </c>
      <c r="C42" s="56"/>
      <c r="D42" s="56"/>
      <c r="E42" s="56"/>
      <c r="F42" s="56"/>
      <c r="G42" s="56"/>
      <c r="H42" s="56"/>
      <c r="I42" s="56"/>
      <c r="J42" s="56"/>
      <c r="K42" s="56"/>
      <c r="L42" s="56"/>
    </row>
    <row r="43" spans="2:12" ht="14" customHeight="1">
      <c r="B43" s="46"/>
      <c r="C43" s="46"/>
      <c r="D43" s="46" t="str">
        <f>Currency</f>
        <v>EUR</v>
      </c>
      <c r="E43" s="46" t="str">
        <f>Currency</f>
        <v>EUR</v>
      </c>
      <c r="F43" s="46" t="str">
        <f>Currency</f>
        <v>EUR</v>
      </c>
      <c r="G43" s="46"/>
      <c r="H43" s="46"/>
    </row>
    <row r="44" spans="2:12" ht="20" customHeight="1">
      <c r="B44" s="34" t="s">
        <v>70</v>
      </c>
      <c r="C44" s="34" t="s">
        <v>71</v>
      </c>
      <c r="D44" s="34" t="s">
        <v>72</v>
      </c>
      <c r="E44" s="34" t="s">
        <v>73</v>
      </c>
      <c r="F44" s="34" t="s">
        <v>74</v>
      </c>
      <c r="G44" s="34" t="s">
        <v>75</v>
      </c>
      <c r="H44" s="34" t="s">
        <v>76</v>
      </c>
    </row>
    <row r="45" spans="2:12">
      <c r="B45" s="65" t="s">
        <v>277</v>
      </c>
      <c r="C45" s="65" t="s">
        <v>110</v>
      </c>
      <c r="D45" s="60">
        <v>15000</v>
      </c>
      <c r="E45" s="60">
        <v>26000</v>
      </c>
      <c r="F45" s="60">
        <v>2000</v>
      </c>
      <c r="G45" s="47" t="str">
        <f>IF(tblVerifyFixed[[#This Row],[Item]]="","",IF(tblVerifyFixed[[#This Row],[Category]]="","Missing category",IF(AND(tblVerifyFixed[[#This Row],[Option A]]="",tblVerifyFixed[[#This Row],[Option B]]="",tblVerifyFixed[[#This Row],[Option C]]=""),"No amount entered","OK")))</f>
        <v>OK</v>
      </c>
      <c r="H45" s="65" t="s">
        <v>114</v>
      </c>
    </row>
    <row r="46" spans="2:12">
      <c r="B46" s="65" t="s">
        <v>278</v>
      </c>
      <c r="C46" s="65" t="s">
        <v>113</v>
      </c>
      <c r="D46" s="60">
        <v>3000</v>
      </c>
      <c r="E46" s="60">
        <v>4000</v>
      </c>
      <c r="F46" s="60">
        <v>3000</v>
      </c>
      <c r="G46" s="47" t="str">
        <f>IF(tblVerifyFixed[[#This Row],[Item]]="","",IF(tblVerifyFixed[[#This Row],[Category]]="","Missing category",IF(AND(tblVerifyFixed[[#This Row],[Option A]]="",tblVerifyFixed[[#This Row],[Option B]]="",tblVerifyFixed[[#This Row],[Option C]]=""),"No amount entered","OK")))</f>
        <v>OK</v>
      </c>
      <c r="H46" s="65" t="s">
        <v>114</v>
      </c>
    </row>
    <row r="47" spans="2:12">
      <c r="B47" s="65" t="s">
        <v>279</v>
      </c>
      <c r="C47" s="65" t="s">
        <v>138</v>
      </c>
      <c r="D47" s="60"/>
      <c r="E47" s="60"/>
      <c r="F47" s="60"/>
      <c r="G47" s="47" t="str">
        <f>IF(tblVerifyFixed[[#This Row],[Item]]="","",IF(tblVerifyFixed[[#This Row],[Category]]="","Missing category",IF(AND(tblVerifyFixed[[#This Row],[Option A]]="",tblVerifyFixed[[#This Row],[Option B]]="",tblVerifyFixed[[#This Row],[Option C]]=""),"No amount entered","OK")))</f>
        <v>No amount entered</v>
      </c>
      <c r="H47" s="65" t="s">
        <v>114</v>
      </c>
    </row>
    <row r="49" spans="2:12">
      <c r="B49" s="56" t="s">
        <v>280</v>
      </c>
      <c r="C49" s="56"/>
      <c r="D49" s="56"/>
      <c r="E49" s="56"/>
      <c r="F49" s="56"/>
      <c r="G49" s="56"/>
      <c r="H49" s="56"/>
      <c r="I49" s="56"/>
      <c r="J49" s="56"/>
      <c r="K49" s="56"/>
      <c r="L49" s="56"/>
    </row>
    <row r="50" spans="2:12" ht="14" customHeight="1">
      <c r="B50" s="46"/>
      <c r="C50" s="46"/>
      <c r="D50" s="46" t="str">
        <f>Currency&amp;"/unit"</f>
        <v>EUR/unit</v>
      </c>
      <c r="E50" s="46" t="str">
        <f>Currency&amp;"/unit"</f>
        <v>EUR/unit</v>
      </c>
      <c r="F50" s="46" t="str">
        <f>Currency&amp;"/unit"</f>
        <v>EUR/unit</v>
      </c>
      <c r="G50" s="46"/>
      <c r="H50" s="46"/>
    </row>
    <row r="51" spans="2:12" ht="20" customHeight="1">
      <c r="B51" s="34" t="s">
        <v>70</v>
      </c>
      <c r="C51" s="34" t="s">
        <v>71</v>
      </c>
      <c r="D51" s="34" t="s">
        <v>72</v>
      </c>
      <c r="E51" s="34" t="s">
        <v>73</v>
      </c>
      <c r="F51" s="34" t="s">
        <v>74</v>
      </c>
      <c r="G51" s="34" t="s">
        <v>75</v>
      </c>
      <c r="H51" s="34" t="s">
        <v>76</v>
      </c>
    </row>
    <row r="52" spans="2:12">
      <c r="B52" s="65" t="s">
        <v>127</v>
      </c>
      <c r="C52" s="65" t="s">
        <v>127</v>
      </c>
      <c r="D52" s="72">
        <v>8</v>
      </c>
      <c r="E52" s="72">
        <v>7.5</v>
      </c>
      <c r="F52" s="72">
        <v>0</v>
      </c>
      <c r="G52" s="47" t="str">
        <f>IF(tblVerifyVariable[[#This Row],[Item]]="","",IF(tblVerifyVariable[[#This Row],[Category]]="","Missing category",IF(AND(tblVerifyVariable[[#This Row],[Option A]]="",tblVerifyVariable[[#This Row],[Option B]]="",tblVerifyVariable[[#This Row],[Option C]]=""),"No amount entered","OK")))</f>
        <v>OK</v>
      </c>
      <c r="H52" s="65" t="s">
        <v>114</v>
      </c>
    </row>
    <row r="53" spans="2:12">
      <c r="B53" s="65" t="s">
        <v>281</v>
      </c>
      <c r="C53" s="65" t="s">
        <v>130</v>
      </c>
      <c r="D53" s="72">
        <v>4.5</v>
      </c>
      <c r="E53" s="72">
        <v>2</v>
      </c>
      <c r="F53" s="72">
        <v>0</v>
      </c>
      <c r="G53" s="47" t="str">
        <f>IF(tblVerifyVariable[[#This Row],[Item]]="","",IF(tblVerifyVariable[[#This Row],[Category]]="","Missing category",IF(AND(tblVerifyVariable[[#This Row],[Option A]]="",tblVerifyVariable[[#This Row],[Option B]]="",tblVerifyVariable[[#This Row],[Option C]]=""),"No amount entered","OK")))</f>
        <v>OK</v>
      </c>
      <c r="H53" s="65" t="s">
        <v>114</v>
      </c>
    </row>
    <row r="54" spans="2:12">
      <c r="B54" s="65" t="s">
        <v>282</v>
      </c>
      <c r="C54" s="65" t="s">
        <v>135</v>
      </c>
      <c r="D54" s="72">
        <v>0</v>
      </c>
      <c r="E54" s="72">
        <v>0</v>
      </c>
      <c r="F54" s="72">
        <v>22</v>
      </c>
      <c r="G54" s="47" t="str">
        <f>IF(tblVerifyVariable[[#This Row],[Item]]="","",IF(tblVerifyVariable[[#This Row],[Category]]="","Missing category",IF(AND(tblVerifyVariable[[#This Row],[Option A]]="",tblVerifyVariable[[#This Row],[Option B]]="",tblVerifyVariable[[#This Row],[Option C]]=""),"No amount entered","OK")))</f>
        <v>OK</v>
      </c>
      <c r="H54" s="65" t="s">
        <v>283</v>
      </c>
    </row>
    <row r="56" spans="2:12">
      <c r="B56" s="56" t="s">
        <v>284</v>
      </c>
      <c r="C56" s="56"/>
      <c r="D56" s="56"/>
      <c r="E56" s="56"/>
      <c r="F56" s="56"/>
      <c r="G56" s="56"/>
      <c r="H56" s="56"/>
      <c r="I56" s="56"/>
      <c r="J56" s="56"/>
      <c r="K56" s="56"/>
      <c r="L56" s="56"/>
    </row>
    <row r="57" spans="2:12">
      <c r="B57" s="33" t="s">
        <v>86</v>
      </c>
      <c r="C57" s="33"/>
      <c r="D57" s="33"/>
      <c r="E57" s="34" t="s">
        <v>87</v>
      </c>
      <c r="F57" s="65" t="s">
        <v>270</v>
      </c>
      <c r="G57" s="65" t="s">
        <v>285</v>
      </c>
      <c r="H57" s="65" t="s">
        <v>286</v>
      </c>
    </row>
    <row r="58" spans="2:12">
      <c r="B58" s="27" t="s">
        <v>91</v>
      </c>
      <c r="C58" s="27"/>
      <c r="D58" s="27"/>
      <c r="E58" s="7" t="str">
        <f>Currency&amp;"/unit"</f>
        <v>EUR/unit</v>
      </c>
      <c r="F58" s="72">
        <v>21</v>
      </c>
      <c r="G58" s="72">
        <v>21</v>
      </c>
      <c r="H58" s="72">
        <v>21</v>
      </c>
    </row>
    <row r="59" spans="2:12">
      <c r="B59" s="27" t="s">
        <v>92</v>
      </c>
      <c r="C59" s="27"/>
      <c r="D59" s="27"/>
      <c r="E59" s="7" t="s">
        <v>93</v>
      </c>
      <c r="F59" s="60">
        <v>3000</v>
      </c>
      <c r="G59" s="60">
        <v>2500</v>
      </c>
      <c r="H59" s="60">
        <v>3000</v>
      </c>
    </row>
    <row r="60" spans="2:12">
      <c r="B60" s="27" t="s">
        <v>94</v>
      </c>
      <c r="C60" s="27"/>
      <c r="D60" s="27"/>
      <c r="E60" s="7" t="str">
        <f>Currency</f>
        <v>EUR</v>
      </c>
      <c r="F60" s="38">
        <f>SUM(tblVerifyFixed[Option A])</f>
        <v>18000</v>
      </c>
      <c r="G60" s="38">
        <f>SUM(tblVerifyFixed[Option B])</f>
        <v>30000</v>
      </c>
      <c r="H60" s="38">
        <f>SUM(tblVerifyFixed[Option C])</f>
        <v>5000</v>
      </c>
    </row>
    <row r="61" spans="2:12">
      <c r="B61" s="27" t="s">
        <v>95</v>
      </c>
      <c r="C61" s="27"/>
      <c r="D61" s="27"/>
      <c r="E61" s="7" t="str">
        <f>Currency&amp;"/unit"</f>
        <v>EUR/unit</v>
      </c>
      <c r="F61" s="39">
        <f>SUM(tblVerifyVariable[Option A])</f>
        <v>12.5</v>
      </c>
      <c r="G61" s="39">
        <f>SUM(tblVerifyVariable[Option B])</f>
        <v>9.5</v>
      </c>
      <c r="H61" s="39">
        <f>SUM(tblVerifyVariable[Option C])</f>
        <v>22</v>
      </c>
    </row>
    <row r="62" spans="2:12">
      <c r="B62" s="27" t="s">
        <v>96</v>
      </c>
      <c r="C62" s="27"/>
      <c r="D62" s="27"/>
      <c r="E62" s="7" t="str">
        <f>Currency&amp;"/unit"</f>
        <v>EUR/unit</v>
      </c>
      <c r="F62" s="40">
        <f>$F$58-$F$61</f>
        <v>8.5</v>
      </c>
      <c r="G62" s="40">
        <f>$G$58-$G$61</f>
        <v>11.5</v>
      </c>
      <c r="H62" s="40">
        <f>$H$58-$H$61</f>
        <v>-1</v>
      </c>
    </row>
    <row r="63" spans="2:12">
      <c r="B63" s="27" t="s">
        <v>97</v>
      </c>
      <c r="C63" s="27"/>
      <c r="D63" s="27"/>
      <c r="E63" s="7" t="s">
        <v>98</v>
      </c>
      <c r="F63" s="41">
        <f>IF(($F$58)=0,"",($F$62)/($F$58))</f>
        <v>0.404761904761905</v>
      </c>
      <c r="G63" s="41">
        <f>IF(($G$58)=0,"",($G$62)/($G$58))</f>
        <v>0.547619047619048</v>
      </c>
      <c r="H63" s="41">
        <f>IF(($H$58)=0,"",($H$62)/($H$58))</f>
        <v>-0.0476190476190476</v>
      </c>
    </row>
    <row r="64" spans="2:12">
      <c r="B64" s="27" t="s">
        <v>99</v>
      </c>
      <c r="C64" s="27"/>
      <c r="D64" s="27"/>
      <c r="E64" s="7" t="s">
        <v>93</v>
      </c>
      <c r="F64" s="42">
        <f>IF($F$62&gt;0,$F$60/$F$62,"")</f>
        <v>2117.64705882353</v>
      </c>
      <c r="G64" s="42">
        <f>IF($G$62&gt;0,$G$60/$G$62,"")</f>
        <v>2608.69565217391</v>
      </c>
      <c r="H64" s="42">
        <f>IF($H$62&gt;0,$H$60/$H$62,"")</f>
        <v/>
      </c>
    </row>
    <row r="65" spans="2:12">
      <c r="B65" s="27" t="s">
        <v>100</v>
      </c>
      <c r="C65" s="27"/>
      <c r="D65" s="27"/>
      <c r="E65" s="7" t="s">
        <v>93</v>
      </c>
      <c r="F65" s="43">
        <f>IF($F$64="","",CEILING($F$64,1))</f>
        <v>2118</v>
      </c>
      <c r="G65" s="43">
        <f>IF($G$64="","",CEILING($G$64,1))</f>
        <v>2609</v>
      </c>
      <c r="H65" s="43">
        <f>IF($H$64="","",CEILING($H$64,1))</f>
        <v/>
      </c>
    </row>
    <row r="66" spans="2:12">
      <c r="B66" s="27" t="s">
        <v>101</v>
      </c>
      <c r="C66" s="27"/>
      <c r="D66" s="27"/>
      <c r="E66" s="7" t="str">
        <f>Currency</f>
        <v>EUR</v>
      </c>
      <c r="F66" s="38">
        <f>IF($F$64="","",$F$64*$F$58)</f>
        <v>44470.5882352941</v>
      </c>
      <c r="G66" s="38">
        <f>IF($G$64="","",$G$64*$G$58)</f>
        <v>54782.6086956522</v>
      </c>
      <c r="H66" s="38">
        <f>IF($H$64="","",$H$64*$H$58)</f>
        <v/>
      </c>
    </row>
    <row r="67" spans="2:12">
      <c r="B67" s="27" t="s">
        <v>102</v>
      </c>
      <c r="C67" s="27"/>
      <c r="D67" s="27"/>
      <c r="E67" s="7" t="str">
        <f>Currency</f>
        <v>EUR</v>
      </c>
      <c r="F67" s="44">
        <f>$F$62*$F$59-$F$60</f>
        <v>7500</v>
      </c>
      <c r="G67" s="44">
        <f>$G$62*$G$59-$G$60</f>
        <v>-1250</v>
      </c>
      <c r="H67" s="44">
        <f>$H$62*$H$59-$H$60</f>
        <v>-8000</v>
      </c>
    </row>
    <row r="68" spans="2:12">
      <c r="B68" s="27" t="s">
        <v>103</v>
      </c>
      <c r="C68" s="27"/>
      <c r="D68" s="27"/>
      <c r="E68" s="7" t="s">
        <v>104</v>
      </c>
      <c r="F68" s="41">
        <f>IF(OR($F$64="",$F$59=0),"",($F$59-$F$64)/$F$59)</f>
        <v>0.294117647058824</v>
      </c>
      <c r="G68" s="41">
        <f>IF(OR($G$64="",$G$59=0),"",($G$59-$G$64)/$G$59)</f>
        <v>-0.0434782608695652</v>
      </c>
      <c r="H68" s="41">
        <f>IF(OR($H$64="",$H$59=0),"",($H$59-$H$64)/$H$59)</f>
        <v/>
      </c>
    </row>
    <row r="69" spans="2:12">
      <c r="B69" s="27" t="s">
        <v>105</v>
      </c>
      <c r="C69" s="27"/>
      <c r="D69" s="27"/>
      <c r="E69" s="7"/>
      <c r="F69" s="45" t="str">
        <f>IF($F$62&lt;=0,"Below target",IF($F$68="","",IF($F$68&gt;=$E$39,"On target",IF($F$68&gt;=$E$39*(1-0.05),"Near target","Below target"))))</f>
        <v>On target</v>
      </c>
      <c r="G69" s="45" t="str">
        <f>IF($G$62&lt;=0,"Below target",IF($G$68="","",IF($G$68&gt;=$E$39,"On target",IF($G$68&gt;=$E$39*(1-0.05),"Near target","Below target"))))</f>
        <v>Below target</v>
      </c>
      <c r="H69" s="45" t="str">
        <f>IF($H$62&lt;=0,"Below target",IF($H$68="","",IF($H$68&gt;=$E$39,"On target",IF($H$68&gt;=$E$39*(1-0.05),"Near target","Below target"))))</f>
        <v>Below target</v>
      </c>
    </row>
    <row r="70" spans="2:12">
      <c r="B70" s="27" t="s">
        <v>75</v>
      </c>
      <c r="C70" s="27"/>
      <c r="D70" s="27"/>
      <c r="E70" s="7"/>
      <c r="F70" s="45" t="str">
        <f>IF($F$58&lt;=0,"Enter a price",IF($F$62&lt;=0,"Price below variable cost",IF($F$59&lt;$F$64,"Volume below break-even","OK")))</f>
        <v>OK</v>
      </c>
      <c r="G70" s="45" t="str">
        <f>IF($G$58&lt;=0,"Enter a price",IF($G$62&lt;=0,"Price below variable cost",IF($G$59&lt;$G$64,"Volume below break-even","OK")))</f>
        <v>Volume below break-even</v>
      </c>
      <c r="H70" s="45" t="str">
        <f>IF($H$58&lt;=0,"Enter a price",IF($H$62&lt;=0,"Price below variable cost",IF($H$59&lt;$H$64,"Volume below break-even","OK")))</f>
        <v>Price below variable cost</v>
      </c>
    </row>
    <row r="72" spans="2:12">
      <c r="B72" s="56" t="s">
        <v>287</v>
      </c>
      <c r="C72" s="56"/>
      <c r="D72" s="56"/>
      <c r="E72" s="56"/>
      <c r="F72" s="56"/>
      <c r="G72" s="56"/>
      <c r="H72" s="56"/>
      <c r="I72" s="56"/>
      <c r="J72" s="56"/>
      <c r="K72" s="56"/>
      <c r="L72" s="56"/>
    </row>
    <row r="73" spans="2:12" ht="20" customHeight="1">
      <c r="B73" s="33" t="s">
        <v>162</v>
      </c>
      <c r="C73" s="34" t="s">
        <v>163</v>
      </c>
      <c r="D73" s="34"/>
      <c r="E73" s="34" t="s">
        <v>164</v>
      </c>
      <c r="F73" s="34"/>
      <c r="G73" s="34"/>
      <c r="H73" s="34"/>
      <c r="I73" s="34"/>
      <c r="J73" s="34"/>
      <c r="K73" s="34"/>
      <c r="L73" s="34"/>
    </row>
    <row r="74" spans="2:12" ht="14" customHeight="1">
      <c r="B74" s="46"/>
      <c r="C74" s="46" t="s">
        <v>93</v>
      </c>
      <c r="D74" s="46"/>
      <c r="E74" s="46"/>
      <c r="F74" s="46"/>
      <c r="G74" s="46"/>
      <c r="H74" s="46"/>
      <c r="I74" s="46"/>
      <c r="J74" s="46"/>
      <c r="K74" s="46"/>
      <c r="L74" s="46"/>
    </row>
    <row r="75" spans="2:12">
      <c r="B75" s="57" t="s">
        <v>165</v>
      </c>
      <c r="C75" s="38">
        <f>IF(INDEX($F$62:$H$62,1)=INDEX($F$62:$H$62,2),"",IF((INDEX($F$60:$H$60,1)-INDEX($F$60:$H$60,2))/(INDEX($F$62:$H$62,1)-INDEX($F$62:$H$62,2))&gt;0,(INDEX($F$60:$H$60,1)-INDEX($F$60:$H$60,2))/(INDEX($F$62:$H$62,1)-INDEX($F$62:$H$62,2)),""))</f>
        <v>4000</v>
      </c>
      <c r="D75" s="38"/>
      <c r="E75" s="58" t="str">
        <f>IF($C$75="",IF(INDEX($F$67:$H$67,1)&gt;=INDEX($F$67:$H$67,2),INDEX($F$57:$H$57,1),INDEX($F$57:$H$57,2))&amp;" makes more at every volume",IF(INDEX($F$62:$H$62,1)&gt;INDEX($F$62:$H$62,2),INDEX($F$57:$H$57,1)&amp;" makes more above it, "&amp;INDEX($F$57:$H$57,2)&amp;" below it",INDEX($F$57:$H$57,2)&amp;" makes more above it, "&amp;INDEX($F$57:$H$57,1)&amp;" below it"))</f>
        <v>Hard tooling makes more above it, Calculator example below it</v>
      </c>
      <c r="F75" s="58"/>
      <c r="G75" s="58"/>
      <c r="H75" s="58"/>
      <c r="I75" s="58"/>
      <c r="J75" s="58"/>
      <c r="K75" s="58"/>
      <c r="L75" s="58"/>
    </row>
    <row r="76" spans="2:12">
      <c r="B76" s="57" t="s">
        <v>166</v>
      </c>
      <c r="C76" s="38">
        <f>IF(INDEX($F$62:$H$62,1)=INDEX($F$62:$H$62,3),"",IF((INDEX($F$60:$H$60,1)-INDEX($F$60:$H$60,3))/(INDEX($F$62:$H$62,1)-INDEX($F$62:$H$62,3))&gt;0,(INDEX($F$60:$H$60,1)-INDEX($F$60:$H$60,3))/(INDEX($F$62:$H$62,1)-INDEX($F$62:$H$62,3)),""))</f>
        <v>1368.42105263158</v>
      </c>
      <c r="D76" s="38"/>
      <c r="E76" s="58" t="str">
        <f>IF($C$76="",IF(INDEX($F$67:$H$67,1)&gt;=INDEX($F$67:$H$67,3),INDEX($F$57:$H$57,1),INDEX($F$57:$H$57,3))&amp;" makes more at every volume",IF(INDEX($F$62:$H$62,1)&gt;INDEX($F$62:$H$62,3),INDEX($F$57:$H$57,1)&amp;" makes more above it, "&amp;INDEX($F$57:$H$57,3)&amp;" below it",INDEX($F$57:$H$57,3)&amp;" makes more above it, "&amp;INDEX($F$57:$H$57,1)&amp;" below it"))</f>
        <v>Calculator example makes more above it, Buy-in, price below cost below it</v>
      </c>
      <c r="F76" s="58"/>
      <c r="G76" s="58"/>
      <c r="H76" s="58"/>
      <c r="I76" s="58"/>
      <c r="J76" s="58"/>
      <c r="K76" s="58"/>
      <c r="L76" s="58"/>
    </row>
    <row r="77" spans="2:12">
      <c r="B77" s="57" t="s">
        <v>167</v>
      </c>
      <c r="C77" s="38">
        <f>IF(INDEX($F$62:$H$62,2)=INDEX($F$62:$H$62,3),"",IF((INDEX($F$60:$H$60,2)-INDEX($F$60:$H$60,3))/(INDEX($F$62:$H$62,2)-INDEX($F$62:$H$62,3))&gt;0,(INDEX($F$60:$H$60,2)-INDEX($F$60:$H$60,3))/(INDEX($F$62:$H$62,2)-INDEX($F$62:$H$62,3)),""))</f>
        <v>2000</v>
      </c>
      <c r="D77" s="38"/>
      <c r="E77" s="58" t="str">
        <f>IF($C$77="",IF(INDEX($F$67:$H$67,2)&gt;=INDEX($F$67:$H$67,3),INDEX($F$57:$H$57,2),INDEX($F$57:$H$57,3))&amp;" makes more at every volume",IF(INDEX($F$62:$H$62,2)&gt;INDEX($F$62:$H$62,3),INDEX($F$57:$H$57,2)&amp;" makes more above it, "&amp;INDEX($F$57:$H$57,3)&amp;" below it",INDEX($F$57:$H$57,3)&amp;" makes more above it, "&amp;INDEX($F$57:$H$57,2)&amp;" below it"))</f>
        <v>Hard tooling makes more above it, Buy-in, price below cost below it</v>
      </c>
      <c r="F77" s="58"/>
      <c r="G77" s="58"/>
      <c r="H77" s="58"/>
      <c r="I77" s="58"/>
      <c r="J77" s="58"/>
      <c r="K77" s="58"/>
      <c r="L77" s="58"/>
    </row>
    <row r="79" spans="2:12">
      <c r="B79" s="56" t="s">
        <v>288</v>
      </c>
      <c r="C79" s="56"/>
      <c r="D79" s="56"/>
      <c r="E79" s="56"/>
      <c r="F79" s="56"/>
      <c r="G79" s="56"/>
      <c r="H79" s="56"/>
      <c r="I79" s="56"/>
      <c r="J79" s="56"/>
      <c r="K79" s="56"/>
      <c r="L79" s="56"/>
    </row>
    <row r="80" spans="2:12" ht="32" customHeight="1">
      <c r="B80" s="33" t="s">
        <v>169</v>
      </c>
      <c r="C80" s="34" t="s">
        <v>170</v>
      </c>
      <c r="D80" s="34" t="s">
        <v>171</v>
      </c>
      <c r="E80" s="34" t="s">
        <v>157</v>
      </c>
      <c r="F80" s="34" t="s">
        <v>158</v>
      </c>
      <c r="G80" s="34" t="s">
        <v>103</v>
      </c>
      <c r="H80" s="34" t="s">
        <v>92</v>
      </c>
    </row>
    <row r="81" spans="2:8" ht="14" customHeight="1">
      <c r="B81" s="46"/>
      <c r="C81" s="46" t="str">
        <f>Currency&amp;"/unit"</f>
        <v>EUR/unit</v>
      </c>
      <c r="D81" s="46" t="str">
        <f>Currency&amp;"/unit"</f>
        <v>EUR/unit</v>
      </c>
      <c r="E81" s="46" t="s">
        <v>93</v>
      </c>
      <c r="F81" s="46" t="str">
        <f>Currency</f>
        <v>EUR</v>
      </c>
      <c r="G81" s="46" t="s">
        <v>160</v>
      </c>
      <c r="H81" s="46" t="s">
        <v>93</v>
      </c>
    </row>
    <row r="82" spans="2:8">
      <c r="B82" s="76">
        <v>-0.15</v>
      </c>
      <c r="C82" s="39">
        <f>INDEX($F$58:$H$58,$E$40)*(1+$B$82)</f>
        <v>17.85</v>
      </c>
      <c r="D82" s="39">
        <f>$C$82-INDEX($F$61:$H$61,$E$40)</f>
        <v>8.35</v>
      </c>
      <c r="E82" s="38">
        <f>IF($D$82&gt;0,CEILING(INDEX($F$60:$H$60,$E$40)/$D$82,1),"")</f>
        <v>3593</v>
      </c>
      <c r="F82" s="38">
        <f>$D$82*INDEX($F$59:$H$59,$E$40)-INDEX($F$60:$H$60,$E$40)</f>
        <v>-9125</v>
      </c>
      <c r="G82" s="41">
        <f>IF(OR($D$82&lt;=0,INDEX($F$59:$H$59,$E$40)=0),"",(INDEX($F$59:$H$59,$E$40)-INDEX($F$60:$H$60,$E$40)/$D$82)/INDEX($F$59:$H$59,$E$40))</f>
        <v>-0.437125748502994</v>
      </c>
      <c r="H82" s="60">
        <f>INDEX($F$59:$H$59,$E$40)</f>
        <v>2500</v>
      </c>
    </row>
    <row r="83" spans="2:8">
      <c r="B83" s="76">
        <v>-0.1</v>
      </c>
      <c r="C83" s="39">
        <f>INDEX($F$58:$H$58,$E$40)*(1+$B$83)</f>
        <v>18.9</v>
      </c>
      <c r="D83" s="39">
        <f>$C$83-INDEX($F$61:$H$61,$E$40)</f>
        <v>9.4</v>
      </c>
      <c r="E83" s="38">
        <f>IF($D$83&gt;0,CEILING(INDEX($F$60:$H$60,$E$40)/$D$83,1),"")</f>
        <v>3192</v>
      </c>
      <c r="F83" s="38">
        <f>$D$83*INDEX($F$59:$H$59,$E$40)-INDEX($F$60:$H$60,$E$40)</f>
        <v>-6500</v>
      </c>
      <c r="G83" s="41">
        <f>IF(OR($D$83&lt;=0,INDEX($F$59:$H$59,$E$40)=0),"",(INDEX($F$59:$H$59,$E$40)-INDEX($F$60:$H$60,$E$40)/$D$83)/INDEX($F$59:$H$59,$E$40))</f>
        <v>-0.276595744680851</v>
      </c>
      <c r="H83" s="60">
        <f>INDEX($F$59:$H$59,$E$40)</f>
        <v>2500</v>
      </c>
    </row>
    <row r="84" spans="2:8">
      <c r="B84" s="76">
        <v>-0.05</v>
      </c>
      <c r="C84" s="39">
        <f>INDEX($F$58:$H$58,$E$40)*(1+$B$84)</f>
        <v>19.95</v>
      </c>
      <c r="D84" s="39">
        <f>$C$84-INDEX($F$61:$H$61,$E$40)</f>
        <v>10.45</v>
      </c>
      <c r="E84" s="38">
        <f>IF($D$84&gt;0,CEILING(INDEX($F$60:$H$60,$E$40)/$D$84,1),"")</f>
        <v>2871</v>
      </c>
      <c r="F84" s="38">
        <f>$D$84*INDEX($F$59:$H$59,$E$40)-INDEX($F$60:$H$60,$E$40)</f>
        <v>-3875</v>
      </c>
      <c r="G84" s="41">
        <f>IF(OR($D$84&lt;=0,INDEX($F$59:$H$59,$E$40)=0),"",(INDEX($F$59:$H$59,$E$40)-INDEX($F$60:$H$60,$E$40)/$D$84)/INDEX($F$59:$H$59,$E$40))</f>
        <v>-0.148325358851675</v>
      </c>
      <c r="H84" s="60">
        <f>INDEX($F$59:$H$59,$E$40)</f>
        <v>2500</v>
      </c>
    </row>
    <row r="85" spans="2:8">
      <c r="B85" s="76">
        <v>0</v>
      </c>
      <c r="C85" s="39">
        <f>INDEX($F$58:$H$58,$E$40)*(1+$B$85)</f>
        <v>21</v>
      </c>
      <c r="D85" s="39">
        <f>$C$85-INDEX($F$61:$H$61,$E$40)</f>
        <v>11.5</v>
      </c>
      <c r="E85" s="38">
        <f>IF($D$85&gt;0,CEILING(INDEX($F$60:$H$60,$E$40)/$D$85,1),"")</f>
        <v>2609</v>
      </c>
      <c r="F85" s="38">
        <f>$D$85*INDEX($F$59:$H$59,$E$40)-INDEX($F$60:$H$60,$E$40)</f>
        <v>-1250</v>
      </c>
      <c r="G85" s="41">
        <f>IF(OR($D$85&lt;=0,INDEX($F$59:$H$59,$E$40)=0),"",(INDEX($F$59:$H$59,$E$40)-INDEX($F$60:$H$60,$E$40)/$D$85)/INDEX($F$59:$H$59,$E$40))</f>
        <v>-0.0434782608695652</v>
      </c>
      <c r="H85" s="60">
        <f>INDEX($F$59:$H$59,$E$40)</f>
        <v>2500</v>
      </c>
    </row>
    <row r="86" spans="2:8">
      <c r="B86" s="76">
        <v>0.05</v>
      </c>
      <c r="C86" s="39">
        <f>INDEX($F$58:$H$58,$E$40)*(1+$B$86)</f>
        <v>22.05</v>
      </c>
      <c r="D86" s="39">
        <f>$C$86-INDEX($F$61:$H$61,$E$40)</f>
        <v>12.55</v>
      </c>
      <c r="E86" s="38">
        <f>IF($D$86&gt;0,CEILING(INDEX($F$60:$H$60,$E$40)/$D$86,1),"")</f>
        <v>2391</v>
      </c>
      <c r="F86" s="38">
        <f>$D$86*INDEX($F$59:$H$59,$E$40)-INDEX($F$60:$H$60,$E$40)</f>
        <v>1375</v>
      </c>
      <c r="G86" s="41">
        <f>IF(OR($D$86&lt;=0,INDEX($F$59:$H$59,$E$40)=0),"",(INDEX($F$59:$H$59,$E$40)-INDEX($F$60:$H$60,$E$40)/$D$86)/INDEX($F$59:$H$59,$E$40))</f>
        <v>0.0438247011952191</v>
      </c>
      <c r="H86" s="60">
        <f>INDEX($F$59:$H$59,$E$40)</f>
        <v>2500</v>
      </c>
    </row>
    <row r="87" spans="2:8">
      <c r="B87" s="76">
        <v>0.1</v>
      </c>
      <c r="C87" s="39">
        <f>INDEX($F$58:$H$58,$E$40)*(1+$B$87)</f>
        <v>23.1</v>
      </c>
      <c r="D87" s="39">
        <f>$C$87-INDEX($F$61:$H$61,$E$40)</f>
        <v>13.6</v>
      </c>
      <c r="E87" s="38">
        <f>IF($D$87&gt;0,CEILING(INDEX($F$60:$H$60,$E$40)/$D$87,1),"")</f>
        <v>2206</v>
      </c>
      <c r="F87" s="38">
        <f>$D$87*INDEX($F$59:$H$59,$E$40)-INDEX($F$60:$H$60,$E$40)</f>
        <v>4000</v>
      </c>
      <c r="G87" s="41">
        <f>IF(OR($D$87&lt;=0,INDEX($F$59:$H$59,$E$40)=0),"",(INDEX($F$59:$H$59,$E$40)-INDEX($F$60:$H$60,$E$40)/$D$87)/INDEX($F$59:$H$59,$E$40))</f>
        <v>0.11764705882353</v>
      </c>
      <c r="H87" s="60">
        <f>INDEX($F$59:$H$59,$E$40)</f>
        <v>2500</v>
      </c>
    </row>
    <row r="88" spans="2:8">
      <c r="B88" s="76">
        <v>0.15</v>
      </c>
      <c r="C88" s="39">
        <f>INDEX($F$58:$H$58,$E$40)*(1+$B$88)</f>
        <v>24.15</v>
      </c>
      <c r="D88" s="39">
        <f>$C$88-INDEX($F$61:$H$61,$E$40)</f>
        <v>14.65</v>
      </c>
      <c r="E88" s="38">
        <f>IF($D$88&gt;0,CEILING(INDEX($F$60:$H$60,$E$40)/$D$88,1),"")</f>
        <v>2048</v>
      </c>
      <c r="F88" s="38">
        <f>$D$88*INDEX($F$59:$H$59,$E$40)-INDEX($F$60:$H$60,$E$40)</f>
        <v>6625</v>
      </c>
      <c r="G88" s="41">
        <f>IF(OR($D$88&lt;=0,INDEX($F$59:$H$59,$E$40)=0),"",(INDEX($F$59:$H$59,$E$40)-INDEX($F$60:$H$60,$E$40)/$D$88)/INDEX($F$59:$H$59,$E$40))</f>
        <v>0.180887372013652</v>
      </c>
      <c r="H88" s="60">
        <f>INDEX($F$59:$H$59,$E$40)</f>
        <v>2500</v>
      </c>
    </row>
  </sheetData>
  <sheetProtection sheet="1" formatColumns="0" formatRows="0"/>
  <mergeCells count="65">
    <mergeCell ref="A1:L1"/>
    <mergeCell ref="B2:K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B35:L35"/>
    <mergeCell ref="B37:L37"/>
    <mergeCell ref="B38:F38"/>
    <mergeCell ref="B39:D39"/>
    <mergeCell ref="B40:D40"/>
    <mergeCell ref="B42:L42"/>
    <mergeCell ref="B49:L49"/>
    <mergeCell ref="B56:L56"/>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2:L72"/>
    <mergeCell ref="C73:D73"/>
    <mergeCell ref="E73:L73"/>
    <mergeCell ref="C74:D74"/>
    <mergeCell ref="E74:L74"/>
    <mergeCell ref="C75:D75"/>
    <mergeCell ref="C76:D76"/>
    <mergeCell ref="C77:D77"/>
    <mergeCell ref="E75:L75"/>
    <mergeCell ref="E76:L76"/>
    <mergeCell ref="E77:L77"/>
    <mergeCell ref="B79:L79"/>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F69:H69">
    <cfRule type="cellIs" dxfId="0" priority="45" operator="equal">
      <formula>"On target"</formula>
    </cfRule>
    <cfRule type="cellIs" dxfId="0" priority="46" operator="equal">
      <formula>"PASS"</formula>
    </cfRule>
    <cfRule type="cellIs" dxfId="0" priority="47" operator="equal">
      <formula>"OK"</formula>
    </cfRule>
    <cfRule type="cellIs" dxfId="0" priority="48" operator="equal">
      <formula>"Within limits"</formula>
    </cfRule>
    <cfRule type="cellIs" dxfId="0" priority="49" operator="equal">
      <formula>"Under capacity"</formula>
    </cfRule>
    <cfRule type="cellIs" dxfId="0" priority="50" operator="equal">
      <formula>"Complete"</formula>
    </cfRule>
    <cfRule type="cellIs" dxfId="0" priority="51" operator="equal">
      <formula>"Yes"</formula>
    </cfRule>
    <cfRule type="cellIs" dxfId="1" priority="52" operator="equal">
      <formula>"Near target"</formula>
    </cfRule>
    <cfRule type="cellIs" dxfId="1" priority="53" operator="equal">
      <formula>"Check"</formula>
    </cfRule>
    <cfRule type="cellIs" dxfId="1" priority="54" operator="equal">
      <formula>"Due soon"</formula>
    </cfRule>
    <cfRule type="cellIs" dxfId="1" priority="55" operator="equal">
      <formula>"Near capacity"</formula>
    </cfRule>
    <cfRule type="cellIs" dxfId="1" priority="56" operator="equal">
      <formula>"In progress"</formula>
    </cfRule>
    <cfRule type="cellIs" dxfId="1" priority="57" operator="equal">
      <formula>"Partial"</formula>
    </cfRule>
    <cfRule type="cellIs" dxfId="2" priority="58" operator="equal">
      <formula>"Below target"</formula>
    </cfRule>
    <cfRule type="cellIs" dxfId="2" priority="59" operator="equal">
      <formula>"Above target"</formula>
    </cfRule>
    <cfRule type="cellIs" dxfId="2" priority="60" operator="equal">
      <formula>"FAIL"</formula>
    </cfRule>
    <cfRule type="cellIs" dxfId="2" priority="61" operator="equal">
      <formula>"Over capacity"</formula>
    </cfRule>
    <cfRule type="cellIs" dxfId="2" priority="62" operator="equal">
      <formula>"Overdue"</formula>
    </cfRule>
    <cfRule type="cellIs" dxfId="2" priority="63" operator="equal">
      <formula>"Out of limits"</formula>
    </cfRule>
    <cfRule type="cellIs" dxfId="2" priority="64" operator="equal">
      <formula>"No"</formula>
    </cfRule>
  </conditionalFormatting>
  <conditionalFormatting sqref="G45:G47">
    <cfRule type="expression" dxfId="3" priority="41">
      <formula>$G45="OK"</formula>
    </cfRule>
    <cfRule type="expression" dxfId="1" priority="42">
      <formula>AND($G45&lt;&gt;"",$G45&lt;&gt;"OK")</formula>
    </cfRule>
  </conditionalFormatting>
  <conditionalFormatting sqref="G52:G54">
    <cfRule type="expression" dxfId="3" priority="43">
      <formula>$G52="OK"</formula>
    </cfRule>
    <cfRule type="expression" dxfId="1" priority="44">
      <formula>AND($G52&lt;&gt;"",$G52&lt;&gt;"OK")</formula>
    </cfRule>
  </conditionalFormatting>
  <conditionalFormatting sqref="G82:G88">
    <cfRule type="expression" dxfId="3" priority="65" stopIfTrue="1">
      <formula>AND(ISNUMBER(G82),G82&gt;=($E$39))</formula>
    </cfRule>
    <cfRule type="expression" dxfId="4" priority="66" stopIfTrue="1">
      <formula>AND(ISNUMBER(G82),G82&gt;=($E$39)*(1-0.05))</formula>
    </cfRule>
    <cfRule type="expression" dxfId="5" priority="67">
      <formula>ISNUMBER(G82)</formula>
    </cfRule>
  </conditionalFormatting>
  <conditionalFormatting sqref="K11:K3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L2" r:id="rId1" tooltip="Free manufacturing calculators and templates"/>
  </hyperlinks>
  <printOptions horizontalCentered="1"/>
  <pageMargins left="0.4" right="0.4" top="0.7" bottom="0.65" header="0.3" footer="0.3"/>
  <pageSetup fitToHeight="0" orientation="landscape"/>
  <headerFooter>
    <oddHeader>&amp;L&amp;8MFG Calcs - Break-Even Analysis&amp;R&amp;8&amp;A</oddHeader>
    <oddFooter>&amp;L&amp;8mfgcalcs.com - free manufacturing templates&amp;R&amp;8Page &amp;P of &amp;N</oddFooter>
  </headerFooter>
  <rowBreaks count="3" manualBreakCount="3">
    <brk id="26" max="16383" man="1"/>
    <brk id="55" max="16383" man="1"/>
    <brk id="78" max="16383" man="1"/>
  </row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24</vt:i4>
      </vt:variant>
    </vt:vector>
  </HeadingPairs>
  <TitlesOfParts>
    <vt:vector size="30" baseType="lpstr">
      <vt:lpstr>Start Here</vt:lpstr>
      <vt:lpstr>Setup</vt:lpstr>
      <vt:lpstr>Break-Even</vt:lpstr>
      <vt:lpstr>Dashboard</vt:lpstr>
      <vt:lpstr>Method</vt:lpstr>
      <vt:lpstr>Verify</vt:lpstr>
      <vt:lpstr>CoName</vt:lpstr>
      <vt:lpstr>Currency</vt:lpstr>
      <vt:lpstr>Customer</vt:lpstr>
      <vt:lpstr>DashOption</vt:lpstr>
      <vt:lpstr>JobName</vt:lpstr>
      <vt:lpstr>KpiBE</vt:lpstr>
      <vt:lpstr>KpiBest</vt:lpstr>
      <vt:lpstr>KpiMoS</vt:lpstr>
      <vt:lpstr>KpiProfit</vt:lpstr>
      <vt:lpstr>MoSTarget</vt:lpstr>
      <vt:lpstr>OptionList</vt:lpstr>
      <vt:lpstr>PreparedBy</vt:lpstr>
      <vt:lpstr>'Break-Even'!Print_Area</vt:lpstr>
      <vt:lpstr>Dashboard!Print_Area</vt:lpstr>
      <vt:lpstr>Method!Print_Area</vt:lpstr>
      <vt:lpstr>Setup!Print_Area</vt:lpstr>
      <vt:lpstr>'Start Here'!Print_Area</vt:lpstr>
      <vt:lpstr>Verify!Print_Area</vt:lpstr>
      <vt:lpstr>Method!Print_Titles</vt:lpstr>
      <vt:lpstr>SelfCheck</vt:lpstr>
      <vt:lpstr>SelfCheckSummary</vt:lpstr>
      <vt:lpstr>SelIdx</vt:lpstr>
      <vt:lpstr>StudyDate</vt:lpstr>
      <vt:lpstr>VolRaw</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Break-Even Analysis - free Excel template from MFG Calcs</dc:title>
  <dc:subject>Find the volume where a job or product starts to make money, compare up to three tooling or sourcing options, and see how price changes move break-even.</dc:subject>
  <dc:creator>MFG Calcs</dc:creator>
  <cp:keywords>break-even, break-even analysis, contribution margin, margin of safety, tooling investment, fixed cost, variable cost, pricing</cp:keywords>
  <dc:description>https://www.mfgcalcs.com/templates/break-even-analysis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break-even-analysis</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calculator</vt:lpwstr>
  </property>
  <property fmtid="{D5CDD505-2E9C-101B-9397-08002B2CF9AE}" pid="6" name="Template URL">
    <vt:lpwstr>https://www.mfgcalcs.com/templates/break-even-analysis</vt:lpwstr>
  </property>
  <property fmtid="{D5CDD505-2E9C-101B-9397-08002B2CF9AE}" pid="7" name="Template sheet roles">
    <vt:lpwstr>Start Here=start;Setup=setup;Break-Even=form;Dashboard=dashboard;Method=method;Verify=verify</vt:lpwstr>
  </property>
</Properties>
</file>