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Gauge Register" sheetId="3" r:id="rId3"/>
    <sheet name="Calibration Records" sheetId="4" r:id="rId4"/>
    <sheet name="Dashboard" sheetId="5" r:id="rId5"/>
    <sheet name="Method" sheetId="6" r:id="rId6"/>
    <sheet name="Verify" sheetId="7" r:id="rId7"/>
  </sheets>
  <definedNames>
    <definedName name="AsOf">Setup!$C$8</definedName>
    <definedName name="Currency">Setup!$C$7</definedName>
    <definedName name="DashFrom">Dashboard!$C$4</definedName>
    <definedName name="DashTo">Dashboard!$G$4</definedName>
    <definedName name="DueSoonDays">Setup!$C$9</definedName>
    <definedName name="FFrom">IF(DashFrom="",0,DashFrom)</definedName>
    <definedName name="FTo">IF(DashTo="",2958465,DashTo)</definedName>
    <definedName name="GaugeIDs">tblGauges[Gauge ID]</definedName>
    <definedName name="GaugeTypes">tblGaugeTypes[Type]</definedName>
    <definedName name="KpiCost">Dashboard!$J$30</definedName>
    <definedName name="KpiDone">Dashboard!$D$30</definedName>
    <definedName name="KpiDueSoon">Dashboard!$D$8</definedName>
    <definedName name="KpiInService">Dashboard!$B$30</definedName>
    <definedName name="KpiOnTime">Dashboard!$G$8</definedName>
    <definedName name="KpiOOT">Dashboard!$J$8</definedName>
    <definedName name="KpiOverdue">Dashboard!$B$8</definedName>
    <definedName name="KpiReviews">Dashboard!$G$30</definedName>
    <definedName name="Labs">tblLabs[Calibrated by]</definedName>
    <definedName name="Locations">tblLocations[Location]</definedName>
    <definedName name="MaxOOT">Setup!$C$14</definedName>
    <definedName name="PlantName">Setup!$C$6</definedName>
    <definedName name="_xlnm.Print_Area" localSheetId="3">'Calibration Records'!$A$1:$S$88</definedName>
    <definedName name="_xlnm.Print_Area" localSheetId="4">Dashboard!$A$1:$L$66</definedName>
    <definedName name="_xlnm.Print_Area" localSheetId="2">'Gauge Register'!$A$1:$P$29</definedName>
    <definedName name="_xlnm.Print_Area" localSheetId="5">Method!$A$1:$D$59</definedName>
    <definedName name="_xlnm.Print_Area" localSheetId="1">Setup!$A$1:$E$46</definedName>
    <definedName name="_xlnm.Print_Area" localSheetId="0">'Start Here'!$A$1:$F$57</definedName>
    <definedName name="_xlnm.Print_Area" localSheetId="6">Verify!$A$1:$S$72</definedName>
    <definedName name="_xlnm.Print_Titles" localSheetId="3">'Calibration Records'!$1:$6</definedName>
    <definedName name="_xlnm.Print_Titles" localSheetId="2">'Gauge Register'!$1:$5</definedName>
    <definedName name="_xlnm.Print_Titles" localSheetId="5">Method!$1:$2</definedName>
    <definedName name="SelfCheck">Verify!$D$4</definedName>
    <definedName name="SelfCheckSummary">Verify!$F$4</definedName>
    <definedName name="TargetOnTime">Setup!$C$13</definedName>
  </definedNames>
  <calcPr calcId="124519" fullCalcOnLoad="1"/>
</workbook>
</file>

<file path=xl/sharedStrings.xml><?xml version="1.0" encoding="utf-8"?>
<sst xmlns="http://schemas.openxmlformats.org/spreadsheetml/2006/main" count="1404" uniqueCount="460">
  <si>
    <t>Gauge Calibration Log</t>
  </si>
  <si>
    <t>Read this first: what the workbook does and how to use it.</t>
  </si>
  <si>
    <t>mfgcalcs.com</t>
  </si>
  <si>
    <t>Keep every gauge's due date, as-found results and calibration history in one register, and see what is overdue, what falls due next and which gauges drift.</t>
  </si>
  <si>
    <t>For: Quality engineers, metrology and calibration technicians, and quality managers who control measuring equipment for ISO 9001, IATF 16949, AS9100 or ISO 13485 audits.</t>
  </si>
  <si>
    <t>Version 1.0.0  ·  updated 15 October 2026</t>
  </si>
  <si>
    <t>Quick start</t>
  </si>
  <si>
    <t>1.</t>
  </si>
  <si>
    <t>On Setup, set the status date, the due-soon window and your targets, then replace the example gauge types, locations and calibration providers.</t>
  </si>
  <si>
    <t>2.</t>
  </si>
  <si>
    <t>On Gauge Register, list every gauge once: ID, description, type, location, calibration interval and whether it is in service.</t>
  </si>
  <si>
    <t>3.</t>
  </si>
  <si>
    <t>On Calibration Records, add one row per calibration: gauge, date, provider, as-found and as-left result, impact review, certificate and cost.</t>
  </si>
  <si>
    <t>4.</t>
  </si>
  <si>
    <t>Read the Check columns: anything other than OK names the problem in words.</t>
  </si>
  <si>
    <t>5.</t>
  </si>
  <si>
    <t>Move the status date forward each time you update the log, then open the Dashboard for overdue gauges, the next 12 months and drift by gauge type.</t>
  </si>
  <si>
    <t>What is in this workbook</t>
  </si>
  <si>
    <t>Start Here</t>
  </si>
  <si>
    <t>Setup</t>
  </si>
  <si>
    <t>Status date, due-soon window, your targets, and the gauge type, location and calibration provider lists.</t>
  </si>
  <si>
    <t>Gauge Register</t>
  </si>
  <si>
    <t>One row per gauge: interval and status. Last calibration, next due date and due status come from the records.</t>
  </si>
  <si>
    <t>Calibration Records</t>
  </si>
  <si>
    <t>One row per calibration: as-found and as-left results, impact review, certificate and cost.</t>
  </si>
  <si>
    <t>Dashboard</t>
  </si>
  <si>
    <t>Overdue and due-soon gauges, on-time calibration, out-of-tolerance finds and the next 12 months of recalls.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</si>
  <si>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</si>
  <si>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</si>
  <si>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</si>
  <si>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</si>
  <si>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</si>
  <si>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</si>
  <si>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</si>
  <si>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</si>
  <si>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</si>
  <si>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</si>
  <si>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</si>
  <si>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</si>
  <si>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</si>
  <si>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</si>
  <si>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</si>
  <si>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</si>
  <si>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</si>
  <si>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</si>
  <si>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</si>
  <si>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</si>
  <si>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Calibration Schedule Adherence Calculator on mfgcalcs.com</t>
  </si>
  <si>
    <t>Latest version</t>
  </si>
  <si>
    <t>mfgcalcs.com/templates/calibration-log</t>
  </si>
  <si>
    <t>More free templates</t>
  </si>
  <si>
    <t>mfgcalcs.com/templates</t>
  </si>
  <si>
    <t>Version</t>
  </si>
  <si>
    <t>1.0.0 (updated 15 October 2026)</t>
  </si>
  <si>
    <t>About the example data</t>
  </si>
  <si>
    <t>Every number already in this workbook is example data for Northgate Precision, a fictional business invented for this template, so the dashboard and charts show something meaningful on day one. It covers 24 gauges of a small machine shop with calibration records from January 2025 to the status date (9 October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</si>
  <si>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</si>
  <si>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</si>
  <si>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</si>
  <si>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</si>
  <si>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</si>
  <si>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</si>
  <si>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</si>
  <si>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</si>
  <si>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Type</t>
  </si>
  <si>
    <t>Notes</t>
  </si>
  <si>
    <t>Location</t>
  </si>
  <si>
    <t>Calibrated by</t>
  </si>
  <si>
    <t>Kind</t>
  </si>
  <si>
    <t>Site and status date</t>
  </si>
  <si>
    <t>Plant or site name</t>
  </si>
  <si>
    <t>Northgate Precision (example)</t>
  </si>
  <si>
    <t>Currency label</t>
  </si>
  <si>
    <t>USD</t>
  </si>
  <si>
    <t>Status date (as of)</t>
  </si>
  <si>
    <t>Due soon window</t>
  </si>
  <si>
    <t>days</t>
  </si>
  <si>
    <t>Targets (yours to set)</t>
  </si>
  <si>
    <t>On-time calibration target</t>
  </si>
  <si>
    <t>As-found out-of-tolerance limit</t>
  </si>
  <si>
    <t>Targets are yours to set; nothing here assumes an industry benchmark. 'Near target' means within 5% of the target (90.25% to 95% against a 95% on-time target). Calibration intervals are set per gauge on the Gauge Register from your own procedure, the maker's advice and the gauge's history.</t>
  </si>
  <si>
    <t>Lists that feed the dropdowns</t>
  </si>
  <si>
    <t>Edit, add or remove rows; the dropdowns on the register and the record log read these lists. Keep names unique: a renamed item stops matching old rows, and their Check column says so.</t>
  </si>
  <si>
    <t>Gauge types</t>
  </si>
  <si>
    <t>Caliper</t>
  </si>
  <si>
    <t>Vernier, dial and digital calipers</t>
  </si>
  <si>
    <t>Micrometer</t>
  </si>
  <si>
    <t>Outside, inside and depth micrometers</t>
  </si>
  <si>
    <t>Height gauge</t>
  </si>
  <si>
    <t>Digital height gauges on the surface plate</t>
  </si>
  <si>
    <t>Bore gauge</t>
  </si>
  <si>
    <t>Dial bore gauges and setting rings</t>
  </si>
  <si>
    <t>Plug and pin gauge</t>
  </si>
  <si>
    <t>Go/no-go plugs and pin sets</t>
  </si>
  <si>
    <t>Thread gauge</t>
  </si>
  <si>
    <t>Thread plugs and rings</t>
  </si>
  <si>
    <t>Torque wrench</t>
  </si>
  <si>
    <t>Click and dial torque wrenches</t>
  </si>
  <si>
    <t>Indicator</t>
  </si>
  <si>
    <t>Dial and test indicators</t>
  </si>
  <si>
    <t>CMM</t>
  </si>
  <si>
    <t>Coordinate measuring machine</t>
  </si>
  <si>
    <t>Pressure gauge</t>
  </si>
  <si>
    <t>Test and process pressure gauges</t>
  </si>
  <si>
    <t>Locations</t>
  </si>
  <si>
    <t>Inspection room</t>
  </si>
  <si>
    <t>Temperature-controlled, 20 C</t>
  </si>
  <si>
    <t>Cell 1 turning</t>
  </si>
  <si>
    <t>CNC lathes</t>
  </si>
  <si>
    <t>Cell 2 milling</t>
  </si>
  <si>
    <t>Machining centres</t>
  </si>
  <si>
    <t>Assembly</t>
  </si>
  <si>
    <t>Final assembly and test</t>
  </si>
  <si>
    <t>Receiving</t>
  </si>
  <si>
    <t>Incoming inspection</t>
  </si>
  <si>
    <t>Calibration providers</t>
  </si>
  <si>
    <t>In-house lab</t>
  </si>
  <si>
    <t>Internal</t>
  </si>
  <si>
    <t>Against reference standards with traceable certificates</t>
  </si>
  <si>
    <t>Metrology Partners (example)</t>
  </si>
  <si>
    <t>External</t>
  </si>
  <si>
    <t>ISO/IEC 17025 accredited lab (fictional)</t>
  </si>
  <si>
    <t>Torque Tools Service (example)</t>
  </si>
  <si>
    <t>Torque and pressure calibration (fictional)</t>
  </si>
  <si>
    <t>Gauge ID</t>
  </si>
  <si>
    <t>Description</t>
  </si>
  <si>
    <t>Range or size</t>
  </si>
  <si>
    <t>Interval (days)</t>
  </si>
  <si>
    <t>Status</t>
  </si>
  <si>
    <t>Records</t>
  </si>
  <si>
    <t>Last calibrated</t>
  </si>
  <si>
    <t>Next due</t>
  </si>
  <si>
    <t>Days to due</t>
  </si>
  <si>
    <t>Due status</t>
  </si>
  <si>
    <t>OOT finds</t>
  </si>
  <si>
    <t>Check</t>
  </si>
  <si>
    <t>Example data for Northgate Precision (fictional). Replace it with your own: select the example rows, right-click, Delete &gt; Table Rows (do the same on Calibration Records). Yellow = you type; blue = calculated; Check names any problem. Due status is measured to the status date on Setup.</t>
  </si>
  <si>
    <t>CAL-001</t>
  </si>
  <si>
    <t>Digital caliper 150 mm</t>
  </si>
  <si>
    <t>0-150 mm</t>
  </si>
  <si>
    <t>In service</t>
  </si>
  <si>
    <t/>
  </si>
  <si>
    <t>CAL-002</t>
  </si>
  <si>
    <t>CAL-003</t>
  </si>
  <si>
    <t>Dial caliper 300 mm</t>
  </si>
  <si>
    <t>0-300 mm</t>
  </si>
  <si>
    <t>CAL-004</t>
  </si>
  <si>
    <t>Digital caliper 200 mm</t>
  </si>
  <si>
    <t>0-200 mm</t>
  </si>
  <si>
    <t>MIC-010</t>
  </si>
  <si>
    <t>Outside micrometer 0-25 mm</t>
  </si>
  <si>
    <t>0-25 mm</t>
  </si>
  <si>
    <t>MIC-011</t>
  </si>
  <si>
    <t>Outside micrometer 25-50 mm</t>
  </si>
  <si>
    <t>25-50 mm</t>
  </si>
  <si>
    <t>MIC-012</t>
  </si>
  <si>
    <t>Inside micrometer 50-75 mm</t>
  </si>
  <si>
    <t>50-75 mm</t>
  </si>
  <si>
    <t>MIC-013</t>
  </si>
  <si>
    <t>Depth micrometer 0-150 mm</t>
  </si>
  <si>
    <t>Out of service</t>
  </si>
  <si>
    <t>Spindle sticking: sent for repair</t>
  </si>
  <si>
    <t>HGT-020</t>
  </si>
  <si>
    <t>Digital height gauge 300 mm</t>
  </si>
  <si>
    <t>BOR-030</t>
  </si>
  <si>
    <t>Dial bore gauge 35-60 mm</t>
  </si>
  <si>
    <t>35-60 mm</t>
  </si>
  <si>
    <t>BOR-031</t>
  </si>
  <si>
    <t>Setting ring 50 mm</t>
  </si>
  <si>
    <t>50.000 mm</t>
  </si>
  <si>
    <t>PIN-040</t>
  </si>
  <si>
    <t>Pin gauge set 1-10 mm</t>
  </si>
  <si>
    <t>1.00-10.00 mm</t>
  </si>
  <si>
    <t>PLG-041</t>
  </si>
  <si>
    <t>Go/no-go plug 12H7</t>
  </si>
  <si>
    <t>12H7</t>
  </si>
  <si>
    <t>THR-050</t>
  </si>
  <si>
    <t>Thread plug M8x1.25 6H</t>
  </si>
  <si>
    <t>M8x1.25</t>
  </si>
  <si>
    <t>THR-051</t>
  </si>
  <si>
    <t>Thread ring M10x1.5 6g</t>
  </si>
  <si>
    <t>M10x1.5</t>
  </si>
  <si>
    <t>TRQ-060</t>
  </si>
  <si>
    <t>Click torque wrench 5-25 N m</t>
  </si>
  <si>
    <t>5-25 N m</t>
  </si>
  <si>
    <t>TRQ-061</t>
  </si>
  <si>
    <t>Click torque wrench 20-100 N m</t>
  </si>
  <si>
    <t>20-100 N m</t>
  </si>
  <si>
    <t>TRQ-062</t>
  </si>
  <si>
    <t>Dial torque wrench 2-10 N m</t>
  </si>
  <si>
    <t>2-10 N m</t>
  </si>
  <si>
    <t>IND-070</t>
  </si>
  <si>
    <t>Dial indicator 0.01 mm</t>
  </si>
  <si>
    <t>0-10 mm</t>
  </si>
  <si>
    <t>IND-071</t>
  </si>
  <si>
    <t>Test indicator 0.002 mm</t>
  </si>
  <si>
    <t>0-0.2 mm</t>
  </si>
  <si>
    <t>CMM-080</t>
  </si>
  <si>
    <t>Bridge CMM 700 x 1000 x 600</t>
  </si>
  <si>
    <t>700x1000x600 mm</t>
  </si>
  <si>
    <t>PRS-090</t>
  </si>
  <si>
    <t>Test pressure gauge 0-10 bar</t>
  </si>
  <si>
    <t>0-10 bar</t>
  </si>
  <si>
    <t>PRS-091</t>
  </si>
  <si>
    <t>Process pressure gauge 0-250 bar</t>
  </si>
  <si>
    <t>0-250 bar</t>
  </si>
  <si>
    <t>CAL-005</t>
  </si>
  <si>
    <t>Dial caliper 150 mm (worn jaws)</t>
  </si>
  <si>
    <t>Retired</t>
  </si>
  <si>
    <t>Worn jaws, scrapped</t>
  </si>
  <si>
    <t>Date calibrated</t>
  </si>
  <si>
    <t>As found</t>
  </si>
  <si>
    <t>Action</t>
  </si>
  <si>
    <t>As left</t>
  </si>
  <si>
    <t>Impact review</t>
  </si>
  <si>
    <t>Certificate no.</t>
  </si>
  <si>
    <t>Cost</t>
  </si>
  <si>
    <t>Previous calibration</t>
  </si>
  <si>
    <t>Due date</t>
  </si>
  <si>
    <t>Days late</t>
  </si>
  <si>
    <t>On time</t>
  </si>
  <si>
    <t>OOT (1/0)</t>
  </si>
  <si>
    <t>View date</t>
  </si>
  <si>
    <t>Example data for Northgate Precision (fictional; costs are example values). Each record finds the gauge's previous calibration itself, so its due date and On time need no typing. An out-of-tolerance find needs an impact review entry (Open or Closed).</t>
  </si>
  <si>
    <t>In tolerance</t>
  </si>
  <si>
    <t>None</t>
  </si>
  <si>
    <t>Not needed</t>
  </si>
  <si>
    <t>EX-2501-145</t>
  </si>
  <si>
    <t>EX-2501-153</t>
  </si>
  <si>
    <t>IH-2501-181</t>
  </si>
  <si>
    <t>EX-2502-161</t>
  </si>
  <si>
    <t>EX-2502-125</t>
  </si>
  <si>
    <t>IH-2502-127</t>
  </si>
  <si>
    <t>IH-2502-117</t>
  </si>
  <si>
    <t>IH-2502-101</t>
  </si>
  <si>
    <t>EX-2503-138</t>
  </si>
  <si>
    <t>IH-2503-121</t>
  </si>
  <si>
    <t>IH-2503-105</t>
  </si>
  <si>
    <t>IH-2503-119</t>
  </si>
  <si>
    <t>EX-2503-146</t>
  </si>
  <si>
    <t>EX-2504-174</t>
  </si>
  <si>
    <t>IH-2504-109</t>
  </si>
  <si>
    <t>EX-2504-154</t>
  </si>
  <si>
    <t>IH-2504-123</t>
  </si>
  <si>
    <t>EX-2504-142</t>
  </si>
  <si>
    <t>IH-2504-113</t>
  </si>
  <si>
    <t>EX-2504-178</t>
  </si>
  <si>
    <t>EX-2504-172</t>
  </si>
  <si>
    <t>IH-2504-170</t>
  </si>
  <si>
    <t>IH-2505-168</t>
  </si>
  <si>
    <t>EX-2505-162</t>
  </si>
  <si>
    <t>IH-2505-135</t>
  </si>
  <si>
    <t>EX-2505-133</t>
  </si>
  <si>
    <t>EX-2505-131</t>
  </si>
  <si>
    <t>Out of tolerance</t>
  </si>
  <si>
    <t>Adjusted</t>
  </si>
  <si>
    <t>Closed</t>
  </si>
  <si>
    <t>EX-2506-147</t>
  </si>
  <si>
    <t>Product made since the last calibration reviewed</t>
  </si>
  <si>
    <t>Repaired</t>
  </si>
  <si>
    <t>EX-2506-155</t>
  </si>
  <si>
    <t>Removed from service</t>
  </si>
  <si>
    <t>IH-2507-182</t>
  </si>
  <si>
    <t>Jaws worn beyond adjustment</t>
  </si>
  <si>
    <t>EX-2507-163</t>
  </si>
  <si>
    <t>IH-2508-128</t>
  </si>
  <si>
    <t>IH-2508-102</t>
  </si>
  <si>
    <t>EX-2508-139</t>
  </si>
  <si>
    <t>EX-2509-148</t>
  </si>
  <si>
    <t>IH-2509-106</t>
  </si>
  <si>
    <t>EX-2509-156</t>
  </si>
  <si>
    <t>EX-2509-175</t>
  </si>
  <si>
    <t>IH-2509-110</t>
  </si>
  <si>
    <t>IH-2510-114</t>
  </si>
  <si>
    <t>EX-2510-179</t>
  </si>
  <si>
    <t>EX-2510-143</t>
  </si>
  <si>
    <t>IH-2510-136</t>
  </si>
  <si>
    <t>EX-2510-164</t>
  </si>
  <si>
    <t>EX-2511-149</t>
  </si>
  <si>
    <t>EX-2512-157</t>
  </si>
  <si>
    <t>EX-2601-165</t>
  </si>
  <si>
    <t>IH-2601-129</t>
  </si>
  <si>
    <t>IH-2602-118</t>
  </si>
  <si>
    <t>EX-2602-150</t>
  </si>
  <si>
    <t>IH-2602-103</t>
  </si>
  <si>
    <t>EX-2602-140</t>
  </si>
  <si>
    <t>EX-2602-126</t>
  </si>
  <si>
    <t>EX-2602-158</t>
  </si>
  <si>
    <t>IH-2603-107</t>
  </si>
  <si>
    <t>IH-2603-122</t>
  </si>
  <si>
    <t>IH-2603-120</t>
  </si>
  <si>
    <t>EX-2603-180</t>
  </si>
  <si>
    <t>IH-2603-111</t>
  </si>
  <si>
    <t>EX-2603-176</t>
  </si>
  <si>
    <t>IH-2604-124</t>
  </si>
  <si>
    <t>Spindle sticking; returned to supplier</t>
  </si>
  <si>
    <t>IH-2604-115</t>
  </si>
  <si>
    <t>IH-2604-137</t>
  </si>
  <si>
    <t>EX-2604-166</t>
  </si>
  <si>
    <t>IH-2604-171</t>
  </si>
  <si>
    <t>EX-2604-173</t>
  </si>
  <si>
    <t>IH-2604-169</t>
  </si>
  <si>
    <t>EX-2604-144</t>
  </si>
  <si>
    <t>EX-2605-151</t>
  </si>
  <si>
    <t>EX-2605-132</t>
  </si>
  <si>
    <t>EX-2605-134</t>
  </si>
  <si>
    <t>EX-2605-159</t>
  </si>
  <si>
    <t>EX-2606-167</t>
  </si>
  <si>
    <t>IH-2607-130</t>
  </si>
  <si>
    <t>EX-2607-152</t>
  </si>
  <si>
    <t>IH-2608-104</t>
  </si>
  <si>
    <t>Open</t>
  </si>
  <si>
    <t>EX-2608-160</t>
  </si>
  <si>
    <t>Impact review in progress</t>
  </si>
  <si>
    <t>EX-2608-141</t>
  </si>
  <si>
    <t>IH-2608-108</t>
  </si>
  <si>
    <t>IH-2608-112</t>
  </si>
  <si>
    <t>EX-2609-177</t>
  </si>
  <si>
    <t>IH-2609-116</t>
  </si>
  <si>
    <t>From</t>
  </si>
  <si>
    <t>To</t>
  </si>
  <si>
    <t>GAUGES OVERDUE</t>
  </si>
  <si>
    <t>DUE SOON</t>
  </si>
  <si>
    <t>CALIBRATED ON TIME</t>
  </si>
  <si>
    <t>FOUND OUT OF TOLERANCE</t>
  </si>
  <si>
    <t>In service, due within the Setup window</t>
  </si>
  <si>
    <t>GAUGES IN SERVICE</t>
  </si>
  <si>
    <t>CALIBRATIONS IN PERIOD</t>
  </si>
  <si>
    <t>OPEN IMPACT REVIEWS</t>
  </si>
  <si>
    <t>Recalled by the register</t>
  </si>
  <si>
    <t>Records between the dates</t>
  </si>
  <si>
    <t>Sum of record costs in the period</t>
  </si>
  <si>
    <t>Recalls falling due, next 12 months</t>
  </si>
  <si>
    <t>Calibrations done by month (last 12 months)</t>
  </si>
  <si>
    <t>Month</t>
  </si>
  <si>
    <t>Overdue now</t>
  </si>
  <si>
    <t>Falling due</t>
  </si>
  <si>
    <t>Total due</t>
  </si>
  <si>
    <t>Calibrations</t>
  </si>
  <si>
    <t>Late</t>
  </si>
  <si>
    <t>By gauge type (register at the status date; calibrations in the period)</t>
  </si>
  <si>
    <t>Gauge type</t>
  </si>
  <si>
    <t>Overdue</t>
  </si>
  <si>
    <t>Due soon</t>
  </si>
  <si>
    <t>Calibrations (period)</t>
  </si>
  <si>
    <t>OOT finds (period)</t>
  </si>
  <si>
    <t>OOT rate</t>
  </si>
  <si>
    <t>OOT limit</t>
  </si>
  <si>
    <t>The Dashboard shows the 10 gauge types of the Setup list. If you add more, extend the 'By gauge type' block (see Method) or they will not appear here. To list the overdue gauges, filter the Gauge Register's Due status column.</t>
  </si>
  <si>
    <t>What this workbook calculates</t>
  </si>
  <si>
    <t>A gauge is fit to use when it was calibrated within its interval and found in tolerance. This workbook keeps one register row per gauge and one record per calibration. Each record finds the gauge's previous calibration, so the date it was due and whether it was done on time are calculated, not typed. The register takes the latest record of each gauge, adds the interval to get the next due date, and compares it with the status date on Setup (a typed date, so the file never changes by itself).</t>
  </si>
  <si>
    <t>Calculations</t>
  </si>
  <si>
    <t>Quantity</t>
  </si>
  <si>
    <t>How it is calculated</t>
  </si>
  <si>
    <t>Units</t>
  </si>
  <si>
    <t>Count of Calibration Records rows with this gauge ID (COUNTIFS).</t>
  </si>
  <si>
    <t>records</t>
  </si>
  <si>
    <t>Latest Date calibrated of this gauge on Calibration Records: SUMPRODUCT(MAX((ID matches) x date)), blank with no record.</t>
  </si>
  <si>
    <t>date</t>
  </si>
  <si>
    <t>Last calibrated + interval (calendar days, from the register).</t>
  </si>
  <si>
    <t>Next due - status date. Negative = days overdue.</t>
  </si>
  <si>
    <t>Not in service: the status (Out of service, Retired). In service: Overdue when there is no record or the status date is after the next due date; Due soon when the next due date is within the Setup window; otherwise OK.</t>
  </si>
  <si>
    <t>-</t>
  </si>
  <si>
    <t>Previous calibration, due date</t>
  </si>
  <si>
    <t>For each record: the latest earlier record of the same gauge; due date = previous calibration + the gauge's interval. A gauge's first record has no due date.</t>
  </si>
  <si>
    <t>Days late, on time</t>
  </si>
  <si>
    <t>Days late = MAX(0, date calibrated - due date). On time = Yes when calibrated on or before the due date, No after it.</t>
  </si>
  <si>
    <t>days, -</t>
  </si>
  <si>
    <t>On-time calibration</t>
  </si>
  <si>
    <t>Calibrations that fell due between From and To and were done on time / (records with a due date between From and To + in-service gauges overdue now whose next due date is between them).</t>
  </si>
  <si>
    <t>%</t>
  </si>
  <si>
    <t>Found out of tolerance</t>
  </si>
  <si>
    <t>Records between From and To with As found = Out of tolerance / all records between them.</t>
  </si>
  <si>
    <t>Recalls falling due</t>
  </si>
  <si>
    <t>In-service gauges whose next due date is in each month from the status date on; the first column adds the gauges overdue now.</t>
  </si>
  <si>
    <t>gauges</t>
  </si>
  <si>
    <t>Calibration cost</t>
  </si>
  <si>
    <t>Sum of the Cost column of records between From and To. Example values; your currency label, no exchange rate.</t>
  </si>
  <si>
    <t>currency</t>
  </si>
  <si>
    <t>Assumptions</t>
  </si>
  <si>
    <t>Intervals are calendar days from the last calibration date, and the interval on the register applies to every record of that gauge (if you change an interval, earlier due dates are recalculated with the new one).</t>
  </si>
  <si>
    <t>Every calibration of a gauge is logged, in any order; the previous calibration is found by date, not by row position.</t>
  </si>
  <si>
    <t>As found is the condition before adjustment. A gauge adjusted back into tolerance still counts as an out-of-tolerance find.</t>
  </si>
  <si>
    <t>Usage-based recall limits (cycles, uses) are not tracked; set the calendar interval from them, or use the Calibration Recall Planning calculator.</t>
  </si>
  <si>
    <t>Limitations</t>
  </si>
  <si>
    <t>The workbook records results; it does not hold measurement uncertainty budgets, reference-standard traceability chains or certificate contents. Keep certificates and link them by number.</t>
  </si>
  <si>
    <t>The impact review column records that a review happened; the review itself (which product, which decision) belongs in your nonconformance or CAPA system.</t>
  </si>
  <si>
    <t>The 'By gauge type' block has a fixed number of rows (a warning appears on the Dashboard when the list grows); the month blocks show 12 months.</t>
  </si>
  <si>
    <t>On-time calibration is a measure of recall discipline, not of gauge accuracy; read it next to the out-of-tolerance rate.</t>
  </si>
  <si>
    <t>Agreement with the live calculator</t>
  </si>
  <si>
    <t>On-time calibration is the Calibration Schedule Adherence calculator's ratio (calibrations completed on time / calibrations due x 100), with the counts taken from the log: the calculator's default example, 240 on time out of 250 due against a 95% target, gives 96.0% and a gap of -1.0 points in both. The out-of-tolerance rate is the Calibration Failure Rate calculator's failed / completed (8 of 250 = 3.2%). The template's reference implementation is checked against both engines on every build. The workbook adds the register, the due dates and the Dashboard.</t>
  </si>
  <si>
    <t>Open the Calibration Schedule Adherence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</si>
  <si>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</si>
  <si>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</si>
  <si>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ISO 9001:2015, clause 7.1.5 Monitoring and measuring resources (requirements summarised in our own words, not reproduced).</t>
  </si>
  <si>
    <t>ISO 10012:2003, Measurement management systems - Requirements for measurement processes and measuring equipment.</t>
  </si>
  <si>
    <t>ILAC-G24 / OIML D 10:2022, Guidelines for the determination of recalibration intervals of measuring equipment.</t>
  </si>
  <si>
    <t>MFG Calcs Calibration Schedule Adherence and Calibration Failure Rate calculators: the same two ratios for one period.</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</si>
  <si>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</si>
  <si>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</si>
  <si>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</si>
  <si>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</si>
  <si>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</si>
  <si>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</si>
  <si>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</si>
  <si>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</si>
  <si>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</si>
  <si>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</si>
  <si>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</si>
  <si>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</si>
  <si>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</si>
  <si>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</si>
  <si>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</si>
  <si>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</si>
  <si>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G1: last calibrated</t>
  </si>
  <si>
    <t>G1: next due (last + 180 days)</t>
  </si>
  <si>
    <t>G1: days to due (negative = overdue)</t>
  </si>
  <si>
    <t>G1: due status</t>
  </si>
  <si>
    <t>exact</t>
  </si>
  <si>
    <t>G3: OOT finds</t>
  </si>
  <si>
    <t>G4: retired gauge is not due</t>
  </si>
  <si>
    <t>Row 5: Check reports the duplicate ID</t>
  </si>
  <si>
    <t>Duplicate gauge ID</t>
  </si>
  <si>
    <t>G3: Check reports a calibration after the status date</t>
  </si>
  <si>
    <t>Calibrated after the status date</t>
  </si>
  <si>
    <t>Record 2: previous calibration</t>
  </si>
  <si>
    <t>Record 2: due date</t>
  </si>
  <si>
    <t>Record 2: on time</t>
  </si>
  <si>
    <t>Yes</t>
  </si>
  <si>
    <t>Record 4: days late</t>
  </si>
  <si>
    <t>Record 4: on time</t>
  </si>
  <si>
    <t>No</t>
  </si>
  <si>
    <t>Record 1: first record has no due date</t>
  </si>
  <si>
    <t>Record 7: Check reports a date after the status date</t>
  </si>
  <si>
    <t>Date after the status date</t>
  </si>
  <si>
    <t>On-time calibration (Dashboard formula)</t>
  </si>
  <si>
    <t>Found out of tolerance (Dashboard formula)</t>
  </si>
  <si>
    <t>Gauges overdue (Dashboard formula)</t>
  </si>
  <si>
    <t>Fixed test inputs</t>
  </si>
  <si>
    <t>White cells are fixed test inputs; blue cells are the workbook's formulas evaluated on them.</t>
  </si>
  <si>
    <t>Parameters</t>
  </si>
  <si>
    <t>Status date</t>
  </si>
  <si>
    <t>Due soon window (days)</t>
  </si>
  <si>
    <t>Period from (0 = no limit)</t>
  </si>
  <si>
    <t>Period to (2958465 = no limit)</t>
  </si>
  <si>
    <t>On-time target</t>
  </si>
  <si>
    <t>Test table: GaugeTypes</t>
  </si>
  <si>
    <t>Test table: Locations</t>
  </si>
  <si>
    <t>Lab</t>
  </si>
  <si>
    <t>Test table: Labs</t>
  </si>
  <si>
    <t>Lab A</t>
  </si>
  <si>
    <t>Test table: Gauges</t>
  </si>
  <si>
    <t>G1</t>
  </si>
  <si>
    <t>G2</t>
  </si>
  <si>
    <t>G3</t>
  </si>
  <si>
    <t>G4</t>
  </si>
  <si>
    <t>Old caliper</t>
  </si>
  <si>
    <t>Duplicate of G1</t>
  </si>
  <si>
    <t>Test table: Calibrations</t>
  </si>
  <si>
    <t>C</t>
  </si>
</sst>
</file>

<file path=xl/styles.xml><?xml version="1.0" encoding="utf-8"?>
<styleSheet xmlns="http://schemas.openxmlformats.org/spreadsheetml/2006/main">
  <numFmts count="10">
    <numFmt numFmtId="164" formatCode="d mmm yyyy"/>
    <numFmt numFmtId="165" formatCode="#,##0"/>
    <numFmt numFmtId="166" formatCode="0.0%"/>
    <numFmt numFmtId="167" formatCode="+#,##0;-#,##0;0"/>
    <numFmt numFmtId="168" formatCode="#,##0.00"/>
    <numFmt numFmtId="169" formatCode="&quot;Limit &quot;#,##0"/>
    <numFmt numFmtId="170" formatCode="&quot;Target &quot;0.0%"/>
    <numFmt numFmtId="171" formatCode="&quot;Limit &quot;0.0%"/>
    <numFmt numFmtId="172" formatCode="mmm yyyy"/>
    <numFmt numFmtId="173"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4">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165"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0" fillId="4" borderId="3" xfId="0" applyFont="1" applyFill="1" applyBorder="1" applyAlignment="1">
      <alignment vertical="center"/>
    </xf>
    <xf numFmtId="0" fontId="21" fillId="0" borderId="0" xfId="0" applyFont="1" applyAlignment="1">
      <alignment horizontal="center" vertical="center"/>
    </xf>
    <xf numFmtId="168" fontId="10" fillId="3" borderId="2" xfId="0" applyNumberFormat="1" applyFont="1" applyFill="1" applyBorder="1" applyAlignment="1" applyProtection="1">
      <alignment vertical="center"/>
      <protection locked="0"/>
    </xf>
    <xf numFmtId="0" fontId="10" fillId="3" borderId="2" xfId="0" applyFont="1" applyFill="1" applyBorder="1" applyAlignment="1" applyProtection="1">
      <alignment vertical="top" wrapText="1"/>
      <protection locked="0"/>
    </xf>
    <xf numFmtId="164" fontId="10" fillId="3" borderId="2" xfId="0" applyNumberFormat="1" applyFont="1" applyFill="1" applyBorder="1" applyAlignment="1" applyProtection="1">
      <alignment horizontal="left" vertical="center"/>
      <protection locked="0"/>
    </xf>
    <xf numFmtId="0" fontId="21" fillId="0" borderId="0" xfId="0" applyFont="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170" fontId="23" fillId="9" borderId="7" xfId="0" applyNumberFormat="1" applyFont="1" applyFill="1" applyBorder="1" applyAlignment="1">
      <alignment horizontal="left" vertical="center"/>
    </xf>
    <xf numFmtId="171"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172" fontId="9" fillId="0" borderId="9" xfId="0" applyNumberFormat="1" applyFont="1" applyBorder="1" applyAlignment="1">
      <alignment vertical="center"/>
    </xf>
    <xf numFmtId="165" fontId="9" fillId="4" borderId="3" xfId="0" applyNumberFormat="1" applyFont="1" applyFill="1" applyBorder="1" applyAlignment="1">
      <alignment vertical="center"/>
    </xf>
    <xf numFmtId="0" fontId="9" fillId="0" borderId="9" xfId="0" applyFont="1" applyBorder="1" applyAlignment="1">
      <alignment vertical="center"/>
    </xf>
    <xf numFmtId="166" fontId="10" fillId="4" borderId="3" xfId="0" applyNumberFormat="1" applyFont="1" applyFill="1" applyBorder="1" applyAlignment="1">
      <alignment vertical="center"/>
    </xf>
    <xf numFmtId="166" fontId="10"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9" fillId="0" borderId="9" xfId="0" applyNumberFormat="1" applyFont="1" applyBorder="1" applyAlignment="1">
      <alignment horizontal="center" vertical="center"/>
    </xf>
    <xf numFmtId="164" fontId="10" fillId="0" borderId="9" xfId="0" applyNumberFormat="1" applyFont="1" applyBorder="1" applyAlignment="1">
      <alignment vertical="center"/>
    </xf>
    <xf numFmtId="173" fontId="10" fillId="4" borderId="3" xfId="0" applyNumberFormat="1" applyFont="1" applyFill="1" applyBorder="1" applyAlignment="1">
      <alignment vertical="center"/>
    </xf>
    <xf numFmtId="173" fontId="10" fillId="0" borderId="9" xfId="0" applyNumberFormat="1" applyFont="1" applyBorder="1" applyAlignment="1">
      <alignment vertical="center"/>
    </xf>
    <xf numFmtId="165" fontId="10" fillId="0" borderId="9" xfId="0" applyNumberFormat="1" applyFont="1" applyBorder="1" applyAlignment="1">
      <alignment vertical="center"/>
    </xf>
    <xf numFmtId="0" fontId="10" fillId="4" borderId="3" xfId="0" applyFont="1" applyFill="1" applyBorder="1" applyAlignment="1">
      <alignment vertical="center"/>
    </xf>
    <xf numFmtId="168"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Recalls falling due, next 12 months</a:t>
            </a:r>
          </a:p>
        </c:rich>
      </c:tx>
      <c:layout/>
    </c:title>
    <c:plotArea>
      <c:layout/>
      <c:barChart>
        <c:barDir val="col"/>
        <c:grouping val="stacked"/>
        <c:ser>
          <c:idx val="0"/>
          <c:order val="0"/>
          <c:tx>
            <c:v>Overdue now</c:v>
          </c:tx>
          <c:spPr>
            <a:solidFill>
              <a:srgbClr val="B3000C"/>
            </a:solidFill>
            <a:ln w="9525">
              <a:solidFill>
                <a:srgbClr val="FFFFFF"/>
              </a:solidFill>
            </a:ln>
          </c:spPr>
          <c:cat>
            <c:numRef>
              <c:f>Dashboard!$B$37:$B$48</c:f>
              <c:numCache>
                <c:formatCode>General</c:formatCode>
                <c:ptCount val="12"/>
                <c:pt idx="0">
                  <c:v>46296</c:v>
                </c:pt>
                <c:pt idx="1">
                  <c:v>46327</c:v>
                </c:pt>
                <c:pt idx="2">
                  <c:v>46357</c:v>
                </c:pt>
                <c:pt idx="3">
                  <c:v>46388</c:v>
                </c:pt>
                <c:pt idx="4">
                  <c:v>46419</c:v>
                </c:pt>
                <c:pt idx="5">
                  <c:v>46447</c:v>
                </c:pt>
                <c:pt idx="6">
                  <c:v>46478</c:v>
                </c:pt>
                <c:pt idx="7">
                  <c:v>46508</c:v>
                </c:pt>
                <c:pt idx="8">
                  <c:v>46539</c:v>
                </c:pt>
                <c:pt idx="9">
                  <c:v>46569</c:v>
                </c:pt>
                <c:pt idx="10">
                  <c:v>46600</c:v>
                </c:pt>
                <c:pt idx="11">
                  <c:v>46631</c:v>
                </c:pt>
              </c:numCache>
            </c:numRef>
          </c:cat>
          <c:val>
            <c:numRef>
              <c:f>Dashboard!$C$37:$C$48</c:f>
              <c:numCache>
                <c:formatCode>General</c:formatCode>
                <c:ptCount val="12"/>
                <c:pt idx="0">
                  <c:v>3</c:v>
                </c:pt>
                <c:pt idx="1">
                  <c:v>0</c:v>
                </c:pt>
                <c:pt idx="2">
                  <c:v>0</c:v>
                </c:pt>
                <c:pt idx="3">
                  <c:v>0</c:v>
                </c:pt>
                <c:pt idx="4">
                  <c:v>0</c:v>
                </c:pt>
                <c:pt idx="5">
                  <c:v>0</c:v>
                </c:pt>
                <c:pt idx="6">
                  <c:v>0</c:v>
                </c:pt>
                <c:pt idx="7">
                  <c:v>0</c:v>
                </c:pt>
                <c:pt idx="8">
                  <c:v>0</c:v>
                </c:pt>
                <c:pt idx="9">
                  <c:v>0</c:v>
                </c:pt>
                <c:pt idx="10">
                  <c:v>0</c:v>
                </c:pt>
                <c:pt idx="11">
                  <c:v>0</c:v>
                </c:pt>
              </c:numCache>
            </c:numRef>
          </c:val>
        </c:ser>
        <c:ser>
          <c:idx val="1"/>
          <c:order val="1"/>
          <c:tx>
            <c:v>Falling due</c:v>
          </c:tx>
          <c:spPr>
            <a:solidFill>
              <a:srgbClr val="3B64D8"/>
            </a:solidFill>
            <a:ln w="9525">
              <a:solidFill>
                <a:srgbClr val="FFFFFF"/>
              </a:solidFill>
            </a:ln>
          </c:spPr>
          <c:cat>
            <c:numRef>
              <c:f>Dashboard!$B$37:$B$48</c:f>
              <c:numCache>
                <c:formatCode>General</c:formatCode>
                <c:ptCount val="12"/>
                <c:pt idx="0">
                  <c:v>46296</c:v>
                </c:pt>
                <c:pt idx="1">
                  <c:v>46327</c:v>
                </c:pt>
                <c:pt idx="2">
                  <c:v>46357</c:v>
                </c:pt>
                <c:pt idx="3">
                  <c:v>46388</c:v>
                </c:pt>
                <c:pt idx="4">
                  <c:v>46419</c:v>
                </c:pt>
                <c:pt idx="5">
                  <c:v>46447</c:v>
                </c:pt>
                <c:pt idx="6">
                  <c:v>46478</c:v>
                </c:pt>
                <c:pt idx="7">
                  <c:v>46508</c:v>
                </c:pt>
                <c:pt idx="8">
                  <c:v>46539</c:v>
                </c:pt>
                <c:pt idx="9">
                  <c:v>46569</c:v>
                </c:pt>
                <c:pt idx="10">
                  <c:v>46600</c:v>
                </c:pt>
                <c:pt idx="11">
                  <c:v>46631</c:v>
                </c:pt>
              </c:numCache>
            </c:numRef>
          </c:cat>
          <c:val>
            <c:numRef>
              <c:f>Dashboard!$D$37:$D$48</c:f>
              <c:numCache>
                <c:formatCode>General</c:formatCode>
                <c:ptCount val="12"/>
                <c:pt idx="0">
                  <c:v>2</c:v>
                </c:pt>
                <c:pt idx="1">
                  <c:v>1</c:v>
                </c:pt>
                <c:pt idx="2">
                  <c:v>0</c:v>
                </c:pt>
                <c:pt idx="3">
                  <c:v>2</c:v>
                </c:pt>
                <c:pt idx="4">
                  <c:v>5</c:v>
                </c:pt>
                <c:pt idx="5">
                  <c:v>4</c:v>
                </c:pt>
                <c:pt idx="6">
                  <c:v>3</c:v>
                </c:pt>
                <c:pt idx="7">
                  <c:v>2</c:v>
                </c:pt>
                <c:pt idx="8">
                  <c:v>0</c:v>
                </c:pt>
                <c:pt idx="9">
                  <c:v>0</c:v>
                </c:pt>
                <c:pt idx="10">
                  <c:v>0</c:v>
                </c:pt>
                <c:pt idx="11">
                  <c:v>0</c:v>
                </c:pt>
              </c:numCache>
            </c:numRef>
          </c:val>
        </c:ser>
        <c:gapWidth val="60"/>
        <c:overlap val="100"/>
        <c:axId val="50010001"/>
        <c:axId val="50010002"/>
      </c:barChart>
      <c:catAx>
        <c:axId val="5001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Found out of tolerance, by gauge type</a:t>
            </a:r>
          </a:p>
        </c:rich>
      </c:tx>
      <c:layout/>
    </c:title>
    <c:plotArea>
      <c:layout/>
      <c:barChart>
        <c:barDir val="col"/>
        <c:grouping val="clustered"/>
        <c:ser>
          <c:idx val="0"/>
          <c:order val="0"/>
          <c:tx>
            <c:v>OOT rate</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Dashboard!$B$53:$B$62</c:f>
              <c:strCache>
                <c:ptCount val="10"/>
                <c:pt idx="0">
                  <c:v>Caliper</c:v>
                </c:pt>
                <c:pt idx="1">
                  <c:v>Micrometer</c:v>
                </c:pt>
                <c:pt idx="2">
                  <c:v>Height gauge</c:v>
                </c:pt>
                <c:pt idx="3">
                  <c:v>Bore gauge</c:v>
                </c:pt>
                <c:pt idx="4">
                  <c:v>Plug and pin gauge</c:v>
                </c:pt>
                <c:pt idx="5">
                  <c:v>Thread gauge</c:v>
                </c:pt>
                <c:pt idx="6">
                  <c:v>Torque wrench</c:v>
                </c:pt>
                <c:pt idx="7">
                  <c:v>Indicator</c:v>
                </c:pt>
                <c:pt idx="8">
                  <c:v>CMM</c:v>
                </c:pt>
                <c:pt idx="9">
                  <c:v>Pressure gauge</c:v>
                </c:pt>
              </c:strCache>
            </c:strRef>
          </c:cat>
          <c:val>
            <c:numRef>
              <c:f>Dashboard!$H$53:$H$62</c:f>
              <c:numCache>
                <c:formatCode>General</c:formatCode>
                <c:ptCount val="10"/>
                <c:pt idx="0">
                  <c:v>0.0555555555555556</c:v>
                </c:pt>
                <c:pt idx="1">
                  <c:v>0.125</c:v>
                </c:pt>
                <c:pt idx="2">
                  <c:v>0</c:v>
                </c:pt>
                <c:pt idx="3">
                  <c:v>0</c:v>
                </c:pt>
                <c:pt idx="4">
                  <c:v>0</c:v>
                </c:pt>
                <c:pt idx="5">
                  <c:v>0.142857142857143</c:v>
                </c:pt>
                <c:pt idx="6">
                  <c:v>0.217391304347826</c:v>
                </c:pt>
                <c:pt idx="7">
                  <c:v>0</c:v>
                </c:pt>
                <c:pt idx="8">
                  <c:v>0</c:v>
                </c:pt>
                <c:pt idx="9">
                  <c:v>0</c:v>
                </c:pt>
              </c:numCache>
            </c:numRef>
          </c:val>
        </c:ser>
        <c:gapWidth val="60"/>
        <c:overlap val="-10"/>
        <c:axId val="50020001"/>
        <c:axId val="50020002"/>
      </c:barChart>
      <c:lineChart>
        <c:grouping val="standard"/>
        <c:ser>
          <c:idx val="1"/>
          <c:order val="1"/>
          <c:tx>
            <c:v>Limit</c:v>
          </c:tx>
          <c:spPr>
            <a:ln w="19050">
              <a:solidFill>
                <a:srgbClr val="B3000C"/>
              </a:solidFill>
              <a:prstDash val="dash"/>
            </a:ln>
          </c:spPr>
          <c:marker>
            <c:symbol val="none"/>
          </c:marker>
          <c:cat>
            <c:strRef>
              <c:f>Dashboard!$B$53:$B$62</c:f>
              <c:strCache>
                <c:ptCount val="10"/>
                <c:pt idx="0">
                  <c:v>Caliper</c:v>
                </c:pt>
                <c:pt idx="1">
                  <c:v>Micrometer</c:v>
                </c:pt>
                <c:pt idx="2">
                  <c:v>Height gauge</c:v>
                </c:pt>
                <c:pt idx="3">
                  <c:v>Bore gauge</c:v>
                </c:pt>
                <c:pt idx="4">
                  <c:v>Plug and pin gauge</c:v>
                </c:pt>
                <c:pt idx="5">
                  <c:v>Thread gauge</c:v>
                </c:pt>
                <c:pt idx="6">
                  <c:v>Torque wrench</c:v>
                </c:pt>
                <c:pt idx="7">
                  <c:v>Indicator</c:v>
                </c:pt>
                <c:pt idx="8">
                  <c:v>CMM</c:v>
                </c:pt>
                <c:pt idx="9">
                  <c:v>Pressure gauge</c:v>
                </c:pt>
              </c:strCache>
            </c:strRef>
          </c:cat>
          <c:val>
            <c:numRef>
              <c:f>Dashboard!$I$53:$I$62</c:f>
              <c:numCache>
                <c:formatCode>General</c:formatCode>
                <c:ptCount val="10"/>
                <c:pt idx="0">
                  <c:v>0.05</c:v>
                </c:pt>
                <c:pt idx="1">
                  <c:v>0.05</c:v>
                </c:pt>
                <c:pt idx="2">
                  <c:v>0.05</c:v>
                </c:pt>
                <c:pt idx="3">
                  <c:v>0.05</c:v>
                </c:pt>
                <c:pt idx="4">
                  <c:v>0.05</c:v>
                </c:pt>
                <c:pt idx="5">
                  <c:v>0.05</c:v>
                </c:pt>
                <c:pt idx="6">
                  <c:v>0.05</c:v>
                </c:pt>
                <c:pt idx="7">
                  <c:v>0.05</c:v>
                </c:pt>
                <c:pt idx="8">
                  <c:v>0.05</c:v>
                </c:pt>
                <c:pt idx="9">
                  <c:v>0.05</c:v>
                </c:pt>
              </c:numCache>
            </c:numRef>
          </c:val>
        </c:ser>
        <c:marker val="1"/>
        <c:axId val="50020001"/>
        <c:axId val="5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Stacked column chart of in-service gauges falling due for calibration in each of the next twelve months, with the gauges already overdue at the status date in the first column."/>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Column chart of the share of calibrations in the period that found the gauge out of tolerance, for each gauge type, with your limi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GaugeTypes" displayName="tblGaugeTypes" ref="B22:C32" totalsRowShown="0">
  <autoFilter ref="B22:C32"/>
  <tableColumns count="2">
    <tableColumn id="1" name="Type"/>
    <tableColumn id="2" name="Notes"/>
  </tableColumns>
  <tableStyleInfo name="TableStyleLight1" showFirstColumn="0" showLastColumn="0" showRowStripes="0" showColumnStripes="0"/>
</table>
</file>

<file path=xl/tables/table2.xml><?xml version="1.0" encoding="utf-8"?>
<table xmlns="http://schemas.openxmlformats.org/spreadsheetml/2006/main" id="2" name="tblLocations" displayName="tblLocations" ref="B35:C40" totalsRowShown="0">
  <autoFilter ref="B35:C40"/>
  <tableColumns count="2">
    <tableColumn id="1" name="Location"/>
    <tableColumn id="2" name="Notes"/>
  </tableColumns>
  <tableStyleInfo name="TableStyleLight1" showFirstColumn="0" showLastColumn="0" showRowStripes="0" showColumnStripes="0"/>
</table>
</file>

<file path=xl/tables/table3.xml><?xml version="1.0" encoding="utf-8"?>
<table xmlns="http://schemas.openxmlformats.org/spreadsheetml/2006/main" id="3" name="tblLabs" displayName="tblLabs" ref="B43:D46" totalsRowShown="0">
  <autoFilter ref="B43:D46"/>
  <tableColumns count="3">
    <tableColumn id="1" name="Calibrated by"/>
    <tableColumn id="2" name="Kind"/>
    <tableColumn id="3" name="Notes"/>
  </tableColumns>
  <tableStyleInfo name="TableStyleLight1" showFirstColumn="0" showLastColumn="0" showRowStripes="0" showColumnStripes="0"/>
</table>
</file>

<file path=xl/tables/table4.xml><?xml version="1.0" encoding="utf-8"?>
<table xmlns="http://schemas.openxmlformats.org/spreadsheetml/2006/main" id="4" name="tblGauges" displayName="tblGauges" ref="B5:P29" totalsRowShown="0">
  <autoFilter ref="B5:P29"/>
  <tableColumns count="15">
    <tableColumn id="1" name="Gauge ID"/>
    <tableColumn id="2" name="Description"/>
    <tableColumn id="3" name="Type"/>
    <tableColumn id="4" name="Location"/>
    <tableColumn id="5" name="Range or size"/>
    <tableColumn id="6" name="Interval (days)"/>
    <tableColumn id="7" name="Status"/>
    <tableColumn id="8" name="Records">
      <calculatedColumnFormula>IF(tblGauges[[#This Row],[Gauge ID]]="","",COUNTIFS(tblCalibrations[Gauge ID],tblGauges[[#This Row],[Gauge ID]]))</calculatedColumnFormula>
    </tableColumn>
    <tableColumn id="9" name="Last calibrated">
      <calculatedColumnFormula>IF(tblGauges[[#This Row],[Gauge ID]]="","",IF(tblGauges[[#This Row],[Records]]=0,"",SUMPRODUCT(MAX((tblCalibrations[Gauge ID]=tblGauges[[#This Row],[Gauge ID]])*tblCalibrations[Date calibrated]))))</calculatedColumnFormula>
    </tableColumn>
    <tableColumn id="10" name="Next due">
      <calculatedColumnFormula>IF(tblGauges[[#This Row],[Gauge ID]]="","",IF(OR(tblGauges[[#This Row],[Last calibrated]]="",tblGauges[[#This Row],[Interval (days)]]=""),"",tblGauges[[#This Row],[Last calibrated]]+tblGauges[[#This Row],[Interval (days)]]))</calculatedColumnFormula>
    </tableColumn>
    <tableColumn id="11" name="Days to due">
      <calculatedColumnFormula>IF(tblGauges[[#This Row],[Gauge ID]]="","",IF(tblGauges[[#This Row],[Next due]]="","",tblGauges[[#This Row],[Next due]]-AsOf))</calculatedColumnFormula>
    </tableColumn>
    <tableColumn id="12" name="Due status">
      <calculatedColumnFormula>IF(tblGauges[[#This Row],[Gauge ID]]="","",IF(tblGauges[[#This Row],[Status]]&lt;&gt;"In service",tblGauges[[#This Row],[Status]],IF(tblGauges[[#This Row],[Next due]]="","Overdue",IF(AsOf&gt;tblGauges[[#This Row],[Next due]],"Overdue",IF(tblGauges[[#This Row],[Next due]]-AsOf&lt;=DueSoonDays,"Due soon","OK")))))</calculatedColumnFormula>
    </tableColumn>
    <tableColumn id="13" name="OOT finds">
      <calculatedColumnFormula>IF(tblGauges[[#This Row],[Gauge ID]]="","",COUNTIFS(tblCalibrations[Gauge ID],tblGauges[[#This Row],[Gauge ID]],tblCalibrations[As found],"Out of tolerance"))</calculatedColumnFormula>
    </tableColumn>
    <tableColumn id="14" name="Check">
      <calculatedColumnFormula>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calculatedColumnFormula>
    </tableColumn>
    <tableColumn id="15" name="Notes"/>
  </tableColumns>
  <tableStyleInfo name="TableStyleLight1" showFirstColumn="0" showLastColumn="0" showRowStripes="0" showColumnStripes="0"/>
</table>
</file>

<file path=xl/tables/table5.xml><?xml version="1.0" encoding="utf-8"?>
<table xmlns="http://schemas.openxmlformats.org/spreadsheetml/2006/main" id="5" name="tblCalibrations" displayName="tblCalibrations" ref="B6:S88" totalsRowShown="0">
  <autoFilter ref="B6:S88"/>
  <tableColumns count="18">
    <tableColumn id="1" name="Gauge ID"/>
    <tableColumn id="2" name="Date calibrated"/>
    <tableColumn id="3" name="Calibrated by"/>
    <tableColumn id="4" name="As found"/>
    <tableColumn id="5" name="Action"/>
    <tableColumn id="6" name="As left"/>
    <tableColumn id="7" name="Impact review"/>
    <tableColumn id="8" name="Certificate no."/>
    <tableColumn id="9" name="Cost"/>
    <tableColumn id="10" name="Interval (days)">
      <calculatedColumnFormula>IF(tblCalibrations[[#This Row],[Gauge ID]]="","",IFERROR(INDEX(tblGauges[Interval (days)],MATCH(tblCalibrations[[#This Row],[Gauge ID]],tblGauges[Gauge ID],0)),""))</calculatedColumnFormula>
    </tableColumn>
    <tableColumn id="11" name="Previous calibration">
      <calculatedColumnFormula>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calculatedColumnFormula>
    </tableColumn>
    <tableColumn id="12" name="Due date">
      <calculatedColumnFormula>IF(tblCalibrations[[#This Row],[Gauge ID]]="","",IF(OR(tblCalibrations[[#This Row],[Previous calibration]]="",tblCalibrations[[#This Row],[Interval (days)]]=""),"",tblCalibrations[[#This Row],[Previous calibration]]+tblCalibrations[[#This Row],[Interval (days)]]))</calculatedColumnFormula>
    </tableColumn>
    <tableColumn id="13" name="Days late">
      <calculatedColumnFormula>IF(tblCalibrations[[#This Row],[Gauge ID]]="","",IF(tblCalibrations[[#This Row],[Due date]]="","",MAX(0,tblCalibrations[[#This Row],[Date calibrated]]-tblCalibrations[[#This Row],[Due date]])))</calculatedColumnFormula>
    </tableColumn>
    <tableColumn id="14" name="On time">
      <calculatedColumnFormula>IF(tblCalibrations[[#This Row],[Gauge ID]]="","",IF(tblCalibrations[[#This Row],[Due date]]="","",IF(tblCalibrations[[#This Row],[Date calibrated]]&lt;=tblCalibrations[[#This Row],[Due date]],"Yes","No")))</calculatedColumnFormula>
    </tableColumn>
    <tableColumn id="15" name="OOT (1/0)">
      <calculatedColumnFormula>IF(tblCalibrations[[#This Row],[Gauge ID]]="","",IF(tblCalibrations[[#This Row],[As found]]="Out of tolerance",1,0))</calculatedColumnFormula>
    </tableColumn>
    <tableColumn id="16" name="View date">
      <calculatedColumnFormula>IF(tblCalibrations[[#This Row],[Gauge ID]]="","",IF(AND(tblCalibrations[[#This Row],[Date calibrated]]&gt;=FFrom,tblCalibrations[[#This Row],[Date calibrated]]&lt;=FTo),tblCalibrations[[#This Row],[Date calibrated]],""))</calculatedColumnFormula>
    </tableColumn>
    <tableColumn id="17" name="Check">
      <calculatedColumnFormula>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calculatedColumnFormula>
    </tableColumn>
    <tableColumn id="18" name="Notes"/>
  </tableColumns>
  <tableStyleInfo name="TableStyleLight1" showFirstColumn="0" showLastColumn="0" showRowStripes="0" showColumnStripes="0"/>
</table>
</file>

<file path=xl/tables/table6.xml><?xml version="1.0" encoding="utf-8"?>
<table xmlns="http://schemas.openxmlformats.org/spreadsheetml/2006/main" id="6" name="tblVerifyGaugeTypes" displayName="tblVerifyGaugeTypes" ref="B42:C45" totalsRowShown="0">
  <tableColumns count="2">
    <tableColumn id="1" name="Type"/>
    <tableColumn id="2" name="Notes"/>
  </tableColumns>
  <tableStyleInfo name="TableStyleLight1" showFirstColumn="0" showLastColumn="0" showRowStripes="0" showColumnStripes="0"/>
</table>
</file>

<file path=xl/tables/table7.xml><?xml version="1.0" encoding="utf-8"?>
<table xmlns="http://schemas.openxmlformats.org/spreadsheetml/2006/main" id="7" name="tblVerifyLocations" displayName="tblVerifyLocations" ref="B48:C49" totalsRowShown="0">
  <tableColumns count="2">
    <tableColumn id="1" name="Location"/>
    <tableColumn id="2" name="Notes"/>
  </tableColumns>
  <tableStyleInfo name="TableStyleLight1" showFirstColumn="0" showLastColumn="0" showRowStripes="0" showColumnStripes="0"/>
</table>
</file>

<file path=xl/tables/table8.xml><?xml version="1.0" encoding="utf-8"?>
<table xmlns="http://schemas.openxmlformats.org/spreadsheetml/2006/main" id="8" name="tblVerifyLabs" displayName="tblVerifyLabs" ref="B52:D53" totalsRowShown="0">
  <tableColumns count="3">
    <tableColumn id="1" name="Calibrated by"/>
    <tableColumn id="2" name="Kind"/>
    <tableColumn id="3" name="Notes"/>
  </tableColumns>
  <tableStyleInfo name="TableStyleLight1" showFirstColumn="0" showLastColumn="0" showRowStripes="0" showColumnStripes="0"/>
</table>
</file>

<file path=xl/tables/table9.xml><?xml version="1.0" encoding="utf-8"?>
<table xmlns="http://schemas.openxmlformats.org/spreadsheetml/2006/main" id="9" name="tblVerifyGauges" displayName="tblVerifyGauges" ref="B56:P61" totalsRowShown="0">
  <tableColumns count="15">
    <tableColumn id="1" name="Gauge ID"/>
    <tableColumn id="2" name="Description"/>
    <tableColumn id="3" name="Type"/>
    <tableColumn id="4" name="Location"/>
    <tableColumn id="5" name="Range or size"/>
    <tableColumn id="6" name="Interval (days)"/>
    <tableColumn id="7" name="Status"/>
    <tableColumn id="8" name="Records">
      <calculatedColumnFormula>IF(tblVerifyGauges[[#This Row],[Gauge ID]]="","",COUNTIFS(tblVerifyCalibrations[Gauge ID],tblVerifyGauges[[#This Row],[Gauge ID]]))</calculatedColumnFormula>
    </tableColumn>
    <tableColumn id="9" name="Last calibrated">
      <calculatedColumnFormula>IF(tblVerifyGauges[[#This Row],[Gauge ID]]="","",IF(tblVerifyGauges[[#This Row],[Records]]=0,"",SUMPRODUCT(MAX((tblVerifyCalibrations[Gauge ID]=tblVerifyGauges[[#This Row],[Gauge ID]])*tblVerifyCalibrations[Date calibrated]))))</calculatedColumnFormula>
    </tableColumn>
    <tableColumn id="10" name="Next due">
      <calculatedColumnFormula>IF(tblVerifyGauges[[#This Row],[Gauge ID]]="","",IF(OR(tblVerifyGauges[[#This Row],[Last calibrated]]="",tblVerifyGauges[[#This Row],[Interval (days)]]=""),"",tblVerifyGauges[[#This Row],[Last calibrated]]+tblVerifyGauges[[#This Row],[Interval (days)]]))</calculatedColumnFormula>
    </tableColumn>
    <tableColumn id="11" name="Days to due">
      <calculatedColumnFormula>IF(tblVerifyGauges[[#This Row],[Gauge ID]]="","",IF(tblVerifyGauges[[#This Row],[Next due]]="","",tblVerifyGauges[[#This Row],[Next due]]-$E$34))</calculatedColumnFormula>
    </tableColumn>
    <tableColumn id="12" name="Due status">
      <calculatedColumnFormula>IF(tblVerifyGauges[[#This Row],[Gauge ID]]="","",IF(tblVerifyGauges[[#This Row],[Status]]&lt;&gt;"In service",tblVerifyGauges[[#This Row],[Status]],IF(tblVerifyGauges[[#This Row],[Next due]]="","Overdue",IF($E$34&gt;tblVerifyGauges[[#This Row],[Next due]],"Overdue",IF(tblVerifyGauges[[#This Row],[Next due]]-$E$34&lt;=$E$35,"Due soon","OK")))))</calculatedColumnFormula>
    </tableColumn>
    <tableColumn id="13" name="OOT finds">
      <calculatedColumnFormula>IF(tblVerifyGauges[[#This Row],[Gauge ID]]="","",COUNTIFS(tblVerifyCalibrations[Gauge ID],tblVerifyGauges[[#This Row],[Gauge ID]],tblVerifyCalibrations[As found],"Out of tolerance"))</calculatedColumnFormula>
    </tableColumn>
    <tableColumn id="14" name="Check">
      <calculatedColumnFormula>IF(tblVerifyGauges[[#This Row],[Gauge ID]]="","",IF(tblVerifyGauges[[#This Row],[Description]]="","Missing description",IF(tblVerifyGauges[[#This Row],[Type]]="","Missing type",IF(tblVerifyGauges[[#This Row],[Interval (days)]]="","Missing interval",IF(tblVerifyGauges[[#This Row],[Status]]="","Missing status",IF(COUNTIF(tblVerifyGauges[Gauge ID],tblVerifyGauges[[#This Row],[Gauge ID]])&gt;1,"Duplicate gauge ID",IF(COUNTIF(tblVerifyGaugeTypes[Type],tblVerifyGauges[[#This Row],[Type]])=0,"Type not on Setup list",IF(COUNTIF(tblVerifyLocations[Location],tblVerifyGauges[[#This Row],[Location]])=0,"Location not on Setup list",IF(AND(tblVerifyGauges[[#This Row],[Status]]="In service",tblVerifyGauges[[#This Row],[Records]]=0),"No calibration record",IF(AND(ISNUMBER(tblVerifyGauges[[#This Row],[Last calibrated]]),tblVerifyGauges[[#This Row],[Last calibrated]]&gt;$E$34),"Calibrated after the status date","OK"))))))))))</calculatedColumnFormula>
    </tableColumn>
    <tableColumn id="15" name="Notes"/>
  </tableColumns>
  <tableStyleInfo name="TableStyleLight1" showFirstColumn="0" showLastColumn="0" showRowStripes="0" showColumnStripes="0"/>
</table>
</file>

<file path=xl/tables/table10.xml><?xml version="1.0" encoding="utf-8"?>
<table xmlns="http://schemas.openxmlformats.org/spreadsheetml/2006/main" id="10" name="tblVerifyCalibrations" displayName="tblVerifyCalibrations" ref="B65:S72" totalsRowShown="0">
  <tableColumns count="18">
    <tableColumn id="1" name="Gauge ID"/>
    <tableColumn id="2" name="Date calibrated"/>
    <tableColumn id="3" name="Calibrated by"/>
    <tableColumn id="4" name="As found"/>
    <tableColumn id="5" name="Action"/>
    <tableColumn id="6" name="As left"/>
    <tableColumn id="7" name="Impact review"/>
    <tableColumn id="8" name="Certificate no."/>
    <tableColumn id="9" name="Cost"/>
    <tableColumn id="10" name="Interval (days)"/>
    <tableColumn id="11" name="Previous calibration">
      <calculatedColumnFormula>IF(tblVerifyCalibrations[[#This Row],[Gauge ID]]="","",IF(COUNTIFS(tblVerifyCalibrations[Gauge ID],tblVerifyCalibrations[[#This Row],[Gauge ID]],tblVerifyCalibrations[Date calibrated],"&lt;"&amp;tblVerifyCalibrations[[#This Row],[Date calibrated]])=0,"",SUMPRODUCT(MAX((tblVerifyCalibrations[Gauge ID]=tblVerifyCalibrations[[#This Row],[Gauge ID]])*(tblVerifyCalibrations[Date calibrated]&lt;tblVerifyCalibrations[[#This Row],[Date calibrated]])*tblVerifyCalibrations[Date calibrated]))))</calculatedColumnFormula>
    </tableColumn>
    <tableColumn id="12" name="Due date">
      <calculatedColumnFormula>IF(tblVerifyCalibrations[[#This Row],[Gauge ID]]="","",IF(OR(tblVerifyCalibrations[[#This Row],[Previous calibration]]="",tblVerifyCalibrations[[#This Row],[Interval (days)]]=""),"",tblVerifyCalibrations[[#This Row],[Previous calibration]]+tblVerifyCalibrations[[#This Row],[Interval (days)]]))</calculatedColumnFormula>
    </tableColumn>
    <tableColumn id="13" name="Days late">
      <calculatedColumnFormula>IF(tblVerifyCalibrations[[#This Row],[Gauge ID]]="","",IF(tblVerifyCalibrations[[#This Row],[Due date]]="","",MAX(0,tblVerifyCalibrations[[#This Row],[Date calibrated]]-tblVerifyCalibrations[[#This Row],[Due date]])))</calculatedColumnFormula>
    </tableColumn>
    <tableColumn id="14" name="On time">
      <calculatedColumnFormula>IF(tblVerifyCalibrations[[#This Row],[Gauge ID]]="","",IF(tblVerifyCalibrations[[#This Row],[Due date]]="","",IF(tblVerifyCalibrations[[#This Row],[Date calibrated]]&lt;=tblVerifyCalibrations[[#This Row],[Due date]],"Yes","No")))</calculatedColumnFormula>
    </tableColumn>
    <tableColumn id="15" name="OOT (1/0)">
      <calculatedColumnFormula>IF(tblVerifyCalibrations[[#This Row],[Gauge ID]]="","",IF(tblVerifyCalibrations[[#This Row],[As found]]="Out of tolerance",1,0))</calculatedColumnFormula>
    </tableColumn>
    <tableColumn id="16" name="View date">
      <calculatedColumnFormula>IF(tblVerifyCalibrations[[#This Row],[Gauge ID]]="","",IF(AND(tblVerifyCalibrations[[#This Row],[Date calibrated]]&gt;=$E$36,tblVerifyCalibrations[[#This Row],[Date calibrated]]&lt;=$E$37),tblVerifyCalibrations[[#This Row],[Date calibrated]],""))</calculatedColumnFormula>
    </tableColumn>
    <tableColumn id="17" name="Check">
      <calculatedColumnFormula>IF(tblVerifyCalibrations[[#This Row],[Gauge ID]]="","",IF(tblVerifyCalibrations[[#This Row],[Date calibrated]]="","Missing date calibrated",IF(tblVerifyCalibrations[[#This Row],[Calibrated by]]="","Missing calibrated by",IF(tblVerifyCalibrations[[#This Row],[As found]]="","Missing as found",IF(tblVerifyCalibrations[[#This Row],[As left]]="","Missing as left",IF(COUNTIF(tblVerifyGauges[Gauge ID],tblVerifyCalibrations[[#This Row],[Gauge ID]])=0,"Gauge not on the register",IF(COUNTIF(tblVerifyLabs[Calibrated by],tblVerifyCalibrations[[#This Row],[Calibrated by]])=0,"Provider not on Setup list",IF(tblVerifyCalibrations[[#This Row],[Date calibrated]]&gt;$E$34,"Date after the status date",IF(COUNTIFS(tblVerifyCalibrations[Gauge ID],tblVerifyCalibrations[[#This Row],[Gauge ID]],tblVerifyCalibrations[Date calibrated],tblVerifyCalibrations[[#This Row],[Date calibrated]])&gt;1,"Duplicate record",IF(AND(tblVerifyCalibrations[[#This Row],[As found]]="Out of tolerance",OR(tblVerifyCalibrations[[#This Row],[Impact review]]="",tblVerifyCalibrations[[#This Row],[Impact review]]="Not needed")),"Out of tolerance: review impact","OK"))))))))))</calculatedColumnFormula>
    </tableColumn>
    <tableColumn id="18"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libration-log" TargetMode="External"/><Relationship Id="rId2" Type="http://schemas.openxmlformats.org/officeDocument/2006/relationships/hyperlink" Target="https://www.mfgcalcs.com/calculators/calibration-lab-gauge-management/calibration-schedule-adherence?utm_source=mfgcalcs-template&amp;utm_medium=xlsx&amp;utm_campaign=calibration-log" TargetMode="External"/><Relationship Id="rId3" Type="http://schemas.openxmlformats.org/officeDocument/2006/relationships/hyperlink" Target="https://www.mfgcalcs.com/templates/calibration-log?utm_source=mfgcalcs-template&amp;utm_medium=xlsx&amp;utm_campaign=calibration-log" TargetMode="External"/><Relationship Id="rId4" Type="http://schemas.openxmlformats.org/officeDocument/2006/relationships/hyperlink" Target="https://www.mfgcalcs.com/templates?utm_source=mfgcalcs-template&amp;utm_medium=xlsx&amp;utm_campaign=calibration-log"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libration-log"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libration-log"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libration-log" TargetMode="External"/><Relationship Id="rId2"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libration-log"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libration-log" TargetMode="External"/><Relationship Id="rId2" Type="http://schemas.openxmlformats.org/officeDocument/2006/relationships/hyperlink" Target="https://www.mfgcalcs.com/calculators/calibration-lab-gauge-management/calibration-schedule-adherence?utm_source=mfgcalcs-template&amp;utm_medium=xlsx&amp;utm_campaign=calibration-lo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libration-log" TargetMode="External"/><Relationship Id="rId2" Type="http://schemas.openxmlformats.org/officeDocument/2006/relationships/table" Target="../tables/table6.xml"/><Relationship Id="rId3" Type="http://schemas.openxmlformats.org/officeDocument/2006/relationships/table" Target="../tables/table7.xml"/><Relationship Id="rId4" Type="http://schemas.openxmlformats.org/officeDocument/2006/relationships/table" Target="../tables/table8.xml"/><Relationship Id="rId5" Type="http://schemas.openxmlformats.org/officeDocument/2006/relationships/table" Target="../tables/table9.xml"/><Relationship Id="rId6"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29.4"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29.4"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18 of 18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Gauge Register'!A1" tooltip="Go to Gauge Register" display="Gauge Register"/>
    <hyperlink ref="C23" location="'Calibration Records'!A1" tooltip="Go to Calibration Records" display="Calibration Records"/>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Gauge Calibration Log&amp;R&amp;8&amp;A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46"/>
  <sheetViews>
    <sheetView showGridLines="0" workbookViewId="0"/>
  </sheetViews>
  <sheetFormatPr defaultRowHeight="15"/>
  <cols>
    <col min="1" max="1" width="2.7109375" customWidth="1"/>
    <col min="2" max="2" width="32.7109375" customWidth="1"/>
    <col min="3" max="3" width="22.7109375" customWidth="1"/>
    <col min="4" max="4" width="50.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69</v>
      </c>
      <c r="C4" s="8"/>
      <c r="D4" s="8"/>
    </row>
    <row r="5" spans="1:5" ht="5" customHeight="1"/>
    <row r="6" spans="1:5">
      <c r="B6" s="27" t="s">
        <v>70</v>
      </c>
      <c r="C6" s="28" t="s">
        <v>71</v>
      </c>
      <c r="D6" s="28"/>
    </row>
    <row r="7" spans="1:5">
      <c r="B7" s="27" t="s">
        <v>72</v>
      </c>
      <c r="C7" s="28" t="s">
        <v>73</v>
      </c>
      <c r="D7" s="28"/>
    </row>
    <row r="8" spans="1:5">
      <c r="B8" s="27" t="s">
        <v>74</v>
      </c>
      <c r="C8" s="29">
        <v>46304</v>
      </c>
      <c r="D8" s="7"/>
    </row>
    <row r="9" spans="1:5">
      <c r="B9" s="27" t="s">
        <v>75</v>
      </c>
      <c r="C9" s="30">
        <v>30</v>
      </c>
      <c r="D9" s="7" t="s">
        <v>76</v>
      </c>
    </row>
    <row r="11" spans="1:5" ht="21" customHeight="1">
      <c r="B11" s="8" t="s">
        <v>77</v>
      </c>
      <c r="C11" s="8"/>
      <c r="D11" s="8"/>
    </row>
    <row r="12" spans="1:5" ht="5" customHeight="1"/>
    <row r="13" spans="1:5">
      <c r="B13" s="27" t="s">
        <v>78</v>
      </c>
      <c r="C13" s="31">
        <v>0.95</v>
      </c>
      <c r="D13" s="7"/>
    </row>
    <row r="14" spans="1:5">
      <c r="B14" s="27" t="s">
        <v>79</v>
      </c>
      <c r="C14" s="31">
        <v>0.05</v>
      </c>
      <c r="D14" s="7"/>
    </row>
    <row r="16" spans="1:5" ht="48.6" customHeight="1">
      <c r="B16" s="25" t="s">
        <v>80</v>
      </c>
      <c r="C16" s="25"/>
      <c r="D16" s="25"/>
    </row>
    <row r="18" spans="2:4" ht="21" customHeight="1">
      <c r="B18" s="8" t="s">
        <v>81</v>
      </c>
      <c r="C18" s="8"/>
      <c r="D18" s="8"/>
    </row>
    <row r="19" spans="2:4" ht="5" customHeight="1"/>
    <row r="20" spans="2:4" ht="26.76" customHeight="1">
      <c r="B20" s="21" t="s">
        <v>82</v>
      </c>
      <c r="C20" s="21"/>
      <c r="D20" s="21"/>
    </row>
    <row r="21" spans="2:4">
      <c r="B21" s="32" t="s">
        <v>83</v>
      </c>
      <c r="C21" s="32"/>
    </row>
    <row r="22" spans="2:4" ht="20" customHeight="1">
      <c r="B22" s="33" t="s">
        <v>64</v>
      </c>
      <c r="C22" s="33" t="s">
        <v>65</v>
      </c>
    </row>
    <row r="23" spans="2:4">
      <c r="B23" s="28" t="s">
        <v>84</v>
      </c>
      <c r="C23" s="28" t="s">
        <v>85</v>
      </c>
    </row>
    <row r="24" spans="2:4">
      <c r="B24" s="28" t="s">
        <v>86</v>
      </c>
      <c r="C24" s="28" t="s">
        <v>87</v>
      </c>
    </row>
    <row r="25" spans="2:4">
      <c r="B25" s="28" t="s">
        <v>88</v>
      </c>
      <c r="C25" s="28" t="s">
        <v>89</v>
      </c>
    </row>
    <row r="26" spans="2:4">
      <c r="B26" s="28" t="s">
        <v>90</v>
      </c>
      <c r="C26" s="28" t="s">
        <v>91</v>
      </c>
    </row>
    <row r="27" spans="2:4">
      <c r="B27" s="28" t="s">
        <v>92</v>
      </c>
      <c r="C27" s="28" t="s">
        <v>93</v>
      </c>
    </row>
    <row r="28" spans="2:4">
      <c r="B28" s="28" t="s">
        <v>94</v>
      </c>
      <c r="C28" s="28" t="s">
        <v>95</v>
      </c>
    </row>
    <row r="29" spans="2:4">
      <c r="B29" s="28" t="s">
        <v>96</v>
      </c>
      <c r="C29" s="28" t="s">
        <v>97</v>
      </c>
    </row>
    <row r="30" spans="2:4">
      <c r="B30" s="28" t="s">
        <v>98</v>
      </c>
      <c r="C30" s="28" t="s">
        <v>99</v>
      </c>
    </row>
    <row r="31" spans="2:4">
      <c r="B31" s="28" t="s">
        <v>100</v>
      </c>
      <c r="C31" s="28" t="s">
        <v>101</v>
      </c>
    </row>
    <row r="32" spans="2:4">
      <c r="B32" s="28" t="s">
        <v>102</v>
      </c>
      <c r="C32" s="28" t="s">
        <v>103</v>
      </c>
    </row>
    <row r="34" spans="2:4">
      <c r="B34" s="32" t="s">
        <v>104</v>
      </c>
      <c r="C34" s="32"/>
    </row>
    <row r="35" spans="2:4" ht="20" customHeight="1">
      <c r="B35" s="33" t="s">
        <v>66</v>
      </c>
      <c r="C35" s="33" t="s">
        <v>65</v>
      </c>
    </row>
    <row r="36" spans="2:4">
      <c r="B36" s="28" t="s">
        <v>105</v>
      </c>
      <c r="C36" s="28" t="s">
        <v>106</v>
      </c>
    </row>
    <row r="37" spans="2:4">
      <c r="B37" s="28" t="s">
        <v>107</v>
      </c>
      <c r="C37" s="28" t="s">
        <v>108</v>
      </c>
    </row>
    <row r="38" spans="2:4">
      <c r="B38" s="28" t="s">
        <v>109</v>
      </c>
      <c r="C38" s="28" t="s">
        <v>110</v>
      </c>
    </row>
    <row r="39" spans="2:4">
      <c r="B39" s="28" t="s">
        <v>111</v>
      </c>
      <c r="C39" s="28" t="s">
        <v>112</v>
      </c>
    </row>
    <row r="40" spans="2:4">
      <c r="B40" s="28" t="s">
        <v>113</v>
      </c>
      <c r="C40" s="28" t="s">
        <v>114</v>
      </c>
    </row>
    <row r="42" spans="2:4">
      <c r="B42" s="32" t="s">
        <v>115</v>
      </c>
      <c r="C42" s="32"/>
      <c r="D42" s="32"/>
    </row>
    <row r="43" spans="2:4" ht="20" customHeight="1">
      <c r="B43" s="33" t="s">
        <v>67</v>
      </c>
      <c r="C43" s="33" t="s">
        <v>68</v>
      </c>
      <c r="D43" s="33" t="s">
        <v>65</v>
      </c>
    </row>
    <row r="44" spans="2:4">
      <c r="B44" s="28" t="s">
        <v>116</v>
      </c>
      <c r="C44" s="28" t="s">
        <v>117</v>
      </c>
      <c r="D44" s="28" t="s">
        <v>118</v>
      </c>
    </row>
    <row r="45" spans="2:4">
      <c r="B45" s="28" t="s">
        <v>119</v>
      </c>
      <c r="C45" s="28" t="s">
        <v>120</v>
      </c>
      <c r="D45" s="28" t="s">
        <v>121</v>
      </c>
    </row>
    <row r="46" spans="2:4">
      <c r="B46" s="28" t="s">
        <v>122</v>
      </c>
      <c r="C46" s="28" t="s">
        <v>120</v>
      </c>
      <c r="D46" s="28" t="s">
        <v>123</v>
      </c>
    </row>
  </sheetData>
  <mergeCells count="13">
    <mergeCell ref="A1:E1"/>
    <mergeCell ref="B2:C2"/>
    <mergeCell ref="D2:E2"/>
    <mergeCell ref="B4:D4"/>
    <mergeCell ref="C6:D6"/>
    <mergeCell ref="C7:D7"/>
    <mergeCell ref="B11:D11"/>
    <mergeCell ref="B16:D16"/>
    <mergeCell ref="B18:D18"/>
    <mergeCell ref="B20:D20"/>
    <mergeCell ref="B21:C21"/>
    <mergeCell ref="B34:C34"/>
    <mergeCell ref="B42:D42"/>
  </mergeCells>
  <dataValidations count="13">
    <dataValidation type="textLength" allowBlank="1" showInputMessage="1" showErrorMessage="1" errorTitle="Check this entry" error="Text up to 80 characters." promptTitle="Plant or site name" prompt="Shown on the Dashboard header. Text up to 80 characters." sqref="C6">
      <formula1>0</formula1>
      <formula2>80</formula2>
    </dataValidation>
    <dataValidation type="textLength" allowBlank="1" showInputMessage="1" showErrorMessage="1" errorTitle="Check this entry" error="Text up to 12 characters." promptTitle="Currency label" prompt="Text shown next to calibration costs, e.g. USD, INR, GBP, EUR, MXN. No exchange rate is applied. Text up to 12 characters." sqref="C7">
      <formula1>0</formula1>
      <formula2>12</formula2>
    </dataValidation>
    <dataValidation type="date" allowBlank="1" showInputMessage="1" showErrorMessage="1" errorTitle="Check this entry" error="Enter a date between 01 Jan 2000 and 31 Dec 2100." promptTitle="Status date (as of)" prompt="The date the register was last brought up to date. Due status and overdue counts are measured to this date; move it forward when you update the log. Enter a date between 01 Jan 2000 and 31 Dec 2100." sqref="C8">
      <formula1>36526</formula1>
      <formula2>73415</formula2>
    </dataValidation>
    <dataValidation type="whole" allowBlank="1" showInputMessage="1" showErrorMessage="1" errorTitle="Check this entry" error="Enter a whole number from 0 to 365." promptTitle="Due soon window" prompt="In-service gauges due within this many days of the status date read Due soon. Enter a whole number from 0 to 365." sqref="C9">
      <formula1>0</formula1>
      <formula2>365</formula2>
    </dataValidation>
    <dataValidation type="decimal" allowBlank="1" showInputMessage="1" showErrorMessage="1" errorTitle="Check this entry" error="Enter a percentage from 0% to 100% (type 85% or 0.85)." promptTitle="On-time calibration target" prompt="Share of calibrations that fall due and are done on or before the due date. Your own target; no industry figure is assumed. Enter a percentage from 0% to 100% (type 85% or 0.85)." sqref="C13">
      <formula1>0</formula1>
      <formula2>1</formula2>
    </dataValidation>
    <dataValidation type="decimal" allowBlank="1" showInputMessage="1" showErrorMessage="1" errorTitle="Check this entry" error="Enter a percentage from 0% to 100% (type 85% or 0.85)." promptTitle="As-found out-of-tolerance limit" prompt="Highest share of calibrations finding the gauge out of tolerance that you accept before reviewing intervals or handling. Enter a percentage from 0% to 100% (type 85% or 0.85)." sqref="C14">
      <formula1>0</formula1>
      <formula2>1</formula2>
    </dataValidation>
    <dataValidation type="textLength" allowBlank="1" showInputMessage="1" showErrorMessage="1" errorTitle="Check this entry" error="Text up to 40 characters." promptTitle="Type" prompt="Text up to 40 characters." sqref="B23:B132">
      <formula1>0</formula1>
      <formula2>40</formula2>
    </dataValidation>
    <dataValidation type="textLength" allowBlank="1" showInputMessage="1" showErrorMessage="1" errorTitle="Check this entry" error="Text up to 120 characters." promptTitle="Notes" prompt="Text up to 120 characters." sqref="C23:C132">
      <formula1>0</formula1>
      <formula2>120</formula2>
    </dataValidation>
    <dataValidation type="textLength" allowBlank="1" showInputMessage="1" showErrorMessage="1" errorTitle="Check this entry" error="Text up to 40 characters." promptTitle="Location" prompt="Text up to 40 characters." sqref="B36:B140">
      <formula1>0</formula1>
      <formula2>40</formula2>
    </dataValidation>
    <dataValidation type="textLength" allowBlank="1" showInputMessage="1" showErrorMessage="1" errorTitle="Check this entry" error="Text up to 120 characters." promptTitle="Notes" prompt="Text up to 120 characters." sqref="C36:C140">
      <formula1>0</formula1>
      <formula2>120</formula2>
    </dataValidation>
    <dataValidation type="textLength" allowBlank="1" showInputMessage="1" showErrorMessage="1" errorTitle="Check this entry" error="Text up to 60 characters." promptTitle="Calibrated by" prompt="Text up to 60 characters." sqref="B44:B146">
      <formula1>0</formula1>
      <formula2>60</formula2>
    </dataValidation>
    <dataValidation type="list" allowBlank="1" showInputMessage="1" showErrorMessage="1" errorTitle="Check this entry" error="Pick one of: Internal, External." promptTitle="Kind" prompt="Pick one of: Internal, External." sqref="C44:C146">
      <formula1>"Internal,External"</formula1>
    </dataValidation>
    <dataValidation type="textLength" allowBlank="1" showInputMessage="1" showErrorMessage="1" errorTitle="Check this entry" error="Text up to 120 characters." promptTitle="Notes" prompt="Text up to 120 characters." sqref="D44:D146">
      <formula1>0</formula1>
      <formula2>120</formula2>
    </dataValidation>
  </dataValidations>
  <hyperlinks>
    <hyperlink ref="D2" r:id="rId1" tooltip="Free manufacturing calculators and templates"/>
  </hyperlinks>
  <pageMargins left="0.4" right="0.4" top="0.7" bottom="0.65" header="0.3" footer="0.3"/>
  <pageSetup fitToHeight="0" orientation="landscape"/>
  <headerFooter>
    <oddHeader>&amp;L&amp;8MFG Calcs - Gauge Calibration Log&amp;R&amp;8&amp;A</oddHeader>
    <oddFooter>&amp;L&amp;8mfgcalcs.com - free manufacturing templates&amp;R&amp;8Page &amp;P of &amp;N</oddFooter>
  </headerFooter>
  <rowBreaks count="1" manualBreakCount="1">
    <brk id="20" max="16383" man="1"/>
  </rowBreaks>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P29"/>
  <sheetViews>
    <sheetView workbookViewId="0">
      <pane xSplit="3" ySplit="5" topLeftCell="D6" activePane="bottomRight" state="frozen"/>
      <selection pane="topRight" activeCell="D1" sqref="D1"/>
      <selection pane="bottomLeft" activeCell="A6" sqref="A6"/>
      <selection pane="bottomRight"/>
    </sheetView>
  </sheetViews>
  <sheetFormatPr defaultRowHeight="15"/>
  <cols>
    <col min="1" max="1" width="2.7109375" customWidth="1"/>
    <col min="2" max="2" width="10.7109375" customWidth="1"/>
    <col min="3" max="3" width="27.7109375" customWidth="1"/>
    <col min="4" max="4" width="15.7109375" customWidth="1"/>
    <col min="5" max="5" width="14.7109375" customWidth="1"/>
    <col min="6" max="6" width="13.7109375" customWidth="1"/>
    <col min="7" max="7" width="9.7109375" customWidth="1"/>
    <col min="8" max="8" width="12.7109375" customWidth="1"/>
    <col min="9" max="9" width="8.7109375" customWidth="1"/>
    <col min="10" max="11" width="12.28515625" customWidth="1"/>
    <col min="12" max="12" width="9.28515625" customWidth="1"/>
    <col min="13" max="13" width="12.7109375" customWidth="1"/>
    <col min="14" max="14" width="8.28515625" customWidth="1"/>
    <col min="15" max="15" width="24.7109375" customWidth="1"/>
    <col min="16" max="16" width="28.7109375" customWidth="1"/>
  </cols>
  <sheetData>
    <row r="1" spans="1:16" ht="30" customHeight="1">
      <c r="A1" s="1" t="s">
        <v>0</v>
      </c>
      <c r="B1" s="1"/>
      <c r="C1" s="1"/>
      <c r="D1" s="1"/>
      <c r="E1" s="1"/>
      <c r="F1" s="1"/>
      <c r="G1" s="1"/>
      <c r="H1" s="1"/>
      <c r="I1" s="1"/>
      <c r="J1" s="1"/>
      <c r="K1" s="1"/>
      <c r="L1" s="1"/>
      <c r="M1" s="1"/>
      <c r="N1" s="1"/>
      <c r="O1" s="1"/>
      <c r="P1" s="1"/>
    </row>
    <row r="2" spans="1:16" ht="21" customHeight="1">
      <c r="B2" s="2" t="s">
        <v>22</v>
      </c>
      <c r="C2" s="2"/>
      <c r="D2" s="2"/>
      <c r="E2" s="2"/>
      <c r="F2" s="2"/>
      <c r="G2" s="2"/>
      <c r="H2" s="2"/>
      <c r="I2" s="2"/>
      <c r="J2" s="2"/>
      <c r="K2" s="2"/>
      <c r="L2" s="2"/>
      <c r="M2" s="2"/>
      <c r="N2" s="2"/>
      <c r="O2" s="2"/>
      <c r="P2" s="3" t="s">
        <v>2</v>
      </c>
    </row>
    <row r="3" spans="1:16" ht="6" customHeight="1"/>
    <row r="4" spans="1:16" ht="29.76" customHeight="1">
      <c r="B4" s="34" t="s">
        <v>136</v>
      </c>
      <c r="C4" s="34"/>
      <c r="D4" s="34"/>
      <c r="E4" s="34"/>
      <c r="F4" s="34"/>
      <c r="G4" s="34"/>
      <c r="H4" s="34"/>
      <c r="I4" s="34"/>
      <c r="J4" s="34"/>
      <c r="K4" s="34"/>
      <c r="L4" s="34"/>
      <c r="M4" s="34"/>
      <c r="N4" s="34"/>
      <c r="O4" s="34"/>
      <c r="P4" s="34"/>
    </row>
    <row r="5" spans="1:16" ht="32" customHeight="1">
      <c r="B5" s="33" t="s">
        <v>124</v>
      </c>
      <c r="C5" s="33" t="s">
        <v>125</v>
      </c>
      <c r="D5" s="33" t="s">
        <v>64</v>
      </c>
      <c r="E5" s="33" t="s">
        <v>66</v>
      </c>
      <c r="F5" s="33" t="s">
        <v>126</v>
      </c>
      <c r="G5" s="33" t="s">
        <v>127</v>
      </c>
      <c r="H5" s="33" t="s">
        <v>128</v>
      </c>
      <c r="I5" s="33" t="s">
        <v>129</v>
      </c>
      <c r="J5" s="33" t="s">
        <v>130</v>
      </c>
      <c r="K5" s="33" t="s">
        <v>131</v>
      </c>
      <c r="L5" s="33" t="s">
        <v>132</v>
      </c>
      <c r="M5" s="33" t="s">
        <v>133</v>
      </c>
      <c r="N5" s="33" t="s">
        <v>134</v>
      </c>
      <c r="O5" s="33" t="s">
        <v>135</v>
      </c>
      <c r="P5" s="33" t="s">
        <v>65</v>
      </c>
    </row>
    <row r="6" spans="1:16">
      <c r="B6" s="28" t="s">
        <v>137</v>
      </c>
      <c r="C6" s="28" t="s">
        <v>138</v>
      </c>
      <c r="D6" s="28" t="s">
        <v>84</v>
      </c>
      <c r="E6" s="28" t="s">
        <v>107</v>
      </c>
      <c r="F6" s="28" t="s">
        <v>139</v>
      </c>
      <c r="G6" s="30">
        <v>180</v>
      </c>
      <c r="H6" s="28" t="s">
        <v>140</v>
      </c>
      <c r="I6" s="35">
        <f>IF(tblGauges[[#This Row],[Gauge ID]]="","",COUNTIFS(tblCalibrations[Gauge ID],tblGauges[[#This Row],[Gauge ID]]))</f>
        <v>4</v>
      </c>
      <c r="J6" s="36">
        <f>IF(tblGauges[[#This Row],[Gauge ID]]="","",IF(tblGauges[[#This Row],[Records]]=0,"",SUMPRODUCT(MAX((tblCalibrations[Gauge ID]=tblGauges[[#This Row],[Gauge ID]])*tblCalibrations[Date calibrated]))))</f>
        <v>46238</v>
      </c>
      <c r="K6" s="36">
        <f>IF(tblGauges[[#This Row],[Gauge ID]]="","",IF(OR(tblGauges[[#This Row],[Last calibrated]]="",tblGauges[[#This Row],[Interval (days)]]=""),"",tblGauges[[#This Row],[Last calibrated]]+tblGauges[[#This Row],[Interval (days)]]))</f>
        <v>46418</v>
      </c>
      <c r="L6" s="37">
        <f>IF(tblGauges[[#This Row],[Gauge ID]]="","",IF(tblGauges[[#This Row],[Next due]]="","",tblGauges[[#This Row],[Next due]]-AsOf))</f>
        <v>114</v>
      </c>
      <c r="M6" s="38" t="str">
        <f>IF(tblGauges[[#This Row],[Gauge ID]]="","",IF(tblGauges[[#This Row],[Status]]&lt;&gt;"In service",tblGauges[[#This Row],[Status]],IF(tblGauges[[#This Row],[Next due]]="","Overdue",IF(AsOf&gt;tblGauges[[#This Row],[Next due]],"Overdue",IF(tblGauges[[#This Row],[Next due]]-AsOf&lt;=DueSoonDays,"Due soon","OK")))))</f>
        <v>OK</v>
      </c>
      <c r="N6" s="35">
        <f>IF(tblGauges[[#This Row],[Gauge ID]]="","",COUNTIFS(tblCalibrations[Gauge ID],tblGauges[[#This Row],[Gauge ID]],tblCalibrations[As found],"Out of tolerance"))</f>
        <v>0</v>
      </c>
      <c r="O6"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6" s="28" t="s">
        <v>141</v>
      </c>
    </row>
    <row r="7" spans="1:16">
      <c r="B7" s="28" t="s">
        <v>142</v>
      </c>
      <c r="C7" s="28" t="s">
        <v>138</v>
      </c>
      <c r="D7" s="28" t="s">
        <v>84</v>
      </c>
      <c r="E7" s="28" t="s">
        <v>109</v>
      </c>
      <c r="F7" s="28" t="s">
        <v>139</v>
      </c>
      <c r="G7" s="30">
        <v>180</v>
      </c>
      <c r="H7" s="28" t="s">
        <v>140</v>
      </c>
      <c r="I7" s="35">
        <f>IF(tblGauges[[#This Row],[Gauge ID]]="","",COUNTIFS(tblCalibrations[Gauge ID],tblGauges[[#This Row],[Gauge ID]]))</f>
        <v>4</v>
      </c>
      <c r="J7" s="36">
        <f>IF(tblGauges[[#This Row],[Gauge ID]]="","",IF(tblGauges[[#This Row],[Records]]=0,"",SUMPRODUCT(MAX((tblCalibrations[Gauge ID]=tblGauges[[#This Row],[Gauge ID]])*tblCalibrations[Date calibrated]))))</f>
        <v>46262</v>
      </c>
      <c r="K7" s="36">
        <f>IF(tblGauges[[#This Row],[Gauge ID]]="","",IF(OR(tblGauges[[#This Row],[Last calibrated]]="",tblGauges[[#This Row],[Interval (days)]]=""),"",tblGauges[[#This Row],[Last calibrated]]+tblGauges[[#This Row],[Interval (days)]]))</f>
        <v>46442</v>
      </c>
      <c r="L7" s="37">
        <f>IF(tblGauges[[#This Row],[Gauge ID]]="","",IF(tblGauges[[#This Row],[Next due]]="","",tblGauges[[#This Row],[Next due]]-AsOf))</f>
        <v>138</v>
      </c>
      <c r="M7" s="38" t="str">
        <f>IF(tblGauges[[#This Row],[Gauge ID]]="","",IF(tblGauges[[#This Row],[Status]]&lt;&gt;"In service",tblGauges[[#This Row],[Status]],IF(tblGauges[[#This Row],[Next due]]="","Overdue",IF(AsOf&gt;tblGauges[[#This Row],[Next due]],"Overdue",IF(tblGauges[[#This Row],[Next due]]-AsOf&lt;=DueSoonDays,"Due soon","OK")))))</f>
        <v>OK</v>
      </c>
      <c r="N7" s="35">
        <f>IF(tblGauges[[#This Row],[Gauge ID]]="","",COUNTIFS(tblCalibrations[Gauge ID],tblGauges[[#This Row],[Gauge ID]],tblCalibrations[As found],"Out of tolerance"))</f>
        <v>0</v>
      </c>
      <c r="O7"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7" s="28" t="s">
        <v>141</v>
      </c>
    </row>
    <row r="8" spans="1:16">
      <c r="B8" s="28" t="s">
        <v>143</v>
      </c>
      <c r="C8" s="28" t="s">
        <v>144</v>
      </c>
      <c r="D8" s="28" t="s">
        <v>84</v>
      </c>
      <c r="E8" s="28" t="s">
        <v>111</v>
      </c>
      <c r="F8" s="28" t="s">
        <v>145</v>
      </c>
      <c r="G8" s="30">
        <v>180</v>
      </c>
      <c r="H8" s="28" t="s">
        <v>140</v>
      </c>
      <c r="I8" s="35">
        <f>IF(tblGauges[[#This Row],[Gauge ID]]="","",COUNTIFS(tblCalibrations[Gauge ID],tblGauges[[#This Row],[Gauge ID]]))</f>
        <v>4</v>
      </c>
      <c r="J8" s="36">
        <f>IF(tblGauges[[#This Row],[Gauge ID]]="","",IF(tblGauges[[#This Row],[Records]]=0,"",SUMPRODUCT(MAX((tblCalibrations[Gauge ID]=tblGauges[[#This Row],[Gauge ID]])*tblCalibrations[Date calibrated]))))</f>
        <v>46265</v>
      </c>
      <c r="K8" s="36">
        <f>IF(tblGauges[[#This Row],[Gauge ID]]="","",IF(OR(tblGauges[[#This Row],[Last calibrated]]="",tblGauges[[#This Row],[Interval (days)]]=""),"",tblGauges[[#This Row],[Last calibrated]]+tblGauges[[#This Row],[Interval (days)]]))</f>
        <v>46445</v>
      </c>
      <c r="L8" s="37">
        <f>IF(tblGauges[[#This Row],[Gauge ID]]="","",IF(tblGauges[[#This Row],[Next due]]="","",tblGauges[[#This Row],[Next due]]-AsOf))</f>
        <v>141</v>
      </c>
      <c r="M8" s="38" t="str">
        <f>IF(tblGauges[[#This Row],[Gauge ID]]="","",IF(tblGauges[[#This Row],[Status]]&lt;&gt;"In service",tblGauges[[#This Row],[Status]],IF(tblGauges[[#This Row],[Next due]]="","Overdue",IF(AsOf&gt;tblGauges[[#This Row],[Next due]],"Overdue",IF(tblGauges[[#This Row],[Next due]]-AsOf&lt;=DueSoonDays,"Due soon","OK")))))</f>
        <v>OK</v>
      </c>
      <c r="N8" s="35">
        <f>IF(tblGauges[[#This Row],[Gauge ID]]="","",COUNTIFS(tblCalibrations[Gauge ID],tblGauges[[#This Row],[Gauge ID]],tblCalibrations[As found],"Out of tolerance"))</f>
        <v>0</v>
      </c>
      <c r="O8"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8" s="28" t="s">
        <v>141</v>
      </c>
    </row>
    <row r="9" spans="1:16">
      <c r="B9" s="28" t="s">
        <v>146</v>
      </c>
      <c r="C9" s="28" t="s">
        <v>147</v>
      </c>
      <c r="D9" s="28" t="s">
        <v>84</v>
      </c>
      <c r="E9" s="28" t="s">
        <v>113</v>
      </c>
      <c r="F9" s="28" t="s">
        <v>148</v>
      </c>
      <c r="G9" s="30">
        <v>180</v>
      </c>
      <c r="H9" s="28" t="s">
        <v>140</v>
      </c>
      <c r="I9" s="35">
        <f>IF(tblGauges[[#This Row],[Gauge ID]]="","",COUNTIFS(tblCalibrations[Gauge ID],tblGauges[[#This Row],[Gauge ID]]))</f>
        <v>4</v>
      </c>
      <c r="J9" s="36">
        <f>IF(tblGauges[[#This Row],[Gauge ID]]="","",IF(tblGauges[[#This Row],[Records]]=0,"",SUMPRODUCT(MAX((tblCalibrations[Gauge ID]=tblGauges[[#This Row],[Gauge ID]])*tblCalibrations[Date calibrated]))))</f>
        <v>46286</v>
      </c>
      <c r="K9" s="36">
        <f>IF(tblGauges[[#This Row],[Gauge ID]]="","",IF(OR(tblGauges[[#This Row],[Last calibrated]]="",tblGauges[[#This Row],[Interval (days)]]=""),"",tblGauges[[#This Row],[Last calibrated]]+tblGauges[[#This Row],[Interval (days)]]))</f>
        <v>46466</v>
      </c>
      <c r="L9" s="37">
        <f>IF(tblGauges[[#This Row],[Gauge ID]]="","",IF(tblGauges[[#This Row],[Next due]]="","",tblGauges[[#This Row],[Next due]]-AsOf))</f>
        <v>162</v>
      </c>
      <c r="M9" s="38" t="str">
        <f>IF(tblGauges[[#This Row],[Gauge ID]]="","",IF(tblGauges[[#This Row],[Status]]&lt;&gt;"In service",tblGauges[[#This Row],[Status]],IF(tblGauges[[#This Row],[Next due]]="","Overdue",IF(AsOf&gt;tblGauges[[#This Row],[Next due]],"Overdue",IF(tblGauges[[#This Row],[Next due]]-AsOf&lt;=DueSoonDays,"Due soon","OK")))))</f>
        <v>OK</v>
      </c>
      <c r="N9" s="35">
        <f>IF(tblGauges[[#This Row],[Gauge ID]]="","",COUNTIFS(tblCalibrations[Gauge ID],tblGauges[[#This Row],[Gauge ID]],tblCalibrations[As found],"Out of tolerance"))</f>
        <v>0</v>
      </c>
      <c r="O9"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9" s="28" t="s">
        <v>141</v>
      </c>
    </row>
    <row r="10" spans="1:16">
      <c r="B10" s="28" t="s">
        <v>149</v>
      </c>
      <c r="C10" s="28" t="s">
        <v>150</v>
      </c>
      <c r="D10" s="28" t="s">
        <v>86</v>
      </c>
      <c r="E10" s="28" t="s">
        <v>107</v>
      </c>
      <c r="F10" s="28" t="s">
        <v>151</v>
      </c>
      <c r="G10" s="30">
        <v>365</v>
      </c>
      <c r="H10" s="28" t="s">
        <v>140</v>
      </c>
      <c r="I10" s="35">
        <f>IF(tblGauges[[#This Row],[Gauge ID]]="","",COUNTIFS(tblCalibrations[Gauge ID],tblGauges[[#This Row],[Gauge ID]]))</f>
        <v>2</v>
      </c>
      <c r="J10" s="36">
        <f>IF(tblGauges[[#This Row],[Gauge ID]]="","",IF(tblGauges[[#This Row],[Records]]=0,"",SUMPRODUCT(MAX((tblCalibrations[Gauge ID]=tblGauges[[#This Row],[Gauge ID]])*tblCalibrations[Date calibrated]))))</f>
        <v>46059</v>
      </c>
      <c r="K10" s="36">
        <f>IF(tblGauges[[#This Row],[Gauge ID]]="","",IF(OR(tblGauges[[#This Row],[Last calibrated]]="",tblGauges[[#This Row],[Interval (days)]]=""),"",tblGauges[[#This Row],[Last calibrated]]+tblGauges[[#This Row],[Interval (days)]]))</f>
        <v>46424</v>
      </c>
      <c r="L10" s="37">
        <f>IF(tblGauges[[#This Row],[Gauge ID]]="","",IF(tblGauges[[#This Row],[Next due]]="","",tblGauges[[#This Row],[Next due]]-AsOf))</f>
        <v>120</v>
      </c>
      <c r="M10" s="38" t="str">
        <f>IF(tblGauges[[#This Row],[Gauge ID]]="","",IF(tblGauges[[#This Row],[Status]]&lt;&gt;"In service",tblGauges[[#This Row],[Status]],IF(tblGauges[[#This Row],[Next due]]="","Overdue",IF(AsOf&gt;tblGauges[[#This Row],[Next due]],"Overdue",IF(tblGauges[[#This Row],[Next due]]-AsOf&lt;=DueSoonDays,"Due soon","OK")))))</f>
        <v>OK</v>
      </c>
      <c r="N10" s="35">
        <f>IF(tblGauges[[#This Row],[Gauge ID]]="","",COUNTIFS(tblCalibrations[Gauge ID],tblGauges[[#This Row],[Gauge ID]],tblCalibrations[As found],"Out of tolerance"))</f>
        <v>0</v>
      </c>
      <c r="O10"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10" s="28" t="s">
        <v>141</v>
      </c>
    </row>
    <row r="11" spans="1:16">
      <c r="B11" s="28" t="s">
        <v>152</v>
      </c>
      <c r="C11" s="28" t="s">
        <v>153</v>
      </c>
      <c r="D11" s="28" t="s">
        <v>86</v>
      </c>
      <c r="E11" s="28" t="s">
        <v>107</v>
      </c>
      <c r="F11" s="28" t="s">
        <v>154</v>
      </c>
      <c r="G11" s="30">
        <v>365</v>
      </c>
      <c r="H11" s="28" t="s">
        <v>140</v>
      </c>
      <c r="I11" s="35">
        <f>IF(tblGauges[[#This Row],[Gauge ID]]="","",COUNTIFS(tblCalibrations[Gauge ID],tblGauges[[#This Row],[Gauge ID]]))</f>
        <v>2</v>
      </c>
      <c r="J11" s="36">
        <f>IF(tblGauges[[#This Row],[Gauge ID]]="","",IF(tblGauges[[#This Row],[Records]]=0,"",SUMPRODUCT(MAX((tblCalibrations[Gauge ID]=tblGauges[[#This Row],[Gauge ID]])*tblCalibrations[Date calibrated]))))</f>
        <v>46090</v>
      </c>
      <c r="K11" s="36">
        <f>IF(tblGauges[[#This Row],[Gauge ID]]="","",IF(OR(tblGauges[[#This Row],[Last calibrated]]="",tblGauges[[#This Row],[Interval (days)]]=""),"",tblGauges[[#This Row],[Last calibrated]]+tblGauges[[#This Row],[Interval (days)]]))</f>
        <v>46455</v>
      </c>
      <c r="L11" s="37">
        <f>IF(tblGauges[[#This Row],[Gauge ID]]="","",IF(tblGauges[[#This Row],[Next due]]="","",tblGauges[[#This Row],[Next due]]-AsOf))</f>
        <v>151</v>
      </c>
      <c r="M11" s="38" t="str">
        <f>IF(tblGauges[[#This Row],[Gauge ID]]="","",IF(tblGauges[[#This Row],[Status]]&lt;&gt;"In service",tblGauges[[#This Row],[Status]],IF(tblGauges[[#This Row],[Next due]]="","Overdue",IF(AsOf&gt;tblGauges[[#This Row],[Next due]],"Overdue",IF(tblGauges[[#This Row],[Next due]]-AsOf&lt;=DueSoonDays,"Due soon","OK")))))</f>
        <v>OK</v>
      </c>
      <c r="N11" s="35">
        <f>IF(tblGauges[[#This Row],[Gauge ID]]="","",COUNTIFS(tblCalibrations[Gauge ID],tblGauges[[#This Row],[Gauge ID]],tblCalibrations[As found],"Out of tolerance"))</f>
        <v>0</v>
      </c>
      <c r="O11"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11" s="28" t="s">
        <v>141</v>
      </c>
    </row>
    <row r="12" spans="1:16">
      <c r="B12" s="28" t="s">
        <v>155</v>
      </c>
      <c r="C12" s="28" t="s">
        <v>156</v>
      </c>
      <c r="D12" s="28" t="s">
        <v>86</v>
      </c>
      <c r="E12" s="28" t="s">
        <v>109</v>
      </c>
      <c r="F12" s="28" t="s">
        <v>157</v>
      </c>
      <c r="G12" s="30">
        <v>365</v>
      </c>
      <c r="H12" s="28" t="s">
        <v>140</v>
      </c>
      <c r="I12" s="35">
        <f>IF(tblGauges[[#This Row],[Gauge ID]]="","",COUNTIFS(tblCalibrations[Gauge ID],tblGauges[[#This Row],[Gauge ID]]))</f>
        <v>2</v>
      </c>
      <c r="J12" s="36">
        <f>IF(tblGauges[[#This Row],[Gauge ID]]="","",IF(tblGauges[[#This Row],[Records]]=0,"",SUMPRODUCT(MAX((tblCalibrations[Gauge ID]=tblGauges[[#This Row],[Gauge ID]])*tblCalibrations[Date calibrated]))))</f>
        <v>46087</v>
      </c>
      <c r="K12" s="36">
        <f>IF(tblGauges[[#This Row],[Gauge ID]]="","",IF(OR(tblGauges[[#This Row],[Last calibrated]]="",tblGauges[[#This Row],[Interval (days)]]=""),"",tblGauges[[#This Row],[Last calibrated]]+tblGauges[[#This Row],[Interval (days)]]))</f>
        <v>46452</v>
      </c>
      <c r="L12" s="37">
        <f>IF(tblGauges[[#This Row],[Gauge ID]]="","",IF(tblGauges[[#This Row],[Next due]]="","",tblGauges[[#This Row],[Next due]]-AsOf))</f>
        <v>148</v>
      </c>
      <c r="M12" s="38" t="str">
        <f>IF(tblGauges[[#This Row],[Gauge ID]]="","",IF(tblGauges[[#This Row],[Status]]&lt;&gt;"In service",tblGauges[[#This Row],[Status]],IF(tblGauges[[#This Row],[Next due]]="","Overdue",IF(AsOf&gt;tblGauges[[#This Row],[Next due]],"Overdue",IF(tblGauges[[#This Row],[Next due]]-AsOf&lt;=DueSoonDays,"Due soon","OK")))))</f>
        <v>OK</v>
      </c>
      <c r="N12" s="35">
        <f>IF(tblGauges[[#This Row],[Gauge ID]]="","",COUNTIFS(tblCalibrations[Gauge ID],tblGauges[[#This Row],[Gauge ID]],tblCalibrations[As found],"Out of tolerance"))</f>
        <v>0</v>
      </c>
      <c r="O12"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12" s="28" t="s">
        <v>141</v>
      </c>
    </row>
    <row r="13" spans="1:16">
      <c r="B13" s="28" t="s">
        <v>158</v>
      </c>
      <c r="C13" s="28" t="s">
        <v>159</v>
      </c>
      <c r="D13" s="28" t="s">
        <v>86</v>
      </c>
      <c r="E13" s="28" t="s">
        <v>105</v>
      </c>
      <c r="F13" s="28" t="s">
        <v>139</v>
      </c>
      <c r="G13" s="30">
        <v>365</v>
      </c>
      <c r="H13" s="28" t="s">
        <v>160</v>
      </c>
      <c r="I13" s="35">
        <f>IF(tblGauges[[#This Row],[Gauge ID]]="","",COUNTIFS(tblCalibrations[Gauge ID],tblGauges[[#This Row],[Gauge ID]]))</f>
        <v>2</v>
      </c>
      <c r="J13" s="36">
        <f>IF(tblGauges[[#This Row],[Gauge ID]]="","",IF(tblGauges[[#This Row],[Records]]=0,"",SUMPRODUCT(MAX((tblCalibrations[Gauge ID]=tblGauges[[#This Row],[Gauge ID]])*tblCalibrations[Date calibrated]))))</f>
        <v>46113</v>
      </c>
      <c r="K13" s="36">
        <f>IF(tblGauges[[#This Row],[Gauge ID]]="","",IF(OR(tblGauges[[#This Row],[Last calibrated]]="",tblGauges[[#This Row],[Interval (days)]]=""),"",tblGauges[[#This Row],[Last calibrated]]+tblGauges[[#This Row],[Interval (days)]]))</f>
        <v>46478</v>
      </c>
      <c r="L13" s="37">
        <f>IF(tblGauges[[#This Row],[Gauge ID]]="","",IF(tblGauges[[#This Row],[Next due]]="","",tblGauges[[#This Row],[Next due]]-AsOf))</f>
        <v>174</v>
      </c>
      <c r="M13" s="38" t="str">
        <f>IF(tblGauges[[#This Row],[Gauge ID]]="","",IF(tblGauges[[#This Row],[Status]]&lt;&gt;"In service",tblGauges[[#This Row],[Status]],IF(tblGauges[[#This Row],[Next due]]="","Overdue",IF(AsOf&gt;tblGauges[[#This Row],[Next due]],"Overdue",IF(tblGauges[[#This Row],[Next due]]-AsOf&lt;=DueSoonDays,"Due soon","OK")))))</f>
        <v>Out of service</v>
      </c>
      <c r="N13" s="35">
        <f>IF(tblGauges[[#This Row],[Gauge ID]]="","",COUNTIFS(tblCalibrations[Gauge ID],tblGauges[[#This Row],[Gauge ID]],tblCalibrations[As found],"Out of tolerance"))</f>
        <v>1</v>
      </c>
      <c r="O13"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13" s="28" t="s">
        <v>161</v>
      </c>
    </row>
    <row r="14" spans="1:16">
      <c r="B14" s="28" t="s">
        <v>162</v>
      </c>
      <c r="C14" s="28" t="s">
        <v>163</v>
      </c>
      <c r="D14" s="28" t="s">
        <v>88</v>
      </c>
      <c r="E14" s="28" t="s">
        <v>105</v>
      </c>
      <c r="F14" s="28" t="s">
        <v>145</v>
      </c>
      <c r="G14" s="30">
        <v>365</v>
      </c>
      <c r="H14" s="28" t="s">
        <v>140</v>
      </c>
      <c r="I14" s="35">
        <f>IF(tblGauges[[#This Row],[Gauge ID]]="","",COUNTIFS(tblCalibrations[Gauge ID],tblGauges[[#This Row],[Gauge ID]]))</f>
        <v>2</v>
      </c>
      <c r="J14" s="36">
        <f>IF(tblGauges[[#This Row],[Gauge ID]]="","",IF(tblGauges[[#This Row],[Records]]=0,"",SUMPRODUCT(MAX((tblCalibrations[Gauge ID]=tblGauges[[#This Row],[Gauge ID]])*tblCalibrations[Date calibrated]))))</f>
        <v>46076</v>
      </c>
      <c r="K14" s="36">
        <f>IF(tblGauges[[#This Row],[Gauge ID]]="","",IF(OR(tblGauges[[#This Row],[Last calibrated]]="",tblGauges[[#This Row],[Interval (days)]]=""),"",tblGauges[[#This Row],[Last calibrated]]+tblGauges[[#This Row],[Interval (days)]]))</f>
        <v>46441</v>
      </c>
      <c r="L14" s="37">
        <f>IF(tblGauges[[#This Row],[Gauge ID]]="","",IF(tblGauges[[#This Row],[Next due]]="","",tblGauges[[#This Row],[Next due]]-AsOf))</f>
        <v>137</v>
      </c>
      <c r="M14" s="38" t="str">
        <f>IF(tblGauges[[#This Row],[Gauge ID]]="","",IF(tblGauges[[#This Row],[Status]]&lt;&gt;"In service",tblGauges[[#This Row],[Status]],IF(tblGauges[[#This Row],[Next due]]="","Overdue",IF(AsOf&gt;tblGauges[[#This Row],[Next due]],"Overdue",IF(tblGauges[[#This Row],[Next due]]-AsOf&lt;=DueSoonDays,"Due soon","OK")))))</f>
        <v>OK</v>
      </c>
      <c r="N14" s="35">
        <f>IF(tblGauges[[#This Row],[Gauge ID]]="","",COUNTIFS(tblCalibrations[Gauge ID],tblGauges[[#This Row],[Gauge ID]],tblCalibrations[As found],"Out of tolerance"))</f>
        <v>0</v>
      </c>
      <c r="O14"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14" s="28" t="s">
        <v>141</v>
      </c>
    </row>
    <row r="15" spans="1:16">
      <c r="B15" s="28" t="s">
        <v>164</v>
      </c>
      <c r="C15" s="28" t="s">
        <v>165</v>
      </c>
      <c r="D15" s="28" t="s">
        <v>90</v>
      </c>
      <c r="E15" s="28" t="s">
        <v>109</v>
      </c>
      <c r="F15" s="28" t="s">
        <v>166</v>
      </c>
      <c r="G15" s="30">
        <v>180</v>
      </c>
      <c r="H15" s="28" t="s">
        <v>140</v>
      </c>
      <c r="I15" s="35">
        <f>IF(tblGauges[[#This Row],[Gauge ID]]="","",COUNTIFS(tblCalibrations[Gauge ID],tblGauges[[#This Row],[Gauge ID]]))</f>
        <v>4</v>
      </c>
      <c r="J15" s="36">
        <f>IF(tblGauges[[#This Row],[Gauge ID]]="","",IF(tblGauges[[#This Row],[Records]]=0,"",SUMPRODUCT(MAX((tblCalibrations[Gauge ID]=tblGauges[[#This Row],[Gauge ID]])*tblCalibrations[Date calibrated]))))</f>
        <v>46216</v>
      </c>
      <c r="K15" s="36">
        <f>IF(tblGauges[[#This Row],[Gauge ID]]="","",IF(OR(tblGauges[[#This Row],[Last calibrated]]="",tblGauges[[#This Row],[Interval (days)]]=""),"",tblGauges[[#This Row],[Last calibrated]]+tblGauges[[#This Row],[Interval (days)]]))</f>
        <v>46396</v>
      </c>
      <c r="L15" s="37">
        <f>IF(tblGauges[[#This Row],[Gauge ID]]="","",IF(tblGauges[[#This Row],[Next due]]="","",tblGauges[[#This Row],[Next due]]-AsOf))</f>
        <v>92</v>
      </c>
      <c r="M15" s="38" t="str">
        <f>IF(tblGauges[[#This Row],[Gauge ID]]="","",IF(tblGauges[[#This Row],[Status]]&lt;&gt;"In service",tblGauges[[#This Row],[Status]],IF(tblGauges[[#This Row],[Next due]]="","Overdue",IF(AsOf&gt;tblGauges[[#This Row],[Next due]],"Overdue",IF(tblGauges[[#This Row],[Next due]]-AsOf&lt;=DueSoonDays,"Due soon","OK")))))</f>
        <v>OK</v>
      </c>
      <c r="N15" s="35">
        <f>IF(tblGauges[[#This Row],[Gauge ID]]="","",COUNTIFS(tblCalibrations[Gauge ID],tblGauges[[#This Row],[Gauge ID]],tblCalibrations[As found],"Out of tolerance"))</f>
        <v>0</v>
      </c>
      <c r="O15"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15" s="28" t="s">
        <v>141</v>
      </c>
    </row>
    <row r="16" spans="1:16">
      <c r="B16" s="28" t="s">
        <v>167</v>
      </c>
      <c r="C16" s="28" t="s">
        <v>168</v>
      </c>
      <c r="D16" s="28" t="s">
        <v>90</v>
      </c>
      <c r="E16" s="28" t="s">
        <v>105</v>
      </c>
      <c r="F16" s="28" t="s">
        <v>169</v>
      </c>
      <c r="G16" s="30">
        <v>365</v>
      </c>
      <c r="H16" s="28" t="s">
        <v>140</v>
      </c>
      <c r="I16" s="35">
        <f>IF(tblGauges[[#This Row],[Gauge ID]]="","",COUNTIFS(tblCalibrations[Gauge ID],tblGauges[[#This Row],[Gauge ID]]))</f>
        <v>2</v>
      </c>
      <c r="J16" s="36">
        <f>IF(tblGauges[[#This Row],[Gauge ID]]="","",IF(tblGauges[[#This Row],[Records]]=0,"",SUMPRODUCT(MAX((tblCalibrations[Gauge ID]=tblGauges[[#This Row],[Gauge ID]])*tblCalibrations[Date calibrated]))))</f>
        <v>46154</v>
      </c>
      <c r="K16" s="36">
        <f>IF(tblGauges[[#This Row],[Gauge ID]]="","",IF(OR(tblGauges[[#This Row],[Last calibrated]]="",tblGauges[[#This Row],[Interval (days)]]=""),"",tblGauges[[#This Row],[Last calibrated]]+tblGauges[[#This Row],[Interval (days)]]))</f>
        <v>46519</v>
      </c>
      <c r="L16" s="37">
        <f>IF(tblGauges[[#This Row],[Gauge ID]]="","",IF(tblGauges[[#This Row],[Next due]]="","",tblGauges[[#This Row],[Next due]]-AsOf))</f>
        <v>215</v>
      </c>
      <c r="M16" s="38" t="str">
        <f>IF(tblGauges[[#This Row],[Gauge ID]]="","",IF(tblGauges[[#This Row],[Status]]&lt;&gt;"In service",tblGauges[[#This Row],[Status]],IF(tblGauges[[#This Row],[Next due]]="","Overdue",IF(AsOf&gt;tblGauges[[#This Row],[Next due]],"Overdue",IF(tblGauges[[#This Row],[Next due]]-AsOf&lt;=DueSoonDays,"Due soon","OK")))))</f>
        <v>OK</v>
      </c>
      <c r="N16" s="35">
        <f>IF(tblGauges[[#This Row],[Gauge ID]]="","",COUNTIFS(tblCalibrations[Gauge ID],tblGauges[[#This Row],[Gauge ID]],tblCalibrations[As found],"Out of tolerance"))</f>
        <v>0</v>
      </c>
      <c r="O16"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16" s="28" t="s">
        <v>141</v>
      </c>
    </row>
    <row r="17" spans="2:16">
      <c r="B17" s="28" t="s">
        <v>170</v>
      </c>
      <c r="C17" s="28" t="s">
        <v>171</v>
      </c>
      <c r="D17" s="28" t="s">
        <v>92</v>
      </c>
      <c r="E17" s="28" t="s">
        <v>105</v>
      </c>
      <c r="F17" s="28" t="s">
        <v>172</v>
      </c>
      <c r="G17" s="30">
        <v>365</v>
      </c>
      <c r="H17" s="28" t="s">
        <v>140</v>
      </c>
      <c r="I17" s="35">
        <f>IF(tblGauges[[#This Row],[Gauge ID]]="","",COUNTIFS(tblCalibrations[Gauge ID],tblGauges[[#This Row],[Gauge ID]]))</f>
        <v>2</v>
      </c>
      <c r="J17" s="36">
        <f>IF(tblGauges[[#This Row],[Gauge ID]]="","",IF(tblGauges[[#This Row],[Records]]=0,"",SUMPRODUCT(MAX((tblCalibrations[Gauge ID]=tblGauges[[#This Row],[Gauge ID]])*tblCalibrations[Date calibrated]))))</f>
        <v>46155</v>
      </c>
      <c r="K17" s="36">
        <f>IF(tblGauges[[#This Row],[Gauge ID]]="","",IF(OR(tblGauges[[#This Row],[Last calibrated]]="",tblGauges[[#This Row],[Interval (days)]]=""),"",tblGauges[[#This Row],[Last calibrated]]+tblGauges[[#This Row],[Interval (days)]]))</f>
        <v>46520</v>
      </c>
      <c r="L17" s="37">
        <f>IF(tblGauges[[#This Row],[Gauge ID]]="","",IF(tblGauges[[#This Row],[Next due]]="","",tblGauges[[#This Row],[Next due]]-AsOf))</f>
        <v>216</v>
      </c>
      <c r="M17" s="38" t="str">
        <f>IF(tblGauges[[#This Row],[Gauge ID]]="","",IF(tblGauges[[#This Row],[Status]]&lt;&gt;"In service",tblGauges[[#This Row],[Status]],IF(tblGauges[[#This Row],[Next due]]="","Overdue",IF(AsOf&gt;tblGauges[[#This Row],[Next due]],"Overdue",IF(tblGauges[[#This Row],[Next due]]-AsOf&lt;=DueSoonDays,"Due soon","OK")))))</f>
        <v>OK</v>
      </c>
      <c r="N17" s="35">
        <f>IF(tblGauges[[#This Row],[Gauge ID]]="","",COUNTIFS(tblCalibrations[Gauge ID],tblGauges[[#This Row],[Gauge ID]],tblCalibrations[As found],"Out of tolerance"))</f>
        <v>0</v>
      </c>
      <c r="O17"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17" s="28" t="s">
        <v>141</v>
      </c>
    </row>
    <row r="18" spans="2:16">
      <c r="B18" s="28" t="s">
        <v>173</v>
      </c>
      <c r="C18" s="28" t="s">
        <v>174</v>
      </c>
      <c r="D18" s="28" t="s">
        <v>92</v>
      </c>
      <c r="E18" s="28" t="s">
        <v>107</v>
      </c>
      <c r="F18" s="28" t="s">
        <v>175</v>
      </c>
      <c r="G18" s="30">
        <v>180</v>
      </c>
      <c r="H18" s="28" t="s">
        <v>140</v>
      </c>
      <c r="I18" s="35">
        <f>IF(tblGauges[[#This Row],[Gauge ID]]="","",COUNTIFS(tblCalibrations[Gauge ID],tblGauges[[#This Row],[Gauge ID]]))</f>
        <v>3</v>
      </c>
      <c r="J18" s="36">
        <f>IF(tblGauges[[#This Row],[Gauge ID]]="","",IF(tblGauges[[#This Row],[Records]]=0,"",SUMPRODUCT(MAX((tblCalibrations[Gauge ID]=tblGauges[[#This Row],[Gauge ID]])*tblCalibrations[Date calibrated]))))</f>
        <v>46118</v>
      </c>
      <c r="K18" s="36">
        <f>IF(tblGauges[[#This Row],[Gauge ID]]="","",IF(OR(tblGauges[[#This Row],[Last calibrated]]="",tblGauges[[#This Row],[Interval (days)]]=""),"",tblGauges[[#This Row],[Last calibrated]]+tblGauges[[#This Row],[Interval (days)]]))</f>
        <v>46298</v>
      </c>
      <c r="L18" s="37">
        <f>IF(tblGauges[[#This Row],[Gauge ID]]="","",IF(tblGauges[[#This Row],[Next due]]="","",tblGauges[[#This Row],[Next due]]-AsOf))</f>
        <v>-6</v>
      </c>
      <c r="M18" s="38" t="str">
        <f>IF(tblGauges[[#This Row],[Gauge ID]]="","",IF(tblGauges[[#This Row],[Status]]&lt;&gt;"In service",tblGauges[[#This Row],[Status]],IF(tblGauges[[#This Row],[Next due]]="","Overdue",IF(AsOf&gt;tblGauges[[#This Row],[Next due]],"Overdue",IF(tblGauges[[#This Row],[Next due]]-AsOf&lt;=DueSoonDays,"Due soon","OK")))))</f>
        <v>Overdue</v>
      </c>
      <c r="N18" s="35">
        <f>IF(tblGauges[[#This Row],[Gauge ID]]="","",COUNTIFS(tblCalibrations[Gauge ID],tblGauges[[#This Row],[Gauge ID]],tblCalibrations[As found],"Out of tolerance"))</f>
        <v>0</v>
      </c>
      <c r="O18"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18" s="28" t="s">
        <v>141</v>
      </c>
    </row>
    <row r="19" spans="2:16">
      <c r="B19" s="28" t="s">
        <v>176</v>
      </c>
      <c r="C19" s="28" t="s">
        <v>177</v>
      </c>
      <c r="D19" s="28" t="s">
        <v>94</v>
      </c>
      <c r="E19" s="28" t="s">
        <v>107</v>
      </c>
      <c r="F19" s="28" t="s">
        <v>178</v>
      </c>
      <c r="G19" s="30">
        <v>180</v>
      </c>
      <c r="H19" s="28" t="s">
        <v>140</v>
      </c>
      <c r="I19" s="35">
        <f>IF(tblGauges[[#This Row],[Gauge ID]]="","",COUNTIFS(tblCalibrations[Gauge ID],tblGauges[[#This Row],[Gauge ID]]))</f>
        <v>4</v>
      </c>
      <c r="J19" s="36">
        <f>IF(tblGauges[[#This Row],[Gauge ID]]="","",IF(tblGauges[[#This Row],[Records]]=0,"",SUMPRODUCT(MAX((tblCalibrations[Gauge ID]=tblGauges[[#This Row],[Gauge ID]])*tblCalibrations[Date calibrated]))))</f>
        <v>46244</v>
      </c>
      <c r="K19" s="36">
        <f>IF(tblGauges[[#This Row],[Gauge ID]]="","",IF(OR(tblGauges[[#This Row],[Last calibrated]]="",tblGauges[[#This Row],[Interval (days)]]=""),"",tblGauges[[#This Row],[Last calibrated]]+tblGauges[[#This Row],[Interval (days)]]))</f>
        <v>46424</v>
      </c>
      <c r="L19" s="37">
        <f>IF(tblGauges[[#This Row],[Gauge ID]]="","",IF(tblGauges[[#This Row],[Next due]]="","",tblGauges[[#This Row],[Next due]]-AsOf))</f>
        <v>120</v>
      </c>
      <c r="M19" s="38" t="str">
        <f>IF(tblGauges[[#This Row],[Gauge ID]]="","",IF(tblGauges[[#This Row],[Status]]&lt;&gt;"In service",tblGauges[[#This Row],[Status]],IF(tblGauges[[#This Row],[Next due]]="","Overdue",IF(AsOf&gt;tblGauges[[#This Row],[Next due]],"Overdue",IF(tblGauges[[#This Row],[Next due]]-AsOf&lt;=DueSoonDays,"Due soon","OK")))))</f>
        <v>OK</v>
      </c>
      <c r="N19" s="35">
        <f>IF(tblGauges[[#This Row],[Gauge ID]]="","",COUNTIFS(tblCalibrations[Gauge ID],tblGauges[[#This Row],[Gauge ID]],tblCalibrations[As found],"Out of tolerance"))</f>
        <v>0</v>
      </c>
      <c r="O19"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19" s="28" t="s">
        <v>141</v>
      </c>
    </row>
    <row r="20" spans="2:16">
      <c r="B20" s="28" t="s">
        <v>179</v>
      </c>
      <c r="C20" s="28" t="s">
        <v>180</v>
      </c>
      <c r="D20" s="28" t="s">
        <v>94</v>
      </c>
      <c r="E20" s="28" t="s">
        <v>111</v>
      </c>
      <c r="F20" s="28" t="s">
        <v>181</v>
      </c>
      <c r="G20" s="30">
        <v>180</v>
      </c>
      <c r="H20" s="28" t="s">
        <v>140</v>
      </c>
      <c r="I20" s="35">
        <f>IF(tblGauges[[#This Row],[Gauge ID]]="","",COUNTIFS(tblCalibrations[Gauge ID],tblGauges[[#This Row],[Gauge ID]]))</f>
        <v>3</v>
      </c>
      <c r="J20" s="36">
        <f>IF(tblGauges[[#This Row],[Gauge ID]]="","",IF(tblGauges[[#This Row],[Records]]=0,"",SUMPRODUCT(MAX((tblCalibrations[Gauge ID]=tblGauges[[#This Row],[Gauge ID]])*tblCalibrations[Date calibrated]))))</f>
        <v>46142</v>
      </c>
      <c r="K20" s="36">
        <f>IF(tblGauges[[#This Row],[Gauge ID]]="","",IF(OR(tblGauges[[#This Row],[Last calibrated]]="",tblGauges[[#This Row],[Interval (days)]]=""),"",tblGauges[[#This Row],[Last calibrated]]+tblGauges[[#This Row],[Interval (days)]]))</f>
        <v>46322</v>
      </c>
      <c r="L20" s="37">
        <f>IF(tblGauges[[#This Row],[Gauge ID]]="","",IF(tblGauges[[#This Row],[Next due]]="","",tblGauges[[#This Row],[Next due]]-AsOf))</f>
        <v>18</v>
      </c>
      <c r="M20" s="38" t="str">
        <f>IF(tblGauges[[#This Row],[Gauge ID]]="","",IF(tblGauges[[#This Row],[Status]]&lt;&gt;"In service",tblGauges[[#This Row],[Status]],IF(tblGauges[[#This Row],[Next due]]="","Overdue",IF(AsOf&gt;tblGauges[[#This Row],[Next due]],"Overdue",IF(tblGauges[[#This Row],[Next due]]-AsOf&lt;=DueSoonDays,"Due soon","OK")))))</f>
        <v>Due soon</v>
      </c>
      <c r="N20" s="35">
        <f>IF(tblGauges[[#This Row],[Gauge ID]]="","",COUNTIFS(tblCalibrations[Gauge ID],tblGauges[[#This Row],[Gauge ID]],tblCalibrations[As found],"Out of tolerance"))</f>
        <v>1</v>
      </c>
      <c r="O20"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20" s="28" t="s">
        <v>141</v>
      </c>
    </row>
    <row r="21" spans="2:16">
      <c r="B21" s="28" t="s">
        <v>182</v>
      </c>
      <c r="C21" s="28" t="s">
        <v>183</v>
      </c>
      <c r="D21" s="28" t="s">
        <v>96</v>
      </c>
      <c r="E21" s="28" t="s">
        <v>111</v>
      </c>
      <c r="F21" s="28" t="s">
        <v>184</v>
      </c>
      <c r="G21" s="30">
        <v>90</v>
      </c>
      <c r="H21" s="28" t="s">
        <v>140</v>
      </c>
      <c r="I21" s="35">
        <f>IF(tblGauges[[#This Row],[Gauge ID]]="","",COUNTIFS(tblCalibrations[Gauge ID],tblGauges[[#This Row],[Gauge ID]]))</f>
        <v>8</v>
      </c>
      <c r="J21" s="36">
        <f>IF(tblGauges[[#This Row],[Gauge ID]]="","",IF(tblGauges[[#This Row],[Records]]=0,"",SUMPRODUCT(MAX((tblCalibrations[Gauge ID]=tblGauges[[#This Row],[Gauge ID]])*tblCalibrations[Date calibrated]))))</f>
        <v>46223</v>
      </c>
      <c r="K21" s="36">
        <f>IF(tblGauges[[#This Row],[Gauge ID]]="","",IF(OR(tblGauges[[#This Row],[Last calibrated]]="",tblGauges[[#This Row],[Interval (days)]]=""),"",tblGauges[[#This Row],[Last calibrated]]+tblGauges[[#This Row],[Interval (days)]]))</f>
        <v>46313</v>
      </c>
      <c r="L21" s="37">
        <f>IF(tblGauges[[#This Row],[Gauge ID]]="","",IF(tblGauges[[#This Row],[Next due]]="","",tblGauges[[#This Row],[Next due]]-AsOf))</f>
        <v>9</v>
      </c>
      <c r="M21" s="38" t="str">
        <f>IF(tblGauges[[#This Row],[Gauge ID]]="","",IF(tblGauges[[#This Row],[Status]]&lt;&gt;"In service",tblGauges[[#This Row],[Status]],IF(tblGauges[[#This Row],[Next due]]="","Overdue",IF(AsOf&gt;tblGauges[[#This Row],[Next due]],"Overdue",IF(tblGauges[[#This Row],[Next due]]-AsOf&lt;=DueSoonDays,"Due soon","OK")))))</f>
        <v>Due soon</v>
      </c>
      <c r="N21" s="35">
        <f>IF(tblGauges[[#This Row],[Gauge ID]]="","",COUNTIFS(tblCalibrations[Gauge ID],tblGauges[[#This Row],[Gauge ID]],tblCalibrations[As found],"Out of tolerance"))</f>
        <v>2</v>
      </c>
      <c r="O21"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21" s="28" t="s">
        <v>141</v>
      </c>
    </row>
    <row r="22" spans="2:16">
      <c r="B22" s="28" t="s">
        <v>185</v>
      </c>
      <c r="C22" s="28" t="s">
        <v>186</v>
      </c>
      <c r="D22" s="28" t="s">
        <v>96</v>
      </c>
      <c r="E22" s="28" t="s">
        <v>111</v>
      </c>
      <c r="F22" s="28" t="s">
        <v>187</v>
      </c>
      <c r="G22" s="30">
        <v>90</v>
      </c>
      <c r="H22" s="28" t="s">
        <v>140</v>
      </c>
      <c r="I22" s="35">
        <f>IF(tblGauges[[#This Row],[Gauge ID]]="","",COUNTIFS(tblCalibrations[Gauge ID],tblGauges[[#This Row],[Gauge ID]]))</f>
        <v>8</v>
      </c>
      <c r="J22" s="36">
        <f>IF(tblGauges[[#This Row],[Gauge ID]]="","",IF(tblGauges[[#This Row],[Records]]=0,"",SUMPRODUCT(MAX((tblCalibrations[Gauge ID]=tblGauges[[#This Row],[Gauge ID]])*tblCalibrations[Date calibrated]))))</f>
        <v>46238</v>
      </c>
      <c r="K22" s="36">
        <f>IF(tblGauges[[#This Row],[Gauge ID]]="","",IF(OR(tblGauges[[#This Row],[Last calibrated]]="",tblGauges[[#This Row],[Interval (days)]]=""),"",tblGauges[[#This Row],[Last calibrated]]+tblGauges[[#This Row],[Interval (days)]]))</f>
        <v>46328</v>
      </c>
      <c r="L22" s="37">
        <f>IF(tblGauges[[#This Row],[Gauge ID]]="","",IF(tblGauges[[#This Row],[Next due]]="","",tblGauges[[#This Row],[Next due]]-AsOf))</f>
        <v>24</v>
      </c>
      <c r="M22" s="38" t="str">
        <f>IF(tblGauges[[#This Row],[Gauge ID]]="","",IF(tblGauges[[#This Row],[Status]]&lt;&gt;"In service",tblGauges[[#This Row],[Status]],IF(tblGauges[[#This Row],[Next due]]="","Overdue",IF(AsOf&gt;tblGauges[[#This Row],[Next due]],"Overdue",IF(tblGauges[[#This Row],[Next due]]-AsOf&lt;=DueSoonDays,"Due soon","OK")))))</f>
        <v>Due soon</v>
      </c>
      <c r="N22" s="35">
        <f>IF(tblGauges[[#This Row],[Gauge ID]]="","",COUNTIFS(tblCalibrations[Gauge ID],tblGauges[[#This Row],[Gauge ID]],tblCalibrations[As found],"Out of tolerance"))</f>
        <v>2</v>
      </c>
      <c r="O22"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22" s="28" t="s">
        <v>141</v>
      </c>
    </row>
    <row r="23" spans="2:16">
      <c r="B23" s="28" t="s">
        <v>188</v>
      </c>
      <c r="C23" s="28" t="s">
        <v>189</v>
      </c>
      <c r="D23" s="28" t="s">
        <v>96</v>
      </c>
      <c r="E23" s="28" t="s">
        <v>111</v>
      </c>
      <c r="F23" s="28" t="s">
        <v>190</v>
      </c>
      <c r="G23" s="30">
        <v>90</v>
      </c>
      <c r="H23" s="28" t="s">
        <v>140</v>
      </c>
      <c r="I23" s="35">
        <f>IF(tblGauges[[#This Row],[Gauge ID]]="","",COUNTIFS(tblCalibrations[Gauge ID],tblGauges[[#This Row],[Gauge ID]]))</f>
        <v>7</v>
      </c>
      <c r="J23" s="36">
        <f>IF(tblGauges[[#This Row],[Gauge ID]]="","",IF(tblGauges[[#This Row],[Records]]=0,"",SUMPRODUCT(MAX((tblCalibrations[Gauge ID]=tblGauges[[#This Row],[Gauge ID]])*tblCalibrations[Date calibrated]))))</f>
        <v>46202</v>
      </c>
      <c r="K23" s="36">
        <f>IF(tblGauges[[#This Row],[Gauge ID]]="","",IF(OR(tblGauges[[#This Row],[Last calibrated]]="",tblGauges[[#This Row],[Interval (days)]]=""),"",tblGauges[[#This Row],[Last calibrated]]+tblGauges[[#This Row],[Interval (days)]]))</f>
        <v>46292</v>
      </c>
      <c r="L23" s="37">
        <f>IF(tblGauges[[#This Row],[Gauge ID]]="","",IF(tblGauges[[#This Row],[Next due]]="","",tblGauges[[#This Row],[Next due]]-AsOf))</f>
        <v>-12</v>
      </c>
      <c r="M23" s="38" t="str">
        <f>IF(tblGauges[[#This Row],[Gauge ID]]="","",IF(tblGauges[[#This Row],[Status]]&lt;&gt;"In service",tblGauges[[#This Row],[Status]],IF(tblGauges[[#This Row],[Next due]]="","Overdue",IF(AsOf&gt;tblGauges[[#This Row],[Next due]],"Overdue",IF(tblGauges[[#This Row],[Next due]]-AsOf&lt;=DueSoonDays,"Due soon","OK")))))</f>
        <v>Overdue</v>
      </c>
      <c r="N23" s="35">
        <f>IF(tblGauges[[#This Row],[Gauge ID]]="","",COUNTIFS(tblCalibrations[Gauge ID],tblGauges[[#This Row],[Gauge ID]],tblCalibrations[As found],"Out of tolerance"))</f>
        <v>1</v>
      </c>
      <c r="O23"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23" s="28" t="s">
        <v>141</v>
      </c>
    </row>
    <row r="24" spans="2:16">
      <c r="B24" s="28" t="s">
        <v>191</v>
      </c>
      <c r="C24" s="28" t="s">
        <v>192</v>
      </c>
      <c r="D24" s="28" t="s">
        <v>98</v>
      </c>
      <c r="E24" s="28" t="s">
        <v>109</v>
      </c>
      <c r="F24" s="28" t="s">
        <v>193</v>
      </c>
      <c r="G24" s="30">
        <v>365</v>
      </c>
      <c r="H24" s="28" t="s">
        <v>140</v>
      </c>
      <c r="I24" s="35">
        <f>IF(tblGauges[[#This Row],[Gauge ID]]="","",COUNTIFS(tblCalibrations[Gauge ID],tblGauges[[#This Row],[Gauge ID]]))</f>
        <v>2</v>
      </c>
      <c r="J24" s="36">
        <f>IF(tblGauges[[#This Row],[Gauge ID]]="","",IF(tblGauges[[#This Row],[Records]]=0,"",SUMPRODUCT(MAX((tblCalibrations[Gauge ID]=tblGauges[[#This Row],[Gauge ID]])*tblCalibrations[Date calibrated]))))</f>
        <v>46141</v>
      </c>
      <c r="K24" s="36">
        <f>IF(tblGauges[[#This Row],[Gauge ID]]="","",IF(OR(tblGauges[[#This Row],[Last calibrated]]="",tblGauges[[#This Row],[Interval (days)]]=""),"",tblGauges[[#This Row],[Last calibrated]]+tblGauges[[#This Row],[Interval (days)]]))</f>
        <v>46506</v>
      </c>
      <c r="L24" s="37">
        <f>IF(tblGauges[[#This Row],[Gauge ID]]="","",IF(tblGauges[[#This Row],[Next due]]="","",tblGauges[[#This Row],[Next due]]-AsOf))</f>
        <v>202</v>
      </c>
      <c r="M24" s="38" t="str">
        <f>IF(tblGauges[[#This Row],[Gauge ID]]="","",IF(tblGauges[[#This Row],[Status]]&lt;&gt;"In service",tblGauges[[#This Row],[Status]],IF(tblGauges[[#This Row],[Next due]]="","Overdue",IF(AsOf&gt;tblGauges[[#This Row],[Next due]],"Overdue",IF(tblGauges[[#This Row],[Next due]]-AsOf&lt;=DueSoonDays,"Due soon","OK")))))</f>
        <v>OK</v>
      </c>
      <c r="N24" s="35">
        <f>IF(tblGauges[[#This Row],[Gauge ID]]="","",COUNTIFS(tblCalibrations[Gauge ID],tblGauges[[#This Row],[Gauge ID]],tblCalibrations[As found],"Out of tolerance"))</f>
        <v>0</v>
      </c>
      <c r="O24"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24" s="28" t="s">
        <v>141</v>
      </c>
    </row>
    <row r="25" spans="2:16">
      <c r="B25" s="28" t="s">
        <v>194</v>
      </c>
      <c r="C25" s="28" t="s">
        <v>195</v>
      </c>
      <c r="D25" s="28" t="s">
        <v>98</v>
      </c>
      <c r="E25" s="28" t="s">
        <v>105</v>
      </c>
      <c r="F25" s="28" t="s">
        <v>196</v>
      </c>
      <c r="G25" s="30">
        <v>365</v>
      </c>
      <c r="H25" s="28" t="s">
        <v>140</v>
      </c>
      <c r="I25" s="35">
        <f>IF(tblGauges[[#This Row],[Gauge ID]]="","",COUNTIFS(tblCalibrations[Gauge ID],tblGauges[[#This Row],[Gauge ID]]))</f>
        <v>2</v>
      </c>
      <c r="J25" s="36">
        <f>IF(tblGauges[[#This Row],[Gauge ID]]="","",IF(tblGauges[[#This Row],[Records]]=0,"",SUMPRODUCT(MAX((tblCalibrations[Gauge ID]=tblGauges[[#This Row],[Gauge ID]])*tblCalibrations[Date calibrated]))))</f>
        <v>46129</v>
      </c>
      <c r="K25" s="36">
        <f>IF(tblGauges[[#This Row],[Gauge ID]]="","",IF(OR(tblGauges[[#This Row],[Last calibrated]]="",tblGauges[[#This Row],[Interval (days)]]=""),"",tblGauges[[#This Row],[Last calibrated]]+tblGauges[[#This Row],[Interval (days)]]))</f>
        <v>46494</v>
      </c>
      <c r="L25" s="37">
        <f>IF(tblGauges[[#This Row],[Gauge ID]]="","",IF(tblGauges[[#This Row],[Next due]]="","",tblGauges[[#This Row],[Next due]]-AsOf))</f>
        <v>190</v>
      </c>
      <c r="M25" s="38" t="str">
        <f>IF(tblGauges[[#This Row],[Gauge ID]]="","",IF(tblGauges[[#This Row],[Status]]&lt;&gt;"In service",tblGauges[[#This Row],[Status]],IF(tblGauges[[#This Row],[Next due]]="","Overdue",IF(AsOf&gt;tblGauges[[#This Row],[Next due]],"Overdue",IF(tblGauges[[#This Row],[Next due]]-AsOf&lt;=DueSoonDays,"Due soon","OK")))))</f>
        <v>OK</v>
      </c>
      <c r="N25" s="35">
        <f>IF(tblGauges[[#This Row],[Gauge ID]]="","",COUNTIFS(tblCalibrations[Gauge ID],tblGauges[[#This Row],[Gauge ID]],tblCalibrations[As found],"Out of tolerance"))</f>
        <v>0</v>
      </c>
      <c r="O25"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25" s="28" t="s">
        <v>141</v>
      </c>
    </row>
    <row r="26" spans="2:16">
      <c r="B26" s="28" t="s">
        <v>197</v>
      </c>
      <c r="C26" s="28" t="s">
        <v>198</v>
      </c>
      <c r="D26" s="28" t="s">
        <v>100</v>
      </c>
      <c r="E26" s="28" t="s">
        <v>105</v>
      </c>
      <c r="F26" s="28" t="s">
        <v>199</v>
      </c>
      <c r="G26" s="30">
        <v>365</v>
      </c>
      <c r="H26" s="28" t="s">
        <v>140</v>
      </c>
      <c r="I26" s="35">
        <f>IF(tblGauges[[#This Row],[Gauge ID]]="","",COUNTIFS(tblCalibrations[Gauge ID],tblGauges[[#This Row],[Gauge ID]]))</f>
        <v>2</v>
      </c>
      <c r="J26" s="36">
        <f>IF(tblGauges[[#This Row],[Gauge ID]]="","",IF(tblGauges[[#This Row],[Records]]=0,"",SUMPRODUCT(MAX((tblCalibrations[Gauge ID]=tblGauges[[#This Row],[Gauge ID]])*tblCalibrations[Date calibrated]))))</f>
        <v>46135</v>
      </c>
      <c r="K26" s="36">
        <f>IF(tblGauges[[#This Row],[Gauge ID]]="","",IF(OR(tblGauges[[#This Row],[Last calibrated]]="",tblGauges[[#This Row],[Interval (days)]]=""),"",tblGauges[[#This Row],[Last calibrated]]+tblGauges[[#This Row],[Interval (days)]]))</f>
        <v>46500</v>
      </c>
      <c r="L26" s="37">
        <f>IF(tblGauges[[#This Row],[Gauge ID]]="","",IF(tblGauges[[#This Row],[Next due]]="","",tblGauges[[#This Row],[Next due]]-AsOf))</f>
        <v>196</v>
      </c>
      <c r="M26" s="38" t="str">
        <f>IF(tblGauges[[#This Row],[Gauge ID]]="","",IF(tblGauges[[#This Row],[Status]]&lt;&gt;"In service",tblGauges[[#This Row],[Status]],IF(tblGauges[[#This Row],[Next due]]="","Overdue",IF(AsOf&gt;tblGauges[[#This Row],[Next due]],"Overdue",IF(tblGauges[[#This Row],[Next due]]-AsOf&lt;=DueSoonDays,"Due soon","OK")))))</f>
        <v>OK</v>
      </c>
      <c r="N26" s="35">
        <f>IF(tblGauges[[#This Row],[Gauge ID]]="","",COUNTIFS(tblCalibrations[Gauge ID],tblGauges[[#This Row],[Gauge ID]],tblCalibrations[As found],"Out of tolerance"))</f>
        <v>0</v>
      </c>
      <c r="O26"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26" s="28" t="s">
        <v>141</v>
      </c>
    </row>
    <row r="27" spans="2:16">
      <c r="B27" s="28" t="s">
        <v>200</v>
      </c>
      <c r="C27" s="28" t="s">
        <v>201</v>
      </c>
      <c r="D27" s="28" t="s">
        <v>102</v>
      </c>
      <c r="E27" s="28" t="s">
        <v>111</v>
      </c>
      <c r="F27" s="28" t="s">
        <v>202</v>
      </c>
      <c r="G27" s="30">
        <v>180</v>
      </c>
      <c r="H27" s="28" t="s">
        <v>140</v>
      </c>
      <c r="I27" s="35">
        <f>IF(tblGauges[[#This Row],[Gauge ID]]="","",COUNTIFS(tblCalibrations[Gauge ID],tblGauges[[#This Row],[Gauge ID]]))</f>
        <v>4</v>
      </c>
      <c r="J27" s="36">
        <f>IF(tblGauges[[#This Row],[Gauge ID]]="","",IF(tblGauges[[#This Row],[Records]]=0,"",SUMPRODUCT(MAX((tblCalibrations[Gauge ID]=tblGauges[[#This Row],[Gauge ID]])*tblCalibrations[Date calibrated]))))</f>
        <v>46272</v>
      </c>
      <c r="K27" s="36">
        <f>IF(tblGauges[[#This Row],[Gauge ID]]="","",IF(OR(tblGauges[[#This Row],[Last calibrated]]="",tblGauges[[#This Row],[Interval (days)]]=""),"",tblGauges[[#This Row],[Last calibrated]]+tblGauges[[#This Row],[Interval (days)]]))</f>
        <v>46452</v>
      </c>
      <c r="L27" s="37">
        <f>IF(tblGauges[[#This Row],[Gauge ID]]="","",IF(tblGauges[[#This Row],[Next due]]="","",tblGauges[[#This Row],[Next due]]-AsOf))</f>
        <v>148</v>
      </c>
      <c r="M27" s="38" t="str">
        <f>IF(tblGauges[[#This Row],[Gauge ID]]="","",IF(tblGauges[[#This Row],[Status]]&lt;&gt;"In service",tblGauges[[#This Row],[Status]],IF(tblGauges[[#This Row],[Next due]]="","Overdue",IF(AsOf&gt;tblGauges[[#This Row],[Next due]],"Overdue",IF(tblGauges[[#This Row],[Next due]]-AsOf&lt;=DueSoonDays,"Due soon","OK")))))</f>
        <v>OK</v>
      </c>
      <c r="N27" s="35">
        <f>IF(tblGauges[[#This Row],[Gauge ID]]="","",COUNTIFS(tblCalibrations[Gauge ID],tblGauges[[#This Row],[Gauge ID]],tblCalibrations[As found],"Out of tolerance"))</f>
        <v>0</v>
      </c>
      <c r="O27"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27" s="28" t="s">
        <v>141</v>
      </c>
    </row>
    <row r="28" spans="2:16">
      <c r="B28" s="28" t="s">
        <v>203</v>
      </c>
      <c r="C28" s="28" t="s">
        <v>204</v>
      </c>
      <c r="D28" s="28" t="s">
        <v>102</v>
      </c>
      <c r="E28" s="28" t="s">
        <v>107</v>
      </c>
      <c r="F28" s="28" t="s">
        <v>205</v>
      </c>
      <c r="G28" s="30">
        <v>180</v>
      </c>
      <c r="H28" s="28" t="s">
        <v>140</v>
      </c>
      <c r="I28" s="35">
        <f>IF(tblGauges[[#This Row],[Gauge ID]]="","",COUNTIFS(tblCalibrations[Gauge ID],tblGauges[[#This Row],[Gauge ID]]))</f>
        <v>3</v>
      </c>
      <c r="J28" s="36">
        <f>IF(tblGauges[[#This Row],[Gauge ID]]="","",IF(tblGauges[[#This Row],[Records]]=0,"",SUMPRODUCT(MAX((tblCalibrations[Gauge ID]=tblGauges[[#This Row],[Gauge ID]])*tblCalibrations[Date calibrated]))))</f>
        <v>46091</v>
      </c>
      <c r="K28" s="36">
        <f>IF(tblGauges[[#This Row],[Gauge ID]]="","",IF(OR(tblGauges[[#This Row],[Last calibrated]]="",tblGauges[[#This Row],[Interval (days)]]=""),"",tblGauges[[#This Row],[Last calibrated]]+tblGauges[[#This Row],[Interval (days)]]))</f>
        <v>46271</v>
      </c>
      <c r="L28" s="37">
        <f>IF(tblGauges[[#This Row],[Gauge ID]]="","",IF(tblGauges[[#This Row],[Next due]]="","",tblGauges[[#This Row],[Next due]]-AsOf))</f>
        <v>-33</v>
      </c>
      <c r="M28" s="38" t="str">
        <f>IF(tblGauges[[#This Row],[Gauge ID]]="","",IF(tblGauges[[#This Row],[Status]]&lt;&gt;"In service",tblGauges[[#This Row],[Status]],IF(tblGauges[[#This Row],[Next due]]="","Overdue",IF(AsOf&gt;tblGauges[[#This Row],[Next due]],"Overdue",IF(tblGauges[[#This Row],[Next due]]-AsOf&lt;=DueSoonDays,"Due soon","OK")))))</f>
        <v>Overdue</v>
      </c>
      <c r="N28" s="35">
        <f>IF(tblGauges[[#This Row],[Gauge ID]]="","",COUNTIFS(tblCalibrations[Gauge ID],tblGauges[[#This Row],[Gauge ID]],tblCalibrations[As found],"Out of tolerance"))</f>
        <v>0</v>
      </c>
      <c r="O28"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28" s="28" t="s">
        <v>141</v>
      </c>
    </row>
    <row r="29" spans="2:16">
      <c r="B29" s="28" t="s">
        <v>206</v>
      </c>
      <c r="C29" s="28" t="s">
        <v>207</v>
      </c>
      <c r="D29" s="28" t="s">
        <v>84</v>
      </c>
      <c r="E29" s="28" t="s">
        <v>113</v>
      </c>
      <c r="F29" s="28" t="s">
        <v>139</v>
      </c>
      <c r="G29" s="30">
        <v>180</v>
      </c>
      <c r="H29" s="28" t="s">
        <v>208</v>
      </c>
      <c r="I29" s="35">
        <f>IF(tblGauges[[#This Row],[Gauge ID]]="","",COUNTIFS(tblCalibrations[Gauge ID],tblGauges[[#This Row],[Gauge ID]]))</f>
        <v>2</v>
      </c>
      <c r="J29" s="36">
        <f>IF(tblGauges[[#This Row],[Gauge ID]]="","",IF(tblGauges[[#This Row],[Records]]=0,"",SUMPRODUCT(MAX((tblCalibrations[Gauge ID]=tblGauges[[#This Row],[Gauge ID]])*tblCalibrations[Date calibrated]))))</f>
        <v>45852</v>
      </c>
      <c r="K29" s="36">
        <f>IF(tblGauges[[#This Row],[Gauge ID]]="","",IF(OR(tblGauges[[#This Row],[Last calibrated]]="",tblGauges[[#This Row],[Interval (days)]]=""),"",tblGauges[[#This Row],[Last calibrated]]+tblGauges[[#This Row],[Interval (days)]]))</f>
        <v>46032</v>
      </c>
      <c r="L29" s="37">
        <f>IF(tblGauges[[#This Row],[Gauge ID]]="","",IF(tblGauges[[#This Row],[Next due]]="","",tblGauges[[#This Row],[Next due]]-AsOf))</f>
        <v>-272</v>
      </c>
      <c r="M29" s="38" t="str">
        <f>IF(tblGauges[[#This Row],[Gauge ID]]="","",IF(tblGauges[[#This Row],[Status]]&lt;&gt;"In service",tblGauges[[#This Row],[Status]],IF(tblGauges[[#This Row],[Next due]]="","Overdue",IF(AsOf&gt;tblGauges[[#This Row],[Next due]],"Overdue",IF(tblGauges[[#This Row],[Next due]]-AsOf&lt;=DueSoonDays,"Due soon","OK")))))</f>
        <v>Retired</v>
      </c>
      <c r="N29" s="35">
        <f>IF(tblGauges[[#This Row],[Gauge ID]]="","",COUNTIFS(tblCalibrations[Gauge ID],tblGauges[[#This Row],[Gauge ID]],tblCalibrations[As found],"Out of tolerance"))</f>
        <v>1</v>
      </c>
      <c r="O29" s="39" t="str">
        <f>IF(tblGauges[[#This Row],[Gauge ID]]="","",IF(tblGauges[[#This Row],[Description]]="","Missing description",IF(tblGauges[[#This Row],[Type]]="","Missing type",IF(tblGauges[[#This Row],[Interval (days)]]="","Missing interval",IF(tblGauges[[#This Row],[Status]]="","Missing status",IF(COUNTIF(tblGauges[Gauge ID],tblGauges[[#This Row],[Gauge ID]])&gt;1,"Duplicate gauge ID",IF(COUNTIF(tblGaugeTypes[Type],tblGauges[[#This Row],[Type]])=0,"Type not on Setup list",IF(COUNTIF(tblLocations[Location],tblGauges[[#This Row],[Location]])=0,"Location not on Setup list",IF(AND(tblGauges[[#This Row],[Status]]="In service",tblGauges[[#This Row],[Records]]=0),"No calibration record",IF(AND(ISNUMBER(tblGauges[[#This Row],[Last calibrated]]),tblGauges[[#This Row],[Last calibrated]]&gt;AsOf),"Calibrated after the status date","OK"))))))))))</f>
        <v>OK</v>
      </c>
      <c r="P29" s="28" t="s">
        <v>209</v>
      </c>
    </row>
  </sheetData>
  <mergeCells count="3">
    <mergeCell ref="A1:P1"/>
    <mergeCell ref="B2:O2"/>
    <mergeCell ref="B4:P4"/>
  </mergeCells>
  <conditionalFormatting sqref="M6:M52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O6:O529">
    <cfRule type="expression" dxfId="3" priority="21">
      <formula>$O6="OK"</formula>
    </cfRule>
    <cfRule type="expression" dxfId="1" priority="22">
      <formula>AND($O6&lt;&gt;"",$O6&lt;&gt;"OK")</formula>
    </cfRule>
  </conditionalFormatting>
  <dataValidations count="8">
    <dataValidation type="textLength" allowBlank="1" showInputMessage="1" showErrorMessage="1" errorTitle="Check this entry" error="Text up to 30 characters." promptTitle="Gauge ID" prompt="Your gauge number, as engraved or labelled. Each ID once. Text up to 30 characters." sqref="B6:B529">
      <formula1>0</formula1>
      <formula2>30</formula2>
    </dataValidation>
    <dataValidation type="textLength" allowBlank="1" showInputMessage="1" showErrorMessage="1" errorTitle="Check this entry" error="Text up to 80 characters." promptTitle="Description" prompt="Text up to 80 characters." sqref="C6:C529">
      <formula1>0</formula1>
      <formula2>80</formula2>
    </dataValidation>
    <dataValidation type="list" allowBlank="1" showInputMessage="1" showErrorMessage="1" errorTitle="Check this entry" error="Pick from the list (edit the list on Setup: GaugeTypes)." promptTitle="Type" prompt="Pick from the list (edit the list on Setup: GaugeTypes)." sqref="D6:D529">
      <formula1>GaugeTypes</formula1>
    </dataValidation>
    <dataValidation type="list" allowBlank="1" showInputMessage="1" showErrorMessage="1" errorTitle="Check this entry" error="Pick from the list (edit the list on Setup: Locations)." promptTitle="Location" prompt="Pick from the list (edit the list on Setup: Locations)." sqref="E6:E529">
      <formula1>Locations</formula1>
    </dataValidation>
    <dataValidation type="textLength" allowBlank="1" showInputMessage="1" showErrorMessage="1" errorTitle="Check this entry" error="Text up to 40 characters." promptTitle="Range or size" prompt="Measuring range or nominal size, with its unit (0-150 mm, M8x1.25, 5-25 N m). Text up to 40 characters." sqref="F6:F529">
      <formula1>0</formula1>
      <formula2>40</formula2>
    </dataValidation>
    <dataValidation type="whole" allowBlank="1" showInputMessage="1" showErrorMessage="1" errorTitle="Check this entry" error="Enter a whole number from 1 to 3,650." promptTitle="Interval (days)" prompt="Calendar days between calibrations, from your procedure. Next due = last calibration + interval. Enter a whole number from 1 to 3,650." sqref="G6:G529">
      <formula1>1</formula1>
      <formula2>3650</formula2>
    </dataValidation>
    <dataValidation type="list" allowBlank="1" showInputMessage="1" showErrorMessage="1" errorTitle="Check this entry" error="Pick one of: In service, Out of service, Retired." promptTitle="Status" prompt="In service gauges are recalled; Out of service and Retired gauges are not counted as due. Pick one of: In service, Out of service, Retired." sqref="H6:H529">
      <formula1>"In service,Out of service,Retired"</formula1>
    </dataValidation>
    <dataValidation type="textLength" allowBlank="1" showInputMessage="1" showErrorMessage="1" errorTitle="Check this entry" error="Text up to 255 characters." promptTitle="Notes" prompt="Text up to 255 characters." sqref="P6:P529">
      <formula1>0</formula1>
      <formula2>255</formula2>
    </dataValidation>
  </dataValidations>
  <hyperlinks>
    <hyperlink ref="P2" r:id="rId1" tooltip="Free manufacturing calculators and templates"/>
  </hyperlinks>
  <pageMargins left="0.4" right="0.4" top="0.7" bottom="0.65" header="0.3" footer="0.3"/>
  <pageSetup fitToHeight="0" orientation="landscape"/>
  <headerFooter>
    <oddHeader>&amp;L&amp;8MFG Calcs - Gauge Calibration Log&amp;R&amp;8&amp;A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3B64D8"/>
    <pageSetUpPr fitToPage="1"/>
  </sheetPr>
  <dimension ref="A1:S88"/>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10.7109375" customWidth="1"/>
    <col min="3" max="3" width="12.28515625" customWidth="1"/>
    <col min="4" max="4" width="20.7109375" customWidth="1"/>
    <col min="5" max="5" width="14.28515625" customWidth="1"/>
    <col min="6" max="6" width="10.7109375" customWidth="1"/>
    <col min="7" max="7" width="14.28515625" customWidth="1"/>
    <col min="8" max="8" width="11.28515625" customWidth="1"/>
    <col min="9" max="9" width="13.7109375" customWidth="1"/>
    <col min="10" max="10" width="9.7109375" customWidth="1"/>
    <col min="11" max="11" width="9.28515625" customWidth="1"/>
    <col min="12" max="13" width="12.28515625" customWidth="1"/>
    <col min="14" max="14" width="7.7109375" customWidth="1"/>
    <col min="15" max="15" width="8.28515625" customWidth="1"/>
    <col min="16" max="16" width="7.7109375" customWidth="1"/>
    <col min="17" max="17" width="12.28515625" customWidth="1"/>
    <col min="18" max="18" width="26.7109375" customWidth="1"/>
    <col min="19" max="19" width="34.7109375" customWidth="1"/>
  </cols>
  <sheetData>
    <row r="1" spans="1:19" ht="30" customHeight="1">
      <c r="A1" s="1" t="s">
        <v>0</v>
      </c>
      <c r="B1" s="1"/>
      <c r="C1" s="1"/>
      <c r="D1" s="1"/>
      <c r="E1" s="1"/>
      <c r="F1" s="1"/>
      <c r="G1" s="1"/>
      <c r="H1" s="1"/>
      <c r="I1" s="1"/>
      <c r="J1" s="1"/>
      <c r="K1" s="1"/>
      <c r="L1" s="1"/>
      <c r="M1" s="1"/>
      <c r="N1" s="1"/>
      <c r="O1" s="1"/>
      <c r="P1" s="1"/>
      <c r="Q1" s="1"/>
      <c r="R1" s="1"/>
      <c r="S1" s="1"/>
    </row>
    <row r="2" spans="1:19" ht="21" customHeight="1">
      <c r="B2" s="2" t="s">
        <v>24</v>
      </c>
      <c r="C2" s="2"/>
      <c r="D2" s="2"/>
      <c r="E2" s="2"/>
      <c r="F2" s="2"/>
      <c r="G2" s="2"/>
      <c r="H2" s="2"/>
      <c r="I2" s="2"/>
      <c r="J2" s="2"/>
      <c r="K2" s="2"/>
      <c r="L2" s="2"/>
      <c r="M2" s="2"/>
      <c r="N2" s="2"/>
      <c r="O2" s="2"/>
      <c r="P2" s="2"/>
      <c r="Q2" s="2"/>
      <c r="R2" s="2"/>
      <c r="S2" s="3" t="s">
        <v>2</v>
      </c>
    </row>
    <row r="3" spans="1:19" ht="6" customHeight="1"/>
    <row r="4" spans="1:19" ht="29.76" customHeight="1">
      <c r="B4" s="34" t="s">
        <v>223</v>
      </c>
      <c r="C4" s="34"/>
      <c r="D4" s="34"/>
      <c r="E4" s="34"/>
      <c r="F4" s="34"/>
      <c r="G4" s="34"/>
      <c r="H4" s="34"/>
      <c r="I4" s="34"/>
      <c r="J4" s="34"/>
      <c r="K4" s="34"/>
      <c r="L4" s="34"/>
      <c r="M4" s="34"/>
      <c r="N4" s="34"/>
      <c r="O4" s="34"/>
      <c r="P4" s="34"/>
      <c r="Q4" s="34"/>
      <c r="R4" s="34"/>
      <c r="S4" s="34"/>
    </row>
    <row r="5" spans="1:19" ht="14" customHeight="1">
      <c r="B5" s="40"/>
      <c r="C5" s="40"/>
      <c r="D5" s="40"/>
      <c r="E5" s="40"/>
      <c r="F5" s="40"/>
      <c r="G5" s="40"/>
      <c r="H5" s="40"/>
      <c r="I5" s="40"/>
      <c r="J5" s="40" t="str">
        <f>Currency</f>
        <v>USD</v>
      </c>
      <c r="K5" s="40"/>
      <c r="L5" s="40"/>
      <c r="M5" s="40"/>
      <c r="N5" s="40"/>
      <c r="O5" s="40"/>
      <c r="P5" s="40"/>
      <c r="Q5" s="40"/>
      <c r="R5" s="40"/>
      <c r="S5" s="40"/>
    </row>
    <row r="6" spans="1:19" ht="32" customHeight="1">
      <c r="B6" s="33" t="s">
        <v>124</v>
      </c>
      <c r="C6" s="33" t="s">
        <v>210</v>
      </c>
      <c r="D6" s="33" t="s">
        <v>67</v>
      </c>
      <c r="E6" s="33" t="s">
        <v>211</v>
      </c>
      <c r="F6" s="33" t="s">
        <v>212</v>
      </c>
      <c r="G6" s="33" t="s">
        <v>213</v>
      </c>
      <c r="H6" s="33" t="s">
        <v>214</v>
      </c>
      <c r="I6" s="33" t="s">
        <v>215</v>
      </c>
      <c r="J6" s="33" t="s">
        <v>216</v>
      </c>
      <c r="K6" s="33" t="s">
        <v>127</v>
      </c>
      <c r="L6" s="33" t="s">
        <v>217</v>
      </c>
      <c r="M6" s="33" t="s">
        <v>218</v>
      </c>
      <c r="N6" s="33" t="s">
        <v>219</v>
      </c>
      <c r="O6" s="33" t="s">
        <v>220</v>
      </c>
      <c r="P6" s="33" t="s">
        <v>221</v>
      </c>
      <c r="Q6" s="33" t="s">
        <v>222</v>
      </c>
      <c r="R6" s="33" t="s">
        <v>135</v>
      </c>
      <c r="S6" s="33" t="s">
        <v>65</v>
      </c>
    </row>
    <row r="7" spans="1:19">
      <c r="B7" s="28" t="s">
        <v>182</v>
      </c>
      <c r="C7" s="29">
        <v>45664</v>
      </c>
      <c r="D7" s="28" t="s">
        <v>122</v>
      </c>
      <c r="E7" s="28" t="s">
        <v>224</v>
      </c>
      <c r="F7" s="28" t="s">
        <v>225</v>
      </c>
      <c r="G7" s="28" t="s">
        <v>224</v>
      </c>
      <c r="H7" s="28" t="s">
        <v>226</v>
      </c>
      <c r="I7" s="28" t="s">
        <v>227</v>
      </c>
      <c r="J7" s="41">
        <v>214</v>
      </c>
      <c r="K7" s="35">
        <f>IF(tblCalibrations[[#This Row],[Gauge ID]]="","",IFERROR(INDEX(tblGauges[Interval (days)],MATCH(tblCalibrations[[#This Row],[Gauge ID]],tblGauges[Gauge ID],0)),""))</f>
        <v>90</v>
      </c>
      <c r="L7"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7" s="36">
        <f>IF(tblCalibrations[[#This Row],[Gauge ID]]="","",IF(OR(tblCalibrations[[#This Row],[Previous calibration]]="",tblCalibrations[[#This Row],[Interval (days)]]=""),"",tblCalibrations[[#This Row],[Previous calibration]]+tblCalibrations[[#This Row],[Interval (days)]]))</f>
        <v/>
      </c>
      <c r="N7" s="35">
        <f>IF(tblCalibrations[[#This Row],[Gauge ID]]="","",IF(tblCalibrations[[#This Row],[Due date]]="","",MAX(0,tblCalibrations[[#This Row],[Date calibrated]]-tblCalibrations[[#This Row],[Due date]])))</f>
        <v/>
      </c>
      <c r="O7" s="38">
        <f>IF(tblCalibrations[[#This Row],[Gauge ID]]="","",IF(tblCalibrations[[#This Row],[Due date]]="","",IF(tblCalibrations[[#This Row],[Date calibrated]]&lt;=tblCalibrations[[#This Row],[Due date]],"Yes","No")))</f>
        <v/>
      </c>
      <c r="P7" s="35">
        <f>IF(tblCalibrations[[#This Row],[Gauge ID]]="","",IF(tblCalibrations[[#This Row],[As found]]="Out of tolerance",1,0))</f>
        <v>0</v>
      </c>
      <c r="Q7" s="36">
        <f>IF(tblCalibrations[[#This Row],[Gauge ID]]="","",IF(AND(tblCalibrations[[#This Row],[Date calibrated]]&gt;=FFrom,tblCalibrations[[#This Row],[Date calibrated]]&lt;=FTo),tblCalibrations[[#This Row],[Date calibrated]],""))</f>
        <v>45664</v>
      </c>
      <c r="R7"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7" s="42" t="s">
        <v>141</v>
      </c>
    </row>
    <row r="8" spans="1:19">
      <c r="B8" s="28" t="s">
        <v>185</v>
      </c>
      <c r="C8" s="29">
        <v>45670</v>
      </c>
      <c r="D8" s="28" t="s">
        <v>122</v>
      </c>
      <c r="E8" s="28" t="s">
        <v>224</v>
      </c>
      <c r="F8" s="28" t="s">
        <v>225</v>
      </c>
      <c r="G8" s="28" t="s">
        <v>224</v>
      </c>
      <c r="H8" s="28" t="s">
        <v>226</v>
      </c>
      <c r="I8" s="28" t="s">
        <v>228</v>
      </c>
      <c r="J8" s="41">
        <v>117</v>
      </c>
      <c r="K8" s="35">
        <f>IF(tblCalibrations[[#This Row],[Gauge ID]]="","",IFERROR(INDEX(tblGauges[Interval (days)],MATCH(tblCalibrations[[#This Row],[Gauge ID]],tblGauges[Gauge ID],0)),""))</f>
        <v>90</v>
      </c>
      <c r="L8"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8" s="36">
        <f>IF(tblCalibrations[[#This Row],[Gauge ID]]="","",IF(OR(tblCalibrations[[#This Row],[Previous calibration]]="",tblCalibrations[[#This Row],[Interval (days)]]=""),"",tblCalibrations[[#This Row],[Previous calibration]]+tblCalibrations[[#This Row],[Interval (days)]]))</f>
        <v/>
      </c>
      <c r="N8" s="35">
        <f>IF(tblCalibrations[[#This Row],[Gauge ID]]="","",IF(tblCalibrations[[#This Row],[Due date]]="","",MAX(0,tblCalibrations[[#This Row],[Date calibrated]]-tblCalibrations[[#This Row],[Due date]])))</f>
        <v/>
      </c>
      <c r="O8" s="38">
        <f>IF(tblCalibrations[[#This Row],[Gauge ID]]="","",IF(tblCalibrations[[#This Row],[Due date]]="","",IF(tblCalibrations[[#This Row],[Date calibrated]]&lt;=tblCalibrations[[#This Row],[Due date]],"Yes","No")))</f>
        <v/>
      </c>
      <c r="P8" s="35">
        <f>IF(tblCalibrations[[#This Row],[Gauge ID]]="","",IF(tblCalibrations[[#This Row],[As found]]="Out of tolerance",1,0))</f>
        <v>0</v>
      </c>
      <c r="Q8" s="36">
        <f>IF(tblCalibrations[[#This Row],[Gauge ID]]="","",IF(AND(tblCalibrations[[#This Row],[Date calibrated]]&gt;=FFrom,tblCalibrations[[#This Row],[Date calibrated]]&lt;=FTo),tblCalibrations[[#This Row],[Date calibrated]],""))</f>
        <v>45670</v>
      </c>
      <c r="R8"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8" s="42" t="s">
        <v>141</v>
      </c>
    </row>
    <row r="9" spans="1:19">
      <c r="B9" s="28" t="s">
        <v>206</v>
      </c>
      <c r="C9" s="29">
        <v>45673</v>
      </c>
      <c r="D9" s="28" t="s">
        <v>116</v>
      </c>
      <c r="E9" s="28" t="s">
        <v>224</v>
      </c>
      <c r="F9" s="28" t="s">
        <v>225</v>
      </c>
      <c r="G9" s="28" t="s">
        <v>224</v>
      </c>
      <c r="H9" s="28" t="s">
        <v>226</v>
      </c>
      <c r="I9" s="28" t="s">
        <v>229</v>
      </c>
      <c r="J9" s="41">
        <v>50</v>
      </c>
      <c r="K9" s="35">
        <f>IF(tblCalibrations[[#This Row],[Gauge ID]]="","",IFERROR(INDEX(tblGauges[Interval (days)],MATCH(tblCalibrations[[#This Row],[Gauge ID]],tblGauges[Gauge ID],0)),""))</f>
        <v>180</v>
      </c>
      <c r="L9"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9" s="36">
        <f>IF(tblCalibrations[[#This Row],[Gauge ID]]="","",IF(OR(tblCalibrations[[#This Row],[Previous calibration]]="",tblCalibrations[[#This Row],[Interval (days)]]=""),"",tblCalibrations[[#This Row],[Previous calibration]]+tblCalibrations[[#This Row],[Interval (days)]]))</f>
        <v/>
      </c>
      <c r="N9" s="35">
        <f>IF(tblCalibrations[[#This Row],[Gauge ID]]="","",IF(tblCalibrations[[#This Row],[Due date]]="","",MAX(0,tblCalibrations[[#This Row],[Date calibrated]]-tblCalibrations[[#This Row],[Due date]])))</f>
        <v/>
      </c>
      <c r="O9" s="38">
        <f>IF(tblCalibrations[[#This Row],[Gauge ID]]="","",IF(tblCalibrations[[#This Row],[Due date]]="","",IF(tblCalibrations[[#This Row],[Date calibrated]]&lt;=tblCalibrations[[#This Row],[Due date]],"Yes","No")))</f>
        <v/>
      </c>
      <c r="P9" s="35">
        <f>IF(tblCalibrations[[#This Row],[Gauge ID]]="","",IF(tblCalibrations[[#This Row],[As found]]="Out of tolerance",1,0))</f>
        <v>0</v>
      </c>
      <c r="Q9" s="36">
        <f>IF(tblCalibrations[[#This Row],[Gauge ID]]="","",IF(AND(tblCalibrations[[#This Row],[Date calibrated]]&gt;=FFrom,tblCalibrations[[#This Row],[Date calibrated]]&lt;=FTo),tblCalibrations[[#This Row],[Date calibrated]],""))</f>
        <v>45673</v>
      </c>
      <c r="R9"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9" s="42" t="s">
        <v>141</v>
      </c>
    </row>
    <row r="10" spans="1:19">
      <c r="B10" s="28" t="s">
        <v>188</v>
      </c>
      <c r="C10" s="29">
        <v>45695</v>
      </c>
      <c r="D10" s="28" t="s">
        <v>122</v>
      </c>
      <c r="E10" s="28" t="s">
        <v>224</v>
      </c>
      <c r="F10" s="28" t="s">
        <v>225</v>
      </c>
      <c r="G10" s="28" t="s">
        <v>224</v>
      </c>
      <c r="H10" s="28" t="s">
        <v>226</v>
      </c>
      <c r="I10" s="28" t="s">
        <v>230</v>
      </c>
      <c r="J10" s="41">
        <v>117</v>
      </c>
      <c r="K10" s="35">
        <f>IF(tblCalibrations[[#This Row],[Gauge ID]]="","",IFERROR(INDEX(tblGauges[Interval (days)],MATCH(tblCalibrations[[#This Row],[Gauge ID]],tblGauges[Gauge ID],0)),""))</f>
        <v>90</v>
      </c>
      <c r="L10"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10" s="36">
        <f>IF(tblCalibrations[[#This Row],[Gauge ID]]="","",IF(OR(tblCalibrations[[#This Row],[Previous calibration]]="",tblCalibrations[[#This Row],[Interval (days)]]=""),"",tblCalibrations[[#This Row],[Previous calibration]]+tblCalibrations[[#This Row],[Interval (days)]]))</f>
        <v/>
      </c>
      <c r="N10" s="35">
        <f>IF(tblCalibrations[[#This Row],[Gauge ID]]="","",IF(tblCalibrations[[#This Row],[Due date]]="","",MAX(0,tblCalibrations[[#This Row],[Date calibrated]]-tblCalibrations[[#This Row],[Due date]])))</f>
        <v/>
      </c>
      <c r="O10" s="38">
        <f>IF(tblCalibrations[[#This Row],[Gauge ID]]="","",IF(tblCalibrations[[#This Row],[Due date]]="","",IF(tblCalibrations[[#This Row],[Date calibrated]]&lt;=tblCalibrations[[#This Row],[Due date]],"Yes","No")))</f>
        <v/>
      </c>
      <c r="P10" s="35">
        <f>IF(tblCalibrations[[#This Row],[Gauge ID]]="","",IF(tblCalibrations[[#This Row],[As found]]="Out of tolerance",1,0))</f>
        <v>0</v>
      </c>
      <c r="Q10" s="36">
        <f>IF(tblCalibrations[[#This Row],[Gauge ID]]="","",IF(AND(tblCalibrations[[#This Row],[Date calibrated]]&gt;=FFrom,tblCalibrations[[#This Row],[Date calibrated]]&lt;=FTo),tblCalibrations[[#This Row],[Date calibrated]],""))</f>
        <v>45695</v>
      </c>
      <c r="R10"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10" s="42" t="s">
        <v>141</v>
      </c>
    </row>
    <row r="11" spans="1:19">
      <c r="B11" s="28" t="s">
        <v>162</v>
      </c>
      <c r="C11" s="29">
        <v>45698</v>
      </c>
      <c r="D11" s="28" t="s">
        <v>119</v>
      </c>
      <c r="E11" s="28" t="s">
        <v>224</v>
      </c>
      <c r="F11" s="28" t="s">
        <v>225</v>
      </c>
      <c r="G11" s="28" t="s">
        <v>224</v>
      </c>
      <c r="H11" s="28" t="s">
        <v>226</v>
      </c>
      <c r="I11" s="28" t="s">
        <v>231</v>
      </c>
      <c r="J11" s="41">
        <v>168</v>
      </c>
      <c r="K11" s="35">
        <f>IF(tblCalibrations[[#This Row],[Gauge ID]]="","",IFERROR(INDEX(tblGauges[Interval (days)],MATCH(tblCalibrations[[#This Row],[Gauge ID]],tblGauges[Gauge ID],0)),""))</f>
        <v>365</v>
      </c>
      <c r="L11"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11" s="36">
        <f>IF(tblCalibrations[[#This Row],[Gauge ID]]="","",IF(OR(tblCalibrations[[#This Row],[Previous calibration]]="",tblCalibrations[[#This Row],[Interval (days)]]=""),"",tblCalibrations[[#This Row],[Previous calibration]]+tblCalibrations[[#This Row],[Interval (days)]]))</f>
        <v/>
      </c>
      <c r="N11" s="35">
        <f>IF(tblCalibrations[[#This Row],[Gauge ID]]="","",IF(tblCalibrations[[#This Row],[Due date]]="","",MAX(0,tblCalibrations[[#This Row],[Date calibrated]]-tblCalibrations[[#This Row],[Due date]])))</f>
        <v/>
      </c>
      <c r="O11" s="38">
        <f>IF(tblCalibrations[[#This Row],[Gauge ID]]="","",IF(tblCalibrations[[#This Row],[Due date]]="","",IF(tblCalibrations[[#This Row],[Date calibrated]]&lt;=tblCalibrations[[#This Row],[Due date]],"Yes","No")))</f>
        <v/>
      </c>
      <c r="P11" s="35">
        <f>IF(tblCalibrations[[#This Row],[Gauge ID]]="","",IF(tblCalibrations[[#This Row],[As found]]="Out of tolerance",1,0))</f>
        <v>0</v>
      </c>
      <c r="Q11" s="36">
        <f>IF(tblCalibrations[[#This Row],[Gauge ID]]="","",IF(AND(tblCalibrations[[#This Row],[Date calibrated]]&gt;=FFrom,tblCalibrations[[#This Row],[Date calibrated]]&lt;=FTo),tblCalibrations[[#This Row],[Date calibrated]],""))</f>
        <v>45698</v>
      </c>
      <c r="R11"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11" s="42" t="s">
        <v>141</v>
      </c>
    </row>
    <row r="12" spans="1:19">
      <c r="B12" s="28" t="s">
        <v>164</v>
      </c>
      <c r="C12" s="29">
        <v>45701</v>
      </c>
      <c r="D12" s="28" t="s">
        <v>116</v>
      </c>
      <c r="E12" s="28" t="s">
        <v>224</v>
      </c>
      <c r="F12" s="28" t="s">
        <v>225</v>
      </c>
      <c r="G12" s="28" t="s">
        <v>224</v>
      </c>
      <c r="H12" s="28" t="s">
        <v>226</v>
      </c>
      <c r="I12" s="28" t="s">
        <v>232</v>
      </c>
      <c r="J12" s="41">
        <v>42</v>
      </c>
      <c r="K12" s="35">
        <f>IF(tblCalibrations[[#This Row],[Gauge ID]]="","",IFERROR(INDEX(tblGauges[Interval (days)],MATCH(tblCalibrations[[#This Row],[Gauge ID]],tblGauges[Gauge ID],0)),""))</f>
        <v>180</v>
      </c>
      <c r="L12"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12" s="36">
        <f>IF(tblCalibrations[[#This Row],[Gauge ID]]="","",IF(OR(tblCalibrations[[#This Row],[Previous calibration]]="",tblCalibrations[[#This Row],[Interval (days)]]=""),"",tblCalibrations[[#This Row],[Previous calibration]]+tblCalibrations[[#This Row],[Interval (days)]]))</f>
        <v/>
      </c>
      <c r="N12" s="35">
        <f>IF(tblCalibrations[[#This Row],[Gauge ID]]="","",IF(tblCalibrations[[#This Row],[Due date]]="","",MAX(0,tblCalibrations[[#This Row],[Date calibrated]]-tblCalibrations[[#This Row],[Due date]])))</f>
        <v/>
      </c>
      <c r="O12" s="38">
        <f>IF(tblCalibrations[[#This Row],[Gauge ID]]="","",IF(tblCalibrations[[#This Row],[Due date]]="","",IF(tblCalibrations[[#This Row],[Date calibrated]]&lt;=tblCalibrations[[#This Row],[Due date]],"Yes","No")))</f>
        <v/>
      </c>
      <c r="P12" s="35">
        <f>IF(tblCalibrations[[#This Row],[Gauge ID]]="","",IF(tblCalibrations[[#This Row],[As found]]="Out of tolerance",1,0))</f>
        <v>0</v>
      </c>
      <c r="Q12" s="36">
        <f>IF(tblCalibrations[[#This Row],[Gauge ID]]="","",IF(AND(tblCalibrations[[#This Row],[Date calibrated]]&gt;=FFrom,tblCalibrations[[#This Row],[Date calibrated]]&lt;=FTo),tblCalibrations[[#This Row],[Date calibrated]],""))</f>
        <v>45701</v>
      </c>
      <c r="R12"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12" s="42" t="s">
        <v>141</v>
      </c>
    </row>
    <row r="13" spans="1:19">
      <c r="B13" s="28" t="s">
        <v>149</v>
      </c>
      <c r="C13" s="29">
        <v>45707</v>
      </c>
      <c r="D13" s="28" t="s">
        <v>116</v>
      </c>
      <c r="E13" s="28" t="s">
        <v>224</v>
      </c>
      <c r="F13" s="28" t="s">
        <v>225</v>
      </c>
      <c r="G13" s="28" t="s">
        <v>224</v>
      </c>
      <c r="H13" s="28" t="s">
        <v>226</v>
      </c>
      <c r="I13" s="28" t="s">
        <v>233</v>
      </c>
      <c r="J13" s="41">
        <v>44</v>
      </c>
      <c r="K13" s="35">
        <f>IF(tblCalibrations[[#This Row],[Gauge ID]]="","",IFERROR(INDEX(tblGauges[Interval (days)],MATCH(tblCalibrations[[#This Row],[Gauge ID]],tblGauges[Gauge ID],0)),""))</f>
        <v>365</v>
      </c>
      <c r="L13"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13" s="36">
        <f>IF(tblCalibrations[[#This Row],[Gauge ID]]="","",IF(OR(tblCalibrations[[#This Row],[Previous calibration]]="",tblCalibrations[[#This Row],[Interval (days)]]=""),"",tblCalibrations[[#This Row],[Previous calibration]]+tblCalibrations[[#This Row],[Interval (days)]]))</f>
        <v/>
      </c>
      <c r="N13" s="35">
        <f>IF(tblCalibrations[[#This Row],[Gauge ID]]="","",IF(tblCalibrations[[#This Row],[Due date]]="","",MAX(0,tblCalibrations[[#This Row],[Date calibrated]]-tblCalibrations[[#This Row],[Due date]])))</f>
        <v/>
      </c>
      <c r="O13" s="38">
        <f>IF(tblCalibrations[[#This Row],[Gauge ID]]="","",IF(tblCalibrations[[#This Row],[Due date]]="","",IF(tblCalibrations[[#This Row],[Date calibrated]]&lt;=tblCalibrations[[#This Row],[Due date]],"Yes","No")))</f>
        <v/>
      </c>
      <c r="P13" s="35">
        <f>IF(tblCalibrations[[#This Row],[Gauge ID]]="","",IF(tblCalibrations[[#This Row],[As found]]="Out of tolerance",1,0))</f>
        <v>0</v>
      </c>
      <c r="Q13" s="36">
        <f>IF(tblCalibrations[[#This Row],[Gauge ID]]="","",IF(AND(tblCalibrations[[#This Row],[Date calibrated]]&gt;=FFrom,tblCalibrations[[#This Row],[Date calibrated]]&lt;=FTo),tblCalibrations[[#This Row],[Date calibrated]],""))</f>
        <v>45707</v>
      </c>
      <c r="R13"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13" s="42" t="s">
        <v>141</v>
      </c>
    </row>
    <row r="14" spans="1:19">
      <c r="B14" s="28" t="s">
        <v>137</v>
      </c>
      <c r="C14" s="29">
        <v>45714</v>
      </c>
      <c r="D14" s="28" t="s">
        <v>116</v>
      </c>
      <c r="E14" s="28" t="s">
        <v>224</v>
      </c>
      <c r="F14" s="28" t="s">
        <v>225</v>
      </c>
      <c r="G14" s="28" t="s">
        <v>224</v>
      </c>
      <c r="H14" s="28" t="s">
        <v>226</v>
      </c>
      <c r="I14" s="28" t="s">
        <v>234</v>
      </c>
      <c r="J14" s="41">
        <v>35</v>
      </c>
      <c r="K14" s="35">
        <f>IF(tblCalibrations[[#This Row],[Gauge ID]]="","",IFERROR(INDEX(tblGauges[Interval (days)],MATCH(tblCalibrations[[#This Row],[Gauge ID]],tblGauges[Gauge ID],0)),""))</f>
        <v>180</v>
      </c>
      <c r="L14"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14" s="36">
        <f>IF(tblCalibrations[[#This Row],[Gauge ID]]="","",IF(OR(tblCalibrations[[#This Row],[Previous calibration]]="",tblCalibrations[[#This Row],[Interval (days)]]=""),"",tblCalibrations[[#This Row],[Previous calibration]]+tblCalibrations[[#This Row],[Interval (days)]]))</f>
        <v/>
      </c>
      <c r="N14" s="35">
        <f>IF(tblCalibrations[[#This Row],[Gauge ID]]="","",IF(tblCalibrations[[#This Row],[Due date]]="","",MAX(0,tblCalibrations[[#This Row],[Date calibrated]]-tblCalibrations[[#This Row],[Due date]])))</f>
        <v/>
      </c>
      <c r="O14" s="38">
        <f>IF(tblCalibrations[[#This Row],[Gauge ID]]="","",IF(tblCalibrations[[#This Row],[Due date]]="","",IF(tblCalibrations[[#This Row],[Date calibrated]]&lt;=tblCalibrations[[#This Row],[Due date]],"Yes","No")))</f>
        <v/>
      </c>
      <c r="P14" s="35">
        <f>IF(tblCalibrations[[#This Row],[Gauge ID]]="","",IF(tblCalibrations[[#This Row],[As found]]="Out of tolerance",1,0))</f>
        <v>0</v>
      </c>
      <c r="Q14" s="36">
        <f>IF(tblCalibrations[[#This Row],[Gauge ID]]="","",IF(AND(tblCalibrations[[#This Row],[Date calibrated]]&gt;=FFrom,tblCalibrations[[#This Row],[Date calibrated]]&lt;=FTo),tblCalibrations[[#This Row],[Date calibrated]],""))</f>
        <v>45714</v>
      </c>
      <c r="R14"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14" s="42" t="s">
        <v>141</v>
      </c>
    </row>
    <row r="15" spans="1:19">
      <c r="B15" s="28" t="s">
        <v>176</v>
      </c>
      <c r="C15" s="29">
        <v>45721</v>
      </c>
      <c r="D15" s="28" t="s">
        <v>119</v>
      </c>
      <c r="E15" s="28" t="s">
        <v>224</v>
      </c>
      <c r="F15" s="28" t="s">
        <v>225</v>
      </c>
      <c r="G15" s="28" t="s">
        <v>224</v>
      </c>
      <c r="H15" s="28" t="s">
        <v>226</v>
      </c>
      <c r="I15" s="28" t="s">
        <v>235</v>
      </c>
      <c r="J15" s="41">
        <v>86</v>
      </c>
      <c r="K15" s="35">
        <f>IF(tblCalibrations[[#This Row],[Gauge ID]]="","",IFERROR(INDEX(tblGauges[Interval (days)],MATCH(tblCalibrations[[#This Row],[Gauge ID]],tblGauges[Gauge ID],0)),""))</f>
        <v>180</v>
      </c>
      <c r="L15"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15" s="36">
        <f>IF(tblCalibrations[[#This Row],[Gauge ID]]="","",IF(OR(tblCalibrations[[#This Row],[Previous calibration]]="",tblCalibrations[[#This Row],[Interval (days)]]=""),"",tblCalibrations[[#This Row],[Previous calibration]]+tblCalibrations[[#This Row],[Interval (days)]]))</f>
        <v/>
      </c>
      <c r="N15" s="35">
        <f>IF(tblCalibrations[[#This Row],[Gauge ID]]="","",IF(tblCalibrations[[#This Row],[Due date]]="","",MAX(0,tblCalibrations[[#This Row],[Date calibrated]]-tblCalibrations[[#This Row],[Due date]])))</f>
        <v/>
      </c>
      <c r="O15" s="38">
        <f>IF(tblCalibrations[[#This Row],[Gauge ID]]="","",IF(tblCalibrations[[#This Row],[Due date]]="","",IF(tblCalibrations[[#This Row],[Date calibrated]]&lt;=tblCalibrations[[#This Row],[Due date]],"Yes","No")))</f>
        <v/>
      </c>
      <c r="P15" s="35">
        <f>IF(tblCalibrations[[#This Row],[Gauge ID]]="","",IF(tblCalibrations[[#This Row],[As found]]="Out of tolerance",1,0))</f>
        <v>0</v>
      </c>
      <c r="Q15" s="36">
        <f>IF(tblCalibrations[[#This Row],[Gauge ID]]="","",IF(AND(tblCalibrations[[#This Row],[Date calibrated]]&gt;=FFrom,tblCalibrations[[#This Row],[Date calibrated]]&lt;=FTo),tblCalibrations[[#This Row],[Date calibrated]],""))</f>
        <v>45721</v>
      </c>
      <c r="R15"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15" s="42" t="s">
        <v>141</v>
      </c>
    </row>
    <row r="16" spans="1:19">
      <c r="B16" s="28" t="s">
        <v>155</v>
      </c>
      <c r="C16" s="29">
        <v>45723</v>
      </c>
      <c r="D16" s="28" t="s">
        <v>116</v>
      </c>
      <c r="E16" s="28" t="s">
        <v>224</v>
      </c>
      <c r="F16" s="28" t="s">
        <v>225</v>
      </c>
      <c r="G16" s="28" t="s">
        <v>224</v>
      </c>
      <c r="H16" s="28" t="s">
        <v>226</v>
      </c>
      <c r="I16" s="28" t="s">
        <v>236</v>
      </c>
      <c r="J16" s="41">
        <v>51</v>
      </c>
      <c r="K16" s="35">
        <f>IF(tblCalibrations[[#This Row],[Gauge ID]]="","",IFERROR(INDEX(tblGauges[Interval (days)],MATCH(tblCalibrations[[#This Row],[Gauge ID]],tblGauges[Gauge ID],0)),""))</f>
        <v>365</v>
      </c>
      <c r="L16"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16" s="36">
        <f>IF(tblCalibrations[[#This Row],[Gauge ID]]="","",IF(OR(tblCalibrations[[#This Row],[Previous calibration]]="",tblCalibrations[[#This Row],[Interval (days)]]=""),"",tblCalibrations[[#This Row],[Previous calibration]]+tblCalibrations[[#This Row],[Interval (days)]]))</f>
        <v/>
      </c>
      <c r="N16" s="35">
        <f>IF(tblCalibrations[[#This Row],[Gauge ID]]="","",IF(tblCalibrations[[#This Row],[Due date]]="","",MAX(0,tblCalibrations[[#This Row],[Date calibrated]]-tblCalibrations[[#This Row],[Due date]])))</f>
        <v/>
      </c>
      <c r="O16" s="38">
        <f>IF(tblCalibrations[[#This Row],[Gauge ID]]="","",IF(tblCalibrations[[#This Row],[Due date]]="","",IF(tblCalibrations[[#This Row],[Date calibrated]]&lt;=tblCalibrations[[#This Row],[Due date]],"Yes","No")))</f>
        <v/>
      </c>
      <c r="P16" s="35">
        <f>IF(tblCalibrations[[#This Row],[Gauge ID]]="","",IF(tblCalibrations[[#This Row],[As found]]="Out of tolerance",1,0))</f>
        <v>0</v>
      </c>
      <c r="Q16" s="36">
        <f>IF(tblCalibrations[[#This Row],[Gauge ID]]="","",IF(AND(tblCalibrations[[#This Row],[Date calibrated]]&gt;=FFrom,tblCalibrations[[#This Row],[Date calibrated]]&lt;=FTo),tblCalibrations[[#This Row],[Date calibrated]],""))</f>
        <v>45723</v>
      </c>
      <c r="R16"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16" s="42" t="s">
        <v>141</v>
      </c>
    </row>
    <row r="17" spans="2:19">
      <c r="B17" s="28" t="s">
        <v>142</v>
      </c>
      <c r="C17" s="29">
        <v>45740</v>
      </c>
      <c r="D17" s="28" t="s">
        <v>116</v>
      </c>
      <c r="E17" s="28" t="s">
        <v>224</v>
      </c>
      <c r="F17" s="28" t="s">
        <v>225</v>
      </c>
      <c r="G17" s="28" t="s">
        <v>224</v>
      </c>
      <c r="H17" s="28" t="s">
        <v>226</v>
      </c>
      <c r="I17" s="28" t="s">
        <v>237</v>
      </c>
      <c r="J17" s="41">
        <v>42</v>
      </c>
      <c r="K17" s="35">
        <f>IF(tblCalibrations[[#This Row],[Gauge ID]]="","",IFERROR(INDEX(tblGauges[Interval (days)],MATCH(tblCalibrations[[#This Row],[Gauge ID]],tblGauges[Gauge ID],0)),""))</f>
        <v>180</v>
      </c>
      <c r="L17"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17" s="36">
        <f>IF(tblCalibrations[[#This Row],[Gauge ID]]="","",IF(OR(tblCalibrations[[#This Row],[Previous calibration]]="",tblCalibrations[[#This Row],[Interval (days)]]=""),"",tblCalibrations[[#This Row],[Previous calibration]]+tblCalibrations[[#This Row],[Interval (days)]]))</f>
        <v/>
      </c>
      <c r="N17" s="35">
        <f>IF(tblCalibrations[[#This Row],[Gauge ID]]="","",IF(tblCalibrations[[#This Row],[Due date]]="","",MAX(0,tblCalibrations[[#This Row],[Date calibrated]]-tblCalibrations[[#This Row],[Due date]])))</f>
        <v/>
      </c>
      <c r="O17" s="38">
        <f>IF(tblCalibrations[[#This Row],[Gauge ID]]="","",IF(tblCalibrations[[#This Row],[Due date]]="","",IF(tblCalibrations[[#This Row],[Date calibrated]]&lt;=tblCalibrations[[#This Row],[Due date]],"Yes","No")))</f>
        <v/>
      </c>
      <c r="P17" s="35">
        <f>IF(tblCalibrations[[#This Row],[Gauge ID]]="","",IF(tblCalibrations[[#This Row],[As found]]="Out of tolerance",1,0))</f>
        <v>0</v>
      </c>
      <c r="Q17" s="36">
        <f>IF(tblCalibrations[[#This Row],[Gauge ID]]="","",IF(AND(tblCalibrations[[#This Row],[Date calibrated]]&gt;=FFrom,tblCalibrations[[#This Row],[Date calibrated]]&lt;=FTo),tblCalibrations[[#This Row],[Date calibrated]],""))</f>
        <v>45740</v>
      </c>
      <c r="R17"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17" s="42" t="s">
        <v>141</v>
      </c>
    </row>
    <row r="18" spans="2:19">
      <c r="B18" s="28" t="s">
        <v>152</v>
      </c>
      <c r="C18" s="29">
        <v>45740</v>
      </c>
      <c r="D18" s="28" t="s">
        <v>116</v>
      </c>
      <c r="E18" s="28" t="s">
        <v>224</v>
      </c>
      <c r="F18" s="28" t="s">
        <v>225</v>
      </c>
      <c r="G18" s="28" t="s">
        <v>224</v>
      </c>
      <c r="H18" s="28" t="s">
        <v>226</v>
      </c>
      <c r="I18" s="28" t="s">
        <v>238</v>
      </c>
      <c r="J18" s="41">
        <v>32</v>
      </c>
      <c r="K18" s="35">
        <f>IF(tblCalibrations[[#This Row],[Gauge ID]]="","",IFERROR(INDEX(tblGauges[Interval (days)],MATCH(tblCalibrations[[#This Row],[Gauge ID]],tblGauges[Gauge ID],0)),""))</f>
        <v>365</v>
      </c>
      <c r="L18"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18" s="36">
        <f>IF(tblCalibrations[[#This Row],[Gauge ID]]="","",IF(OR(tblCalibrations[[#This Row],[Previous calibration]]="",tblCalibrations[[#This Row],[Interval (days)]]=""),"",tblCalibrations[[#This Row],[Previous calibration]]+tblCalibrations[[#This Row],[Interval (days)]]))</f>
        <v/>
      </c>
      <c r="N18" s="35">
        <f>IF(tblCalibrations[[#This Row],[Gauge ID]]="","",IF(tblCalibrations[[#This Row],[Due date]]="","",MAX(0,tblCalibrations[[#This Row],[Date calibrated]]-tblCalibrations[[#This Row],[Due date]])))</f>
        <v/>
      </c>
      <c r="O18" s="38">
        <f>IF(tblCalibrations[[#This Row],[Gauge ID]]="","",IF(tblCalibrations[[#This Row],[Due date]]="","",IF(tblCalibrations[[#This Row],[Date calibrated]]&lt;=tblCalibrations[[#This Row],[Due date]],"Yes","No")))</f>
        <v/>
      </c>
      <c r="P18" s="35">
        <f>IF(tblCalibrations[[#This Row],[Gauge ID]]="","",IF(tblCalibrations[[#This Row],[As found]]="Out of tolerance",1,0))</f>
        <v>0</v>
      </c>
      <c r="Q18" s="36">
        <f>IF(tblCalibrations[[#This Row],[Gauge ID]]="","",IF(AND(tblCalibrations[[#This Row],[Date calibrated]]&gt;=FFrom,tblCalibrations[[#This Row],[Date calibrated]]&lt;=FTo),tblCalibrations[[#This Row],[Date calibrated]],""))</f>
        <v>45740</v>
      </c>
      <c r="R18"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18" s="42" t="s">
        <v>141</v>
      </c>
    </row>
    <row r="19" spans="2:19">
      <c r="B19" s="28" t="s">
        <v>182</v>
      </c>
      <c r="C19" s="29">
        <v>45747</v>
      </c>
      <c r="D19" s="28" t="s">
        <v>122</v>
      </c>
      <c r="E19" s="28" t="s">
        <v>224</v>
      </c>
      <c r="F19" s="28" t="s">
        <v>225</v>
      </c>
      <c r="G19" s="28" t="s">
        <v>224</v>
      </c>
      <c r="H19" s="28" t="s">
        <v>226</v>
      </c>
      <c r="I19" s="28" t="s">
        <v>239</v>
      </c>
      <c r="J19" s="41">
        <v>223</v>
      </c>
      <c r="K19" s="35">
        <f>IF(tblCalibrations[[#This Row],[Gauge ID]]="","",IFERROR(INDEX(tblGauges[Interval (days)],MATCH(tblCalibrations[[#This Row],[Gauge ID]],tblGauges[Gauge ID],0)),""))</f>
        <v>90</v>
      </c>
      <c r="L19"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45664</v>
      </c>
      <c r="M19" s="36">
        <f>IF(tblCalibrations[[#This Row],[Gauge ID]]="","",IF(OR(tblCalibrations[[#This Row],[Previous calibration]]="",tblCalibrations[[#This Row],[Interval (days)]]=""),"",tblCalibrations[[#This Row],[Previous calibration]]+tblCalibrations[[#This Row],[Interval (days)]]))</f>
        <v>45754</v>
      </c>
      <c r="N19" s="35">
        <f>IF(tblCalibrations[[#This Row],[Gauge ID]]="","",IF(tblCalibrations[[#This Row],[Due date]]="","",MAX(0,tblCalibrations[[#This Row],[Date calibrated]]-tblCalibrations[[#This Row],[Due date]])))</f>
        <v>0</v>
      </c>
      <c r="O19" s="38" t="str">
        <f>IF(tblCalibrations[[#This Row],[Gauge ID]]="","",IF(tblCalibrations[[#This Row],[Due date]]="","",IF(tblCalibrations[[#This Row],[Date calibrated]]&lt;=tblCalibrations[[#This Row],[Due date]],"Yes","No")))</f>
        <v>Yes</v>
      </c>
      <c r="P19" s="35">
        <f>IF(tblCalibrations[[#This Row],[Gauge ID]]="","",IF(tblCalibrations[[#This Row],[As found]]="Out of tolerance",1,0))</f>
        <v>0</v>
      </c>
      <c r="Q19" s="36">
        <f>IF(tblCalibrations[[#This Row],[Gauge ID]]="","",IF(AND(tblCalibrations[[#This Row],[Date calibrated]]&gt;=FFrom,tblCalibrations[[#This Row],[Date calibrated]]&lt;=FTo),tblCalibrations[[#This Row],[Date calibrated]],""))</f>
        <v>45747</v>
      </c>
      <c r="R19"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19" s="42" t="s">
        <v>141</v>
      </c>
    </row>
    <row r="20" spans="2:19">
      <c r="B20" s="28" t="s">
        <v>200</v>
      </c>
      <c r="C20" s="29">
        <v>45748</v>
      </c>
      <c r="D20" s="28" t="s">
        <v>122</v>
      </c>
      <c r="E20" s="28" t="s">
        <v>224</v>
      </c>
      <c r="F20" s="28" t="s">
        <v>225</v>
      </c>
      <c r="G20" s="28" t="s">
        <v>224</v>
      </c>
      <c r="H20" s="28" t="s">
        <v>226</v>
      </c>
      <c r="I20" s="28" t="s">
        <v>240</v>
      </c>
      <c r="J20" s="41">
        <v>175</v>
      </c>
      <c r="K20" s="35">
        <f>IF(tblCalibrations[[#This Row],[Gauge ID]]="","",IFERROR(INDEX(tblGauges[Interval (days)],MATCH(tblCalibrations[[#This Row],[Gauge ID]],tblGauges[Gauge ID],0)),""))</f>
        <v>180</v>
      </c>
      <c r="L20"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20" s="36">
        <f>IF(tblCalibrations[[#This Row],[Gauge ID]]="","",IF(OR(tblCalibrations[[#This Row],[Previous calibration]]="",tblCalibrations[[#This Row],[Interval (days)]]=""),"",tblCalibrations[[#This Row],[Previous calibration]]+tblCalibrations[[#This Row],[Interval (days)]]))</f>
        <v/>
      </c>
      <c r="N20" s="35">
        <f>IF(tblCalibrations[[#This Row],[Gauge ID]]="","",IF(tblCalibrations[[#This Row],[Due date]]="","",MAX(0,tblCalibrations[[#This Row],[Date calibrated]]-tblCalibrations[[#This Row],[Due date]])))</f>
        <v/>
      </c>
      <c r="O20" s="38">
        <f>IF(tblCalibrations[[#This Row],[Gauge ID]]="","",IF(tblCalibrations[[#This Row],[Due date]]="","",IF(tblCalibrations[[#This Row],[Date calibrated]]&lt;=tblCalibrations[[#This Row],[Due date]],"Yes","No")))</f>
        <v/>
      </c>
      <c r="P20" s="35">
        <f>IF(tblCalibrations[[#This Row],[Gauge ID]]="","",IF(tblCalibrations[[#This Row],[As found]]="Out of tolerance",1,0))</f>
        <v>0</v>
      </c>
      <c r="Q20" s="36">
        <f>IF(tblCalibrations[[#This Row],[Gauge ID]]="","",IF(AND(tblCalibrations[[#This Row],[Date calibrated]]&gt;=FFrom,tblCalibrations[[#This Row],[Date calibrated]]&lt;=FTo),tblCalibrations[[#This Row],[Date calibrated]],""))</f>
        <v>45748</v>
      </c>
      <c r="R20"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20" s="42" t="s">
        <v>141</v>
      </c>
    </row>
    <row r="21" spans="2:19">
      <c r="B21" s="28" t="s">
        <v>143</v>
      </c>
      <c r="C21" s="29">
        <v>45749</v>
      </c>
      <c r="D21" s="28" t="s">
        <v>116</v>
      </c>
      <c r="E21" s="28" t="s">
        <v>224</v>
      </c>
      <c r="F21" s="28" t="s">
        <v>225</v>
      </c>
      <c r="G21" s="28" t="s">
        <v>224</v>
      </c>
      <c r="H21" s="28" t="s">
        <v>226</v>
      </c>
      <c r="I21" s="28" t="s">
        <v>241</v>
      </c>
      <c r="J21" s="41">
        <v>45</v>
      </c>
      <c r="K21" s="35">
        <f>IF(tblCalibrations[[#This Row],[Gauge ID]]="","",IFERROR(INDEX(tblGauges[Interval (days)],MATCH(tblCalibrations[[#This Row],[Gauge ID]],tblGauges[Gauge ID],0)),""))</f>
        <v>180</v>
      </c>
      <c r="L21"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21" s="36">
        <f>IF(tblCalibrations[[#This Row],[Gauge ID]]="","",IF(OR(tblCalibrations[[#This Row],[Previous calibration]]="",tblCalibrations[[#This Row],[Interval (days)]]=""),"",tblCalibrations[[#This Row],[Previous calibration]]+tblCalibrations[[#This Row],[Interval (days)]]))</f>
        <v/>
      </c>
      <c r="N21" s="35">
        <f>IF(tblCalibrations[[#This Row],[Gauge ID]]="","",IF(tblCalibrations[[#This Row],[Due date]]="","",MAX(0,tblCalibrations[[#This Row],[Date calibrated]]-tblCalibrations[[#This Row],[Due date]])))</f>
        <v/>
      </c>
      <c r="O21" s="38">
        <f>IF(tblCalibrations[[#This Row],[Gauge ID]]="","",IF(tblCalibrations[[#This Row],[Due date]]="","",IF(tblCalibrations[[#This Row],[Date calibrated]]&lt;=tblCalibrations[[#This Row],[Due date]],"Yes","No")))</f>
        <v/>
      </c>
      <c r="P21" s="35">
        <f>IF(tblCalibrations[[#This Row],[Gauge ID]]="","",IF(tblCalibrations[[#This Row],[As found]]="Out of tolerance",1,0))</f>
        <v>0</v>
      </c>
      <c r="Q21" s="36">
        <f>IF(tblCalibrations[[#This Row],[Gauge ID]]="","",IF(AND(tblCalibrations[[#This Row],[Date calibrated]]&gt;=FFrom,tblCalibrations[[#This Row],[Date calibrated]]&lt;=FTo),tblCalibrations[[#This Row],[Date calibrated]],""))</f>
        <v>45749</v>
      </c>
      <c r="R21"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21" s="42" t="s">
        <v>141</v>
      </c>
    </row>
    <row r="22" spans="2:19">
      <c r="B22" s="28" t="s">
        <v>185</v>
      </c>
      <c r="C22" s="29">
        <v>45749</v>
      </c>
      <c r="D22" s="28" t="s">
        <v>122</v>
      </c>
      <c r="E22" s="28" t="s">
        <v>224</v>
      </c>
      <c r="F22" s="28" t="s">
        <v>225</v>
      </c>
      <c r="G22" s="28" t="s">
        <v>224</v>
      </c>
      <c r="H22" s="28" t="s">
        <v>226</v>
      </c>
      <c r="I22" s="28" t="s">
        <v>242</v>
      </c>
      <c r="J22" s="41">
        <v>202</v>
      </c>
      <c r="K22" s="35">
        <f>IF(tblCalibrations[[#This Row],[Gauge ID]]="","",IFERROR(INDEX(tblGauges[Interval (days)],MATCH(tblCalibrations[[#This Row],[Gauge ID]],tblGauges[Gauge ID],0)),""))</f>
        <v>90</v>
      </c>
      <c r="L22"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45670</v>
      </c>
      <c r="M22" s="36">
        <f>IF(tblCalibrations[[#This Row],[Gauge ID]]="","",IF(OR(tblCalibrations[[#This Row],[Previous calibration]]="",tblCalibrations[[#This Row],[Interval (days)]]=""),"",tblCalibrations[[#This Row],[Previous calibration]]+tblCalibrations[[#This Row],[Interval (days)]]))</f>
        <v>45760</v>
      </c>
      <c r="N22" s="35">
        <f>IF(tblCalibrations[[#This Row],[Gauge ID]]="","",IF(tblCalibrations[[#This Row],[Due date]]="","",MAX(0,tblCalibrations[[#This Row],[Date calibrated]]-tblCalibrations[[#This Row],[Due date]])))</f>
        <v>0</v>
      </c>
      <c r="O22" s="38" t="str">
        <f>IF(tblCalibrations[[#This Row],[Gauge ID]]="","",IF(tblCalibrations[[#This Row],[Due date]]="","",IF(tblCalibrations[[#This Row],[Date calibrated]]&lt;=tblCalibrations[[#This Row],[Due date]],"Yes","No")))</f>
        <v>Yes</v>
      </c>
      <c r="P22" s="35">
        <f>IF(tblCalibrations[[#This Row],[Gauge ID]]="","",IF(tblCalibrations[[#This Row],[As found]]="Out of tolerance",1,0))</f>
        <v>0</v>
      </c>
      <c r="Q22" s="36">
        <f>IF(tblCalibrations[[#This Row],[Gauge ID]]="","",IF(AND(tblCalibrations[[#This Row],[Date calibrated]]&gt;=FFrom,tblCalibrations[[#This Row],[Date calibrated]]&lt;=FTo),tblCalibrations[[#This Row],[Date calibrated]],""))</f>
        <v>45749</v>
      </c>
      <c r="R22"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22" s="42" t="s">
        <v>141</v>
      </c>
    </row>
    <row r="23" spans="2:19">
      <c r="B23" s="28" t="s">
        <v>158</v>
      </c>
      <c r="C23" s="29">
        <v>45754</v>
      </c>
      <c r="D23" s="28" t="s">
        <v>116</v>
      </c>
      <c r="E23" s="28" t="s">
        <v>224</v>
      </c>
      <c r="F23" s="28" t="s">
        <v>225</v>
      </c>
      <c r="G23" s="28" t="s">
        <v>224</v>
      </c>
      <c r="H23" s="28" t="s">
        <v>226</v>
      </c>
      <c r="I23" s="28" t="s">
        <v>243</v>
      </c>
      <c r="J23" s="41">
        <v>43</v>
      </c>
      <c r="K23" s="35">
        <f>IF(tblCalibrations[[#This Row],[Gauge ID]]="","",IFERROR(INDEX(tblGauges[Interval (days)],MATCH(tblCalibrations[[#This Row],[Gauge ID]],tblGauges[Gauge ID],0)),""))</f>
        <v>365</v>
      </c>
      <c r="L23"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23" s="36">
        <f>IF(tblCalibrations[[#This Row],[Gauge ID]]="","",IF(OR(tblCalibrations[[#This Row],[Previous calibration]]="",tblCalibrations[[#This Row],[Interval (days)]]=""),"",tblCalibrations[[#This Row],[Previous calibration]]+tblCalibrations[[#This Row],[Interval (days)]]))</f>
        <v/>
      </c>
      <c r="N23" s="35">
        <f>IF(tblCalibrations[[#This Row],[Gauge ID]]="","",IF(tblCalibrations[[#This Row],[Due date]]="","",MAX(0,tblCalibrations[[#This Row],[Date calibrated]]-tblCalibrations[[#This Row],[Due date]])))</f>
        <v/>
      </c>
      <c r="O23" s="38">
        <f>IF(tblCalibrations[[#This Row],[Gauge ID]]="","",IF(tblCalibrations[[#This Row],[Due date]]="","",IF(tblCalibrations[[#This Row],[Date calibrated]]&lt;=tblCalibrations[[#This Row],[Due date]],"Yes","No")))</f>
        <v/>
      </c>
      <c r="P23" s="35">
        <f>IF(tblCalibrations[[#This Row],[Gauge ID]]="","",IF(tblCalibrations[[#This Row],[As found]]="Out of tolerance",1,0))</f>
        <v>0</v>
      </c>
      <c r="Q23" s="36">
        <f>IF(tblCalibrations[[#This Row],[Gauge ID]]="","",IF(AND(tblCalibrations[[#This Row],[Date calibrated]]&gt;=FFrom,tblCalibrations[[#This Row],[Date calibrated]]&lt;=FTo),tblCalibrations[[#This Row],[Date calibrated]],""))</f>
        <v>45754</v>
      </c>
      <c r="R23"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23" s="42" t="s">
        <v>141</v>
      </c>
    </row>
    <row r="24" spans="2:19">
      <c r="B24" s="28" t="s">
        <v>179</v>
      </c>
      <c r="C24" s="29">
        <v>45763</v>
      </c>
      <c r="D24" s="28" t="s">
        <v>119</v>
      </c>
      <c r="E24" s="28" t="s">
        <v>224</v>
      </c>
      <c r="F24" s="28" t="s">
        <v>225</v>
      </c>
      <c r="G24" s="28" t="s">
        <v>224</v>
      </c>
      <c r="H24" s="28" t="s">
        <v>226</v>
      </c>
      <c r="I24" s="28" t="s">
        <v>244</v>
      </c>
      <c r="J24" s="41">
        <v>186</v>
      </c>
      <c r="K24" s="35">
        <f>IF(tblCalibrations[[#This Row],[Gauge ID]]="","",IFERROR(INDEX(tblGauges[Interval (days)],MATCH(tblCalibrations[[#This Row],[Gauge ID]],tblGauges[Gauge ID],0)),""))</f>
        <v>180</v>
      </c>
      <c r="L24"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24" s="36">
        <f>IF(tblCalibrations[[#This Row],[Gauge ID]]="","",IF(OR(tblCalibrations[[#This Row],[Previous calibration]]="",tblCalibrations[[#This Row],[Interval (days)]]=""),"",tblCalibrations[[#This Row],[Previous calibration]]+tblCalibrations[[#This Row],[Interval (days)]]))</f>
        <v/>
      </c>
      <c r="N24" s="35">
        <f>IF(tblCalibrations[[#This Row],[Gauge ID]]="","",IF(tblCalibrations[[#This Row],[Due date]]="","",MAX(0,tblCalibrations[[#This Row],[Date calibrated]]-tblCalibrations[[#This Row],[Due date]])))</f>
        <v/>
      </c>
      <c r="O24" s="38">
        <f>IF(tblCalibrations[[#This Row],[Gauge ID]]="","",IF(tblCalibrations[[#This Row],[Due date]]="","",IF(tblCalibrations[[#This Row],[Date calibrated]]&lt;=tblCalibrations[[#This Row],[Due date]],"Yes","No")))</f>
        <v/>
      </c>
      <c r="P24" s="35">
        <f>IF(tblCalibrations[[#This Row],[Gauge ID]]="","",IF(tblCalibrations[[#This Row],[As found]]="Out of tolerance",1,0))</f>
        <v>0</v>
      </c>
      <c r="Q24" s="36">
        <f>IF(tblCalibrations[[#This Row],[Gauge ID]]="","",IF(AND(tblCalibrations[[#This Row],[Date calibrated]]&gt;=FFrom,tblCalibrations[[#This Row],[Date calibrated]]&lt;=FTo),tblCalibrations[[#This Row],[Date calibrated]],""))</f>
        <v>45763</v>
      </c>
      <c r="R24"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24" s="42" t="s">
        <v>141</v>
      </c>
    </row>
    <row r="25" spans="2:19">
      <c r="B25" s="28" t="s">
        <v>146</v>
      </c>
      <c r="C25" s="29">
        <v>45769</v>
      </c>
      <c r="D25" s="28" t="s">
        <v>116</v>
      </c>
      <c r="E25" s="28" t="s">
        <v>224</v>
      </c>
      <c r="F25" s="28" t="s">
        <v>225</v>
      </c>
      <c r="G25" s="28" t="s">
        <v>224</v>
      </c>
      <c r="H25" s="28" t="s">
        <v>226</v>
      </c>
      <c r="I25" s="28" t="s">
        <v>245</v>
      </c>
      <c r="J25" s="41">
        <v>28</v>
      </c>
      <c r="K25" s="35">
        <f>IF(tblCalibrations[[#This Row],[Gauge ID]]="","",IFERROR(INDEX(tblGauges[Interval (days)],MATCH(tblCalibrations[[#This Row],[Gauge ID]],tblGauges[Gauge ID],0)),""))</f>
        <v>180</v>
      </c>
      <c r="L25"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25" s="36">
        <f>IF(tblCalibrations[[#This Row],[Gauge ID]]="","",IF(OR(tblCalibrations[[#This Row],[Previous calibration]]="",tblCalibrations[[#This Row],[Interval (days)]]=""),"",tblCalibrations[[#This Row],[Previous calibration]]+tblCalibrations[[#This Row],[Interval (days)]]))</f>
        <v/>
      </c>
      <c r="N25" s="35">
        <f>IF(tblCalibrations[[#This Row],[Gauge ID]]="","",IF(tblCalibrations[[#This Row],[Due date]]="","",MAX(0,tblCalibrations[[#This Row],[Date calibrated]]-tblCalibrations[[#This Row],[Due date]])))</f>
        <v/>
      </c>
      <c r="O25" s="38">
        <f>IF(tblCalibrations[[#This Row],[Gauge ID]]="","",IF(tblCalibrations[[#This Row],[Due date]]="","",IF(tblCalibrations[[#This Row],[Date calibrated]]&lt;=tblCalibrations[[#This Row],[Due date]],"Yes","No")))</f>
        <v/>
      </c>
      <c r="P25" s="35">
        <f>IF(tblCalibrations[[#This Row],[Gauge ID]]="","",IF(tblCalibrations[[#This Row],[As found]]="Out of tolerance",1,0))</f>
        <v>0</v>
      </c>
      <c r="Q25" s="36">
        <f>IF(tblCalibrations[[#This Row],[Gauge ID]]="","",IF(AND(tblCalibrations[[#This Row],[Date calibrated]]&gt;=FFrom,tblCalibrations[[#This Row],[Date calibrated]]&lt;=FTo),tblCalibrations[[#This Row],[Date calibrated]],""))</f>
        <v>45769</v>
      </c>
      <c r="R25"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25" s="42" t="s">
        <v>141</v>
      </c>
    </row>
    <row r="26" spans="2:19">
      <c r="B26" s="28" t="s">
        <v>203</v>
      </c>
      <c r="C26" s="29">
        <v>45770</v>
      </c>
      <c r="D26" s="28" t="s">
        <v>122</v>
      </c>
      <c r="E26" s="28" t="s">
        <v>224</v>
      </c>
      <c r="F26" s="28" t="s">
        <v>225</v>
      </c>
      <c r="G26" s="28" t="s">
        <v>224</v>
      </c>
      <c r="H26" s="28" t="s">
        <v>226</v>
      </c>
      <c r="I26" s="28" t="s">
        <v>246</v>
      </c>
      <c r="J26" s="41">
        <v>194</v>
      </c>
      <c r="K26" s="35">
        <f>IF(tblCalibrations[[#This Row],[Gauge ID]]="","",IFERROR(INDEX(tblGauges[Interval (days)],MATCH(tblCalibrations[[#This Row],[Gauge ID]],tblGauges[Gauge ID],0)),""))</f>
        <v>180</v>
      </c>
      <c r="L26"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26" s="36">
        <f>IF(tblCalibrations[[#This Row],[Gauge ID]]="","",IF(OR(tblCalibrations[[#This Row],[Previous calibration]]="",tblCalibrations[[#This Row],[Interval (days)]]=""),"",tblCalibrations[[#This Row],[Previous calibration]]+tblCalibrations[[#This Row],[Interval (days)]]))</f>
        <v/>
      </c>
      <c r="N26" s="35">
        <f>IF(tblCalibrations[[#This Row],[Gauge ID]]="","",IF(tblCalibrations[[#This Row],[Due date]]="","",MAX(0,tblCalibrations[[#This Row],[Date calibrated]]-tblCalibrations[[#This Row],[Due date]])))</f>
        <v/>
      </c>
      <c r="O26" s="38">
        <f>IF(tblCalibrations[[#This Row],[Gauge ID]]="","",IF(tblCalibrations[[#This Row],[Due date]]="","",IF(tblCalibrations[[#This Row],[Date calibrated]]&lt;=tblCalibrations[[#This Row],[Due date]],"Yes","No")))</f>
        <v/>
      </c>
      <c r="P26" s="35">
        <f>IF(tblCalibrations[[#This Row],[Gauge ID]]="","",IF(tblCalibrations[[#This Row],[As found]]="Out of tolerance",1,0))</f>
        <v>0</v>
      </c>
      <c r="Q26" s="36">
        <f>IF(tblCalibrations[[#This Row],[Gauge ID]]="","",IF(AND(tblCalibrations[[#This Row],[Date calibrated]]&gt;=FFrom,tblCalibrations[[#This Row],[Date calibrated]]&lt;=FTo),tblCalibrations[[#This Row],[Date calibrated]],""))</f>
        <v>45770</v>
      </c>
      <c r="R26"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26" s="42" t="s">
        <v>141</v>
      </c>
    </row>
    <row r="27" spans="2:19">
      <c r="B27" s="28" t="s">
        <v>197</v>
      </c>
      <c r="C27" s="29">
        <v>45775</v>
      </c>
      <c r="D27" s="28" t="s">
        <v>119</v>
      </c>
      <c r="E27" s="28" t="s">
        <v>224</v>
      </c>
      <c r="F27" s="28" t="s">
        <v>225</v>
      </c>
      <c r="G27" s="28" t="s">
        <v>224</v>
      </c>
      <c r="H27" s="28" t="s">
        <v>226</v>
      </c>
      <c r="I27" s="28" t="s">
        <v>247</v>
      </c>
      <c r="J27" s="41">
        <v>1450</v>
      </c>
      <c r="K27" s="35">
        <f>IF(tblCalibrations[[#This Row],[Gauge ID]]="","",IFERROR(INDEX(tblGauges[Interval (days)],MATCH(tblCalibrations[[#This Row],[Gauge ID]],tblGauges[Gauge ID],0)),""))</f>
        <v>365</v>
      </c>
      <c r="L27"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27" s="36">
        <f>IF(tblCalibrations[[#This Row],[Gauge ID]]="","",IF(OR(tblCalibrations[[#This Row],[Previous calibration]]="",tblCalibrations[[#This Row],[Interval (days)]]=""),"",tblCalibrations[[#This Row],[Previous calibration]]+tblCalibrations[[#This Row],[Interval (days)]]))</f>
        <v/>
      </c>
      <c r="N27" s="35">
        <f>IF(tblCalibrations[[#This Row],[Gauge ID]]="","",IF(tblCalibrations[[#This Row],[Due date]]="","",MAX(0,tblCalibrations[[#This Row],[Date calibrated]]-tblCalibrations[[#This Row],[Due date]])))</f>
        <v/>
      </c>
      <c r="O27" s="38">
        <f>IF(tblCalibrations[[#This Row],[Gauge ID]]="","",IF(tblCalibrations[[#This Row],[Due date]]="","",IF(tblCalibrations[[#This Row],[Date calibrated]]&lt;=tblCalibrations[[#This Row],[Due date]],"Yes","No")))</f>
        <v/>
      </c>
      <c r="P27" s="35">
        <f>IF(tblCalibrations[[#This Row],[Gauge ID]]="","",IF(tblCalibrations[[#This Row],[As found]]="Out of tolerance",1,0))</f>
        <v>0</v>
      </c>
      <c r="Q27" s="36">
        <f>IF(tblCalibrations[[#This Row],[Gauge ID]]="","",IF(AND(tblCalibrations[[#This Row],[Date calibrated]]&gt;=FFrom,tblCalibrations[[#This Row],[Date calibrated]]&lt;=FTo),tblCalibrations[[#This Row],[Date calibrated]],""))</f>
        <v>45775</v>
      </c>
      <c r="R27"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27" s="42" t="s">
        <v>141</v>
      </c>
    </row>
    <row r="28" spans="2:19">
      <c r="B28" s="28" t="s">
        <v>194</v>
      </c>
      <c r="C28" s="29">
        <v>45775</v>
      </c>
      <c r="D28" s="28" t="s">
        <v>116</v>
      </c>
      <c r="E28" s="28" t="s">
        <v>224</v>
      </c>
      <c r="F28" s="28" t="s">
        <v>225</v>
      </c>
      <c r="G28" s="28" t="s">
        <v>224</v>
      </c>
      <c r="H28" s="28" t="s">
        <v>226</v>
      </c>
      <c r="I28" s="28" t="s">
        <v>248</v>
      </c>
      <c r="J28" s="41">
        <v>38</v>
      </c>
      <c r="K28" s="35">
        <f>IF(tblCalibrations[[#This Row],[Gauge ID]]="","",IFERROR(INDEX(tblGauges[Interval (days)],MATCH(tblCalibrations[[#This Row],[Gauge ID]],tblGauges[Gauge ID],0)),""))</f>
        <v>365</v>
      </c>
      <c r="L28"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28" s="36">
        <f>IF(tblCalibrations[[#This Row],[Gauge ID]]="","",IF(OR(tblCalibrations[[#This Row],[Previous calibration]]="",tblCalibrations[[#This Row],[Interval (days)]]=""),"",tblCalibrations[[#This Row],[Previous calibration]]+tblCalibrations[[#This Row],[Interval (days)]]))</f>
        <v/>
      </c>
      <c r="N28" s="35">
        <f>IF(tblCalibrations[[#This Row],[Gauge ID]]="","",IF(tblCalibrations[[#This Row],[Due date]]="","",MAX(0,tblCalibrations[[#This Row],[Date calibrated]]-tblCalibrations[[#This Row],[Due date]])))</f>
        <v/>
      </c>
      <c r="O28" s="38">
        <f>IF(tblCalibrations[[#This Row],[Gauge ID]]="","",IF(tblCalibrations[[#This Row],[Due date]]="","",IF(tblCalibrations[[#This Row],[Date calibrated]]&lt;=tblCalibrations[[#This Row],[Due date]],"Yes","No")))</f>
        <v/>
      </c>
      <c r="P28" s="35">
        <f>IF(tblCalibrations[[#This Row],[Gauge ID]]="","",IF(tblCalibrations[[#This Row],[As found]]="Out of tolerance",1,0))</f>
        <v>0</v>
      </c>
      <c r="Q28" s="36">
        <f>IF(tblCalibrations[[#This Row],[Gauge ID]]="","",IF(AND(tblCalibrations[[#This Row],[Date calibrated]]&gt;=FFrom,tblCalibrations[[#This Row],[Date calibrated]]&lt;=FTo),tblCalibrations[[#This Row],[Date calibrated]],""))</f>
        <v>45775</v>
      </c>
      <c r="R28"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28" s="42" t="s">
        <v>141</v>
      </c>
    </row>
    <row r="29" spans="2:19">
      <c r="B29" s="28" t="s">
        <v>191</v>
      </c>
      <c r="C29" s="29">
        <v>45782</v>
      </c>
      <c r="D29" s="28" t="s">
        <v>116</v>
      </c>
      <c r="E29" s="28" t="s">
        <v>224</v>
      </c>
      <c r="F29" s="28" t="s">
        <v>225</v>
      </c>
      <c r="G29" s="28" t="s">
        <v>224</v>
      </c>
      <c r="H29" s="28" t="s">
        <v>226</v>
      </c>
      <c r="I29" s="28" t="s">
        <v>249</v>
      </c>
      <c r="J29" s="41">
        <v>46</v>
      </c>
      <c r="K29" s="35">
        <f>IF(tblCalibrations[[#This Row],[Gauge ID]]="","",IFERROR(INDEX(tblGauges[Interval (days)],MATCH(tblCalibrations[[#This Row],[Gauge ID]],tblGauges[Gauge ID],0)),""))</f>
        <v>365</v>
      </c>
      <c r="L29"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29" s="36">
        <f>IF(tblCalibrations[[#This Row],[Gauge ID]]="","",IF(OR(tblCalibrations[[#This Row],[Previous calibration]]="",tblCalibrations[[#This Row],[Interval (days)]]=""),"",tblCalibrations[[#This Row],[Previous calibration]]+tblCalibrations[[#This Row],[Interval (days)]]))</f>
        <v/>
      </c>
      <c r="N29" s="35">
        <f>IF(tblCalibrations[[#This Row],[Gauge ID]]="","",IF(tblCalibrations[[#This Row],[Due date]]="","",MAX(0,tblCalibrations[[#This Row],[Date calibrated]]-tblCalibrations[[#This Row],[Due date]])))</f>
        <v/>
      </c>
      <c r="O29" s="38">
        <f>IF(tblCalibrations[[#This Row],[Gauge ID]]="","",IF(tblCalibrations[[#This Row],[Due date]]="","",IF(tblCalibrations[[#This Row],[Date calibrated]]&lt;=tblCalibrations[[#This Row],[Due date]],"Yes","No")))</f>
        <v/>
      </c>
      <c r="P29" s="35">
        <f>IF(tblCalibrations[[#This Row],[Gauge ID]]="","",IF(tblCalibrations[[#This Row],[As found]]="Out of tolerance",1,0))</f>
        <v>0</v>
      </c>
      <c r="Q29" s="36">
        <f>IF(tblCalibrations[[#This Row],[Gauge ID]]="","",IF(AND(tblCalibrations[[#This Row],[Date calibrated]]&gt;=FFrom,tblCalibrations[[#This Row],[Date calibrated]]&lt;=FTo),tblCalibrations[[#This Row],[Date calibrated]],""))</f>
        <v>45782</v>
      </c>
      <c r="R29"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29" s="42" t="s">
        <v>141</v>
      </c>
    </row>
    <row r="30" spans="2:19">
      <c r="B30" s="28" t="s">
        <v>188</v>
      </c>
      <c r="C30" s="29">
        <v>45784</v>
      </c>
      <c r="D30" s="28" t="s">
        <v>122</v>
      </c>
      <c r="E30" s="28" t="s">
        <v>224</v>
      </c>
      <c r="F30" s="28" t="s">
        <v>225</v>
      </c>
      <c r="G30" s="28" t="s">
        <v>224</v>
      </c>
      <c r="H30" s="28" t="s">
        <v>226</v>
      </c>
      <c r="I30" s="28" t="s">
        <v>250</v>
      </c>
      <c r="J30" s="41">
        <v>234</v>
      </c>
      <c r="K30" s="35">
        <f>IF(tblCalibrations[[#This Row],[Gauge ID]]="","",IFERROR(INDEX(tblGauges[Interval (days)],MATCH(tblCalibrations[[#This Row],[Gauge ID]],tblGauges[Gauge ID],0)),""))</f>
        <v>90</v>
      </c>
      <c r="L30"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45695</v>
      </c>
      <c r="M30" s="36">
        <f>IF(tblCalibrations[[#This Row],[Gauge ID]]="","",IF(OR(tblCalibrations[[#This Row],[Previous calibration]]="",tblCalibrations[[#This Row],[Interval (days)]]=""),"",tblCalibrations[[#This Row],[Previous calibration]]+tblCalibrations[[#This Row],[Interval (days)]]))</f>
        <v>45785</v>
      </c>
      <c r="N30" s="35">
        <f>IF(tblCalibrations[[#This Row],[Gauge ID]]="","",IF(tblCalibrations[[#This Row],[Due date]]="","",MAX(0,tblCalibrations[[#This Row],[Date calibrated]]-tblCalibrations[[#This Row],[Due date]])))</f>
        <v>0</v>
      </c>
      <c r="O30" s="38" t="str">
        <f>IF(tblCalibrations[[#This Row],[Gauge ID]]="","",IF(tblCalibrations[[#This Row],[Due date]]="","",IF(tblCalibrations[[#This Row],[Date calibrated]]&lt;=tblCalibrations[[#This Row],[Due date]],"Yes","No")))</f>
        <v>Yes</v>
      </c>
      <c r="P30" s="35">
        <f>IF(tblCalibrations[[#This Row],[Gauge ID]]="","",IF(tblCalibrations[[#This Row],[As found]]="Out of tolerance",1,0))</f>
        <v>0</v>
      </c>
      <c r="Q30" s="36">
        <f>IF(tblCalibrations[[#This Row],[Gauge ID]]="","",IF(AND(tblCalibrations[[#This Row],[Date calibrated]]&gt;=FFrom,tblCalibrations[[#This Row],[Date calibrated]]&lt;=FTo),tblCalibrations[[#This Row],[Date calibrated]],""))</f>
        <v>45784</v>
      </c>
      <c r="R30"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30" s="42" t="s">
        <v>141</v>
      </c>
    </row>
    <row r="31" spans="2:19">
      <c r="B31" s="28" t="s">
        <v>173</v>
      </c>
      <c r="C31" s="29">
        <v>45785</v>
      </c>
      <c r="D31" s="28" t="s">
        <v>116</v>
      </c>
      <c r="E31" s="28" t="s">
        <v>224</v>
      </c>
      <c r="F31" s="28" t="s">
        <v>225</v>
      </c>
      <c r="G31" s="28" t="s">
        <v>224</v>
      </c>
      <c r="H31" s="28" t="s">
        <v>226</v>
      </c>
      <c r="I31" s="28" t="s">
        <v>251</v>
      </c>
      <c r="J31" s="41">
        <v>38</v>
      </c>
      <c r="K31" s="35">
        <f>IF(tblCalibrations[[#This Row],[Gauge ID]]="","",IFERROR(INDEX(tblGauges[Interval (days)],MATCH(tblCalibrations[[#This Row],[Gauge ID]],tblGauges[Gauge ID],0)),""))</f>
        <v>180</v>
      </c>
      <c r="L31"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31" s="36">
        <f>IF(tblCalibrations[[#This Row],[Gauge ID]]="","",IF(OR(tblCalibrations[[#This Row],[Previous calibration]]="",tblCalibrations[[#This Row],[Interval (days)]]=""),"",tblCalibrations[[#This Row],[Previous calibration]]+tblCalibrations[[#This Row],[Interval (days)]]))</f>
        <v/>
      </c>
      <c r="N31" s="35">
        <f>IF(tblCalibrations[[#This Row],[Gauge ID]]="","",IF(tblCalibrations[[#This Row],[Due date]]="","",MAX(0,tblCalibrations[[#This Row],[Date calibrated]]-tblCalibrations[[#This Row],[Due date]])))</f>
        <v/>
      </c>
      <c r="O31" s="38">
        <f>IF(tblCalibrations[[#This Row],[Gauge ID]]="","",IF(tblCalibrations[[#This Row],[Due date]]="","",IF(tblCalibrations[[#This Row],[Date calibrated]]&lt;=tblCalibrations[[#This Row],[Due date]],"Yes","No")))</f>
        <v/>
      </c>
      <c r="P31" s="35">
        <f>IF(tblCalibrations[[#This Row],[Gauge ID]]="","",IF(tblCalibrations[[#This Row],[As found]]="Out of tolerance",1,0))</f>
        <v>0</v>
      </c>
      <c r="Q31" s="36">
        <f>IF(tblCalibrations[[#This Row],[Gauge ID]]="","",IF(AND(tblCalibrations[[#This Row],[Date calibrated]]&gt;=FFrom,tblCalibrations[[#This Row],[Date calibrated]]&lt;=FTo),tblCalibrations[[#This Row],[Date calibrated]],""))</f>
        <v>45785</v>
      </c>
      <c r="R31"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31" s="42" t="s">
        <v>141</v>
      </c>
    </row>
    <row r="32" spans="2:19">
      <c r="B32" s="28" t="s">
        <v>170</v>
      </c>
      <c r="C32" s="29">
        <v>45789</v>
      </c>
      <c r="D32" s="28" t="s">
        <v>119</v>
      </c>
      <c r="E32" s="28" t="s">
        <v>224</v>
      </c>
      <c r="F32" s="28" t="s">
        <v>225</v>
      </c>
      <c r="G32" s="28" t="s">
        <v>224</v>
      </c>
      <c r="H32" s="28" t="s">
        <v>226</v>
      </c>
      <c r="I32" s="28" t="s">
        <v>252</v>
      </c>
      <c r="J32" s="41">
        <v>145</v>
      </c>
      <c r="K32" s="35">
        <f>IF(tblCalibrations[[#This Row],[Gauge ID]]="","",IFERROR(INDEX(tblGauges[Interval (days)],MATCH(tblCalibrations[[#This Row],[Gauge ID]],tblGauges[Gauge ID],0)),""))</f>
        <v>365</v>
      </c>
      <c r="L32"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32" s="36">
        <f>IF(tblCalibrations[[#This Row],[Gauge ID]]="","",IF(OR(tblCalibrations[[#This Row],[Previous calibration]]="",tblCalibrations[[#This Row],[Interval (days)]]=""),"",tblCalibrations[[#This Row],[Previous calibration]]+tblCalibrations[[#This Row],[Interval (days)]]))</f>
        <v/>
      </c>
      <c r="N32" s="35">
        <f>IF(tblCalibrations[[#This Row],[Gauge ID]]="","",IF(tblCalibrations[[#This Row],[Due date]]="","",MAX(0,tblCalibrations[[#This Row],[Date calibrated]]-tblCalibrations[[#This Row],[Due date]])))</f>
        <v/>
      </c>
      <c r="O32" s="38">
        <f>IF(tblCalibrations[[#This Row],[Gauge ID]]="","",IF(tblCalibrations[[#This Row],[Due date]]="","",IF(tblCalibrations[[#This Row],[Date calibrated]]&lt;=tblCalibrations[[#This Row],[Due date]],"Yes","No")))</f>
        <v/>
      </c>
      <c r="P32" s="35">
        <f>IF(tblCalibrations[[#This Row],[Gauge ID]]="","",IF(tblCalibrations[[#This Row],[As found]]="Out of tolerance",1,0))</f>
        <v>0</v>
      </c>
      <c r="Q32" s="36">
        <f>IF(tblCalibrations[[#This Row],[Gauge ID]]="","",IF(AND(tblCalibrations[[#This Row],[Date calibrated]]&gt;=FFrom,tblCalibrations[[#This Row],[Date calibrated]]&lt;=FTo),tblCalibrations[[#This Row],[Date calibrated]],""))</f>
        <v>45789</v>
      </c>
      <c r="R32"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32" s="42" t="s">
        <v>141</v>
      </c>
    </row>
    <row r="33" spans="2:19">
      <c r="B33" s="28" t="s">
        <v>167</v>
      </c>
      <c r="C33" s="29">
        <v>45796</v>
      </c>
      <c r="D33" s="28" t="s">
        <v>119</v>
      </c>
      <c r="E33" s="28" t="s">
        <v>224</v>
      </c>
      <c r="F33" s="28" t="s">
        <v>225</v>
      </c>
      <c r="G33" s="28" t="s">
        <v>224</v>
      </c>
      <c r="H33" s="28" t="s">
        <v>226</v>
      </c>
      <c r="I33" s="28" t="s">
        <v>253</v>
      </c>
      <c r="J33" s="41">
        <v>182</v>
      </c>
      <c r="K33" s="35">
        <f>IF(tblCalibrations[[#This Row],[Gauge ID]]="","",IFERROR(INDEX(tblGauges[Interval (days)],MATCH(tblCalibrations[[#This Row],[Gauge ID]],tblGauges[Gauge ID],0)),""))</f>
        <v>365</v>
      </c>
      <c r="L33"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
      </c>
      <c r="M33" s="36">
        <f>IF(tblCalibrations[[#This Row],[Gauge ID]]="","",IF(OR(tblCalibrations[[#This Row],[Previous calibration]]="",tblCalibrations[[#This Row],[Interval (days)]]=""),"",tblCalibrations[[#This Row],[Previous calibration]]+tblCalibrations[[#This Row],[Interval (days)]]))</f>
        <v/>
      </c>
      <c r="N33" s="35">
        <f>IF(tblCalibrations[[#This Row],[Gauge ID]]="","",IF(tblCalibrations[[#This Row],[Due date]]="","",MAX(0,tblCalibrations[[#This Row],[Date calibrated]]-tblCalibrations[[#This Row],[Due date]])))</f>
        <v/>
      </c>
      <c r="O33" s="38">
        <f>IF(tblCalibrations[[#This Row],[Gauge ID]]="","",IF(tblCalibrations[[#This Row],[Due date]]="","",IF(tblCalibrations[[#This Row],[Date calibrated]]&lt;=tblCalibrations[[#This Row],[Due date]],"Yes","No")))</f>
        <v/>
      </c>
      <c r="P33" s="35">
        <f>IF(tblCalibrations[[#This Row],[Gauge ID]]="","",IF(tblCalibrations[[#This Row],[As found]]="Out of tolerance",1,0))</f>
        <v>0</v>
      </c>
      <c r="Q33" s="36">
        <f>IF(tblCalibrations[[#This Row],[Gauge ID]]="","",IF(AND(tblCalibrations[[#This Row],[Date calibrated]]&gt;=FFrom,tblCalibrations[[#This Row],[Date calibrated]]&lt;=FTo),tblCalibrations[[#This Row],[Date calibrated]],""))</f>
        <v>45796</v>
      </c>
      <c r="R33"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33" s="42" t="s">
        <v>141</v>
      </c>
    </row>
    <row r="34" spans="2:19">
      <c r="B34" s="28" t="s">
        <v>182</v>
      </c>
      <c r="C34" s="29">
        <v>45824</v>
      </c>
      <c r="D34" s="28" t="s">
        <v>122</v>
      </c>
      <c r="E34" s="28" t="s">
        <v>254</v>
      </c>
      <c r="F34" s="28" t="s">
        <v>255</v>
      </c>
      <c r="G34" s="28" t="s">
        <v>224</v>
      </c>
      <c r="H34" s="28" t="s">
        <v>256</v>
      </c>
      <c r="I34" s="28" t="s">
        <v>257</v>
      </c>
      <c r="J34" s="41">
        <v>230</v>
      </c>
      <c r="K34" s="35">
        <f>IF(tblCalibrations[[#This Row],[Gauge ID]]="","",IFERROR(INDEX(tblGauges[Interval (days)],MATCH(tblCalibrations[[#This Row],[Gauge ID]],tblGauges[Gauge ID],0)),""))</f>
        <v>90</v>
      </c>
      <c r="L34"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45747</v>
      </c>
      <c r="M34" s="36">
        <f>IF(tblCalibrations[[#This Row],[Gauge ID]]="","",IF(OR(tblCalibrations[[#This Row],[Previous calibration]]="",tblCalibrations[[#This Row],[Interval (days)]]=""),"",tblCalibrations[[#This Row],[Previous calibration]]+tblCalibrations[[#This Row],[Interval (days)]]))</f>
        <v>45837</v>
      </c>
      <c r="N34" s="35">
        <f>IF(tblCalibrations[[#This Row],[Gauge ID]]="","",IF(tblCalibrations[[#This Row],[Due date]]="","",MAX(0,tblCalibrations[[#This Row],[Date calibrated]]-tblCalibrations[[#This Row],[Due date]])))</f>
        <v>0</v>
      </c>
      <c r="O34" s="38" t="str">
        <f>IF(tblCalibrations[[#This Row],[Gauge ID]]="","",IF(tblCalibrations[[#This Row],[Due date]]="","",IF(tblCalibrations[[#This Row],[Date calibrated]]&lt;=tblCalibrations[[#This Row],[Due date]],"Yes","No")))</f>
        <v>Yes</v>
      </c>
      <c r="P34" s="35">
        <f>IF(tblCalibrations[[#This Row],[Gauge ID]]="","",IF(tblCalibrations[[#This Row],[As found]]="Out of tolerance",1,0))</f>
        <v>1</v>
      </c>
      <c r="Q34" s="36">
        <f>IF(tblCalibrations[[#This Row],[Gauge ID]]="","",IF(AND(tblCalibrations[[#This Row],[Date calibrated]]&gt;=FFrom,tblCalibrations[[#This Row],[Date calibrated]]&lt;=FTo),tblCalibrations[[#This Row],[Date calibrated]],""))</f>
        <v>45824</v>
      </c>
      <c r="R34"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34" s="42" t="s">
        <v>258</v>
      </c>
    </row>
    <row r="35" spans="2:19">
      <c r="B35" s="28" t="s">
        <v>185</v>
      </c>
      <c r="C35" s="29">
        <v>45831</v>
      </c>
      <c r="D35" s="28" t="s">
        <v>122</v>
      </c>
      <c r="E35" s="28" t="s">
        <v>254</v>
      </c>
      <c r="F35" s="28" t="s">
        <v>259</v>
      </c>
      <c r="G35" s="28" t="s">
        <v>224</v>
      </c>
      <c r="H35" s="28" t="s">
        <v>256</v>
      </c>
      <c r="I35" s="28" t="s">
        <v>260</v>
      </c>
      <c r="J35" s="41">
        <v>209</v>
      </c>
      <c r="K35" s="35">
        <f>IF(tblCalibrations[[#This Row],[Gauge ID]]="","",IFERROR(INDEX(tblGauges[Interval (days)],MATCH(tblCalibrations[[#This Row],[Gauge ID]],tblGauges[Gauge ID],0)),""))</f>
        <v>90</v>
      </c>
      <c r="L35"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45749</v>
      </c>
      <c r="M35" s="36">
        <f>IF(tblCalibrations[[#This Row],[Gauge ID]]="","",IF(OR(tblCalibrations[[#This Row],[Previous calibration]]="",tblCalibrations[[#This Row],[Interval (days)]]=""),"",tblCalibrations[[#This Row],[Previous calibration]]+tblCalibrations[[#This Row],[Interval (days)]]))</f>
        <v>45839</v>
      </c>
      <c r="N35" s="35">
        <f>IF(tblCalibrations[[#This Row],[Gauge ID]]="","",IF(tblCalibrations[[#This Row],[Due date]]="","",MAX(0,tblCalibrations[[#This Row],[Date calibrated]]-tblCalibrations[[#This Row],[Due date]])))</f>
        <v>0</v>
      </c>
      <c r="O35" s="38" t="str">
        <f>IF(tblCalibrations[[#This Row],[Gauge ID]]="","",IF(tblCalibrations[[#This Row],[Due date]]="","",IF(tblCalibrations[[#This Row],[Date calibrated]]&lt;=tblCalibrations[[#This Row],[Due date]],"Yes","No")))</f>
        <v>Yes</v>
      </c>
      <c r="P35" s="35">
        <f>IF(tblCalibrations[[#This Row],[Gauge ID]]="","",IF(tblCalibrations[[#This Row],[As found]]="Out of tolerance",1,0))</f>
        <v>1</v>
      </c>
      <c r="Q35" s="36">
        <f>IF(tblCalibrations[[#This Row],[Gauge ID]]="","",IF(AND(tblCalibrations[[#This Row],[Date calibrated]]&gt;=FFrom,tblCalibrations[[#This Row],[Date calibrated]]&lt;=FTo),tblCalibrations[[#This Row],[Date calibrated]],""))</f>
        <v>45831</v>
      </c>
      <c r="R35"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35" s="42" t="s">
        <v>258</v>
      </c>
    </row>
    <row r="36" spans="2:19">
      <c r="B36" s="28" t="s">
        <v>206</v>
      </c>
      <c r="C36" s="29">
        <v>45852</v>
      </c>
      <c r="D36" s="28" t="s">
        <v>116</v>
      </c>
      <c r="E36" s="28" t="s">
        <v>254</v>
      </c>
      <c r="F36" s="28" t="s">
        <v>208</v>
      </c>
      <c r="G36" s="28" t="s">
        <v>261</v>
      </c>
      <c r="H36" s="28" t="s">
        <v>256</v>
      </c>
      <c r="I36" s="28" t="s">
        <v>262</v>
      </c>
      <c r="J36" s="41">
        <v>38</v>
      </c>
      <c r="K36" s="35">
        <f>IF(tblCalibrations[[#This Row],[Gauge ID]]="","",IFERROR(INDEX(tblGauges[Interval (days)],MATCH(tblCalibrations[[#This Row],[Gauge ID]],tblGauges[Gauge ID],0)),""))</f>
        <v>180</v>
      </c>
      <c r="L36"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45673</v>
      </c>
      <c r="M36" s="36">
        <f>IF(tblCalibrations[[#This Row],[Gauge ID]]="","",IF(OR(tblCalibrations[[#This Row],[Previous calibration]]="",tblCalibrations[[#This Row],[Interval (days)]]=""),"",tblCalibrations[[#This Row],[Previous calibration]]+tblCalibrations[[#This Row],[Interval (days)]]))</f>
        <v>45853</v>
      </c>
      <c r="N36" s="35">
        <f>IF(tblCalibrations[[#This Row],[Gauge ID]]="","",IF(tblCalibrations[[#This Row],[Due date]]="","",MAX(0,tblCalibrations[[#This Row],[Date calibrated]]-tblCalibrations[[#This Row],[Due date]])))</f>
        <v>0</v>
      </c>
      <c r="O36" s="38" t="str">
        <f>IF(tblCalibrations[[#This Row],[Gauge ID]]="","",IF(tblCalibrations[[#This Row],[Due date]]="","",IF(tblCalibrations[[#This Row],[Date calibrated]]&lt;=tblCalibrations[[#This Row],[Due date]],"Yes","No")))</f>
        <v>Yes</v>
      </c>
      <c r="P36" s="35">
        <f>IF(tblCalibrations[[#This Row],[Gauge ID]]="","",IF(tblCalibrations[[#This Row],[As found]]="Out of tolerance",1,0))</f>
        <v>1</v>
      </c>
      <c r="Q36" s="36">
        <f>IF(tblCalibrations[[#This Row],[Gauge ID]]="","",IF(AND(tblCalibrations[[#This Row],[Date calibrated]]&gt;=FFrom,tblCalibrations[[#This Row],[Date calibrated]]&lt;=FTo),tblCalibrations[[#This Row],[Date calibrated]],""))</f>
        <v>45852</v>
      </c>
      <c r="R36"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36" s="42" t="s">
        <v>263</v>
      </c>
    </row>
    <row r="37" spans="2:19">
      <c r="B37" s="28" t="s">
        <v>188</v>
      </c>
      <c r="C37" s="29">
        <v>45869</v>
      </c>
      <c r="D37" s="28" t="s">
        <v>122</v>
      </c>
      <c r="E37" s="28" t="s">
        <v>224</v>
      </c>
      <c r="F37" s="28" t="s">
        <v>225</v>
      </c>
      <c r="G37" s="28" t="s">
        <v>224</v>
      </c>
      <c r="H37" s="28" t="s">
        <v>226</v>
      </c>
      <c r="I37" s="28" t="s">
        <v>264</v>
      </c>
      <c r="J37" s="41">
        <v>151</v>
      </c>
      <c r="K37" s="35">
        <f>IF(tblCalibrations[[#This Row],[Gauge ID]]="","",IFERROR(INDEX(tblGauges[Interval (days)],MATCH(tblCalibrations[[#This Row],[Gauge ID]],tblGauges[Gauge ID],0)),""))</f>
        <v>90</v>
      </c>
      <c r="L37"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45784</v>
      </c>
      <c r="M37" s="36">
        <f>IF(tblCalibrations[[#This Row],[Gauge ID]]="","",IF(OR(tblCalibrations[[#This Row],[Previous calibration]]="",tblCalibrations[[#This Row],[Interval (days)]]=""),"",tblCalibrations[[#This Row],[Previous calibration]]+tblCalibrations[[#This Row],[Interval (days)]]))</f>
        <v>45874</v>
      </c>
      <c r="N37" s="35">
        <f>IF(tblCalibrations[[#This Row],[Gauge ID]]="","",IF(tblCalibrations[[#This Row],[Due date]]="","",MAX(0,tblCalibrations[[#This Row],[Date calibrated]]-tblCalibrations[[#This Row],[Due date]])))</f>
        <v>0</v>
      </c>
      <c r="O37" s="38" t="str">
        <f>IF(tblCalibrations[[#This Row],[Gauge ID]]="","",IF(tblCalibrations[[#This Row],[Due date]]="","",IF(tblCalibrations[[#This Row],[Date calibrated]]&lt;=tblCalibrations[[#This Row],[Due date]],"Yes","No")))</f>
        <v>Yes</v>
      </c>
      <c r="P37" s="35">
        <f>IF(tblCalibrations[[#This Row],[Gauge ID]]="","",IF(tblCalibrations[[#This Row],[As found]]="Out of tolerance",1,0))</f>
        <v>0</v>
      </c>
      <c r="Q37" s="36">
        <f>IF(tblCalibrations[[#This Row],[Gauge ID]]="","",IF(AND(tblCalibrations[[#This Row],[Date calibrated]]&gt;=FFrom,tblCalibrations[[#This Row],[Date calibrated]]&lt;=FTo),tblCalibrations[[#This Row],[Date calibrated]],""))</f>
        <v>45869</v>
      </c>
      <c r="R37"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37" s="42" t="s">
        <v>141</v>
      </c>
    </row>
    <row r="38" spans="2:19">
      <c r="B38" s="28" t="s">
        <v>164</v>
      </c>
      <c r="C38" s="29">
        <v>45870</v>
      </c>
      <c r="D38" s="28" t="s">
        <v>116</v>
      </c>
      <c r="E38" s="28" t="s">
        <v>224</v>
      </c>
      <c r="F38" s="28" t="s">
        <v>225</v>
      </c>
      <c r="G38" s="28" t="s">
        <v>224</v>
      </c>
      <c r="H38" s="28" t="s">
        <v>226</v>
      </c>
      <c r="I38" s="28" t="s">
        <v>265</v>
      </c>
      <c r="J38" s="41">
        <v>47</v>
      </c>
      <c r="K38" s="35">
        <f>IF(tblCalibrations[[#This Row],[Gauge ID]]="","",IFERROR(INDEX(tblGauges[Interval (days)],MATCH(tblCalibrations[[#This Row],[Gauge ID]],tblGauges[Gauge ID],0)),""))</f>
        <v>180</v>
      </c>
      <c r="L38"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45701</v>
      </c>
      <c r="M38" s="36">
        <f>IF(tblCalibrations[[#This Row],[Gauge ID]]="","",IF(OR(tblCalibrations[[#This Row],[Previous calibration]]="",tblCalibrations[[#This Row],[Interval (days)]]=""),"",tblCalibrations[[#This Row],[Previous calibration]]+tblCalibrations[[#This Row],[Interval (days)]]))</f>
        <v>45881</v>
      </c>
      <c r="N38" s="35">
        <f>IF(tblCalibrations[[#This Row],[Gauge ID]]="","",IF(tblCalibrations[[#This Row],[Due date]]="","",MAX(0,tblCalibrations[[#This Row],[Date calibrated]]-tblCalibrations[[#This Row],[Due date]])))</f>
        <v>0</v>
      </c>
      <c r="O38" s="38" t="str">
        <f>IF(tblCalibrations[[#This Row],[Gauge ID]]="","",IF(tblCalibrations[[#This Row],[Due date]]="","",IF(tblCalibrations[[#This Row],[Date calibrated]]&lt;=tblCalibrations[[#This Row],[Due date]],"Yes","No")))</f>
        <v>Yes</v>
      </c>
      <c r="P38" s="35">
        <f>IF(tblCalibrations[[#This Row],[Gauge ID]]="","",IF(tblCalibrations[[#This Row],[As found]]="Out of tolerance",1,0))</f>
        <v>0</v>
      </c>
      <c r="Q38" s="36">
        <f>IF(tblCalibrations[[#This Row],[Gauge ID]]="","",IF(AND(tblCalibrations[[#This Row],[Date calibrated]]&gt;=FFrom,tblCalibrations[[#This Row],[Date calibrated]]&lt;=FTo),tblCalibrations[[#This Row],[Date calibrated]],""))</f>
        <v>45870</v>
      </c>
      <c r="R38"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38" s="42" t="s">
        <v>141</v>
      </c>
    </row>
    <row r="39" spans="2:19">
      <c r="B39" s="28" t="s">
        <v>137</v>
      </c>
      <c r="C39" s="29">
        <v>45891</v>
      </c>
      <c r="D39" s="28" t="s">
        <v>116</v>
      </c>
      <c r="E39" s="28" t="s">
        <v>224</v>
      </c>
      <c r="F39" s="28" t="s">
        <v>225</v>
      </c>
      <c r="G39" s="28" t="s">
        <v>224</v>
      </c>
      <c r="H39" s="28" t="s">
        <v>226</v>
      </c>
      <c r="I39" s="28" t="s">
        <v>266</v>
      </c>
      <c r="J39" s="41">
        <v>49</v>
      </c>
      <c r="K39" s="35">
        <f>IF(tblCalibrations[[#This Row],[Gauge ID]]="","",IFERROR(INDEX(tblGauges[Interval (days)],MATCH(tblCalibrations[[#This Row],[Gauge ID]],tblGauges[Gauge ID],0)),""))</f>
        <v>180</v>
      </c>
      <c r="L39"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45714</v>
      </c>
      <c r="M39" s="36">
        <f>IF(tblCalibrations[[#This Row],[Gauge ID]]="","",IF(OR(tblCalibrations[[#This Row],[Previous calibration]]="",tblCalibrations[[#This Row],[Interval (days)]]=""),"",tblCalibrations[[#This Row],[Previous calibration]]+tblCalibrations[[#This Row],[Interval (days)]]))</f>
        <v>45894</v>
      </c>
      <c r="N39" s="35">
        <f>IF(tblCalibrations[[#This Row],[Gauge ID]]="","",IF(tblCalibrations[[#This Row],[Due date]]="","",MAX(0,tblCalibrations[[#This Row],[Date calibrated]]-tblCalibrations[[#This Row],[Due date]])))</f>
        <v>0</v>
      </c>
      <c r="O39" s="38" t="str">
        <f>IF(tblCalibrations[[#This Row],[Gauge ID]]="","",IF(tblCalibrations[[#This Row],[Due date]]="","",IF(tblCalibrations[[#This Row],[Date calibrated]]&lt;=tblCalibrations[[#This Row],[Due date]],"Yes","No")))</f>
        <v>Yes</v>
      </c>
      <c r="P39" s="35">
        <f>IF(tblCalibrations[[#This Row],[Gauge ID]]="","",IF(tblCalibrations[[#This Row],[As found]]="Out of tolerance",1,0))</f>
        <v>0</v>
      </c>
      <c r="Q39" s="36">
        <f>IF(tblCalibrations[[#This Row],[Gauge ID]]="","",IF(AND(tblCalibrations[[#This Row],[Date calibrated]]&gt;=FFrom,tblCalibrations[[#This Row],[Date calibrated]]&lt;=FTo),tblCalibrations[[#This Row],[Date calibrated]],""))</f>
        <v>45891</v>
      </c>
      <c r="R39"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39" s="42" t="s">
        <v>141</v>
      </c>
    </row>
    <row r="40" spans="2:19">
      <c r="B40" s="28" t="s">
        <v>176</v>
      </c>
      <c r="C40" s="29">
        <v>45894</v>
      </c>
      <c r="D40" s="28" t="s">
        <v>119</v>
      </c>
      <c r="E40" s="28" t="s">
        <v>224</v>
      </c>
      <c r="F40" s="28" t="s">
        <v>225</v>
      </c>
      <c r="G40" s="28" t="s">
        <v>224</v>
      </c>
      <c r="H40" s="28" t="s">
        <v>226</v>
      </c>
      <c r="I40" s="28" t="s">
        <v>267</v>
      </c>
      <c r="J40" s="41">
        <v>180</v>
      </c>
      <c r="K40" s="35">
        <f>IF(tblCalibrations[[#This Row],[Gauge ID]]="","",IFERROR(INDEX(tblGauges[Interval (days)],MATCH(tblCalibrations[[#This Row],[Gauge ID]],tblGauges[Gauge ID],0)),""))</f>
        <v>180</v>
      </c>
      <c r="L40"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45721</v>
      </c>
      <c r="M40" s="36">
        <f>IF(tblCalibrations[[#This Row],[Gauge ID]]="","",IF(OR(tblCalibrations[[#This Row],[Previous calibration]]="",tblCalibrations[[#This Row],[Interval (days)]]=""),"",tblCalibrations[[#This Row],[Previous calibration]]+tblCalibrations[[#This Row],[Interval (days)]]))</f>
        <v>45901</v>
      </c>
      <c r="N40" s="35">
        <f>IF(tblCalibrations[[#This Row],[Gauge ID]]="","",IF(tblCalibrations[[#This Row],[Due date]]="","",MAX(0,tblCalibrations[[#This Row],[Date calibrated]]-tblCalibrations[[#This Row],[Due date]])))</f>
        <v>0</v>
      </c>
      <c r="O40" s="38" t="str">
        <f>IF(tblCalibrations[[#This Row],[Gauge ID]]="","",IF(tblCalibrations[[#This Row],[Due date]]="","",IF(tblCalibrations[[#This Row],[Date calibrated]]&lt;=tblCalibrations[[#This Row],[Due date]],"Yes","No")))</f>
        <v>Yes</v>
      </c>
      <c r="P40" s="35">
        <f>IF(tblCalibrations[[#This Row],[Gauge ID]]="","",IF(tblCalibrations[[#This Row],[As found]]="Out of tolerance",1,0))</f>
        <v>0</v>
      </c>
      <c r="Q40" s="36">
        <f>IF(tblCalibrations[[#This Row],[Gauge ID]]="","",IF(AND(tblCalibrations[[#This Row],[Date calibrated]]&gt;=FFrom,tblCalibrations[[#This Row],[Date calibrated]]&lt;=FTo),tblCalibrations[[#This Row],[Date calibrated]],""))</f>
        <v>45894</v>
      </c>
      <c r="R40"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40" s="42" t="s">
        <v>141</v>
      </c>
    </row>
    <row r="41" spans="2:19">
      <c r="B41" s="28" t="s">
        <v>182</v>
      </c>
      <c r="C41" s="29">
        <v>45901</v>
      </c>
      <c r="D41" s="28" t="s">
        <v>122</v>
      </c>
      <c r="E41" s="28" t="s">
        <v>224</v>
      </c>
      <c r="F41" s="28" t="s">
        <v>225</v>
      </c>
      <c r="G41" s="28" t="s">
        <v>224</v>
      </c>
      <c r="H41" s="28" t="s">
        <v>226</v>
      </c>
      <c r="I41" s="28" t="s">
        <v>268</v>
      </c>
      <c r="J41" s="41">
        <v>117</v>
      </c>
      <c r="K41" s="35">
        <f>IF(tblCalibrations[[#This Row],[Gauge ID]]="","",IFERROR(INDEX(tblGauges[Interval (days)],MATCH(tblCalibrations[[#This Row],[Gauge ID]],tblGauges[Gauge ID],0)),""))</f>
        <v>90</v>
      </c>
      <c r="L41"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45824</v>
      </c>
      <c r="M41" s="36">
        <f>IF(tblCalibrations[[#This Row],[Gauge ID]]="","",IF(OR(tblCalibrations[[#This Row],[Previous calibration]]="",tblCalibrations[[#This Row],[Interval (days)]]=""),"",tblCalibrations[[#This Row],[Previous calibration]]+tblCalibrations[[#This Row],[Interval (days)]]))</f>
        <v>45914</v>
      </c>
      <c r="N41" s="35">
        <f>IF(tblCalibrations[[#This Row],[Gauge ID]]="","",IF(tblCalibrations[[#This Row],[Due date]]="","",MAX(0,tblCalibrations[[#This Row],[Date calibrated]]-tblCalibrations[[#This Row],[Due date]])))</f>
        <v>0</v>
      </c>
      <c r="O41" s="38" t="str">
        <f>IF(tblCalibrations[[#This Row],[Gauge ID]]="","",IF(tblCalibrations[[#This Row],[Due date]]="","",IF(tblCalibrations[[#This Row],[Date calibrated]]&lt;=tblCalibrations[[#This Row],[Due date]],"Yes","No")))</f>
        <v>Yes</v>
      </c>
      <c r="P41" s="35">
        <f>IF(tblCalibrations[[#This Row],[Gauge ID]]="","",IF(tblCalibrations[[#This Row],[As found]]="Out of tolerance",1,0))</f>
        <v>0</v>
      </c>
      <c r="Q41" s="36">
        <f>IF(tblCalibrations[[#This Row],[Gauge ID]]="","",IF(AND(tblCalibrations[[#This Row],[Date calibrated]]&gt;=FFrom,tblCalibrations[[#This Row],[Date calibrated]]&lt;=FTo),tblCalibrations[[#This Row],[Date calibrated]],""))</f>
        <v>45901</v>
      </c>
      <c r="R41"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41" s="42" t="s">
        <v>141</v>
      </c>
    </row>
    <row r="42" spans="2:19">
      <c r="B42" s="28" t="s">
        <v>142</v>
      </c>
      <c r="C42" s="29">
        <v>45911</v>
      </c>
      <c r="D42" s="28" t="s">
        <v>116</v>
      </c>
      <c r="E42" s="28" t="s">
        <v>224</v>
      </c>
      <c r="F42" s="28" t="s">
        <v>225</v>
      </c>
      <c r="G42" s="28" t="s">
        <v>224</v>
      </c>
      <c r="H42" s="28" t="s">
        <v>226</v>
      </c>
      <c r="I42" s="28" t="s">
        <v>269</v>
      </c>
      <c r="J42" s="41">
        <v>46</v>
      </c>
      <c r="K42" s="35">
        <f>IF(tblCalibrations[[#This Row],[Gauge ID]]="","",IFERROR(INDEX(tblGauges[Interval (days)],MATCH(tblCalibrations[[#This Row],[Gauge ID]],tblGauges[Gauge ID],0)),""))</f>
        <v>180</v>
      </c>
      <c r="L42"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45740</v>
      </c>
      <c r="M42" s="36">
        <f>IF(tblCalibrations[[#This Row],[Gauge ID]]="","",IF(OR(tblCalibrations[[#This Row],[Previous calibration]]="",tblCalibrations[[#This Row],[Interval (days)]]=""),"",tblCalibrations[[#This Row],[Previous calibration]]+tblCalibrations[[#This Row],[Interval (days)]]))</f>
        <v>45920</v>
      </c>
      <c r="N42" s="35">
        <f>IF(tblCalibrations[[#This Row],[Gauge ID]]="","",IF(tblCalibrations[[#This Row],[Due date]]="","",MAX(0,tblCalibrations[[#This Row],[Date calibrated]]-tblCalibrations[[#This Row],[Due date]])))</f>
        <v>0</v>
      </c>
      <c r="O42" s="38" t="str">
        <f>IF(tblCalibrations[[#This Row],[Gauge ID]]="","",IF(tblCalibrations[[#This Row],[Due date]]="","",IF(tblCalibrations[[#This Row],[Date calibrated]]&lt;=tblCalibrations[[#This Row],[Due date]],"Yes","No")))</f>
        <v>Yes</v>
      </c>
      <c r="P42" s="35">
        <f>IF(tblCalibrations[[#This Row],[Gauge ID]]="","",IF(tblCalibrations[[#This Row],[As found]]="Out of tolerance",1,0))</f>
        <v>0</v>
      </c>
      <c r="Q42" s="36">
        <f>IF(tblCalibrations[[#This Row],[Gauge ID]]="","",IF(AND(tblCalibrations[[#This Row],[Date calibrated]]&gt;=FFrom,tblCalibrations[[#This Row],[Date calibrated]]&lt;=FTo),tblCalibrations[[#This Row],[Date calibrated]],""))</f>
        <v>45911</v>
      </c>
      <c r="R42"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42" s="42" t="s">
        <v>141</v>
      </c>
    </row>
    <row r="43" spans="2:19">
      <c r="B43" s="28" t="s">
        <v>185</v>
      </c>
      <c r="C43" s="29">
        <v>45915</v>
      </c>
      <c r="D43" s="28" t="s">
        <v>122</v>
      </c>
      <c r="E43" s="28" t="s">
        <v>224</v>
      </c>
      <c r="F43" s="28" t="s">
        <v>225</v>
      </c>
      <c r="G43" s="28" t="s">
        <v>224</v>
      </c>
      <c r="H43" s="28" t="s">
        <v>226</v>
      </c>
      <c r="I43" s="28" t="s">
        <v>270</v>
      </c>
      <c r="J43" s="41">
        <v>253</v>
      </c>
      <c r="K43" s="35">
        <f>IF(tblCalibrations[[#This Row],[Gauge ID]]="","",IFERROR(INDEX(tblGauges[Interval (days)],MATCH(tblCalibrations[[#This Row],[Gauge ID]],tblGauges[Gauge ID],0)),""))</f>
        <v>90</v>
      </c>
      <c r="L43"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45831</v>
      </c>
      <c r="M43" s="36">
        <f>IF(tblCalibrations[[#This Row],[Gauge ID]]="","",IF(OR(tblCalibrations[[#This Row],[Previous calibration]]="",tblCalibrations[[#This Row],[Interval (days)]]=""),"",tblCalibrations[[#This Row],[Previous calibration]]+tblCalibrations[[#This Row],[Interval (days)]]))</f>
        <v>45921</v>
      </c>
      <c r="N43" s="35">
        <f>IF(tblCalibrations[[#This Row],[Gauge ID]]="","",IF(tblCalibrations[[#This Row],[Due date]]="","",MAX(0,tblCalibrations[[#This Row],[Date calibrated]]-tblCalibrations[[#This Row],[Due date]])))</f>
        <v>0</v>
      </c>
      <c r="O43" s="38" t="str">
        <f>IF(tblCalibrations[[#This Row],[Gauge ID]]="","",IF(tblCalibrations[[#This Row],[Due date]]="","",IF(tblCalibrations[[#This Row],[Date calibrated]]&lt;=tblCalibrations[[#This Row],[Due date]],"Yes","No")))</f>
        <v>Yes</v>
      </c>
      <c r="P43" s="35">
        <f>IF(tblCalibrations[[#This Row],[Gauge ID]]="","",IF(tblCalibrations[[#This Row],[As found]]="Out of tolerance",1,0))</f>
        <v>0</v>
      </c>
      <c r="Q43" s="36">
        <f>IF(tblCalibrations[[#This Row],[Gauge ID]]="","",IF(AND(tblCalibrations[[#This Row],[Date calibrated]]&gt;=FFrom,tblCalibrations[[#This Row],[Date calibrated]]&lt;=FTo),tblCalibrations[[#This Row],[Date calibrated]],""))</f>
        <v>45915</v>
      </c>
      <c r="R43"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43" s="42" t="s">
        <v>141</v>
      </c>
    </row>
    <row r="44" spans="2:19">
      <c r="B44" s="28" t="s">
        <v>200</v>
      </c>
      <c r="C44" s="29">
        <v>45919</v>
      </c>
      <c r="D44" s="28" t="s">
        <v>122</v>
      </c>
      <c r="E44" s="28" t="s">
        <v>224</v>
      </c>
      <c r="F44" s="28" t="s">
        <v>225</v>
      </c>
      <c r="G44" s="28" t="s">
        <v>224</v>
      </c>
      <c r="H44" s="28" t="s">
        <v>226</v>
      </c>
      <c r="I44" s="28" t="s">
        <v>271</v>
      </c>
      <c r="J44" s="41">
        <v>157</v>
      </c>
      <c r="K44" s="35">
        <f>IF(tblCalibrations[[#This Row],[Gauge ID]]="","",IFERROR(INDEX(tblGauges[Interval (days)],MATCH(tblCalibrations[[#This Row],[Gauge ID]],tblGauges[Gauge ID],0)),""))</f>
        <v>180</v>
      </c>
      <c r="L44"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45748</v>
      </c>
      <c r="M44" s="36">
        <f>IF(tblCalibrations[[#This Row],[Gauge ID]]="","",IF(OR(tblCalibrations[[#This Row],[Previous calibration]]="",tblCalibrations[[#This Row],[Interval (days)]]=""),"",tblCalibrations[[#This Row],[Previous calibration]]+tblCalibrations[[#This Row],[Interval (days)]]))</f>
        <v>45928</v>
      </c>
      <c r="N44" s="35">
        <f>IF(tblCalibrations[[#This Row],[Gauge ID]]="","",IF(tblCalibrations[[#This Row],[Due date]]="","",MAX(0,tblCalibrations[[#This Row],[Date calibrated]]-tblCalibrations[[#This Row],[Due date]])))</f>
        <v>0</v>
      </c>
      <c r="O44" s="38" t="str">
        <f>IF(tblCalibrations[[#This Row],[Gauge ID]]="","",IF(tblCalibrations[[#This Row],[Due date]]="","",IF(tblCalibrations[[#This Row],[Date calibrated]]&lt;=tblCalibrations[[#This Row],[Due date]],"Yes","No")))</f>
        <v>Yes</v>
      </c>
      <c r="P44" s="35">
        <f>IF(tblCalibrations[[#This Row],[Gauge ID]]="","",IF(tblCalibrations[[#This Row],[As found]]="Out of tolerance",1,0))</f>
        <v>0</v>
      </c>
      <c r="Q44" s="36">
        <f>IF(tblCalibrations[[#This Row],[Gauge ID]]="","",IF(AND(tblCalibrations[[#This Row],[Date calibrated]]&gt;=FFrom,tblCalibrations[[#This Row],[Date calibrated]]&lt;=FTo),tblCalibrations[[#This Row],[Date calibrated]],""))</f>
        <v>45919</v>
      </c>
      <c r="R44"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44" s="42" t="s">
        <v>141</v>
      </c>
    </row>
    <row r="45" spans="2:19">
      <c r="B45" s="28" t="s">
        <v>143</v>
      </c>
      <c r="C45" s="29">
        <v>45922</v>
      </c>
      <c r="D45" s="28" t="s">
        <v>116</v>
      </c>
      <c r="E45" s="28" t="s">
        <v>224</v>
      </c>
      <c r="F45" s="28" t="s">
        <v>225</v>
      </c>
      <c r="G45" s="28" t="s">
        <v>224</v>
      </c>
      <c r="H45" s="28" t="s">
        <v>226</v>
      </c>
      <c r="I45" s="28" t="s">
        <v>272</v>
      </c>
      <c r="J45" s="41">
        <v>39</v>
      </c>
      <c r="K45" s="35">
        <f>IF(tblCalibrations[[#This Row],[Gauge ID]]="","",IFERROR(INDEX(tblGauges[Interval (days)],MATCH(tblCalibrations[[#This Row],[Gauge ID]],tblGauges[Gauge ID],0)),""))</f>
        <v>180</v>
      </c>
      <c r="L45"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45749</v>
      </c>
      <c r="M45" s="36">
        <f>IF(tblCalibrations[[#This Row],[Gauge ID]]="","",IF(OR(tblCalibrations[[#This Row],[Previous calibration]]="",tblCalibrations[[#This Row],[Interval (days)]]=""),"",tblCalibrations[[#This Row],[Previous calibration]]+tblCalibrations[[#This Row],[Interval (days)]]))</f>
        <v>45929</v>
      </c>
      <c r="N45" s="35">
        <f>IF(tblCalibrations[[#This Row],[Gauge ID]]="","",IF(tblCalibrations[[#This Row],[Due date]]="","",MAX(0,tblCalibrations[[#This Row],[Date calibrated]]-tblCalibrations[[#This Row],[Due date]])))</f>
        <v>0</v>
      </c>
      <c r="O45" s="38" t="str">
        <f>IF(tblCalibrations[[#This Row],[Gauge ID]]="","",IF(tblCalibrations[[#This Row],[Due date]]="","",IF(tblCalibrations[[#This Row],[Date calibrated]]&lt;=tblCalibrations[[#This Row],[Due date]],"Yes","No")))</f>
        <v>Yes</v>
      </c>
      <c r="P45" s="35">
        <f>IF(tblCalibrations[[#This Row],[Gauge ID]]="","",IF(tblCalibrations[[#This Row],[As found]]="Out of tolerance",1,0))</f>
        <v>0</v>
      </c>
      <c r="Q45" s="36">
        <f>IF(tblCalibrations[[#This Row],[Gauge ID]]="","",IF(AND(tblCalibrations[[#This Row],[Date calibrated]]&gt;=FFrom,tblCalibrations[[#This Row],[Date calibrated]]&lt;=FTo),tblCalibrations[[#This Row],[Date calibrated]],""))</f>
        <v>45922</v>
      </c>
      <c r="R45"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45" s="42" t="s">
        <v>141</v>
      </c>
    </row>
    <row r="46" spans="2:19">
      <c r="B46" s="28" t="s">
        <v>146</v>
      </c>
      <c r="C46" s="29">
        <v>45943</v>
      </c>
      <c r="D46" s="28" t="s">
        <v>116</v>
      </c>
      <c r="E46" s="28" t="s">
        <v>224</v>
      </c>
      <c r="F46" s="28" t="s">
        <v>225</v>
      </c>
      <c r="G46" s="28" t="s">
        <v>224</v>
      </c>
      <c r="H46" s="28" t="s">
        <v>226</v>
      </c>
      <c r="I46" s="28" t="s">
        <v>273</v>
      </c>
      <c r="J46" s="41">
        <v>39</v>
      </c>
      <c r="K46" s="35">
        <f>IF(tblCalibrations[[#This Row],[Gauge ID]]="","",IFERROR(INDEX(tblGauges[Interval (days)],MATCH(tblCalibrations[[#This Row],[Gauge ID]],tblGauges[Gauge ID],0)),""))</f>
        <v>180</v>
      </c>
      <c r="L46"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45769</v>
      </c>
      <c r="M46" s="36">
        <f>IF(tblCalibrations[[#This Row],[Gauge ID]]="","",IF(OR(tblCalibrations[[#This Row],[Previous calibration]]="",tblCalibrations[[#This Row],[Interval (days)]]=""),"",tblCalibrations[[#This Row],[Previous calibration]]+tblCalibrations[[#This Row],[Interval (days)]]))</f>
        <v>45949</v>
      </c>
      <c r="N46" s="35">
        <f>IF(tblCalibrations[[#This Row],[Gauge ID]]="","",IF(tblCalibrations[[#This Row],[Due date]]="","",MAX(0,tblCalibrations[[#This Row],[Date calibrated]]-tblCalibrations[[#This Row],[Due date]])))</f>
        <v>0</v>
      </c>
      <c r="O46" s="38" t="str">
        <f>IF(tblCalibrations[[#This Row],[Gauge ID]]="","",IF(tblCalibrations[[#This Row],[Due date]]="","",IF(tblCalibrations[[#This Row],[Date calibrated]]&lt;=tblCalibrations[[#This Row],[Due date]],"Yes","No")))</f>
        <v>Yes</v>
      </c>
      <c r="P46" s="35">
        <f>IF(tblCalibrations[[#This Row],[Gauge ID]]="","",IF(tblCalibrations[[#This Row],[As found]]="Out of tolerance",1,0))</f>
        <v>0</v>
      </c>
      <c r="Q46" s="36">
        <f>IF(tblCalibrations[[#This Row],[Gauge ID]]="","",IF(AND(tblCalibrations[[#This Row],[Date calibrated]]&gt;=FFrom,tblCalibrations[[#This Row],[Date calibrated]]&lt;=FTo),tblCalibrations[[#This Row],[Date calibrated]],""))</f>
        <v>45943</v>
      </c>
      <c r="R46"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46" s="42" t="s">
        <v>141</v>
      </c>
    </row>
    <row r="47" spans="2:19">
      <c r="B47" s="28" t="s">
        <v>203</v>
      </c>
      <c r="C47" s="29">
        <v>45943</v>
      </c>
      <c r="D47" s="28" t="s">
        <v>122</v>
      </c>
      <c r="E47" s="28" t="s">
        <v>224</v>
      </c>
      <c r="F47" s="28" t="s">
        <v>225</v>
      </c>
      <c r="G47" s="28" t="s">
        <v>224</v>
      </c>
      <c r="H47" s="28" t="s">
        <v>226</v>
      </c>
      <c r="I47" s="28" t="s">
        <v>274</v>
      </c>
      <c r="J47" s="41">
        <v>139</v>
      </c>
      <c r="K47" s="35">
        <f>IF(tblCalibrations[[#This Row],[Gauge ID]]="","",IFERROR(INDEX(tblGauges[Interval (days)],MATCH(tblCalibrations[[#This Row],[Gauge ID]],tblGauges[Gauge ID],0)),""))</f>
        <v>180</v>
      </c>
      <c r="L47"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45770</v>
      </c>
      <c r="M47" s="36">
        <f>IF(tblCalibrations[[#This Row],[Gauge ID]]="","",IF(OR(tblCalibrations[[#This Row],[Previous calibration]]="",tblCalibrations[[#This Row],[Interval (days)]]=""),"",tblCalibrations[[#This Row],[Previous calibration]]+tblCalibrations[[#This Row],[Interval (days)]]))</f>
        <v>45950</v>
      </c>
      <c r="N47" s="35">
        <f>IF(tblCalibrations[[#This Row],[Gauge ID]]="","",IF(tblCalibrations[[#This Row],[Due date]]="","",MAX(0,tblCalibrations[[#This Row],[Date calibrated]]-tblCalibrations[[#This Row],[Due date]])))</f>
        <v>0</v>
      </c>
      <c r="O47" s="38" t="str">
        <f>IF(tblCalibrations[[#This Row],[Gauge ID]]="","",IF(tblCalibrations[[#This Row],[Due date]]="","",IF(tblCalibrations[[#This Row],[Date calibrated]]&lt;=tblCalibrations[[#This Row],[Due date]],"Yes","No")))</f>
        <v>Yes</v>
      </c>
      <c r="P47" s="35">
        <f>IF(tblCalibrations[[#This Row],[Gauge ID]]="","",IF(tblCalibrations[[#This Row],[As found]]="Out of tolerance",1,0))</f>
        <v>0</v>
      </c>
      <c r="Q47" s="36">
        <f>IF(tblCalibrations[[#This Row],[Gauge ID]]="","",IF(AND(tblCalibrations[[#This Row],[Date calibrated]]&gt;=FFrom,tblCalibrations[[#This Row],[Date calibrated]]&lt;=FTo),tblCalibrations[[#This Row],[Date calibrated]],""))</f>
        <v>45943</v>
      </c>
      <c r="R47"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47" s="42" t="s">
        <v>141</v>
      </c>
    </row>
    <row r="48" spans="2:19">
      <c r="B48" s="28" t="s">
        <v>179</v>
      </c>
      <c r="C48" s="29">
        <v>45943</v>
      </c>
      <c r="D48" s="28" t="s">
        <v>119</v>
      </c>
      <c r="E48" s="28" t="s">
        <v>224</v>
      </c>
      <c r="F48" s="28" t="s">
        <v>225</v>
      </c>
      <c r="G48" s="28" t="s">
        <v>224</v>
      </c>
      <c r="H48" s="28" t="s">
        <v>226</v>
      </c>
      <c r="I48" s="28" t="s">
        <v>275</v>
      </c>
      <c r="J48" s="41">
        <v>142</v>
      </c>
      <c r="K48" s="35">
        <f>IF(tblCalibrations[[#This Row],[Gauge ID]]="","",IFERROR(INDEX(tblGauges[Interval (days)],MATCH(tblCalibrations[[#This Row],[Gauge ID]],tblGauges[Gauge ID],0)),""))</f>
        <v>180</v>
      </c>
      <c r="L48"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45763</v>
      </c>
      <c r="M48" s="36">
        <f>IF(tblCalibrations[[#This Row],[Gauge ID]]="","",IF(OR(tblCalibrations[[#This Row],[Previous calibration]]="",tblCalibrations[[#This Row],[Interval (days)]]=""),"",tblCalibrations[[#This Row],[Previous calibration]]+tblCalibrations[[#This Row],[Interval (days)]]))</f>
        <v>45943</v>
      </c>
      <c r="N48" s="35">
        <f>IF(tblCalibrations[[#This Row],[Gauge ID]]="","",IF(tblCalibrations[[#This Row],[Due date]]="","",MAX(0,tblCalibrations[[#This Row],[Date calibrated]]-tblCalibrations[[#This Row],[Due date]])))</f>
        <v>0</v>
      </c>
      <c r="O48" s="38" t="str">
        <f>IF(tblCalibrations[[#This Row],[Gauge ID]]="","",IF(tblCalibrations[[#This Row],[Due date]]="","",IF(tblCalibrations[[#This Row],[Date calibrated]]&lt;=tblCalibrations[[#This Row],[Due date]],"Yes","No")))</f>
        <v>Yes</v>
      </c>
      <c r="P48" s="35">
        <f>IF(tblCalibrations[[#This Row],[Gauge ID]]="","",IF(tblCalibrations[[#This Row],[As found]]="Out of tolerance",1,0))</f>
        <v>0</v>
      </c>
      <c r="Q48" s="36">
        <f>IF(tblCalibrations[[#This Row],[Gauge ID]]="","",IF(AND(tblCalibrations[[#This Row],[Date calibrated]]&gt;=FFrom,tblCalibrations[[#This Row],[Date calibrated]]&lt;=FTo),tblCalibrations[[#This Row],[Date calibrated]],""))</f>
        <v>45943</v>
      </c>
      <c r="R48"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48" s="42" t="s">
        <v>141</v>
      </c>
    </row>
    <row r="49" spans="2:19">
      <c r="B49" s="28" t="s">
        <v>173</v>
      </c>
      <c r="C49" s="29">
        <v>45951</v>
      </c>
      <c r="D49" s="28" t="s">
        <v>116</v>
      </c>
      <c r="E49" s="28" t="s">
        <v>224</v>
      </c>
      <c r="F49" s="28" t="s">
        <v>225</v>
      </c>
      <c r="G49" s="28" t="s">
        <v>224</v>
      </c>
      <c r="H49" s="28" t="s">
        <v>226</v>
      </c>
      <c r="I49" s="28" t="s">
        <v>276</v>
      </c>
      <c r="J49" s="41">
        <v>47</v>
      </c>
      <c r="K49" s="35">
        <f>IF(tblCalibrations[[#This Row],[Gauge ID]]="","",IFERROR(INDEX(tblGauges[Interval (days)],MATCH(tblCalibrations[[#This Row],[Gauge ID]],tblGauges[Gauge ID],0)),""))</f>
        <v>180</v>
      </c>
      <c r="L49"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45785</v>
      </c>
      <c r="M49" s="36">
        <f>IF(tblCalibrations[[#This Row],[Gauge ID]]="","",IF(OR(tblCalibrations[[#This Row],[Previous calibration]]="",tblCalibrations[[#This Row],[Interval (days)]]=""),"",tblCalibrations[[#This Row],[Previous calibration]]+tblCalibrations[[#This Row],[Interval (days)]]))</f>
        <v>45965</v>
      </c>
      <c r="N49" s="35">
        <f>IF(tblCalibrations[[#This Row],[Gauge ID]]="","",IF(tblCalibrations[[#This Row],[Due date]]="","",MAX(0,tblCalibrations[[#This Row],[Date calibrated]]-tblCalibrations[[#This Row],[Due date]])))</f>
        <v>0</v>
      </c>
      <c r="O49" s="38" t="str">
        <f>IF(tblCalibrations[[#This Row],[Gauge ID]]="","",IF(tblCalibrations[[#This Row],[Due date]]="","",IF(tblCalibrations[[#This Row],[Date calibrated]]&lt;=tblCalibrations[[#This Row],[Due date]],"Yes","No")))</f>
        <v>Yes</v>
      </c>
      <c r="P49" s="35">
        <f>IF(tblCalibrations[[#This Row],[Gauge ID]]="","",IF(tblCalibrations[[#This Row],[As found]]="Out of tolerance",1,0))</f>
        <v>0</v>
      </c>
      <c r="Q49" s="36">
        <f>IF(tblCalibrations[[#This Row],[Gauge ID]]="","",IF(AND(tblCalibrations[[#This Row],[Date calibrated]]&gt;=FFrom,tblCalibrations[[#This Row],[Date calibrated]]&lt;=FTo),tblCalibrations[[#This Row],[Date calibrated]],""))</f>
        <v>45951</v>
      </c>
      <c r="R49"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49" s="42" t="s">
        <v>141</v>
      </c>
    </row>
    <row r="50" spans="2:19">
      <c r="B50" s="28" t="s">
        <v>188</v>
      </c>
      <c r="C50" s="29">
        <v>45957</v>
      </c>
      <c r="D50" s="28" t="s">
        <v>122</v>
      </c>
      <c r="E50" s="28" t="s">
        <v>224</v>
      </c>
      <c r="F50" s="28" t="s">
        <v>225</v>
      </c>
      <c r="G50" s="28" t="s">
        <v>224</v>
      </c>
      <c r="H50" s="28" t="s">
        <v>226</v>
      </c>
      <c r="I50" s="28" t="s">
        <v>277</v>
      </c>
      <c r="J50" s="41">
        <v>173</v>
      </c>
      <c r="K50" s="35">
        <f>IF(tblCalibrations[[#This Row],[Gauge ID]]="","",IFERROR(INDEX(tblGauges[Interval (days)],MATCH(tblCalibrations[[#This Row],[Gauge ID]],tblGauges[Gauge ID],0)),""))</f>
        <v>90</v>
      </c>
      <c r="L50"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45869</v>
      </c>
      <c r="M50" s="36">
        <f>IF(tblCalibrations[[#This Row],[Gauge ID]]="","",IF(OR(tblCalibrations[[#This Row],[Previous calibration]]="",tblCalibrations[[#This Row],[Interval (days)]]=""),"",tblCalibrations[[#This Row],[Previous calibration]]+tblCalibrations[[#This Row],[Interval (days)]]))</f>
        <v>45959</v>
      </c>
      <c r="N50" s="35">
        <f>IF(tblCalibrations[[#This Row],[Gauge ID]]="","",IF(tblCalibrations[[#This Row],[Due date]]="","",MAX(0,tblCalibrations[[#This Row],[Date calibrated]]-tblCalibrations[[#This Row],[Due date]])))</f>
        <v>0</v>
      </c>
      <c r="O50" s="38" t="str">
        <f>IF(tblCalibrations[[#This Row],[Gauge ID]]="","",IF(tblCalibrations[[#This Row],[Due date]]="","",IF(tblCalibrations[[#This Row],[Date calibrated]]&lt;=tblCalibrations[[#This Row],[Due date]],"Yes","No")))</f>
        <v>Yes</v>
      </c>
      <c r="P50" s="35">
        <f>IF(tblCalibrations[[#This Row],[Gauge ID]]="","",IF(tblCalibrations[[#This Row],[As found]]="Out of tolerance",1,0))</f>
        <v>0</v>
      </c>
      <c r="Q50" s="36">
        <f>IF(tblCalibrations[[#This Row],[Gauge ID]]="","",IF(AND(tblCalibrations[[#This Row],[Date calibrated]]&gt;=FFrom,tblCalibrations[[#This Row],[Date calibrated]]&lt;=FTo),tblCalibrations[[#This Row],[Date calibrated]],""))</f>
        <v>45957</v>
      </c>
      <c r="R50"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50" s="42" t="s">
        <v>141</v>
      </c>
    </row>
    <row r="51" spans="2:19">
      <c r="B51" s="28" t="s">
        <v>182</v>
      </c>
      <c r="C51" s="29">
        <v>45978</v>
      </c>
      <c r="D51" s="28" t="s">
        <v>122</v>
      </c>
      <c r="E51" s="28" t="s">
        <v>224</v>
      </c>
      <c r="F51" s="28" t="s">
        <v>225</v>
      </c>
      <c r="G51" s="28" t="s">
        <v>224</v>
      </c>
      <c r="H51" s="28" t="s">
        <v>226</v>
      </c>
      <c r="I51" s="28" t="s">
        <v>278</v>
      </c>
      <c r="J51" s="41">
        <v>204</v>
      </c>
      <c r="K51" s="35">
        <f>IF(tblCalibrations[[#This Row],[Gauge ID]]="","",IFERROR(INDEX(tblGauges[Interval (days)],MATCH(tblCalibrations[[#This Row],[Gauge ID]],tblGauges[Gauge ID],0)),""))</f>
        <v>90</v>
      </c>
      <c r="L51"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45901</v>
      </c>
      <c r="M51" s="36">
        <f>IF(tblCalibrations[[#This Row],[Gauge ID]]="","",IF(OR(tblCalibrations[[#This Row],[Previous calibration]]="",tblCalibrations[[#This Row],[Interval (days)]]=""),"",tblCalibrations[[#This Row],[Previous calibration]]+tblCalibrations[[#This Row],[Interval (days)]]))</f>
        <v>45991</v>
      </c>
      <c r="N51" s="35">
        <f>IF(tblCalibrations[[#This Row],[Gauge ID]]="","",IF(tblCalibrations[[#This Row],[Due date]]="","",MAX(0,tblCalibrations[[#This Row],[Date calibrated]]-tblCalibrations[[#This Row],[Due date]])))</f>
        <v>0</v>
      </c>
      <c r="O51" s="38" t="str">
        <f>IF(tblCalibrations[[#This Row],[Gauge ID]]="","",IF(tblCalibrations[[#This Row],[Due date]]="","",IF(tblCalibrations[[#This Row],[Date calibrated]]&lt;=tblCalibrations[[#This Row],[Due date]],"Yes","No")))</f>
        <v>Yes</v>
      </c>
      <c r="P51" s="35">
        <f>IF(tblCalibrations[[#This Row],[Gauge ID]]="","",IF(tblCalibrations[[#This Row],[As found]]="Out of tolerance",1,0))</f>
        <v>0</v>
      </c>
      <c r="Q51" s="36">
        <f>IF(tblCalibrations[[#This Row],[Gauge ID]]="","",IF(AND(tblCalibrations[[#This Row],[Date calibrated]]&gt;=FFrom,tblCalibrations[[#This Row],[Date calibrated]]&lt;=FTo),tblCalibrations[[#This Row],[Date calibrated]],""))</f>
        <v>45978</v>
      </c>
      <c r="R51"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51" s="42" t="s">
        <v>141</v>
      </c>
    </row>
    <row r="52" spans="2:19">
      <c r="B52" s="28" t="s">
        <v>185</v>
      </c>
      <c r="C52" s="29">
        <v>45995</v>
      </c>
      <c r="D52" s="28" t="s">
        <v>122</v>
      </c>
      <c r="E52" s="28" t="s">
        <v>224</v>
      </c>
      <c r="F52" s="28" t="s">
        <v>225</v>
      </c>
      <c r="G52" s="28" t="s">
        <v>224</v>
      </c>
      <c r="H52" s="28" t="s">
        <v>226</v>
      </c>
      <c r="I52" s="28" t="s">
        <v>279</v>
      </c>
      <c r="J52" s="41">
        <v>87</v>
      </c>
      <c r="K52" s="35">
        <f>IF(tblCalibrations[[#This Row],[Gauge ID]]="","",IFERROR(INDEX(tblGauges[Interval (days)],MATCH(tblCalibrations[[#This Row],[Gauge ID]],tblGauges[Gauge ID],0)),""))</f>
        <v>90</v>
      </c>
      <c r="L52"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45915</v>
      </c>
      <c r="M52" s="36">
        <f>IF(tblCalibrations[[#This Row],[Gauge ID]]="","",IF(OR(tblCalibrations[[#This Row],[Previous calibration]]="",tblCalibrations[[#This Row],[Interval (days)]]=""),"",tblCalibrations[[#This Row],[Previous calibration]]+tblCalibrations[[#This Row],[Interval (days)]]))</f>
        <v>46005</v>
      </c>
      <c r="N52" s="35">
        <f>IF(tblCalibrations[[#This Row],[Gauge ID]]="","",IF(tblCalibrations[[#This Row],[Due date]]="","",MAX(0,tblCalibrations[[#This Row],[Date calibrated]]-tblCalibrations[[#This Row],[Due date]])))</f>
        <v>0</v>
      </c>
      <c r="O52" s="38" t="str">
        <f>IF(tblCalibrations[[#This Row],[Gauge ID]]="","",IF(tblCalibrations[[#This Row],[Due date]]="","",IF(tblCalibrations[[#This Row],[Date calibrated]]&lt;=tblCalibrations[[#This Row],[Due date]],"Yes","No")))</f>
        <v>Yes</v>
      </c>
      <c r="P52" s="35">
        <f>IF(tblCalibrations[[#This Row],[Gauge ID]]="","",IF(tblCalibrations[[#This Row],[As found]]="Out of tolerance",1,0))</f>
        <v>0</v>
      </c>
      <c r="Q52" s="36">
        <f>IF(tblCalibrations[[#This Row],[Gauge ID]]="","",IF(AND(tblCalibrations[[#This Row],[Date calibrated]]&gt;=FFrom,tblCalibrations[[#This Row],[Date calibrated]]&lt;=FTo),tblCalibrations[[#This Row],[Date calibrated]],""))</f>
        <v>45995</v>
      </c>
      <c r="R52"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52" s="42" t="s">
        <v>141</v>
      </c>
    </row>
    <row r="53" spans="2:19">
      <c r="B53" s="28" t="s">
        <v>188</v>
      </c>
      <c r="C53" s="29">
        <v>46034</v>
      </c>
      <c r="D53" s="28" t="s">
        <v>122</v>
      </c>
      <c r="E53" s="28" t="s">
        <v>224</v>
      </c>
      <c r="F53" s="28" t="s">
        <v>225</v>
      </c>
      <c r="G53" s="28" t="s">
        <v>224</v>
      </c>
      <c r="H53" s="28" t="s">
        <v>226</v>
      </c>
      <c r="I53" s="28" t="s">
        <v>280</v>
      </c>
      <c r="J53" s="41">
        <v>247</v>
      </c>
      <c r="K53" s="35">
        <f>IF(tblCalibrations[[#This Row],[Gauge ID]]="","",IFERROR(INDEX(tblGauges[Interval (days)],MATCH(tblCalibrations[[#This Row],[Gauge ID]],tblGauges[Gauge ID],0)),""))</f>
        <v>90</v>
      </c>
      <c r="L53"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45957</v>
      </c>
      <c r="M53" s="36">
        <f>IF(tblCalibrations[[#This Row],[Gauge ID]]="","",IF(OR(tblCalibrations[[#This Row],[Previous calibration]]="",tblCalibrations[[#This Row],[Interval (days)]]=""),"",tblCalibrations[[#This Row],[Previous calibration]]+tblCalibrations[[#This Row],[Interval (days)]]))</f>
        <v>46047</v>
      </c>
      <c r="N53" s="35">
        <f>IF(tblCalibrations[[#This Row],[Gauge ID]]="","",IF(tblCalibrations[[#This Row],[Due date]]="","",MAX(0,tblCalibrations[[#This Row],[Date calibrated]]-tblCalibrations[[#This Row],[Due date]])))</f>
        <v>0</v>
      </c>
      <c r="O53" s="38" t="str">
        <f>IF(tblCalibrations[[#This Row],[Gauge ID]]="","",IF(tblCalibrations[[#This Row],[Due date]]="","",IF(tblCalibrations[[#This Row],[Date calibrated]]&lt;=tblCalibrations[[#This Row],[Due date]],"Yes","No")))</f>
        <v>Yes</v>
      </c>
      <c r="P53" s="35">
        <f>IF(tblCalibrations[[#This Row],[Gauge ID]]="","",IF(tblCalibrations[[#This Row],[As found]]="Out of tolerance",1,0))</f>
        <v>0</v>
      </c>
      <c r="Q53" s="36">
        <f>IF(tblCalibrations[[#This Row],[Gauge ID]]="","",IF(AND(tblCalibrations[[#This Row],[Date calibrated]]&gt;=FFrom,tblCalibrations[[#This Row],[Date calibrated]]&lt;=FTo),tblCalibrations[[#This Row],[Date calibrated]],""))</f>
        <v>46034</v>
      </c>
      <c r="R53"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53" s="42" t="s">
        <v>141</v>
      </c>
    </row>
    <row r="54" spans="2:19">
      <c r="B54" s="28" t="s">
        <v>164</v>
      </c>
      <c r="C54" s="29">
        <v>46041</v>
      </c>
      <c r="D54" s="28" t="s">
        <v>116</v>
      </c>
      <c r="E54" s="28" t="s">
        <v>224</v>
      </c>
      <c r="F54" s="28" t="s">
        <v>225</v>
      </c>
      <c r="G54" s="28" t="s">
        <v>224</v>
      </c>
      <c r="H54" s="28" t="s">
        <v>226</v>
      </c>
      <c r="I54" s="28" t="s">
        <v>281</v>
      </c>
      <c r="J54" s="41">
        <v>44</v>
      </c>
      <c r="K54" s="35">
        <f>IF(tblCalibrations[[#This Row],[Gauge ID]]="","",IFERROR(INDEX(tblGauges[Interval (days)],MATCH(tblCalibrations[[#This Row],[Gauge ID]],tblGauges[Gauge ID],0)),""))</f>
        <v>180</v>
      </c>
      <c r="L54"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45870</v>
      </c>
      <c r="M54" s="36">
        <f>IF(tblCalibrations[[#This Row],[Gauge ID]]="","",IF(OR(tblCalibrations[[#This Row],[Previous calibration]]="",tblCalibrations[[#This Row],[Interval (days)]]=""),"",tblCalibrations[[#This Row],[Previous calibration]]+tblCalibrations[[#This Row],[Interval (days)]]))</f>
        <v>46050</v>
      </c>
      <c r="N54" s="35">
        <f>IF(tblCalibrations[[#This Row],[Gauge ID]]="","",IF(tblCalibrations[[#This Row],[Due date]]="","",MAX(0,tblCalibrations[[#This Row],[Date calibrated]]-tblCalibrations[[#This Row],[Due date]])))</f>
        <v>0</v>
      </c>
      <c r="O54" s="38" t="str">
        <f>IF(tblCalibrations[[#This Row],[Gauge ID]]="","",IF(tblCalibrations[[#This Row],[Due date]]="","",IF(tblCalibrations[[#This Row],[Date calibrated]]&lt;=tblCalibrations[[#This Row],[Due date]],"Yes","No")))</f>
        <v>Yes</v>
      </c>
      <c r="P54" s="35">
        <f>IF(tblCalibrations[[#This Row],[Gauge ID]]="","",IF(tblCalibrations[[#This Row],[As found]]="Out of tolerance",1,0))</f>
        <v>0</v>
      </c>
      <c r="Q54" s="36">
        <f>IF(tblCalibrations[[#This Row],[Gauge ID]]="","",IF(AND(tblCalibrations[[#This Row],[Date calibrated]]&gt;=FFrom,tblCalibrations[[#This Row],[Date calibrated]]&lt;=FTo),tblCalibrations[[#This Row],[Date calibrated]],""))</f>
        <v>46041</v>
      </c>
      <c r="R54"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54" s="42" t="s">
        <v>141</v>
      </c>
    </row>
    <row r="55" spans="2:19">
      <c r="B55" s="28" t="s">
        <v>149</v>
      </c>
      <c r="C55" s="29">
        <v>46059</v>
      </c>
      <c r="D55" s="28" t="s">
        <v>116</v>
      </c>
      <c r="E55" s="28" t="s">
        <v>224</v>
      </c>
      <c r="F55" s="28" t="s">
        <v>225</v>
      </c>
      <c r="G55" s="28" t="s">
        <v>224</v>
      </c>
      <c r="H55" s="28" t="s">
        <v>226</v>
      </c>
      <c r="I55" s="28" t="s">
        <v>282</v>
      </c>
      <c r="J55" s="41">
        <v>34</v>
      </c>
      <c r="K55" s="35">
        <f>IF(tblCalibrations[[#This Row],[Gauge ID]]="","",IFERROR(INDEX(tblGauges[Interval (days)],MATCH(tblCalibrations[[#This Row],[Gauge ID]],tblGauges[Gauge ID],0)),""))</f>
        <v>365</v>
      </c>
      <c r="L55"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45707</v>
      </c>
      <c r="M55" s="36">
        <f>IF(tblCalibrations[[#This Row],[Gauge ID]]="","",IF(OR(tblCalibrations[[#This Row],[Previous calibration]]="",tblCalibrations[[#This Row],[Interval (days)]]=""),"",tblCalibrations[[#This Row],[Previous calibration]]+tblCalibrations[[#This Row],[Interval (days)]]))</f>
        <v>46072</v>
      </c>
      <c r="N55" s="35">
        <f>IF(tblCalibrations[[#This Row],[Gauge ID]]="","",IF(tblCalibrations[[#This Row],[Due date]]="","",MAX(0,tblCalibrations[[#This Row],[Date calibrated]]-tblCalibrations[[#This Row],[Due date]])))</f>
        <v>0</v>
      </c>
      <c r="O55" s="38" t="str">
        <f>IF(tblCalibrations[[#This Row],[Gauge ID]]="","",IF(tblCalibrations[[#This Row],[Due date]]="","",IF(tblCalibrations[[#This Row],[Date calibrated]]&lt;=tblCalibrations[[#This Row],[Due date]],"Yes","No")))</f>
        <v>Yes</v>
      </c>
      <c r="P55" s="35">
        <f>IF(tblCalibrations[[#This Row],[Gauge ID]]="","",IF(tblCalibrations[[#This Row],[As found]]="Out of tolerance",1,0))</f>
        <v>0</v>
      </c>
      <c r="Q55" s="36">
        <f>IF(tblCalibrations[[#This Row],[Gauge ID]]="","",IF(AND(tblCalibrations[[#This Row],[Date calibrated]]&gt;=FFrom,tblCalibrations[[#This Row],[Date calibrated]]&lt;=FTo),tblCalibrations[[#This Row],[Date calibrated]],""))</f>
        <v>46059</v>
      </c>
      <c r="R55"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55" s="42" t="s">
        <v>141</v>
      </c>
    </row>
    <row r="56" spans="2:19">
      <c r="B56" s="28" t="s">
        <v>182</v>
      </c>
      <c r="C56" s="29">
        <v>46066</v>
      </c>
      <c r="D56" s="28" t="s">
        <v>122</v>
      </c>
      <c r="E56" s="28" t="s">
        <v>254</v>
      </c>
      <c r="F56" s="28" t="s">
        <v>255</v>
      </c>
      <c r="G56" s="28" t="s">
        <v>224</v>
      </c>
      <c r="H56" s="28" t="s">
        <v>256</v>
      </c>
      <c r="I56" s="28" t="s">
        <v>283</v>
      </c>
      <c r="J56" s="41">
        <v>143</v>
      </c>
      <c r="K56" s="35">
        <f>IF(tblCalibrations[[#This Row],[Gauge ID]]="","",IFERROR(INDEX(tblGauges[Interval (days)],MATCH(tblCalibrations[[#This Row],[Gauge ID]],tblGauges[Gauge ID],0)),""))</f>
        <v>90</v>
      </c>
      <c r="L56"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45978</v>
      </c>
      <c r="M56" s="36">
        <f>IF(tblCalibrations[[#This Row],[Gauge ID]]="","",IF(OR(tblCalibrations[[#This Row],[Previous calibration]]="",tblCalibrations[[#This Row],[Interval (days)]]=""),"",tblCalibrations[[#This Row],[Previous calibration]]+tblCalibrations[[#This Row],[Interval (days)]]))</f>
        <v>46068</v>
      </c>
      <c r="N56" s="35">
        <f>IF(tblCalibrations[[#This Row],[Gauge ID]]="","",IF(tblCalibrations[[#This Row],[Due date]]="","",MAX(0,tblCalibrations[[#This Row],[Date calibrated]]-tblCalibrations[[#This Row],[Due date]])))</f>
        <v>0</v>
      </c>
      <c r="O56" s="38" t="str">
        <f>IF(tblCalibrations[[#This Row],[Gauge ID]]="","",IF(tblCalibrations[[#This Row],[Due date]]="","",IF(tblCalibrations[[#This Row],[Date calibrated]]&lt;=tblCalibrations[[#This Row],[Due date]],"Yes","No")))</f>
        <v>Yes</v>
      </c>
      <c r="P56" s="35">
        <f>IF(tblCalibrations[[#This Row],[Gauge ID]]="","",IF(tblCalibrations[[#This Row],[As found]]="Out of tolerance",1,0))</f>
        <v>1</v>
      </c>
      <c r="Q56" s="36">
        <f>IF(tblCalibrations[[#This Row],[Gauge ID]]="","",IF(AND(tblCalibrations[[#This Row],[Date calibrated]]&gt;=FFrom,tblCalibrations[[#This Row],[Date calibrated]]&lt;=FTo),tblCalibrations[[#This Row],[Date calibrated]],""))</f>
        <v>46066</v>
      </c>
      <c r="R56"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56" s="42" t="s">
        <v>258</v>
      </c>
    </row>
    <row r="57" spans="2:19">
      <c r="B57" s="28" t="s">
        <v>137</v>
      </c>
      <c r="C57" s="29">
        <v>46069</v>
      </c>
      <c r="D57" s="28" t="s">
        <v>116</v>
      </c>
      <c r="E57" s="28" t="s">
        <v>224</v>
      </c>
      <c r="F57" s="28" t="s">
        <v>225</v>
      </c>
      <c r="G57" s="28" t="s">
        <v>224</v>
      </c>
      <c r="H57" s="28" t="s">
        <v>226</v>
      </c>
      <c r="I57" s="28" t="s">
        <v>284</v>
      </c>
      <c r="J57" s="41">
        <v>49</v>
      </c>
      <c r="K57" s="35">
        <f>IF(tblCalibrations[[#This Row],[Gauge ID]]="","",IFERROR(INDEX(tblGauges[Interval (days)],MATCH(tblCalibrations[[#This Row],[Gauge ID]],tblGauges[Gauge ID],0)),""))</f>
        <v>180</v>
      </c>
      <c r="L57"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45891</v>
      </c>
      <c r="M57" s="36">
        <f>IF(tblCalibrations[[#This Row],[Gauge ID]]="","",IF(OR(tblCalibrations[[#This Row],[Previous calibration]]="",tblCalibrations[[#This Row],[Interval (days)]]=""),"",tblCalibrations[[#This Row],[Previous calibration]]+tblCalibrations[[#This Row],[Interval (days)]]))</f>
        <v>46071</v>
      </c>
      <c r="N57" s="35">
        <f>IF(tblCalibrations[[#This Row],[Gauge ID]]="","",IF(tblCalibrations[[#This Row],[Due date]]="","",MAX(0,tblCalibrations[[#This Row],[Date calibrated]]-tblCalibrations[[#This Row],[Due date]])))</f>
        <v>0</v>
      </c>
      <c r="O57" s="38" t="str">
        <f>IF(tblCalibrations[[#This Row],[Gauge ID]]="","",IF(tblCalibrations[[#This Row],[Due date]]="","",IF(tblCalibrations[[#This Row],[Date calibrated]]&lt;=tblCalibrations[[#This Row],[Due date]],"Yes","No")))</f>
        <v>Yes</v>
      </c>
      <c r="P57" s="35">
        <f>IF(tblCalibrations[[#This Row],[Gauge ID]]="","",IF(tblCalibrations[[#This Row],[As found]]="Out of tolerance",1,0))</f>
        <v>0</v>
      </c>
      <c r="Q57" s="36">
        <f>IF(tblCalibrations[[#This Row],[Gauge ID]]="","",IF(AND(tblCalibrations[[#This Row],[Date calibrated]]&gt;=FFrom,tblCalibrations[[#This Row],[Date calibrated]]&lt;=FTo),tblCalibrations[[#This Row],[Date calibrated]],""))</f>
        <v>46069</v>
      </c>
      <c r="R57"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57" s="42" t="s">
        <v>141</v>
      </c>
    </row>
    <row r="58" spans="2:19">
      <c r="B58" s="28" t="s">
        <v>176</v>
      </c>
      <c r="C58" s="29">
        <v>46069</v>
      </c>
      <c r="D58" s="28" t="s">
        <v>119</v>
      </c>
      <c r="E58" s="28" t="s">
        <v>224</v>
      </c>
      <c r="F58" s="28" t="s">
        <v>225</v>
      </c>
      <c r="G58" s="28" t="s">
        <v>224</v>
      </c>
      <c r="H58" s="28" t="s">
        <v>226</v>
      </c>
      <c r="I58" s="28" t="s">
        <v>285</v>
      </c>
      <c r="J58" s="41">
        <v>245</v>
      </c>
      <c r="K58" s="35">
        <f>IF(tblCalibrations[[#This Row],[Gauge ID]]="","",IFERROR(INDEX(tblGauges[Interval (days)],MATCH(tblCalibrations[[#This Row],[Gauge ID]],tblGauges[Gauge ID],0)),""))</f>
        <v>180</v>
      </c>
      <c r="L58"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45894</v>
      </c>
      <c r="M58" s="36">
        <f>IF(tblCalibrations[[#This Row],[Gauge ID]]="","",IF(OR(tblCalibrations[[#This Row],[Previous calibration]]="",tblCalibrations[[#This Row],[Interval (days)]]=""),"",tblCalibrations[[#This Row],[Previous calibration]]+tblCalibrations[[#This Row],[Interval (days)]]))</f>
        <v>46074</v>
      </c>
      <c r="N58" s="35">
        <f>IF(tblCalibrations[[#This Row],[Gauge ID]]="","",IF(tblCalibrations[[#This Row],[Due date]]="","",MAX(0,tblCalibrations[[#This Row],[Date calibrated]]-tblCalibrations[[#This Row],[Due date]])))</f>
        <v>0</v>
      </c>
      <c r="O58" s="38" t="str">
        <f>IF(tblCalibrations[[#This Row],[Gauge ID]]="","",IF(tblCalibrations[[#This Row],[Due date]]="","",IF(tblCalibrations[[#This Row],[Date calibrated]]&lt;=tblCalibrations[[#This Row],[Due date]],"Yes","No")))</f>
        <v>Yes</v>
      </c>
      <c r="P58" s="35">
        <f>IF(tblCalibrations[[#This Row],[Gauge ID]]="","",IF(tblCalibrations[[#This Row],[As found]]="Out of tolerance",1,0))</f>
        <v>0</v>
      </c>
      <c r="Q58" s="36">
        <f>IF(tblCalibrations[[#This Row],[Gauge ID]]="","",IF(AND(tblCalibrations[[#This Row],[Date calibrated]]&gt;=FFrom,tblCalibrations[[#This Row],[Date calibrated]]&lt;=FTo),tblCalibrations[[#This Row],[Date calibrated]],""))</f>
        <v>46069</v>
      </c>
      <c r="R58"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58" s="42" t="s">
        <v>141</v>
      </c>
    </row>
    <row r="59" spans="2:19">
      <c r="B59" s="28" t="s">
        <v>162</v>
      </c>
      <c r="C59" s="29">
        <v>46076</v>
      </c>
      <c r="D59" s="28" t="s">
        <v>119</v>
      </c>
      <c r="E59" s="28" t="s">
        <v>224</v>
      </c>
      <c r="F59" s="28" t="s">
        <v>225</v>
      </c>
      <c r="G59" s="28" t="s">
        <v>224</v>
      </c>
      <c r="H59" s="28" t="s">
        <v>226</v>
      </c>
      <c r="I59" s="28" t="s">
        <v>286</v>
      </c>
      <c r="J59" s="41">
        <v>100</v>
      </c>
      <c r="K59" s="35">
        <f>IF(tblCalibrations[[#This Row],[Gauge ID]]="","",IFERROR(INDEX(tblGauges[Interval (days)],MATCH(tblCalibrations[[#This Row],[Gauge ID]],tblGauges[Gauge ID],0)),""))</f>
        <v>365</v>
      </c>
      <c r="L59"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45698</v>
      </c>
      <c r="M59" s="36">
        <f>IF(tblCalibrations[[#This Row],[Gauge ID]]="","",IF(OR(tblCalibrations[[#This Row],[Previous calibration]]="",tblCalibrations[[#This Row],[Interval (days)]]=""),"",tblCalibrations[[#This Row],[Previous calibration]]+tblCalibrations[[#This Row],[Interval (days)]]))</f>
        <v>46063</v>
      </c>
      <c r="N59" s="35">
        <f>IF(tblCalibrations[[#This Row],[Gauge ID]]="","",IF(tblCalibrations[[#This Row],[Due date]]="","",MAX(0,tblCalibrations[[#This Row],[Date calibrated]]-tblCalibrations[[#This Row],[Due date]])))</f>
        <v>13</v>
      </c>
      <c r="O59" s="38" t="str">
        <f>IF(tblCalibrations[[#This Row],[Gauge ID]]="","",IF(tblCalibrations[[#This Row],[Due date]]="","",IF(tblCalibrations[[#This Row],[Date calibrated]]&lt;=tblCalibrations[[#This Row],[Due date]],"Yes","No")))</f>
        <v>No</v>
      </c>
      <c r="P59" s="35">
        <f>IF(tblCalibrations[[#This Row],[Gauge ID]]="","",IF(tblCalibrations[[#This Row],[As found]]="Out of tolerance",1,0))</f>
        <v>0</v>
      </c>
      <c r="Q59" s="36">
        <f>IF(tblCalibrations[[#This Row],[Gauge ID]]="","",IF(AND(tblCalibrations[[#This Row],[Date calibrated]]&gt;=FFrom,tblCalibrations[[#This Row],[Date calibrated]]&lt;=FTo),tblCalibrations[[#This Row],[Date calibrated]],""))</f>
        <v>46076</v>
      </c>
      <c r="R59"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59" s="42" t="s">
        <v>141</v>
      </c>
    </row>
    <row r="60" spans="2:19">
      <c r="B60" s="28" t="s">
        <v>185</v>
      </c>
      <c r="C60" s="29">
        <v>46078</v>
      </c>
      <c r="D60" s="28" t="s">
        <v>122</v>
      </c>
      <c r="E60" s="28" t="s">
        <v>224</v>
      </c>
      <c r="F60" s="28" t="s">
        <v>225</v>
      </c>
      <c r="G60" s="28" t="s">
        <v>224</v>
      </c>
      <c r="H60" s="28" t="s">
        <v>226</v>
      </c>
      <c r="I60" s="28" t="s">
        <v>287</v>
      </c>
      <c r="J60" s="41">
        <v>87</v>
      </c>
      <c r="K60" s="35">
        <f>IF(tblCalibrations[[#This Row],[Gauge ID]]="","",IFERROR(INDEX(tblGauges[Interval (days)],MATCH(tblCalibrations[[#This Row],[Gauge ID]],tblGauges[Gauge ID],0)),""))</f>
        <v>90</v>
      </c>
      <c r="L60"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45995</v>
      </c>
      <c r="M60" s="36">
        <f>IF(tblCalibrations[[#This Row],[Gauge ID]]="","",IF(OR(tblCalibrations[[#This Row],[Previous calibration]]="",tblCalibrations[[#This Row],[Interval (days)]]=""),"",tblCalibrations[[#This Row],[Previous calibration]]+tblCalibrations[[#This Row],[Interval (days)]]))</f>
        <v>46085</v>
      </c>
      <c r="N60" s="35">
        <f>IF(tblCalibrations[[#This Row],[Gauge ID]]="","",IF(tblCalibrations[[#This Row],[Due date]]="","",MAX(0,tblCalibrations[[#This Row],[Date calibrated]]-tblCalibrations[[#This Row],[Due date]])))</f>
        <v>0</v>
      </c>
      <c r="O60" s="38" t="str">
        <f>IF(tblCalibrations[[#This Row],[Gauge ID]]="","",IF(tblCalibrations[[#This Row],[Due date]]="","",IF(tblCalibrations[[#This Row],[Date calibrated]]&lt;=tblCalibrations[[#This Row],[Due date]],"Yes","No")))</f>
        <v>Yes</v>
      </c>
      <c r="P60" s="35">
        <f>IF(tblCalibrations[[#This Row],[Gauge ID]]="","",IF(tblCalibrations[[#This Row],[As found]]="Out of tolerance",1,0))</f>
        <v>0</v>
      </c>
      <c r="Q60" s="36">
        <f>IF(tblCalibrations[[#This Row],[Gauge ID]]="","",IF(AND(tblCalibrations[[#This Row],[Date calibrated]]&gt;=FFrom,tblCalibrations[[#This Row],[Date calibrated]]&lt;=FTo),tblCalibrations[[#This Row],[Date calibrated]],""))</f>
        <v>46078</v>
      </c>
      <c r="R60"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60" s="42" t="s">
        <v>141</v>
      </c>
    </row>
    <row r="61" spans="2:19">
      <c r="B61" s="28" t="s">
        <v>142</v>
      </c>
      <c r="C61" s="29">
        <v>46083</v>
      </c>
      <c r="D61" s="28" t="s">
        <v>116</v>
      </c>
      <c r="E61" s="28" t="s">
        <v>224</v>
      </c>
      <c r="F61" s="28" t="s">
        <v>225</v>
      </c>
      <c r="G61" s="28" t="s">
        <v>224</v>
      </c>
      <c r="H61" s="28" t="s">
        <v>226</v>
      </c>
      <c r="I61" s="28" t="s">
        <v>288</v>
      </c>
      <c r="J61" s="41">
        <v>36</v>
      </c>
      <c r="K61" s="35">
        <f>IF(tblCalibrations[[#This Row],[Gauge ID]]="","",IFERROR(INDEX(tblGauges[Interval (days)],MATCH(tblCalibrations[[#This Row],[Gauge ID]],tblGauges[Gauge ID],0)),""))</f>
        <v>180</v>
      </c>
      <c r="L61"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45911</v>
      </c>
      <c r="M61" s="36">
        <f>IF(tblCalibrations[[#This Row],[Gauge ID]]="","",IF(OR(tblCalibrations[[#This Row],[Previous calibration]]="",tblCalibrations[[#This Row],[Interval (days)]]=""),"",tblCalibrations[[#This Row],[Previous calibration]]+tblCalibrations[[#This Row],[Interval (days)]]))</f>
        <v>46091</v>
      </c>
      <c r="N61" s="35">
        <f>IF(tblCalibrations[[#This Row],[Gauge ID]]="","",IF(tblCalibrations[[#This Row],[Due date]]="","",MAX(0,tblCalibrations[[#This Row],[Date calibrated]]-tblCalibrations[[#This Row],[Due date]])))</f>
        <v>0</v>
      </c>
      <c r="O61" s="38" t="str">
        <f>IF(tblCalibrations[[#This Row],[Gauge ID]]="","",IF(tblCalibrations[[#This Row],[Due date]]="","",IF(tblCalibrations[[#This Row],[Date calibrated]]&lt;=tblCalibrations[[#This Row],[Due date]],"Yes","No")))</f>
        <v>Yes</v>
      </c>
      <c r="P61" s="35">
        <f>IF(tblCalibrations[[#This Row],[Gauge ID]]="","",IF(tblCalibrations[[#This Row],[As found]]="Out of tolerance",1,0))</f>
        <v>0</v>
      </c>
      <c r="Q61" s="36">
        <f>IF(tblCalibrations[[#This Row],[Gauge ID]]="","",IF(AND(tblCalibrations[[#This Row],[Date calibrated]]&gt;=FFrom,tblCalibrations[[#This Row],[Date calibrated]]&lt;=FTo),tblCalibrations[[#This Row],[Date calibrated]],""))</f>
        <v>46083</v>
      </c>
      <c r="R61"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61" s="42" t="s">
        <v>141</v>
      </c>
    </row>
    <row r="62" spans="2:19">
      <c r="B62" s="28" t="s">
        <v>155</v>
      </c>
      <c r="C62" s="29">
        <v>46087</v>
      </c>
      <c r="D62" s="28" t="s">
        <v>116</v>
      </c>
      <c r="E62" s="28" t="s">
        <v>224</v>
      </c>
      <c r="F62" s="28" t="s">
        <v>225</v>
      </c>
      <c r="G62" s="28" t="s">
        <v>224</v>
      </c>
      <c r="H62" s="28" t="s">
        <v>226</v>
      </c>
      <c r="I62" s="28" t="s">
        <v>289</v>
      </c>
      <c r="J62" s="41">
        <v>35</v>
      </c>
      <c r="K62" s="35">
        <f>IF(tblCalibrations[[#This Row],[Gauge ID]]="","",IFERROR(INDEX(tblGauges[Interval (days)],MATCH(tblCalibrations[[#This Row],[Gauge ID]],tblGauges[Gauge ID],0)),""))</f>
        <v>365</v>
      </c>
      <c r="L62"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45723</v>
      </c>
      <c r="M62" s="36">
        <f>IF(tblCalibrations[[#This Row],[Gauge ID]]="","",IF(OR(tblCalibrations[[#This Row],[Previous calibration]]="",tblCalibrations[[#This Row],[Interval (days)]]=""),"",tblCalibrations[[#This Row],[Previous calibration]]+tblCalibrations[[#This Row],[Interval (days)]]))</f>
        <v>46088</v>
      </c>
      <c r="N62" s="35">
        <f>IF(tblCalibrations[[#This Row],[Gauge ID]]="","",IF(tblCalibrations[[#This Row],[Due date]]="","",MAX(0,tblCalibrations[[#This Row],[Date calibrated]]-tblCalibrations[[#This Row],[Due date]])))</f>
        <v>0</v>
      </c>
      <c r="O62" s="38" t="str">
        <f>IF(tblCalibrations[[#This Row],[Gauge ID]]="","",IF(tblCalibrations[[#This Row],[Due date]]="","",IF(tblCalibrations[[#This Row],[Date calibrated]]&lt;=tblCalibrations[[#This Row],[Due date]],"Yes","No")))</f>
        <v>Yes</v>
      </c>
      <c r="P62" s="35">
        <f>IF(tblCalibrations[[#This Row],[Gauge ID]]="","",IF(tblCalibrations[[#This Row],[As found]]="Out of tolerance",1,0))</f>
        <v>0</v>
      </c>
      <c r="Q62" s="36">
        <f>IF(tblCalibrations[[#This Row],[Gauge ID]]="","",IF(AND(tblCalibrations[[#This Row],[Date calibrated]]&gt;=FFrom,tblCalibrations[[#This Row],[Date calibrated]]&lt;=FTo),tblCalibrations[[#This Row],[Date calibrated]],""))</f>
        <v>46087</v>
      </c>
      <c r="R62"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62" s="42" t="s">
        <v>141</v>
      </c>
    </row>
    <row r="63" spans="2:19">
      <c r="B63" s="28" t="s">
        <v>152</v>
      </c>
      <c r="C63" s="29">
        <v>46090</v>
      </c>
      <c r="D63" s="28" t="s">
        <v>116</v>
      </c>
      <c r="E63" s="28" t="s">
        <v>224</v>
      </c>
      <c r="F63" s="28" t="s">
        <v>225</v>
      </c>
      <c r="G63" s="28" t="s">
        <v>224</v>
      </c>
      <c r="H63" s="28" t="s">
        <v>226</v>
      </c>
      <c r="I63" s="28" t="s">
        <v>290</v>
      </c>
      <c r="J63" s="41">
        <v>40</v>
      </c>
      <c r="K63" s="35">
        <f>IF(tblCalibrations[[#This Row],[Gauge ID]]="","",IFERROR(INDEX(tblGauges[Interval (days)],MATCH(tblCalibrations[[#This Row],[Gauge ID]],tblGauges[Gauge ID],0)),""))</f>
        <v>365</v>
      </c>
      <c r="L63"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45740</v>
      </c>
      <c r="M63" s="36">
        <f>IF(tblCalibrations[[#This Row],[Gauge ID]]="","",IF(OR(tblCalibrations[[#This Row],[Previous calibration]]="",tblCalibrations[[#This Row],[Interval (days)]]=""),"",tblCalibrations[[#This Row],[Previous calibration]]+tblCalibrations[[#This Row],[Interval (days)]]))</f>
        <v>46105</v>
      </c>
      <c r="N63" s="35">
        <f>IF(tblCalibrations[[#This Row],[Gauge ID]]="","",IF(tblCalibrations[[#This Row],[Due date]]="","",MAX(0,tblCalibrations[[#This Row],[Date calibrated]]-tblCalibrations[[#This Row],[Due date]])))</f>
        <v>0</v>
      </c>
      <c r="O63" s="38" t="str">
        <f>IF(tblCalibrations[[#This Row],[Gauge ID]]="","",IF(tblCalibrations[[#This Row],[Due date]]="","",IF(tblCalibrations[[#This Row],[Date calibrated]]&lt;=tblCalibrations[[#This Row],[Due date]],"Yes","No")))</f>
        <v>Yes</v>
      </c>
      <c r="P63" s="35">
        <f>IF(tblCalibrations[[#This Row],[Gauge ID]]="","",IF(tblCalibrations[[#This Row],[As found]]="Out of tolerance",1,0))</f>
        <v>0</v>
      </c>
      <c r="Q63" s="36">
        <f>IF(tblCalibrations[[#This Row],[Gauge ID]]="","",IF(AND(tblCalibrations[[#This Row],[Date calibrated]]&gt;=FFrom,tblCalibrations[[#This Row],[Date calibrated]]&lt;=FTo),tblCalibrations[[#This Row],[Date calibrated]],""))</f>
        <v>46090</v>
      </c>
      <c r="R63"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63" s="42" t="s">
        <v>141</v>
      </c>
    </row>
    <row r="64" spans="2:19">
      <c r="B64" s="28" t="s">
        <v>203</v>
      </c>
      <c r="C64" s="29">
        <v>46091</v>
      </c>
      <c r="D64" s="28" t="s">
        <v>122</v>
      </c>
      <c r="E64" s="28" t="s">
        <v>224</v>
      </c>
      <c r="F64" s="28" t="s">
        <v>225</v>
      </c>
      <c r="G64" s="28" t="s">
        <v>224</v>
      </c>
      <c r="H64" s="28" t="s">
        <v>226</v>
      </c>
      <c r="I64" s="28" t="s">
        <v>291</v>
      </c>
      <c r="J64" s="41">
        <v>115</v>
      </c>
      <c r="K64" s="35">
        <f>IF(tblCalibrations[[#This Row],[Gauge ID]]="","",IFERROR(INDEX(tblGauges[Interval (days)],MATCH(tblCalibrations[[#This Row],[Gauge ID]],tblGauges[Gauge ID],0)),""))</f>
        <v>180</v>
      </c>
      <c r="L64"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45943</v>
      </c>
      <c r="M64" s="36">
        <f>IF(tblCalibrations[[#This Row],[Gauge ID]]="","",IF(OR(tblCalibrations[[#This Row],[Previous calibration]]="",tblCalibrations[[#This Row],[Interval (days)]]=""),"",tblCalibrations[[#This Row],[Previous calibration]]+tblCalibrations[[#This Row],[Interval (days)]]))</f>
        <v>46123</v>
      </c>
      <c r="N64" s="35">
        <f>IF(tblCalibrations[[#This Row],[Gauge ID]]="","",IF(tblCalibrations[[#This Row],[Due date]]="","",MAX(0,tblCalibrations[[#This Row],[Date calibrated]]-tblCalibrations[[#This Row],[Due date]])))</f>
        <v>0</v>
      </c>
      <c r="O64" s="38" t="str">
        <f>IF(tblCalibrations[[#This Row],[Gauge ID]]="","",IF(tblCalibrations[[#This Row],[Due date]]="","",IF(tblCalibrations[[#This Row],[Date calibrated]]&lt;=tblCalibrations[[#This Row],[Due date]],"Yes","No")))</f>
        <v>Yes</v>
      </c>
      <c r="P64" s="35">
        <f>IF(tblCalibrations[[#This Row],[Gauge ID]]="","",IF(tblCalibrations[[#This Row],[As found]]="Out of tolerance",1,0))</f>
        <v>0</v>
      </c>
      <c r="Q64" s="36">
        <f>IF(tblCalibrations[[#This Row],[Gauge ID]]="","",IF(AND(tblCalibrations[[#This Row],[Date calibrated]]&gt;=FFrom,tblCalibrations[[#This Row],[Date calibrated]]&lt;=FTo),tblCalibrations[[#This Row],[Date calibrated]],""))</f>
        <v>46091</v>
      </c>
      <c r="R64"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64" s="42" t="s">
        <v>141</v>
      </c>
    </row>
    <row r="65" spans="2:19">
      <c r="B65" s="28" t="s">
        <v>143</v>
      </c>
      <c r="C65" s="29">
        <v>46097</v>
      </c>
      <c r="D65" s="28" t="s">
        <v>116</v>
      </c>
      <c r="E65" s="28" t="s">
        <v>224</v>
      </c>
      <c r="F65" s="28" t="s">
        <v>225</v>
      </c>
      <c r="G65" s="28" t="s">
        <v>224</v>
      </c>
      <c r="H65" s="28" t="s">
        <v>226</v>
      </c>
      <c r="I65" s="28" t="s">
        <v>292</v>
      </c>
      <c r="J65" s="41">
        <v>45</v>
      </c>
      <c r="K65" s="35">
        <f>IF(tblCalibrations[[#This Row],[Gauge ID]]="","",IFERROR(INDEX(tblGauges[Interval (days)],MATCH(tblCalibrations[[#This Row],[Gauge ID]],tblGauges[Gauge ID],0)),""))</f>
        <v>180</v>
      </c>
      <c r="L65"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45922</v>
      </c>
      <c r="M65" s="36">
        <f>IF(tblCalibrations[[#This Row],[Gauge ID]]="","",IF(OR(tblCalibrations[[#This Row],[Previous calibration]]="",tblCalibrations[[#This Row],[Interval (days)]]=""),"",tblCalibrations[[#This Row],[Previous calibration]]+tblCalibrations[[#This Row],[Interval (days)]]))</f>
        <v>46102</v>
      </c>
      <c r="N65" s="35">
        <f>IF(tblCalibrations[[#This Row],[Gauge ID]]="","",IF(tblCalibrations[[#This Row],[Due date]]="","",MAX(0,tblCalibrations[[#This Row],[Date calibrated]]-tblCalibrations[[#This Row],[Due date]])))</f>
        <v>0</v>
      </c>
      <c r="O65" s="38" t="str">
        <f>IF(tblCalibrations[[#This Row],[Gauge ID]]="","",IF(tblCalibrations[[#This Row],[Due date]]="","",IF(tblCalibrations[[#This Row],[Date calibrated]]&lt;=tblCalibrations[[#This Row],[Due date]],"Yes","No")))</f>
        <v>Yes</v>
      </c>
      <c r="P65" s="35">
        <f>IF(tblCalibrations[[#This Row],[Gauge ID]]="","",IF(tblCalibrations[[#This Row],[As found]]="Out of tolerance",1,0))</f>
        <v>0</v>
      </c>
      <c r="Q65" s="36">
        <f>IF(tblCalibrations[[#This Row],[Gauge ID]]="","",IF(AND(tblCalibrations[[#This Row],[Date calibrated]]&gt;=FFrom,tblCalibrations[[#This Row],[Date calibrated]]&lt;=FTo),tblCalibrations[[#This Row],[Date calibrated]],""))</f>
        <v>46097</v>
      </c>
      <c r="R65"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65" s="42" t="s">
        <v>141</v>
      </c>
    </row>
    <row r="66" spans="2:19">
      <c r="B66" s="28" t="s">
        <v>200</v>
      </c>
      <c r="C66" s="29">
        <v>46104</v>
      </c>
      <c r="D66" s="28" t="s">
        <v>122</v>
      </c>
      <c r="E66" s="28" t="s">
        <v>224</v>
      </c>
      <c r="F66" s="28" t="s">
        <v>225</v>
      </c>
      <c r="G66" s="28" t="s">
        <v>224</v>
      </c>
      <c r="H66" s="28" t="s">
        <v>226</v>
      </c>
      <c r="I66" s="28" t="s">
        <v>293</v>
      </c>
      <c r="J66" s="41">
        <v>99</v>
      </c>
      <c r="K66" s="35">
        <f>IF(tblCalibrations[[#This Row],[Gauge ID]]="","",IFERROR(INDEX(tblGauges[Interval (days)],MATCH(tblCalibrations[[#This Row],[Gauge ID]],tblGauges[Gauge ID],0)),""))</f>
        <v>180</v>
      </c>
      <c r="L66"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45919</v>
      </c>
      <c r="M66" s="36">
        <f>IF(tblCalibrations[[#This Row],[Gauge ID]]="","",IF(OR(tblCalibrations[[#This Row],[Previous calibration]]="",tblCalibrations[[#This Row],[Interval (days)]]=""),"",tblCalibrations[[#This Row],[Previous calibration]]+tblCalibrations[[#This Row],[Interval (days)]]))</f>
        <v>46099</v>
      </c>
      <c r="N66" s="35">
        <f>IF(tblCalibrations[[#This Row],[Gauge ID]]="","",IF(tblCalibrations[[#This Row],[Due date]]="","",MAX(0,tblCalibrations[[#This Row],[Date calibrated]]-tblCalibrations[[#This Row],[Due date]])))</f>
        <v>5</v>
      </c>
      <c r="O66" s="38" t="str">
        <f>IF(tblCalibrations[[#This Row],[Gauge ID]]="","",IF(tblCalibrations[[#This Row],[Due date]]="","",IF(tblCalibrations[[#This Row],[Date calibrated]]&lt;=tblCalibrations[[#This Row],[Due date]],"Yes","No")))</f>
        <v>No</v>
      </c>
      <c r="P66" s="35">
        <f>IF(tblCalibrations[[#This Row],[Gauge ID]]="","",IF(tblCalibrations[[#This Row],[As found]]="Out of tolerance",1,0))</f>
        <v>0</v>
      </c>
      <c r="Q66" s="36">
        <f>IF(tblCalibrations[[#This Row],[Gauge ID]]="","",IF(AND(tblCalibrations[[#This Row],[Date calibrated]]&gt;=FFrom,tblCalibrations[[#This Row],[Date calibrated]]&lt;=FTo),tblCalibrations[[#This Row],[Date calibrated]],""))</f>
        <v>46104</v>
      </c>
      <c r="R66"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66" s="42" t="s">
        <v>141</v>
      </c>
    </row>
    <row r="67" spans="2:19">
      <c r="B67" s="28" t="s">
        <v>158</v>
      </c>
      <c r="C67" s="29">
        <v>46113</v>
      </c>
      <c r="D67" s="28" t="s">
        <v>116</v>
      </c>
      <c r="E67" s="28" t="s">
        <v>254</v>
      </c>
      <c r="F67" s="28" t="s">
        <v>259</v>
      </c>
      <c r="G67" s="28" t="s">
        <v>261</v>
      </c>
      <c r="H67" s="28" t="s">
        <v>256</v>
      </c>
      <c r="I67" s="28" t="s">
        <v>294</v>
      </c>
      <c r="J67" s="41">
        <v>31</v>
      </c>
      <c r="K67" s="35">
        <f>IF(tblCalibrations[[#This Row],[Gauge ID]]="","",IFERROR(INDEX(tblGauges[Interval (days)],MATCH(tblCalibrations[[#This Row],[Gauge ID]],tblGauges[Gauge ID],0)),""))</f>
        <v>365</v>
      </c>
      <c r="L67"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45754</v>
      </c>
      <c r="M67" s="36">
        <f>IF(tblCalibrations[[#This Row],[Gauge ID]]="","",IF(OR(tblCalibrations[[#This Row],[Previous calibration]]="",tblCalibrations[[#This Row],[Interval (days)]]=""),"",tblCalibrations[[#This Row],[Previous calibration]]+tblCalibrations[[#This Row],[Interval (days)]]))</f>
        <v>46119</v>
      </c>
      <c r="N67" s="35">
        <f>IF(tblCalibrations[[#This Row],[Gauge ID]]="","",IF(tblCalibrations[[#This Row],[Due date]]="","",MAX(0,tblCalibrations[[#This Row],[Date calibrated]]-tblCalibrations[[#This Row],[Due date]])))</f>
        <v>0</v>
      </c>
      <c r="O67" s="38" t="str">
        <f>IF(tblCalibrations[[#This Row],[Gauge ID]]="","",IF(tblCalibrations[[#This Row],[Due date]]="","",IF(tblCalibrations[[#This Row],[Date calibrated]]&lt;=tblCalibrations[[#This Row],[Due date]],"Yes","No")))</f>
        <v>Yes</v>
      </c>
      <c r="P67" s="35">
        <f>IF(tblCalibrations[[#This Row],[Gauge ID]]="","",IF(tblCalibrations[[#This Row],[As found]]="Out of tolerance",1,0))</f>
        <v>1</v>
      </c>
      <c r="Q67" s="36">
        <f>IF(tblCalibrations[[#This Row],[Gauge ID]]="","",IF(AND(tblCalibrations[[#This Row],[Date calibrated]]&gt;=FFrom,tblCalibrations[[#This Row],[Date calibrated]]&lt;=FTo),tblCalibrations[[#This Row],[Date calibrated]],""))</f>
        <v>46113</v>
      </c>
      <c r="R67"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67" s="42" t="s">
        <v>295</v>
      </c>
    </row>
    <row r="68" spans="2:19">
      <c r="B68" s="28" t="s">
        <v>146</v>
      </c>
      <c r="C68" s="29">
        <v>46115</v>
      </c>
      <c r="D68" s="28" t="s">
        <v>116</v>
      </c>
      <c r="E68" s="28" t="s">
        <v>224</v>
      </c>
      <c r="F68" s="28" t="s">
        <v>225</v>
      </c>
      <c r="G68" s="28" t="s">
        <v>224</v>
      </c>
      <c r="H68" s="28" t="s">
        <v>226</v>
      </c>
      <c r="I68" s="28" t="s">
        <v>296</v>
      </c>
      <c r="J68" s="41">
        <v>46</v>
      </c>
      <c r="K68" s="35">
        <f>IF(tblCalibrations[[#This Row],[Gauge ID]]="","",IFERROR(INDEX(tblGauges[Interval (days)],MATCH(tblCalibrations[[#This Row],[Gauge ID]],tblGauges[Gauge ID],0)),""))</f>
        <v>180</v>
      </c>
      <c r="L68"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45943</v>
      </c>
      <c r="M68" s="36">
        <f>IF(tblCalibrations[[#This Row],[Gauge ID]]="","",IF(OR(tblCalibrations[[#This Row],[Previous calibration]]="",tblCalibrations[[#This Row],[Interval (days)]]=""),"",tblCalibrations[[#This Row],[Previous calibration]]+tblCalibrations[[#This Row],[Interval (days)]]))</f>
        <v>46123</v>
      </c>
      <c r="N68" s="35">
        <f>IF(tblCalibrations[[#This Row],[Gauge ID]]="","",IF(tblCalibrations[[#This Row],[Due date]]="","",MAX(0,tblCalibrations[[#This Row],[Date calibrated]]-tblCalibrations[[#This Row],[Due date]])))</f>
        <v>0</v>
      </c>
      <c r="O68" s="38" t="str">
        <f>IF(tblCalibrations[[#This Row],[Gauge ID]]="","",IF(tblCalibrations[[#This Row],[Due date]]="","",IF(tblCalibrations[[#This Row],[Date calibrated]]&lt;=tblCalibrations[[#This Row],[Due date]],"Yes","No")))</f>
        <v>Yes</v>
      </c>
      <c r="P68" s="35">
        <f>IF(tblCalibrations[[#This Row],[Gauge ID]]="","",IF(tblCalibrations[[#This Row],[As found]]="Out of tolerance",1,0))</f>
        <v>0</v>
      </c>
      <c r="Q68" s="36">
        <f>IF(tblCalibrations[[#This Row],[Gauge ID]]="","",IF(AND(tblCalibrations[[#This Row],[Date calibrated]]&gt;=FFrom,tblCalibrations[[#This Row],[Date calibrated]]&lt;=FTo),tblCalibrations[[#This Row],[Date calibrated]],""))</f>
        <v>46115</v>
      </c>
      <c r="R68"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68" s="42" t="s">
        <v>141</v>
      </c>
    </row>
    <row r="69" spans="2:19">
      <c r="B69" s="28" t="s">
        <v>173</v>
      </c>
      <c r="C69" s="29">
        <v>46118</v>
      </c>
      <c r="D69" s="28" t="s">
        <v>116</v>
      </c>
      <c r="E69" s="28" t="s">
        <v>224</v>
      </c>
      <c r="F69" s="28" t="s">
        <v>225</v>
      </c>
      <c r="G69" s="28" t="s">
        <v>224</v>
      </c>
      <c r="H69" s="28" t="s">
        <v>226</v>
      </c>
      <c r="I69" s="28" t="s">
        <v>297</v>
      </c>
      <c r="J69" s="41">
        <v>32</v>
      </c>
      <c r="K69" s="35">
        <f>IF(tblCalibrations[[#This Row],[Gauge ID]]="","",IFERROR(INDEX(tblGauges[Interval (days)],MATCH(tblCalibrations[[#This Row],[Gauge ID]],tblGauges[Gauge ID],0)),""))</f>
        <v>180</v>
      </c>
      <c r="L69"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45951</v>
      </c>
      <c r="M69" s="36">
        <f>IF(tblCalibrations[[#This Row],[Gauge ID]]="","",IF(OR(tblCalibrations[[#This Row],[Previous calibration]]="",tblCalibrations[[#This Row],[Interval (days)]]=""),"",tblCalibrations[[#This Row],[Previous calibration]]+tblCalibrations[[#This Row],[Interval (days)]]))</f>
        <v>46131</v>
      </c>
      <c r="N69" s="35">
        <f>IF(tblCalibrations[[#This Row],[Gauge ID]]="","",IF(tblCalibrations[[#This Row],[Due date]]="","",MAX(0,tblCalibrations[[#This Row],[Date calibrated]]-tblCalibrations[[#This Row],[Due date]])))</f>
        <v>0</v>
      </c>
      <c r="O69" s="38" t="str">
        <f>IF(tblCalibrations[[#This Row],[Gauge ID]]="","",IF(tblCalibrations[[#This Row],[Due date]]="","",IF(tblCalibrations[[#This Row],[Date calibrated]]&lt;=tblCalibrations[[#This Row],[Due date]],"Yes","No")))</f>
        <v>Yes</v>
      </c>
      <c r="P69" s="35">
        <f>IF(tblCalibrations[[#This Row],[Gauge ID]]="","",IF(tblCalibrations[[#This Row],[As found]]="Out of tolerance",1,0))</f>
        <v>0</v>
      </c>
      <c r="Q69" s="36">
        <f>IF(tblCalibrations[[#This Row],[Gauge ID]]="","",IF(AND(tblCalibrations[[#This Row],[Date calibrated]]&gt;=FFrom,tblCalibrations[[#This Row],[Date calibrated]]&lt;=FTo),tblCalibrations[[#This Row],[Date calibrated]],""))</f>
        <v>46118</v>
      </c>
      <c r="R69"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69" s="42" t="s">
        <v>141</v>
      </c>
    </row>
    <row r="70" spans="2:19">
      <c r="B70" s="28" t="s">
        <v>188</v>
      </c>
      <c r="C70" s="29">
        <v>46118</v>
      </c>
      <c r="D70" s="28" t="s">
        <v>122</v>
      </c>
      <c r="E70" s="28" t="s">
        <v>254</v>
      </c>
      <c r="F70" s="28" t="s">
        <v>255</v>
      </c>
      <c r="G70" s="28" t="s">
        <v>224</v>
      </c>
      <c r="H70" s="28" t="s">
        <v>256</v>
      </c>
      <c r="I70" s="28" t="s">
        <v>298</v>
      </c>
      <c r="J70" s="41">
        <v>160</v>
      </c>
      <c r="K70" s="35">
        <f>IF(tblCalibrations[[#This Row],[Gauge ID]]="","",IFERROR(INDEX(tblGauges[Interval (days)],MATCH(tblCalibrations[[#This Row],[Gauge ID]],tblGauges[Gauge ID],0)),""))</f>
        <v>90</v>
      </c>
      <c r="L70"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46034</v>
      </c>
      <c r="M70" s="36">
        <f>IF(tblCalibrations[[#This Row],[Gauge ID]]="","",IF(OR(tblCalibrations[[#This Row],[Previous calibration]]="",tblCalibrations[[#This Row],[Interval (days)]]=""),"",tblCalibrations[[#This Row],[Previous calibration]]+tblCalibrations[[#This Row],[Interval (days)]]))</f>
        <v>46124</v>
      </c>
      <c r="N70" s="35">
        <f>IF(tblCalibrations[[#This Row],[Gauge ID]]="","",IF(tblCalibrations[[#This Row],[Due date]]="","",MAX(0,tblCalibrations[[#This Row],[Date calibrated]]-tblCalibrations[[#This Row],[Due date]])))</f>
        <v>0</v>
      </c>
      <c r="O70" s="38" t="str">
        <f>IF(tblCalibrations[[#This Row],[Gauge ID]]="","",IF(tblCalibrations[[#This Row],[Due date]]="","",IF(tblCalibrations[[#This Row],[Date calibrated]]&lt;=tblCalibrations[[#This Row],[Due date]],"Yes","No")))</f>
        <v>Yes</v>
      </c>
      <c r="P70" s="35">
        <f>IF(tblCalibrations[[#This Row],[Gauge ID]]="","",IF(tblCalibrations[[#This Row],[As found]]="Out of tolerance",1,0))</f>
        <v>1</v>
      </c>
      <c r="Q70" s="36">
        <f>IF(tblCalibrations[[#This Row],[Gauge ID]]="","",IF(AND(tblCalibrations[[#This Row],[Date calibrated]]&gt;=FFrom,tblCalibrations[[#This Row],[Date calibrated]]&lt;=FTo),tblCalibrations[[#This Row],[Date calibrated]],""))</f>
        <v>46118</v>
      </c>
      <c r="R70"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70" s="42" t="s">
        <v>258</v>
      </c>
    </row>
    <row r="71" spans="2:19">
      <c r="B71" s="28" t="s">
        <v>194</v>
      </c>
      <c r="C71" s="29">
        <v>46129</v>
      </c>
      <c r="D71" s="28" t="s">
        <v>116</v>
      </c>
      <c r="E71" s="28" t="s">
        <v>224</v>
      </c>
      <c r="F71" s="28" t="s">
        <v>225</v>
      </c>
      <c r="G71" s="28" t="s">
        <v>224</v>
      </c>
      <c r="H71" s="28" t="s">
        <v>226</v>
      </c>
      <c r="I71" s="28" t="s">
        <v>299</v>
      </c>
      <c r="J71" s="41">
        <v>32</v>
      </c>
      <c r="K71" s="35">
        <f>IF(tblCalibrations[[#This Row],[Gauge ID]]="","",IFERROR(INDEX(tblGauges[Interval (days)],MATCH(tblCalibrations[[#This Row],[Gauge ID]],tblGauges[Gauge ID],0)),""))</f>
        <v>365</v>
      </c>
      <c r="L71"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45775</v>
      </c>
      <c r="M71" s="36">
        <f>IF(tblCalibrations[[#This Row],[Gauge ID]]="","",IF(OR(tblCalibrations[[#This Row],[Previous calibration]]="",tblCalibrations[[#This Row],[Interval (days)]]=""),"",tblCalibrations[[#This Row],[Previous calibration]]+tblCalibrations[[#This Row],[Interval (days)]]))</f>
        <v>46140</v>
      </c>
      <c r="N71" s="35">
        <f>IF(tblCalibrations[[#This Row],[Gauge ID]]="","",IF(tblCalibrations[[#This Row],[Due date]]="","",MAX(0,tblCalibrations[[#This Row],[Date calibrated]]-tblCalibrations[[#This Row],[Due date]])))</f>
        <v>0</v>
      </c>
      <c r="O71" s="38" t="str">
        <f>IF(tblCalibrations[[#This Row],[Gauge ID]]="","",IF(tblCalibrations[[#This Row],[Due date]]="","",IF(tblCalibrations[[#This Row],[Date calibrated]]&lt;=tblCalibrations[[#This Row],[Due date]],"Yes","No")))</f>
        <v>Yes</v>
      </c>
      <c r="P71" s="35">
        <f>IF(tblCalibrations[[#This Row],[Gauge ID]]="","",IF(tblCalibrations[[#This Row],[As found]]="Out of tolerance",1,0))</f>
        <v>0</v>
      </c>
      <c r="Q71" s="36">
        <f>IF(tblCalibrations[[#This Row],[Gauge ID]]="","",IF(AND(tblCalibrations[[#This Row],[Date calibrated]]&gt;=FFrom,tblCalibrations[[#This Row],[Date calibrated]]&lt;=FTo),tblCalibrations[[#This Row],[Date calibrated]],""))</f>
        <v>46129</v>
      </c>
      <c r="R71"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71" s="42" t="s">
        <v>141</v>
      </c>
    </row>
    <row r="72" spans="2:19">
      <c r="B72" s="28" t="s">
        <v>197</v>
      </c>
      <c r="C72" s="29">
        <v>46135</v>
      </c>
      <c r="D72" s="28" t="s">
        <v>119</v>
      </c>
      <c r="E72" s="28" t="s">
        <v>224</v>
      </c>
      <c r="F72" s="28" t="s">
        <v>225</v>
      </c>
      <c r="G72" s="28" t="s">
        <v>224</v>
      </c>
      <c r="H72" s="28" t="s">
        <v>226</v>
      </c>
      <c r="I72" s="28" t="s">
        <v>300</v>
      </c>
      <c r="J72" s="41">
        <v>1450</v>
      </c>
      <c r="K72" s="35">
        <f>IF(tblCalibrations[[#This Row],[Gauge ID]]="","",IFERROR(INDEX(tblGauges[Interval (days)],MATCH(tblCalibrations[[#This Row],[Gauge ID]],tblGauges[Gauge ID],0)),""))</f>
        <v>365</v>
      </c>
      <c r="L72"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45775</v>
      </c>
      <c r="M72" s="36">
        <f>IF(tblCalibrations[[#This Row],[Gauge ID]]="","",IF(OR(tblCalibrations[[#This Row],[Previous calibration]]="",tblCalibrations[[#This Row],[Interval (days)]]=""),"",tblCalibrations[[#This Row],[Previous calibration]]+tblCalibrations[[#This Row],[Interval (days)]]))</f>
        <v>46140</v>
      </c>
      <c r="N72" s="35">
        <f>IF(tblCalibrations[[#This Row],[Gauge ID]]="","",IF(tblCalibrations[[#This Row],[Due date]]="","",MAX(0,tblCalibrations[[#This Row],[Date calibrated]]-tblCalibrations[[#This Row],[Due date]])))</f>
        <v>0</v>
      </c>
      <c r="O72" s="38" t="str">
        <f>IF(tblCalibrations[[#This Row],[Gauge ID]]="","",IF(tblCalibrations[[#This Row],[Due date]]="","",IF(tblCalibrations[[#This Row],[Date calibrated]]&lt;=tblCalibrations[[#This Row],[Due date]],"Yes","No")))</f>
        <v>Yes</v>
      </c>
      <c r="P72" s="35">
        <f>IF(tblCalibrations[[#This Row],[Gauge ID]]="","",IF(tblCalibrations[[#This Row],[As found]]="Out of tolerance",1,0))</f>
        <v>0</v>
      </c>
      <c r="Q72" s="36">
        <f>IF(tblCalibrations[[#This Row],[Gauge ID]]="","",IF(AND(tblCalibrations[[#This Row],[Date calibrated]]&gt;=FFrom,tblCalibrations[[#This Row],[Date calibrated]]&lt;=FTo),tblCalibrations[[#This Row],[Date calibrated]],""))</f>
        <v>46135</v>
      </c>
      <c r="R72"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72" s="42" t="s">
        <v>141</v>
      </c>
    </row>
    <row r="73" spans="2:19">
      <c r="B73" s="28" t="s">
        <v>191</v>
      </c>
      <c r="C73" s="29">
        <v>46141</v>
      </c>
      <c r="D73" s="28" t="s">
        <v>116</v>
      </c>
      <c r="E73" s="28" t="s">
        <v>224</v>
      </c>
      <c r="F73" s="28" t="s">
        <v>225</v>
      </c>
      <c r="G73" s="28" t="s">
        <v>224</v>
      </c>
      <c r="H73" s="28" t="s">
        <v>226</v>
      </c>
      <c r="I73" s="28" t="s">
        <v>301</v>
      </c>
      <c r="J73" s="41">
        <v>29</v>
      </c>
      <c r="K73" s="35">
        <f>IF(tblCalibrations[[#This Row],[Gauge ID]]="","",IFERROR(INDEX(tblGauges[Interval (days)],MATCH(tblCalibrations[[#This Row],[Gauge ID]],tblGauges[Gauge ID],0)),""))</f>
        <v>365</v>
      </c>
      <c r="L73"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45782</v>
      </c>
      <c r="M73" s="36">
        <f>IF(tblCalibrations[[#This Row],[Gauge ID]]="","",IF(OR(tblCalibrations[[#This Row],[Previous calibration]]="",tblCalibrations[[#This Row],[Interval (days)]]=""),"",tblCalibrations[[#This Row],[Previous calibration]]+tblCalibrations[[#This Row],[Interval (days)]]))</f>
        <v>46147</v>
      </c>
      <c r="N73" s="35">
        <f>IF(tblCalibrations[[#This Row],[Gauge ID]]="","",IF(tblCalibrations[[#This Row],[Due date]]="","",MAX(0,tblCalibrations[[#This Row],[Date calibrated]]-tblCalibrations[[#This Row],[Due date]])))</f>
        <v>0</v>
      </c>
      <c r="O73" s="38" t="str">
        <f>IF(tblCalibrations[[#This Row],[Gauge ID]]="","",IF(tblCalibrations[[#This Row],[Due date]]="","",IF(tblCalibrations[[#This Row],[Date calibrated]]&lt;=tblCalibrations[[#This Row],[Due date]],"Yes","No")))</f>
        <v>Yes</v>
      </c>
      <c r="P73" s="35">
        <f>IF(tblCalibrations[[#This Row],[Gauge ID]]="","",IF(tblCalibrations[[#This Row],[As found]]="Out of tolerance",1,0))</f>
        <v>0</v>
      </c>
      <c r="Q73" s="36">
        <f>IF(tblCalibrations[[#This Row],[Gauge ID]]="","",IF(AND(tblCalibrations[[#This Row],[Date calibrated]]&gt;=FFrom,tblCalibrations[[#This Row],[Date calibrated]]&lt;=FTo),tblCalibrations[[#This Row],[Date calibrated]],""))</f>
        <v>46141</v>
      </c>
      <c r="R73"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73" s="42" t="s">
        <v>141</v>
      </c>
    </row>
    <row r="74" spans="2:19">
      <c r="B74" s="28" t="s">
        <v>179</v>
      </c>
      <c r="C74" s="29">
        <v>46142</v>
      </c>
      <c r="D74" s="28" t="s">
        <v>119</v>
      </c>
      <c r="E74" s="28" t="s">
        <v>254</v>
      </c>
      <c r="F74" s="28" t="s">
        <v>255</v>
      </c>
      <c r="G74" s="28" t="s">
        <v>224</v>
      </c>
      <c r="H74" s="28" t="s">
        <v>256</v>
      </c>
      <c r="I74" s="28" t="s">
        <v>302</v>
      </c>
      <c r="J74" s="41">
        <v>142</v>
      </c>
      <c r="K74" s="35">
        <f>IF(tblCalibrations[[#This Row],[Gauge ID]]="","",IFERROR(INDEX(tblGauges[Interval (days)],MATCH(tblCalibrations[[#This Row],[Gauge ID]],tblGauges[Gauge ID],0)),""))</f>
        <v>180</v>
      </c>
      <c r="L74"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45943</v>
      </c>
      <c r="M74" s="36">
        <f>IF(tblCalibrations[[#This Row],[Gauge ID]]="","",IF(OR(tblCalibrations[[#This Row],[Previous calibration]]="",tblCalibrations[[#This Row],[Interval (days)]]=""),"",tblCalibrations[[#This Row],[Previous calibration]]+tblCalibrations[[#This Row],[Interval (days)]]))</f>
        <v>46123</v>
      </c>
      <c r="N74" s="35">
        <f>IF(tblCalibrations[[#This Row],[Gauge ID]]="","",IF(tblCalibrations[[#This Row],[Due date]]="","",MAX(0,tblCalibrations[[#This Row],[Date calibrated]]-tblCalibrations[[#This Row],[Due date]])))</f>
        <v>19</v>
      </c>
      <c r="O74" s="38" t="str">
        <f>IF(tblCalibrations[[#This Row],[Gauge ID]]="","",IF(tblCalibrations[[#This Row],[Due date]]="","",IF(tblCalibrations[[#This Row],[Date calibrated]]&lt;=tblCalibrations[[#This Row],[Due date]],"Yes","No")))</f>
        <v>No</v>
      </c>
      <c r="P74" s="35">
        <f>IF(tblCalibrations[[#This Row],[Gauge ID]]="","",IF(tblCalibrations[[#This Row],[As found]]="Out of tolerance",1,0))</f>
        <v>1</v>
      </c>
      <c r="Q74" s="36">
        <f>IF(tblCalibrations[[#This Row],[Gauge ID]]="","",IF(AND(tblCalibrations[[#This Row],[Date calibrated]]&gt;=FFrom,tblCalibrations[[#This Row],[Date calibrated]]&lt;=FTo),tblCalibrations[[#This Row],[Date calibrated]],""))</f>
        <v>46142</v>
      </c>
      <c r="R74"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74" s="42" t="s">
        <v>258</v>
      </c>
    </row>
    <row r="75" spans="2:19">
      <c r="B75" s="28" t="s">
        <v>182</v>
      </c>
      <c r="C75" s="29">
        <v>46153</v>
      </c>
      <c r="D75" s="28" t="s">
        <v>122</v>
      </c>
      <c r="E75" s="28" t="s">
        <v>224</v>
      </c>
      <c r="F75" s="28" t="s">
        <v>225</v>
      </c>
      <c r="G75" s="28" t="s">
        <v>224</v>
      </c>
      <c r="H75" s="28" t="s">
        <v>226</v>
      </c>
      <c r="I75" s="28" t="s">
        <v>303</v>
      </c>
      <c r="J75" s="41">
        <v>238</v>
      </c>
      <c r="K75" s="35">
        <f>IF(tblCalibrations[[#This Row],[Gauge ID]]="","",IFERROR(INDEX(tblGauges[Interval (days)],MATCH(tblCalibrations[[#This Row],[Gauge ID]],tblGauges[Gauge ID],0)),""))</f>
        <v>90</v>
      </c>
      <c r="L75"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46066</v>
      </c>
      <c r="M75" s="36">
        <f>IF(tblCalibrations[[#This Row],[Gauge ID]]="","",IF(OR(tblCalibrations[[#This Row],[Previous calibration]]="",tblCalibrations[[#This Row],[Interval (days)]]=""),"",tblCalibrations[[#This Row],[Previous calibration]]+tblCalibrations[[#This Row],[Interval (days)]]))</f>
        <v>46156</v>
      </c>
      <c r="N75" s="35">
        <f>IF(tblCalibrations[[#This Row],[Gauge ID]]="","",IF(tblCalibrations[[#This Row],[Due date]]="","",MAX(0,tblCalibrations[[#This Row],[Date calibrated]]-tblCalibrations[[#This Row],[Due date]])))</f>
        <v>0</v>
      </c>
      <c r="O75" s="38" t="str">
        <f>IF(tblCalibrations[[#This Row],[Gauge ID]]="","",IF(tblCalibrations[[#This Row],[Due date]]="","",IF(tblCalibrations[[#This Row],[Date calibrated]]&lt;=tblCalibrations[[#This Row],[Due date]],"Yes","No")))</f>
        <v>Yes</v>
      </c>
      <c r="P75" s="35">
        <f>IF(tblCalibrations[[#This Row],[Gauge ID]]="","",IF(tblCalibrations[[#This Row],[As found]]="Out of tolerance",1,0))</f>
        <v>0</v>
      </c>
      <c r="Q75" s="36">
        <f>IF(tblCalibrations[[#This Row],[Gauge ID]]="","",IF(AND(tblCalibrations[[#This Row],[Date calibrated]]&gt;=FFrom,tblCalibrations[[#This Row],[Date calibrated]]&lt;=FTo),tblCalibrations[[#This Row],[Date calibrated]],""))</f>
        <v>46153</v>
      </c>
      <c r="R75"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75" s="42" t="s">
        <v>141</v>
      </c>
    </row>
    <row r="76" spans="2:19">
      <c r="B76" s="28" t="s">
        <v>167</v>
      </c>
      <c r="C76" s="29">
        <v>46154</v>
      </c>
      <c r="D76" s="28" t="s">
        <v>119</v>
      </c>
      <c r="E76" s="28" t="s">
        <v>224</v>
      </c>
      <c r="F76" s="28" t="s">
        <v>225</v>
      </c>
      <c r="G76" s="28" t="s">
        <v>224</v>
      </c>
      <c r="H76" s="28" t="s">
        <v>226</v>
      </c>
      <c r="I76" s="28" t="s">
        <v>304</v>
      </c>
      <c r="J76" s="41">
        <v>241</v>
      </c>
      <c r="K76" s="35">
        <f>IF(tblCalibrations[[#This Row],[Gauge ID]]="","",IFERROR(INDEX(tblGauges[Interval (days)],MATCH(tblCalibrations[[#This Row],[Gauge ID]],tblGauges[Gauge ID],0)),""))</f>
        <v>365</v>
      </c>
      <c r="L76"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45796</v>
      </c>
      <c r="M76" s="36">
        <f>IF(tblCalibrations[[#This Row],[Gauge ID]]="","",IF(OR(tblCalibrations[[#This Row],[Previous calibration]]="",tblCalibrations[[#This Row],[Interval (days)]]=""),"",tblCalibrations[[#This Row],[Previous calibration]]+tblCalibrations[[#This Row],[Interval (days)]]))</f>
        <v>46161</v>
      </c>
      <c r="N76" s="35">
        <f>IF(tblCalibrations[[#This Row],[Gauge ID]]="","",IF(tblCalibrations[[#This Row],[Due date]]="","",MAX(0,tblCalibrations[[#This Row],[Date calibrated]]-tblCalibrations[[#This Row],[Due date]])))</f>
        <v>0</v>
      </c>
      <c r="O76" s="38" t="str">
        <f>IF(tblCalibrations[[#This Row],[Gauge ID]]="","",IF(tblCalibrations[[#This Row],[Due date]]="","",IF(tblCalibrations[[#This Row],[Date calibrated]]&lt;=tblCalibrations[[#This Row],[Due date]],"Yes","No")))</f>
        <v>Yes</v>
      </c>
      <c r="P76" s="35">
        <f>IF(tblCalibrations[[#This Row],[Gauge ID]]="","",IF(tblCalibrations[[#This Row],[As found]]="Out of tolerance",1,0))</f>
        <v>0</v>
      </c>
      <c r="Q76" s="36">
        <f>IF(tblCalibrations[[#This Row],[Gauge ID]]="","",IF(AND(tblCalibrations[[#This Row],[Date calibrated]]&gt;=FFrom,tblCalibrations[[#This Row],[Date calibrated]]&lt;=FTo),tblCalibrations[[#This Row],[Date calibrated]],""))</f>
        <v>46154</v>
      </c>
      <c r="R76"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76" s="42" t="s">
        <v>141</v>
      </c>
    </row>
    <row r="77" spans="2:19">
      <c r="B77" s="28" t="s">
        <v>170</v>
      </c>
      <c r="C77" s="29">
        <v>46155</v>
      </c>
      <c r="D77" s="28" t="s">
        <v>119</v>
      </c>
      <c r="E77" s="28" t="s">
        <v>224</v>
      </c>
      <c r="F77" s="28" t="s">
        <v>225</v>
      </c>
      <c r="G77" s="28" t="s">
        <v>224</v>
      </c>
      <c r="H77" s="28" t="s">
        <v>226</v>
      </c>
      <c r="I77" s="28" t="s">
        <v>305</v>
      </c>
      <c r="J77" s="41">
        <v>111</v>
      </c>
      <c r="K77" s="35">
        <f>IF(tblCalibrations[[#This Row],[Gauge ID]]="","",IFERROR(INDEX(tblGauges[Interval (days)],MATCH(tblCalibrations[[#This Row],[Gauge ID]],tblGauges[Gauge ID],0)),""))</f>
        <v>365</v>
      </c>
      <c r="L77"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45789</v>
      </c>
      <c r="M77" s="36">
        <f>IF(tblCalibrations[[#This Row],[Gauge ID]]="","",IF(OR(tblCalibrations[[#This Row],[Previous calibration]]="",tblCalibrations[[#This Row],[Interval (days)]]=""),"",tblCalibrations[[#This Row],[Previous calibration]]+tblCalibrations[[#This Row],[Interval (days)]]))</f>
        <v>46154</v>
      </c>
      <c r="N77" s="35">
        <f>IF(tblCalibrations[[#This Row],[Gauge ID]]="","",IF(tblCalibrations[[#This Row],[Due date]]="","",MAX(0,tblCalibrations[[#This Row],[Date calibrated]]-tblCalibrations[[#This Row],[Due date]])))</f>
        <v>1</v>
      </c>
      <c r="O77" s="38" t="str">
        <f>IF(tblCalibrations[[#This Row],[Gauge ID]]="","",IF(tblCalibrations[[#This Row],[Due date]]="","",IF(tblCalibrations[[#This Row],[Date calibrated]]&lt;=tblCalibrations[[#This Row],[Due date]],"Yes","No")))</f>
        <v>No</v>
      </c>
      <c r="P77" s="35">
        <f>IF(tblCalibrations[[#This Row],[Gauge ID]]="","",IF(tblCalibrations[[#This Row],[As found]]="Out of tolerance",1,0))</f>
        <v>0</v>
      </c>
      <c r="Q77" s="36">
        <f>IF(tblCalibrations[[#This Row],[Gauge ID]]="","",IF(AND(tblCalibrations[[#This Row],[Date calibrated]]&gt;=FFrom,tblCalibrations[[#This Row],[Date calibrated]]&lt;=FTo),tblCalibrations[[#This Row],[Date calibrated]],""))</f>
        <v>46155</v>
      </c>
      <c r="R77"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77" s="42" t="s">
        <v>141</v>
      </c>
    </row>
    <row r="78" spans="2:19">
      <c r="B78" s="28" t="s">
        <v>185</v>
      </c>
      <c r="C78" s="29">
        <v>46161</v>
      </c>
      <c r="D78" s="28" t="s">
        <v>122</v>
      </c>
      <c r="E78" s="28" t="s">
        <v>224</v>
      </c>
      <c r="F78" s="28" t="s">
        <v>225</v>
      </c>
      <c r="G78" s="28" t="s">
        <v>224</v>
      </c>
      <c r="H78" s="28" t="s">
        <v>226</v>
      </c>
      <c r="I78" s="28" t="s">
        <v>306</v>
      </c>
      <c r="J78" s="41">
        <v>165</v>
      </c>
      <c r="K78" s="35">
        <f>IF(tblCalibrations[[#This Row],[Gauge ID]]="","",IFERROR(INDEX(tblGauges[Interval (days)],MATCH(tblCalibrations[[#This Row],[Gauge ID]],tblGauges[Gauge ID],0)),""))</f>
        <v>90</v>
      </c>
      <c r="L78"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46078</v>
      </c>
      <c r="M78" s="36">
        <f>IF(tblCalibrations[[#This Row],[Gauge ID]]="","",IF(OR(tblCalibrations[[#This Row],[Previous calibration]]="",tblCalibrations[[#This Row],[Interval (days)]]=""),"",tblCalibrations[[#This Row],[Previous calibration]]+tblCalibrations[[#This Row],[Interval (days)]]))</f>
        <v>46168</v>
      </c>
      <c r="N78" s="35">
        <f>IF(tblCalibrations[[#This Row],[Gauge ID]]="","",IF(tblCalibrations[[#This Row],[Due date]]="","",MAX(0,tblCalibrations[[#This Row],[Date calibrated]]-tblCalibrations[[#This Row],[Due date]])))</f>
        <v>0</v>
      </c>
      <c r="O78" s="38" t="str">
        <f>IF(tblCalibrations[[#This Row],[Gauge ID]]="","",IF(tblCalibrations[[#This Row],[Due date]]="","",IF(tblCalibrations[[#This Row],[Date calibrated]]&lt;=tblCalibrations[[#This Row],[Due date]],"Yes","No")))</f>
        <v>Yes</v>
      </c>
      <c r="P78" s="35">
        <f>IF(tblCalibrations[[#This Row],[Gauge ID]]="","",IF(tblCalibrations[[#This Row],[As found]]="Out of tolerance",1,0))</f>
        <v>0</v>
      </c>
      <c r="Q78" s="36">
        <f>IF(tblCalibrations[[#This Row],[Gauge ID]]="","",IF(AND(tblCalibrations[[#This Row],[Date calibrated]]&gt;=FFrom,tblCalibrations[[#This Row],[Date calibrated]]&lt;=FTo),tblCalibrations[[#This Row],[Date calibrated]],""))</f>
        <v>46161</v>
      </c>
      <c r="R78"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78" s="42" t="s">
        <v>141</v>
      </c>
    </row>
    <row r="79" spans="2:19">
      <c r="B79" s="28" t="s">
        <v>188</v>
      </c>
      <c r="C79" s="29">
        <v>46202</v>
      </c>
      <c r="D79" s="28" t="s">
        <v>122</v>
      </c>
      <c r="E79" s="28" t="s">
        <v>224</v>
      </c>
      <c r="F79" s="28" t="s">
        <v>225</v>
      </c>
      <c r="G79" s="28" t="s">
        <v>224</v>
      </c>
      <c r="H79" s="28" t="s">
        <v>226</v>
      </c>
      <c r="I79" s="28" t="s">
        <v>307</v>
      </c>
      <c r="J79" s="41">
        <v>86</v>
      </c>
      <c r="K79" s="35">
        <f>IF(tblCalibrations[[#This Row],[Gauge ID]]="","",IFERROR(INDEX(tblGauges[Interval (days)],MATCH(tblCalibrations[[#This Row],[Gauge ID]],tblGauges[Gauge ID],0)),""))</f>
        <v>90</v>
      </c>
      <c r="L79"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46118</v>
      </c>
      <c r="M79" s="36">
        <f>IF(tblCalibrations[[#This Row],[Gauge ID]]="","",IF(OR(tblCalibrations[[#This Row],[Previous calibration]]="",tblCalibrations[[#This Row],[Interval (days)]]=""),"",tblCalibrations[[#This Row],[Previous calibration]]+tblCalibrations[[#This Row],[Interval (days)]]))</f>
        <v>46208</v>
      </c>
      <c r="N79" s="35">
        <f>IF(tblCalibrations[[#This Row],[Gauge ID]]="","",IF(tblCalibrations[[#This Row],[Due date]]="","",MAX(0,tblCalibrations[[#This Row],[Date calibrated]]-tblCalibrations[[#This Row],[Due date]])))</f>
        <v>0</v>
      </c>
      <c r="O79" s="38" t="str">
        <f>IF(tblCalibrations[[#This Row],[Gauge ID]]="","",IF(tblCalibrations[[#This Row],[Due date]]="","",IF(tblCalibrations[[#This Row],[Date calibrated]]&lt;=tblCalibrations[[#This Row],[Due date]],"Yes","No")))</f>
        <v>Yes</v>
      </c>
      <c r="P79" s="35">
        <f>IF(tblCalibrations[[#This Row],[Gauge ID]]="","",IF(tblCalibrations[[#This Row],[As found]]="Out of tolerance",1,0))</f>
        <v>0</v>
      </c>
      <c r="Q79" s="36">
        <f>IF(tblCalibrations[[#This Row],[Gauge ID]]="","",IF(AND(tblCalibrations[[#This Row],[Date calibrated]]&gt;=FFrom,tblCalibrations[[#This Row],[Date calibrated]]&lt;=FTo),tblCalibrations[[#This Row],[Date calibrated]],""))</f>
        <v>46202</v>
      </c>
      <c r="R79"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79" s="42" t="s">
        <v>141</v>
      </c>
    </row>
    <row r="80" spans="2:19">
      <c r="B80" s="28" t="s">
        <v>164</v>
      </c>
      <c r="C80" s="29">
        <v>46216</v>
      </c>
      <c r="D80" s="28" t="s">
        <v>116</v>
      </c>
      <c r="E80" s="28" t="s">
        <v>224</v>
      </c>
      <c r="F80" s="28" t="s">
        <v>225</v>
      </c>
      <c r="G80" s="28" t="s">
        <v>224</v>
      </c>
      <c r="H80" s="28" t="s">
        <v>226</v>
      </c>
      <c r="I80" s="28" t="s">
        <v>308</v>
      </c>
      <c r="J80" s="41">
        <v>55</v>
      </c>
      <c r="K80" s="35">
        <f>IF(tblCalibrations[[#This Row],[Gauge ID]]="","",IFERROR(INDEX(tblGauges[Interval (days)],MATCH(tblCalibrations[[#This Row],[Gauge ID]],tblGauges[Gauge ID],0)),""))</f>
        <v>180</v>
      </c>
      <c r="L80"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46041</v>
      </c>
      <c r="M80" s="36">
        <f>IF(tblCalibrations[[#This Row],[Gauge ID]]="","",IF(OR(tblCalibrations[[#This Row],[Previous calibration]]="",tblCalibrations[[#This Row],[Interval (days)]]=""),"",tblCalibrations[[#This Row],[Previous calibration]]+tblCalibrations[[#This Row],[Interval (days)]]))</f>
        <v>46221</v>
      </c>
      <c r="N80" s="35">
        <f>IF(tblCalibrations[[#This Row],[Gauge ID]]="","",IF(tblCalibrations[[#This Row],[Due date]]="","",MAX(0,tblCalibrations[[#This Row],[Date calibrated]]-tblCalibrations[[#This Row],[Due date]])))</f>
        <v>0</v>
      </c>
      <c r="O80" s="38" t="str">
        <f>IF(tblCalibrations[[#This Row],[Gauge ID]]="","",IF(tblCalibrations[[#This Row],[Due date]]="","",IF(tblCalibrations[[#This Row],[Date calibrated]]&lt;=tblCalibrations[[#This Row],[Due date]],"Yes","No")))</f>
        <v>Yes</v>
      </c>
      <c r="P80" s="35">
        <f>IF(tblCalibrations[[#This Row],[Gauge ID]]="","",IF(tblCalibrations[[#This Row],[As found]]="Out of tolerance",1,0))</f>
        <v>0</v>
      </c>
      <c r="Q80" s="36">
        <f>IF(tblCalibrations[[#This Row],[Gauge ID]]="","",IF(AND(tblCalibrations[[#This Row],[Date calibrated]]&gt;=FFrom,tblCalibrations[[#This Row],[Date calibrated]]&lt;=FTo),tblCalibrations[[#This Row],[Date calibrated]],""))</f>
        <v>46216</v>
      </c>
      <c r="R80"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80" s="42" t="s">
        <v>141</v>
      </c>
    </row>
    <row r="81" spans="2:19">
      <c r="B81" s="28" t="s">
        <v>182</v>
      </c>
      <c r="C81" s="29">
        <v>46223</v>
      </c>
      <c r="D81" s="28" t="s">
        <v>122</v>
      </c>
      <c r="E81" s="28" t="s">
        <v>224</v>
      </c>
      <c r="F81" s="28" t="s">
        <v>225</v>
      </c>
      <c r="G81" s="28" t="s">
        <v>224</v>
      </c>
      <c r="H81" s="28" t="s">
        <v>226</v>
      </c>
      <c r="I81" s="28" t="s">
        <v>309</v>
      </c>
      <c r="J81" s="41">
        <v>215</v>
      </c>
      <c r="K81" s="35">
        <f>IF(tblCalibrations[[#This Row],[Gauge ID]]="","",IFERROR(INDEX(tblGauges[Interval (days)],MATCH(tblCalibrations[[#This Row],[Gauge ID]],tblGauges[Gauge ID],0)),""))</f>
        <v>90</v>
      </c>
      <c r="L81"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46153</v>
      </c>
      <c r="M81" s="36">
        <f>IF(tblCalibrations[[#This Row],[Gauge ID]]="","",IF(OR(tblCalibrations[[#This Row],[Previous calibration]]="",tblCalibrations[[#This Row],[Interval (days)]]=""),"",tblCalibrations[[#This Row],[Previous calibration]]+tblCalibrations[[#This Row],[Interval (days)]]))</f>
        <v>46243</v>
      </c>
      <c r="N81" s="35">
        <f>IF(tblCalibrations[[#This Row],[Gauge ID]]="","",IF(tblCalibrations[[#This Row],[Due date]]="","",MAX(0,tblCalibrations[[#This Row],[Date calibrated]]-tblCalibrations[[#This Row],[Due date]])))</f>
        <v>0</v>
      </c>
      <c r="O81" s="38" t="str">
        <f>IF(tblCalibrations[[#This Row],[Gauge ID]]="","",IF(tblCalibrations[[#This Row],[Due date]]="","",IF(tblCalibrations[[#This Row],[Date calibrated]]&lt;=tblCalibrations[[#This Row],[Due date]],"Yes","No")))</f>
        <v>Yes</v>
      </c>
      <c r="P81" s="35">
        <f>IF(tblCalibrations[[#This Row],[Gauge ID]]="","",IF(tblCalibrations[[#This Row],[As found]]="Out of tolerance",1,0))</f>
        <v>0</v>
      </c>
      <c r="Q81" s="36">
        <f>IF(tblCalibrations[[#This Row],[Gauge ID]]="","",IF(AND(tblCalibrations[[#This Row],[Date calibrated]]&gt;=FFrom,tblCalibrations[[#This Row],[Date calibrated]]&lt;=FTo),tblCalibrations[[#This Row],[Date calibrated]],""))</f>
        <v>46223</v>
      </c>
      <c r="R81"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81" s="42" t="s">
        <v>141</v>
      </c>
    </row>
    <row r="82" spans="2:19">
      <c r="B82" s="28" t="s">
        <v>137</v>
      </c>
      <c r="C82" s="29">
        <v>46238</v>
      </c>
      <c r="D82" s="28" t="s">
        <v>116</v>
      </c>
      <c r="E82" s="28" t="s">
        <v>224</v>
      </c>
      <c r="F82" s="28" t="s">
        <v>225</v>
      </c>
      <c r="G82" s="28" t="s">
        <v>224</v>
      </c>
      <c r="H82" s="28" t="s">
        <v>226</v>
      </c>
      <c r="I82" s="28" t="s">
        <v>310</v>
      </c>
      <c r="J82" s="41">
        <v>38</v>
      </c>
      <c r="K82" s="35">
        <f>IF(tblCalibrations[[#This Row],[Gauge ID]]="","",IFERROR(INDEX(tblGauges[Interval (days)],MATCH(tblCalibrations[[#This Row],[Gauge ID]],tblGauges[Gauge ID],0)),""))</f>
        <v>180</v>
      </c>
      <c r="L82"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46069</v>
      </c>
      <c r="M82" s="36">
        <f>IF(tblCalibrations[[#This Row],[Gauge ID]]="","",IF(OR(tblCalibrations[[#This Row],[Previous calibration]]="",tblCalibrations[[#This Row],[Interval (days)]]=""),"",tblCalibrations[[#This Row],[Previous calibration]]+tblCalibrations[[#This Row],[Interval (days)]]))</f>
        <v>46249</v>
      </c>
      <c r="N82" s="35">
        <f>IF(tblCalibrations[[#This Row],[Gauge ID]]="","",IF(tblCalibrations[[#This Row],[Due date]]="","",MAX(0,tblCalibrations[[#This Row],[Date calibrated]]-tblCalibrations[[#This Row],[Due date]])))</f>
        <v>0</v>
      </c>
      <c r="O82" s="38" t="str">
        <f>IF(tblCalibrations[[#This Row],[Gauge ID]]="","",IF(tblCalibrations[[#This Row],[Due date]]="","",IF(tblCalibrations[[#This Row],[Date calibrated]]&lt;=tblCalibrations[[#This Row],[Due date]],"Yes","No")))</f>
        <v>Yes</v>
      </c>
      <c r="P82" s="35">
        <f>IF(tblCalibrations[[#This Row],[Gauge ID]]="","",IF(tblCalibrations[[#This Row],[As found]]="Out of tolerance",1,0))</f>
        <v>0</v>
      </c>
      <c r="Q82" s="36">
        <f>IF(tblCalibrations[[#This Row],[Gauge ID]]="","",IF(AND(tblCalibrations[[#This Row],[Date calibrated]]&gt;=FFrom,tblCalibrations[[#This Row],[Date calibrated]]&lt;=FTo),tblCalibrations[[#This Row],[Date calibrated]],""))</f>
        <v>46238</v>
      </c>
      <c r="R82"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82" s="42" t="s">
        <v>141</v>
      </c>
    </row>
    <row r="83" spans="2:19">
      <c r="B83" s="28" t="s">
        <v>185</v>
      </c>
      <c r="C83" s="29">
        <v>46238</v>
      </c>
      <c r="D83" s="28" t="s">
        <v>122</v>
      </c>
      <c r="E83" s="28" t="s">
        <v>254</v>
      </c>
      <c r="F83" s="28" t="s">
        <v>255</v>
      </c>
      <c r="G83" s="28" t="s">
        <v>224</v>
      </c>
      <c r="H83" s="28" t="s">
        <v>311</v>
      </c>
      <c r="I83" s="28" t="s">
        <v>312</v>
      </c>
      <c r="J83" s="41">
        <v>171</v>
      </c>
      <c r="K83" s="35">
        <f>IF(tblCalibrations[[#This Row],[Gauge ID]]="","",IFERROR(INDEX(tblGauges[Interval (days)],MATCH(tblCalibrations[[#This Row],[Gauge ID]],tblGauges[Gauge ID],0)),""))</f>
        <v>90</v>
      </c>
      <c r="L83"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46161</v>
      </c>
      <c r="M83" s="36">
        <f>IF(tblCalibrations[[#This Row],[Gauge ID]]="","",IF(OR(tblCalibrations[[#This Row],[Previous calibration]]="",tblCalibrations[[#This Row],[Interval (days)]]=""),"",tblCalibrations[[#This Row],[Previous calibration]]+tblCalibrations[[#This Row],[Interval (days)]]))</f>
        <v>46251</v>
      </c>
      <c r="N83" s="35">
        <f>IF(tblCalibrations[[#This Row],[Gauge ID]]="","",IF(tblCalibrations[[#This Row],[Due date]]="","",MAX(0,tblCalibrations[[#This Row],[Date calibrated]]-tblCalibrations[[#This Row],[Due date]])))</f>
        <v>0</v>
      </c>
      <c r="O83" s="38" t="str">
        <f>IF(tblCalibrations[[#This Row],[Gauge ID]]="","",IF(tblCalibrations[[#This Row],[Due date]]="","",IF(tblCalibrations[[#This Row],[Date calibrated]]&lt;=tblCalibrations[[#This Row],[Due date]],"Yes","No")))</f>
        <v>Yes</v>
      </c>
      <c r="P83" s="35">
        <f>IF(tblCalibrations[[#This Row],[Gauge ID]]="","",IF(tblCalibrations[[#This Row],[As found]]="Out of tolerance",1,0))</f>
        <v>1</v>
      </c>
      <c r="Q83" s="36">
        <f>IF(tblCalibrations[[#This Row],[Gauge ID]]="","",IF(AND(tblCalibrations[[#This Row],[Date calibrated]]&gt;=FFrom,tblCalibrations[[#This Row],[Date calibrated]]&lt;=FTo),tblCalibrations[[#This Row],[Date calibrated]],""))</f>
        <v>46238</v>
      </c>
      <c r="R83"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83" s="42" t="s">
        <v>313</v>
      </c>
    </row>
    <row r="84" spans="2:19">
      <c r="B84" s="28" t="s">
        <v>176</v>
      </c>
      <c r="C84" s="29">
        <v>46244</v>
      </c>
      <c r="D84" s="28" t="s">
        <v>119</v>
      </c>
      <c r="E84" s="28" t="s">
        <v>224</v>
      </c>
      <c r="F84" s="28" t="s">
        <v>225</v>
      </c>
      <c r="G84" s="28" t="s">
        <v>224</v>
      </c>
      <c r="H84" s="28" t="s">
        <v>226</v>
      </c>
      <c r="I84" s="28" t="s">
        <v>314</v>
      </c>
      <c r="J84" s="41">
        <v>171</v>
      </c>
      <c r="K84" s="35">
        <f>IF(tblCalibrations[[#This Row],[Gauge ID]]="","",IFERROR(INDEX(tblGauges[Interval (days)],MATCH(tblCalibrations[[#This Row],[Gauge ID]],tblGauges[Gauge ID],0)),""))</f>
        <v>180</v>
      </c>
      <c r="L84"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46069</v>
      </c>
      <c r="M84" s="36">
        <f>IF(tblCalibrations[[#This Row],[Gauge ID]]="","",IF(OR(tblCalibrations[[#This Row],[Previous calibration]]="",tblCalibrations[[#This Row],[Interval (days)]]=""),"",tblCalibrations[[#This Row],[Previous calibration]]+tblCalibrations[[#This Row],[Interval (days)]]))</f>
        <v>46249</v>
      </c>
      <c r="N84" s="35">
        <f>IF(tblCalibrations[[#This Row],[Gauge ID]]="","",IF(tblCalibrations[[#This Row],[Due date]]="","",MAX(0,tblCalibrations[[#This Row],[Date calibrated]]-tblCalibrations[[#This Row],[Due date]])))</f>
        <v>0</v>
      </c>
      <c r="O84" s="38" t="str">
        <f>IF(tblCalibrations[[#This Row],[Gauge ID]]="","",IF(tblCalibrations[[#This Row],[Due date]]="","",IF(tblCalibrations[[#This Row],[Date calibrated]]&lt;=tblCalibrations[[#This Row],[Due date]],"Yes","No")))</f>
        <v>Yes</v>
      </c>
      <c r="P84" s="35">
        <f>IF(tblCalibrations[[#This Row],[Gauge ID]]="","",IF(tblCalibrations[[#This Row],[As found]]="Out of tolerance",1,0))</f>
        <v>0</v>
      </c>
      <c r="Q84" s="36">
        <f>IF(tblCalibrations[[#This Row],[Gauge ID]]="","",IF(AND(tblCalibrations[[#This Row],[Date calibrated]]&gt;=FFrom,tblCalibrations[[#This Row],[Date calibrated]]&lt;=FTo),tblCalibrations[[#This Row],[Date calibrated]],""))</f>
        <v>46244</v>
      </c>
      <c r="R84"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84" s="42" t="s">
        <v>141</v>
      </c>
    </row>
    <row r="85" spans="2:19">
      <c r="B85" s="28" t="s">
        <v>142</v>
      </c>
      <c r="C85" s="29">
        <v>46262</v>
      </c>
      <c r="D85" s="28" t="s">
        <v>116</v>
      </c>
      <c r="E85" s="28" t="s">
        <v>224</v>
      </c>
      <c r="F85" s="28" t="s">
        <v>225</v>
      </c>
      <c r="G85" s="28" t="s">
        <v>224</v>
      </c>
      <c r="H85" s="28" t="s">
        <v>226</v>
      </c>
      <c r="I85" s="28" t="s">
        <v>315</v>
      </c>
      <c r="J85" s="41">
        <v>51</v>
      </c>
      <c r="K85" s="35">
        <f>IF(tblCalibrations[[#This Row],[Gauge ID]]="","",IFERROR(INDEX(tblGauges[Interval (days)],MATCH(tblCalibrations[[#This Row],[Gauge ID]],tblGauges[Gauge ID],0)),""))</f>
        <v>180</v>
      </c>
      <c r="L85"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46083</v>
      </c>
      <c r="M85" s="36">
        <f>IF(tblCalibrations[[#This Row],[Gauge ID]]="","",IF(OR(tblCalibrations[[#This Row],[Previous calibration]]="",tblCalibrations[[#This Row],[Interval (days)]]=""),"",tblCalibrations[[#This Row],[Previous calibration]]+tblCalibrations[[#This Row],[Interval (days)]]))</f>
        <v>46263</v>
      </c>
      <c r="N85" s="35">
        <f>IF(tblCalibrations[[#This Row],[Gauge ID]]="","",IF(tblCalibrations[[#This Row],[Due date]]="","",MAX(0,tblCalibrations[[#This Row],[Date calibrated]]-tblCalibrations[[#This Row],[Due date]])))</f>
        <v>0</v>
      </c>
      <c r="O85" s="38" t="str">
        <f>IF(tblCalibrations[[#This Row],[Gauge ID]]="","",IF(tblCalibrations[[#This Row],[Due date]]="","",IF(tblCalibrations[[#This Row],[Date calibrated]]&lt;=tblCalibrations[[#This Row],[Due date]],"Yes","No")))</f>
        <v>Yes</v>
      </c>
      <c r="P85" s="35">
        <f>IF(tblCalibrations[[#This Row],[Gauge ID]]="","",IF(tblCalibrations[[#This Row],[As found]]="Out of tolerance",1,0))</f>
        <v>0</v>
      </c>
      <c r="Q85" s="36">
        <f>IF(tblCalibrations[[#This Row],[Gauge ID]]="","",IF(AND(tblCalibrations[[#This Row],[Date calibrated]]&gt;=FFrom,tblCalibrations[[#This Row],[Date calibrated]]&lt;=FTo),tblCalibrations[[#This Row],[Date calibrated]],""))</f>
        <v>46262</v>
      </c>
      <c r="R85"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85" s="42" t="s">
        <v>141</v>
      </c>
    </row>
    <row r="86" spans="2:19">
      <c r="B86" s="28" t="s">
        <v>143</v>
      </c>
      <c r="C86" s="29">
        <v>46265</v>
      </c>
      <c r="D86" s="28" t="s">
        <v>116</v>
      </c>
      <c r="E86" s="28" t="s">
        <v>224</v>
      </c>
      <c r="F86" s="28" t="s">
        <v>225</v>
      </c>
      <c r="G86" s="28" t="s">
        <v>224</v>
      </c>
      <c r="H86" s="28" t="s">
        <v>226</v>
      </c>
      <c r="I86" s="28" t="s">
        <v>316</v>
      </c>
      <c r="J86" s="41">
        <v>31</v>
      </c>
      <c r="K86" s="35">
        <f>IF(tblCalibrations[[#This Row],[Gauge ID]]="","",IFERROR(INDEX(tblGauges[Interval (days)],MATCH(tblCalibrations[[#This Row],[Gauge ID]],tblGauges[Gauge ID],0)),""))</f>
        <v>180</v>
      </c>
      <c r="L86"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46097</v>
      </c>
      <c r="M86" s="36">
        <f>IF(tblCalibrations[[#This Row],[Gauge ID]]="","",IF(OR(tblCalibrations[[#This Row],[Previous calibration]]="",tblCalibrations[[#This Row],[Interval (days)]]=""),"",tblCalibrations[[#This Row],[Previous calibration]]+tblCalibrations[[#This Row],[Interval (days)]]))</f>
        <v>46277</v>
      </c>
      <c r="N86" s="35">
        <f>IF(tblCalibrations[[#This Row],[Gauge ID]]="","",IF(tblCalibrations[[#This Row],[Due date]]="","",MAX(0,tblCalibrations[[#This Row],[Date calibrated]]-tblCalibrations[[#This Row],[Due date]])))</f>
        <v>0</v>
      </c>
      <c r="O86" s="38" t="str">
        <f>IF(tblCalibrations[[#This Row],[Gauge ID]]="","",IF(tblCalibrations[[#This Row],[Due date]]="","",IF(tblCalibrations[[#This Row],[Date calibrated]]&lt;=tblCalibrations[[#This Row],[Due date]],"Yes","No")))</f>
        <v>Yes</v>
      </c>
      <c r="P86" s="35">
        <f>IF(tblCalibrations[[#This Row],[Gauge ID]]="","",IF(tblCalibrations[[#This Row],[As found]]="Out of tolerance",1,0))</f>
        <v>0</v>
      </c>
      <c r="Q86" s="36">
        <f>IF(tblCalibrations[[#This Row],[Gauge ID]]="","",IF(AND(tblCalibrations[[#This Row],[Date calibrated]]&gt;=FFrom,tblCalibrations[[#This Row],[Date calibrated]]&lt;=FTo),tblCalibrations[[#This Row],[Date calibrated]],""))</f>
        <v>46265</v>
      </c>
      <c r="R86"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86" s="42" t="s">
        <v>141</v>
      </c>
    </row>
    <row r="87" spans="2:19">
      <c r="B87" s="28" t="s">
        <v>200</v>
      </c>
      <c r="C87" s="29">
        <v>46272</v>
      </c>
      <c r="D87" s="28" t="s">
        <v>122</v>
      </c>
      <c r="E87" s="28" t="s">
        <v>224</v>
      </c>
      <c r="F87" s="28" t="s">
        <v>225</v>
      </c>
      <c r="G87" s="28" t="s">
        <v>224</v>
      </c>
      <c r="H87" s="28" t="s">
        <v>226</v>
      </c>
      <c r="I87" s="28" t="s">
        <v>317</v>
      </c>
      <c r="J87" s="41">
        <v>229</v>
      </c>
      <c r="K87" s="35">
        <f>IF(tblCalibrations[[#This Row],[Gauge ID]]="","",IFERROR(INDEX(tblGauges[Interval (days)],MATCH(tblCalibrations[[#This Row],[Gauge ID]],tblGauges[Gauge ID],0)),""))</f>
        <v>180</v>
      </c>
      <c r="L87"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46104</v>
      </c>
      <c r="M87" s="36">
        <f>IF(tblCalibrations[[#This Row],[Gauge ID]]="","",IF(OR(tblCalibrations[[#This Row],[Previous calibration]]="",tblCalibrations[[#This Row],[Interval (days)]]=""),"",tblCalibrations[[#This Row],[Previous calibration]]+tblCalibrations[[#This Row],[Interval (days)]]))</f>
        <v>46284</v>
      </c>
      <c r="N87" s="35">
        <f>IF(tblCalibrations[[#This Row],[Gauge ID]]="","",IF(tblCalibrations[[#This Row],[Due date]]="","",MAX(0,tblCalibrations[[#This Row],[Date calibrated]]-tblCalibrations[[#This Row],[Due date]])))</f>
        <v>0</v>
      </c>
      <c r="O87" s="38" t="str">
        <f>IF(tblCalibrations[[#This Row],[Gauge ID]]="","",IF(tblCalibrations[[#This Row],[Due date]]="","",IF(tblCalibrations[[#This Row],[Date calibrated]]&lt;=tblCalibrations[[#This Row],[Due date]],"Yes","No")))</f>
        <v>Yes</v>
      </c>
      <c r="P87" s="35">
        <f>IF(tblCalibrations[[#This Row],[Gauge ID]]="","",IF(tblCalibrations[[#This Row],[As found]]="Out of tolerance",1,0))</f>
        <v>0</v>
      </c>
      <c r="Q87" s="36">
        <f>IF(tblCalibrations[[#This Row],[Gauge ID]]="","",IF(AND(tblCalibrations[[#This Row],[Date calibrated]]&gt;=FFrom,tblCalibrations[[#This Row],[Date calibrated]]&lt;=FTo),tblCalibrations[[#This Row],[Date calibrated]],""))</f>
        <v>46272</v>
      </c>
      <c r="R87"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87" s="42" t="s">
        <v>141</v>
      </c>
    </row>
    <row r="88" spans="2:19">
      <c r="B88" s="28" t="s">
        <v>146</v>
      </c>
      <c r="C88" s="29">
        <v>46286</v>
      </c>
      <c r="D88" s="28" t="s">
        <v>116</v>
      </c>
      <c r="E88" s="28" t="s">
        <v>224</v>
      </c>
      <c r="F88" s="28" t="s">
        <v>225</v>
      </c>
      <c r="G88" s="28" t="s">
        <v>224</v>
      </c>
      <c r="H88" s="28" t="s">
        <v>226</v>
      </c>
      <c r="I88" s="28" t="s">
        <v>318</v>
      </c>
      <c r="J88" s="41">
        <v>37</v>
      </c>
      <c r="K88" s="35">
        <f>IF(tblCalibrations[[#This Row],[Gauge ID]]="","",IFERROR(INDEX(tblGauges[Interval (days)],MATCH(tblCalibrations[[#This Row],[Gauge ID]],tblGauges[Gauge ID],0)),""))</f>
        <v>180</v>
      </c>
      <c r="L88" s="36">
        <f>IF(tblCalibrations[[#This Row],[Gauge ID]]="","",IF(COUNTIFS(tblCalibrations[Gauge ID],tblCalibrations[[#This Row],[Gauge ID]],tblCalibrations[Date calibrated],"&lt;"&amp;tblCalibrations[[#This Row],[Date calibrated]])=0,"",SUMPRODUCT(MAX((tblCalibrations[Gauge ID]=tblCalibrations[[#This Row],[Gauge ID]])*(tblCalibrations[Date calibrated]&lt;tblCalibrations[[#This Row],[Date calibrated]])*tblCalibrations[Date calibrated]))))</f>
        <v>46115</v>
      </c>
      <c r="M88" s="36">
        <f>IF(tblCalibrations[[#This Row],[Gauge ID]]="","",IF(OR(tblCalibrations[[#This Row],[Previous calibration]]="",tblCalibrations[[#This Row],[Interval (days)]]=""),"",tblCalibrations[[#This Row],[Previous calibration]]+tblCalibrations[[#This Row],[Interval (days)]]))</f>
        <v>46295</v>
      </c>
      <c r="N88" s="35">
        <f>IF(tblCalibrations[[#This Row],[Gauge ID]]="","",IF(tblCalibrations[[#This Row],[Due date]]="","",MAX(0,tblCalibrations[[#This Row],[Date calibrated]]-tblCalibrations[[#This Row],[Due date]])))</f>
        <v>0</v>
      </c>
      <c r="O88" s="38" t="str">
        <f>IF(tblCalibrations[[#This Row],[Gauge ID]]="","",IF(tblCalibrations[[#This Row],[Due date]]="","",IF(tblCalibrations[[#This Row],[Date calibrated]]&lt;=tblCalibrations[[#This Row],[Due date]],"Yes","No")))</f>
        <v>Yes</v>
      </c>
      <c r="P88" s="35">
        <f>IF(tblCalibrations[[#This Row],[Gauge ID]]="","",IF(tblCalibrations[[#This Row],[As found]]="Out of tolerance",1,0))</f>
        <v>0</v>
      </c>
      <c r="Q88" s="36">
        <f>IF(tblCalibrations[[#This Row],[Gauge ID]]="","",IF(AND(tblCalibrations[[#This Row],[Date calibrated]]&gt;=FFrom,tblCalibrations[[#This Row],[Date calibrated]]&lt;=FTo),tblCalibrations[[#This Row],[Date calibrated]],""))</f>
        <v>46286</v>
      </c>
      <c r="R88" s="39" t="str">
        <f>IF(tblCalibrations[[#This Row],[Gauge ID]]="","",IF(tblCalibrations[[#This Row],[Date calibrated]]="","Missing date calibrated",IF(tblCalibrations[[#This Row],[Calibrated by]]="","Missing calibrated by",IF(tblCalibrations[[#This Row],[As found]]="","Missing as found",IF(tblCalibrations[[#This Row],[As left]]="","Missing as left",IF(COUNTIF(tblGauges[Gauge ID],tblCalibrations[[#This Row],[Gauge ID]])=0,"Gauge not on the register",IF(COUNTIF(tblLabs[Calibrated by],tblCalibrations[[#This Row],[Calibrated by]])=0,"Provider not on Setup list",IF(tblCalibrations[[#This Row],[Date calibrated]]&gt;AsOf,"Date after the status date",IF(COUNTIFS(tblCalibrations[Gauge ID],tblCalibrations[[#This Row],[Gauge ID]],tblCalibrations[Date calibrated],tblCalibrations[[#This Row],[Date calibrated]])&gt;1,"Duplicate record",IF(AND(tblCalibrations[[#This Row],[As found]]="Out of tolerance",OR(tblCalibrations[[#This Row],[Impact review]]="",tblCalibrations[[#This Row],[Impact review]]="Not needed")),"Out of tolerance: review impact","OK"))))))))))</f>
        <v>OK</v>
      </c>
      <c r="S88" s="42" t="s">
        <v>141</v>
      </c>
    </row>
  </sheetData>
  <mergeCells count="3">
    <mergeCell ref="A1:S1"/>
    <mergeCell ref="B2:R2"/>
    <mergeCell ref="B4:S4"/>
  </mergeCells>
  <conditionalFormatting sqref="O7:O58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R7:R588">
    <cfRule type="expression" dxfId="3" priority="21">
      <formula>$R7="OK"</formula>
    </cfRule>
    <cfRule type="expression" dxfId="1" priority="22">
      <formula>AND($R7&lt;&gt;"",$R7&lt;&gt;"OK")</formula>
    </cfRule>
  </conditionalFormatting>
  <dataValidations count="10">
    <dataValidation type="list" allowBlank="1" showInputMessage="1" showErrorMessage="1" errorTitle="Check this entry" error="Pick from the list (edit the list on Setup: GaugeIDs)." promptTitle="Gauge ID" prompt="Pick from the list (edit the list on Setup: GaugeIDs)." sqref="B7:B588">
      <formula1>GaugeIDs</formula1>
    </dataValidation>
    <dataValidation type="date" allowBlank="1" showInputMessage="1" showErrorMessage="1" errorTitle="Check this entry" error="Enter a date between 01 Jan 2000 and 31 Dec 2100." promptTitle="Date calibrated" prompt="Enter a date between 01 Jan 2000 and 31 Dec 2100." sqref="C7:C588">
      <formula1>36526</formula1>
      <formula2>73415</formula2>
    </dataValidation>
    <dataValidation type="list" allowBlank="1" showInputMessage="1" showErrorMessage="1" errorTitle="Check this entry" error="Pick from the list (edit the list on Setup: Labs)." promptTitle="Calibrated by" prompt="Pick from the list (edit the list on Setup: Labs)." sqref="D7:D588">
      <formula1>Labs</formula1>
    </dataValidation>
    <dataValidation type="list" allowBlank="1" showInputMessage="1" showErrorMessage="1" errorTitle="Check this entry" error="Pick one of: In tolerance, Out of tolerance." promptTitle="As found" prompt="The gauge's condition when it arrived for calibration, before any adjustment. Pick one of: In tolerance, Out of tolerance." sqref="E7:E588">
      <formula1>"In tolerance,Out of tolerance"</formula1>
    </dataValidation>
    <dataValidation type="list" allowBlank="1" showInputMessage="1" showErrorMessage="1" errorTitle="Check this entry" error="Pick one of: None, Adjusted, Repaired, Limited use, Retired." promptTitle="Action" prompt="Pick one of: None, Adjusted, Repaired, Limited use, Retired." sqref="F7:F588">
      <formula1>"None,Adjusted,Repaired,Limited use,Retired"</formula1>
    </dataValidation>
    <dataValidation type="list" allowBlank="1" showInputMessage="1" showErrorMessage="1" errorTitle="Check this entry" error="Pick one of: In tolerance, Out of tolerance, Removed from service." promptTitle="As left" prompt="The gauge's condition when it went back into use (or Removed from service). Pick one of: In tolerance, Out of tolerance, Removed from service." sqref="G7:G588">
      <formula1>"In tolerance,Out of tolerance,Removed from service"</formula1>
    </dataValidation>
    <dataValidation type="list" allowBlank="1" showInputMessage="1" showErrorMessage="1" errorTitle="Check this entry" error="Pick one of: Not needed, Open, Closed." promptTitle="Impact review" prompt="For an out-of-tolerance find: has the product measured since the last good calibration been assessed? Not needed when in tolerance. Pick one of: Not needed, Open, Closed." sqref="H7:H588">
      <formula1>"Not needed,Open,Closed"</formula1>
    </dataValidation>
    <dataValidation type="textLength" allowBlank="1" showInputMessage="1" showErrorMessage="1" errorTitle="Check this entry" error="Text up to 40 characters." promptTitle="Certificate no." prompt="Text up to 40 characters." sqref="I7:I588">
      <formula1>0</formula1>
      <formula2>40</formula2>
    </dataValidation>
    <dataValidation type="decimal" allowBlank="1" showInputMessage="1" showErrorMessage="1" errorTitle="Check this entry" error="Enter a number from 0 to 10,000,000." promptTitle="Cost" prompt="Calibration charge or internal cost for this record (example values). Enter a number from 0 to 10,000,000." sqref="J7:J588">
      <formula1>0</formula1>
      <formula2>10000000.0</formula2>
    </dataValidation>
    <dataValidation type="textLength" allowBlank="1" showInputMessage="1" showErrorMessage="1" errorTitle="Check this entry" error="Text up to 255 characters." promptTitle="Notes" prompt="Text up to 255 characters." sqref="S7:S588">
      <formula1>0</formula1>
      <formula2>255</formula2>
    </dataValidation>
  </dataValidations>
  <hyperlinks>
    <hyperlink ref="S2" r:id="rId1" tooltip="Free manufacturing calculators and templates"/>
  </hyperlinks>
  <pageMargins left="0.4" right="0.4" top="0.7" bottom="0.65" header="0.3" footer="0.3"/>
  <pageSetup fitToHeight="0" orientation="landscape"/>
  <headerFooter>
    <oddHeader>&amp;L&amp;8MFG Calcs - Gauge Calibration Log&amp;R&amp;8&amp;A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sheetPr>
    <tabColor rgb="FF1BA37A"/>
    <pageSetUpPr fitToPage="1"/>
  </sheetPr>
  <dimension ref="A1:L66"/>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26</v>
      </c>
      <c r="C2" s="2"/>
      <c r="D2" s="2"/>
      <c r="E2" s="2"/>
      <c r="F2" s="2"/>
      <c r="G2" s="2"/>
      <c r="H2" s="2"/>
      <c r="I2" s="2"/>
      <c r="J2" s="2"/>
      <c r="K2" s="3" t="s">
        <v>2</v>
      </c>
      <c r="L2" s="3"/>
    </row>
    <row r="3" spans="1:12" ht="6" customHeight="1"/>
    <row r="4" spans="1:12">
      <c r="B4" s="27" t="s">
        <v>319</v>
      </c>
      <c r="C4" s="43"/>
      <c r="D4" s="43"/>
      <c r="F4" s="27" t="s">
        <v>320</v>
      </c>
      <c r="G4" s="43"/>
      <c r="H4" s="43"/>
    </row>
    <row r="5" spans="1:12">
      <c r="B5" s="44" t="str">
        <f>"Register figures at the status date, "&amp;TEXT(AsOf,"d mmm yyyy")&amp;". Period figures (blank = all): "&amp;COUNTIFS(tblCalibrations[View date],"&gt;0")&amp;" calibrations done between the dates; on time counts the calibrations that fell due between them."</f>
        <v>Register figures at the status date, 9 Oct 2026. Period figures (blank = all): 82 calibrations done between the dates; on time counts the calibrations that fell due between them.</v>
      </c>
      <c r="C5" s="44"/>
      <c r="D5" s="44"/>
      <c r="E5" s="44"/>
      <c r="F5" s="44"/>
      <c r="G5" s="44"/>
      <c r="H5" s="44"/>
      <c r="I5" s="44"/>
      <c r="J5" s="44"/>
      <c r="K5" s="44"/>
      <c r="L5" s="44"/>
    </row>
    <row r="7" spans="1:12" ht="18" customHeight="1">
      <c r="B7" s="45" t="s">
        <v>321</v>
      </c>
      <c r="C7" s="45"/>
      <c r="D7" s="45" t="s">
        <v>322</v>
      </c>
      <c r="E7" s="45"/>
      <c r="F7" s="45"/>
      <c r="G7" s="45" t="s">
        <v>323</v>
      </c>
      <c r="H7" s="45"/>
      <c r="I7" s="45"/>
      <c r="J7" s="45" t="s">
        <v>324</v>
      </c>
      <c r="K7" s="45"/>
      <c r="L7" s="45"/>
    </row>
    <row r="8" spans="1:12" ht="21" customHeight="1">
      <c r="B8" s="46">
        <f>COUNTIFS(tblGauges[Due status],"Overdue")</f>
        <v>3</v>
      </c>
      <c r="C8" s="46"/>
      <c r="D8" s="46">
        <f>COUNTIFS(tblGauges[Due status],"Due soon")</f>
        <v>3</v>
      </c>
      <c r="E8" s="46"/>
      <c r="F8" s="46"/>
      <c r="G8" s="47">
        <f>IF((COUNTIFS(tblCalibrations[Due date],"&gt;="&amp;FFrom,tblCalibrations[Due date],"&lt;="&amp;FTo)+COUNTIFS(tblGauges[Due status],"Overdue",tblGauges[Next due],"&gt;="&amp;FFrom,tblGauges[Next due],"&lt;="&amp;FTo))=0,"",(COUNTIFS(tblCalibrations[On time],"Yes",tblCalibrations[Due date],"&gt;="&amp;FFrom,tblCalibrations[Due date],"&lt;="&amp;FTo))/(COUNTIFS(tblCalibrations[Due date],"&gt;="&amp;FFrom,tblCalibrations[Due date],"&lt;="&amp;FTo)+COUNTIFS(tblGauges[Due status],"Overdue",tblGauges[Next due],"&gt;="&amp;FFrom,tblGauges[Next due],"&lt;="&amp;FTo)))</f>
        <v>0.885245901639344</v>
      </c>
      <c r="H8" s="47"/>
      <c r="I8" s="47"/>
      <c r="J8" s="47">
        <f>IF((COUNTIFS(tblCalibrations[View date],"&gt;0"))=0,"",(COUNTIFS(tblCalibrations[As found],"Out of tolerance",tblCalibrations[View date],"&gt;0"))/(COUNTIFS(tblCalibrations[View date],"&gt;0")))</f>
        <v>0.0975609756097561</v>
      </c>
      <c r="K8" s="47"/>
      <c r="L8" s="47"/>
    </row>
    <row r="9" spans="1:12" ht="21" customHeight="1">
      <c r="B9" s="46"/>
      <c r="C9" s="46"/>
      <c r="D9" s="46"/>
      <c r="E9" s="46"/>
      <c r="F9" s="46"/>
      <c r="G9" s="47"/>
      <c r="H9" s="47"/>
      <c r="I9" s="47"/>
      <c r="J9" s="47"/>
      <c r="K9" s="47"/>
      <c r="L9" s="47"/>
    </row>
    <row r="10" spans="1:12">
      <c r="B10" s="48">
        <f>0</f>
        <v>0</v>
      </c>
      <c r="C10" s="48"/>
      <c r="D10" s="49" t="s">
        <v>325</v>
      </c>
      <c r="E10" s="49"/>
      <c r="F10" s="49"/>
      <c r="G10" s="50">
        <f>TargetOnTime</f>
        <v>0.95</v>
      </c>
      <c r="H10" s="50"/>
      <c r="I10" s="50"/>
      <c r="J10" s="51">
        <f>MaxOOT</f>
        <v>0.05</v>
      </c>
      <c r="K10" s="51"/>
      <c r="L10" s="51"/>
    </row>
    <row r="11" spans="1:12" ht="18" customHeight="1">
      <c r="B11" s="52" t="str">
        <f>IF(NOT(ISNUMBER(KpiOverdue)),"No data",IF(KpiOverdue&lt;=(0),"On target",IF(KpiOverdue&lt;=(0)*(1+0.05),"Near target","Above target")))</f>
        <v>Above target</v>
      </c>
      <c r="C11" s="52"/>
      <c r="D11" s="52"/>
      <c r="E11" s="52"/>
      <c r="F11" s="52"/>
      <c r="G11" s="52" t="str">
        <f>IF(NOT(ISNUMBER(KpiOnTime)),"No data",IF(KpiOnTime&gt;=(TargetOnTime),"On target",IF(KpiOnTime&gt;=(TargetOnTime)*(1-0.05),"Near target","Below target")))</f>
        <v>Below target</v>
      </c>
      <c r="H11" s="52"/>
      <c r="I11" s="52"/>
      <c r="J11" s="52" t="str">
        <f>IF(NOT(ISNUMBER(KpiOOT)),"No data",IF(KpiOOT&lt;=(MaxOOT),"On target",IF(KpiOOT&lt;=(MaxOOT)*(1+0.05),"Near target","Above target")))</f>
        <v>Above target</v>
      </c>
      <c r="K11" s="52"/>
      <c r="L11" s="52"/>
    </row>
    <row r="29" spans="2:12" ht="18" customHeight="1">
      <c r="B29" s="45" t="s">
        <v>326</v>
      </c>
      <c r="C29" s="45"/>
      <c r="D29" s="45" t="s">
        <v>327</v>
      </c>
      <c r="E29" s="45"/>
      <c r="F29" s="45"/>
      <c r="G29" s="45" t="s">
        <v>328</v>
      </c>
      <c r="H29" s="45"/>
      <c r="I29" s="45"/>
      <c r="J29" s="45" t="str">
        <f>"CALIBRATION COST ("&amp;Currency&amp;")"</f>
        <v>CALIBRATION COST (USD)</v>
      </c>
      <c r="K29" s="45"/>
      <c r="L29" s="45"/>
    </row>
    <row r="30" spans="2:12" ht="21" customHeight="1">
      <c r="B30" s="46">
        <f>COUNTIFS(tblGauges[Status],"In service")</f>
        <v>22</v>
      </c>
      <c r="C30" s="46"/>
      <c r="D30" s="46">
        <f>COUNTIFS(tblCalibrations[View date],"&gt;0")</f>
        <v>82</v>
      </c>
      <c r="E30" s="46"/>
      <c r="F30" s="46"/>
      <c r="G30" s="46">
        <f>COUNTIFS(tblCalibrations[Impact review],"Open")</f>
        <v>1</v>
      </c>
      <c r="H30" s="46"/>
      <c r="I30" s="46"/>
      <c r="J30" s="46">
        <f>SUMIFS(tblCalibrations[Cost],tblCalibrations[View date],"&gt;0")</f>
        <v>11654</v>
      </c>
      <c r="K30" s="46"/>
      <c r="L30" s="46"/>
    </row>
    <row r="31" spans="2:12" ht="21" customHeight="1">
      <c r="B31" s="46"/>
      <c r="C31" s="46"/>
      <c r="D31" s="46"/>
      <c r="E31" s="46"/>
      <c r="F31" s="46"/>
      <c r="G31" s="46"/>
      <c r="H31" s="46"/>
      <c r="I31" s="46"/>
      <c r="J31" s="46"/>
      <c r="K31" s="46"/>
      <c r="L31" s="46"/>
    </row>
    <row r="32" spans="2:12">
      <c r="B32" s="49" t="s">
        <v>329</v>
      </c>
      <c r="C32" s="49"/>
      <c r="D32" s="49" t="s">
        <v>330</v>
      </c>
      <c r="E32" s="49"/>
      <c r="F32" s="49"/>
      <c r="G32" s="48">
        <f>0</f>
        <v>0</v>
      </c>
      <c r="H32" s="48"/>
      <c r="I32" s="48"/>
      <c r="J32" s="49" t="s">
        <v>331</v>
      </c>
      <c r="K32" s="49"/>
      <c r="L32" s="49"/>
    </row>
    <row r="33" spans="2:12" ht="18" customHeight="1">
      <c r="B33" s="52"/>
      <c r="C33" s="52"/>
      <c r="D33" s="52"/>
      <c r="E33" s="52"/>
      <c r="F33" s="52"/>
      <c r="G33" s="52" t="str">
        <f>IF(NOT(ISNUMBER(KpiReviews)),"No data",IF(KpiReviews&lt;=(0),"On target",IF(KpiReviews&lt;=(0)*(1+0.05),"Near target","Above target")))</f>
        <v>Above target</v>
      </c>
      <c r="H33" s="52"/>
      <c r="I33" s="52"/>
      <c r="J33" s="52"/>
      <c r="K33" s="52"/>
      <c r="L33" s="52"/>
    </row>
    <row r="35" spans="2:12">
      <c r="B35" s="32" t="s">
        <v>332</v>
      </c>
      <c r="C35" s="32"/>
      <c r="D35" s="32"/>
      <c r="E35" s="32"/>
      <c r="G35" s="32" t="s">
        <v>333</v>
      </c>
      <c r="H35" s="32"/>
      <c r="I35" s="32"/>
      <c r="J35" s="32"/>
      <c r="K35" s="32"/>
      <c r="L35" s="32"/>
    </row>
    <row r="36" spans="2:12" ht="32" customHeight="1">
      <c r="B36" s="53" t="s">
        <v>334</v>
      </c>
      <c r="C36" s="33" t="s">
        <v>335</v>
      </c>
      <c r="D36" s="33" t="s">
        <v>336</v>
      </c>
      <c r="E36" s="33" t="s">
        <v>337</v>
      </c>
      <c r="G36" s="53" t="s">
        <v>334</v>
      </c>
      <c r="H36" s="33" t="s">
        <v>338</v>
      </c>
      <c r="I36" s="33" t="s">
        <v>220</v>
      </c>
      <c r="J36" s="33" t="s">
        <v>339</v>
      </c>
      <c r="K36" s="33" t="s">
        <v>134</v>
      </c>
      <c r="L36" s="33" t="s">
        <v>216</v>
      </c>
    </row>
    <row r="37" spans="2:12" ht="14" customHeight="1">
      <c r="B37" s="54">
        <f>IF(AsOf="","",DATE(YEAR(AsOf),MONTH(AsOf),1))</f>
        <v>46296</v>
      </c>
      <c r="C37" s="35">
        <f>IF($B$37="","",IF(1=1,COUNTIFS(tblGauges[Due status],"Overdue"),0))</f>
        <v>3</v>
      </c>
      <c r="D37" s="35">
        <f>IF($B$37="","",COUNTIFS(tblGauges[Next due],"&gt;="&amp;MAX($B$37,AsOf),tblGauges[Next due],"&lt;"&amp;DATE(YEAR($B$37),MONTH($B$37)+1,1),tblGauges[Status],"In service"))</f>
        <v>2</v>
      </c>
      <c r="E37" s="55">
        <f>IF($B$37="","",$C$37+$D$37)</f>
        <v>5</v>
      </c>
      <c r="G37" s="40"/>
      <c r="H37" s="40"/>
      <c r="I37" s="40"/>
      <c r="J37" s="40"/>
      <c r="K37" s="40"/>
      <c r="L37" s="40" t="str">
        <f>Currency</f>
        <v>USD</v>
      </c>
    </row>
    <row r="38" spans="2:12">
      <c r="B38" s="54">
        <f>IF($B$37="","",DATE(YEAR($B$37),MONTH($B$37)+1,1))</f>
        <v>46327</v>
      </c>
      <c r="C38" s="35">
        <f>IF($B$38="","",IF(2=1,COUNTIFS(tblGauges[Due status],"Overdue"),0))</f>
        <v>0</v>
      </c>
      <c r="D38" s="35">
        <f>IF($B$38="","",COUNTIFS(tblGauges[Next due],"&gt;="&amp;MAX($B$38,AsOf),tblGauges[Next due],"&lt;"&amp;DATE(YEAR($B$38),MONTH($B$38)+1,1),tblGauges[Status],"In service"))</f>
        <v>1</v>
      </c>
      <c r="E38" s="55">
        <f>IF($B$38="","",$C$38+$D$38)</f>
        <v>1</v>
      </c>
      <c r="G38" s="54">
        <f>IF($G$39="","",DATE(YEAR($G$39),MONTH($G$39)-1,1))</f>
        <v>45962</v>
      </c>
      <c r="H38" s="35">
        <f>IF($G$38="","",COUNTIFS(tblCalibrations[View date],"&gt;="&amp;$G$38,tblCalibrations[View date],"&lt;"&amp;DATE(YEAR($G$38),MONTH($G$38)+1,1)))</f>
        <v>1</v>
      </c>
      <c r="I38" s="35">
        <f>IF($G$38="","",COUNTIFS(tblCalibrations[View date],"&gt;="&amp;$G$38,tblCalibrations[View date],"&lt;"&amp;DATE(YEAR($G$38),MONTH($G$38)+1,1),tblCalibrations[On time],"Yes"))</f>
        <v>1</v>
      </c>
      <c r="J38" s="35">
        <f>IF($G$38="","",COUNTIFS(tblCalibrations[View date],"&gt;="&amp;$G$38,tblCalibrations[View date],"&lt;"&amp;DATE(YEAR($G$38),MONTH($G$38)+1,1),tblCalibrations[On time],"No"))</f>
        <v>0</v>
      </c>
      <c r="K38" s="35">
        <f>IF($G$38="","",COUNTIFS(tblCalibrations[View date],"&gt;="&amp;$G$38,tblCalibrations[View date],"&lt;"&amp;DATE(YEAR($G$38),MONTH($G$38)+1,1),tblCalibrations[As found],"Out of tolerance"))</f>
        <v>0</v>
      </c>
      <c r="L38" s="35">
        <f>IF($G$38="","",SUMIFS(tblCalibrations[Cost],tblCalibrations[View date],"&gt;="&amp;$G$38,tblCalibrations[View date],"&lt;"&amp;DATE(YEAR($G$38),MONTH($G$38)+1,1)))</f>
        <v>204</v>
      </c>
    </row>
    <row r="39" spans="2:12">
      <c r="B39" s="54">
        <f>IF($B$38="","",DATE(YEAR($B$38),MONTH($B$38)+1,1))</f>
        <v>46357</v>
      </c>
      <c r="C39" s="35">
        <f>IF($B$39="","",IF(3=1,COUNTIFS(tblGauges[Due status],"Overdue"),0))</f>
        <v>0</v>
      </c>
      <c r="D39" s="35">
        <f>IF($B$39="","",COUNTIFS(tblGauges[Next due],"&gt;="&amp;MAX($B$39,AsOf),tblGauges[Next due],"&lt;"&amp;DATE(YEAR($B$39),MONTH($B$39)+1,1),tblGauges[Status],"In service"))</f>
        <v>0</v>
      </c>
      <c r="E39" s="55">
        <f>IF($B$39="","",$C$39+$D$39)</f>
        <v>0</v>
      </c>
      <c r="G39" s="54">
        <f>IF($G$40="","",DATE(YEAR($G$40),MONTH($G$40)-1,1))</f>
        <v>45992</v>
      </c>
      <c r="H39" s="35">
        <f>IF($G$39="","",COUNTIFS(tblCalibrations[View date],"&gt;="&amp;$G$39,tblCalibrations[View date],"&lt;"&amp;DATE(YEAR($G$39),MONTH($G$39)+1,1)))</f>
        <v>1</v>
      </c>
      <c r="I39" s="35">
        <f>IF($G$39="","",COUNTIFS(tblCalibrations[View date],"&gt;="&amp;$G$39,tblCalibrations[View date],"&lt;"&amp;DATE(YEAR($G$39),MONTH($G$39)+1,1),tblCalibrations[On time],"Yes"))</f>
        <v>1</v>
      </c>
      <c r="J39" s="35">
        <f>IF($G$39="","",COUNTIFS(tblCalibrations[View date],"&gt;="&amp;$G$39,tblCalibrations[View date],"&lt;"&amp;DATE(YEAR($G$39),MONTH($G$39)+1,1),tblCalibrations[On time],"No"))</f>
        <v>0</v>
      </c>
      <c r="K39" s="35">
        <f>IF($G$39="","",COUNTIFS(tblCalibrations[View date],"&gt;="&amp;$G$39,tblCalibrations[View date],"&lt;"&amp;DATE(YEAR($G$39),MONTH($G$39)+1,1),tblCalibrations[As found],"Out of tolerance"))</f>
        <v>0</v>
      </c>
      <c r="L39" s="35">
        <f>IF($G$39="","",SUMIFS(tblCalibrations[Cost],tblCalibrations[View date],"&gt;="&amp;$G$39,tblCalibrations[View date],"&lt;"&amp;DATE(YEAR($G$39),MONTH($G$39)+1,1)))</f>
        <v>87</v>
      </c>
    </row>
    <row r="40" spans="2:12">
      <c r="B40" s="54">
        <f>IF($B$39="","",DATE(YEAR($B$39),MONTH($B$39)+1,1))</f>
        <v>46388</v>
      </c>
      <c r="C40" s="35">
        <f>IF($B$40="","",IF(4=1,COUNTIFS(tblGauges[Due status],"Overdue"),0))</f>
        <v>0</v>
      </c>
      <c r="D40" s="35">
        <f>IF($B$40="","",COUNTIFS(tblGauges[Next due],"&gt;="&amp;MAX($B$40,AsOf),tblGauges[Next due],"&lt;"&amp;DATE(YEAR($B$40),MONTH($B$40)+1,1),tblGauges[Status],"In service"))</f>
        <v>2</v>
      </c>
      <c r="E40" s="55">
        <f>IF($B$40="","",$C$40+$D$40)</f>
        <v>2</v>
      </c>
      <c r="G40" s="54">
        <f>IF($G$41="","",DATE(YEAR($G$41),MONTH($G$41)-1,1))</f>
        <v>46023</v>
      </c>
      <c r="H40" s="35">
        <f>IF($G$40="","",COUNTIFS(tblCalibrations[View date],"&gt;="&amp;$G$40,tblCalibrations[View date],"&lt;"&amp;DATE(YEAR($G$40),MONTH($G$40)+1,1)))</f>
        <v>2</v>
      </c>
      <c r="I40" s="35">
        <f>IF($G$40="","",COUNTIFS(tblCalibrations[View date],"&gt;="&amp;$G$40,tblCalibrations[View date],"&lt;"&amp;DATE(YEAR($G$40),MONTH($G$40)+1,1),tblCalibrations[On time],"Yes"))</f>
        <v>2</v>
      </c>
      <c r="J40" s="35">
        <f>IF($G$40="","",COUNTIFS(tblCalibrations[View date],"&gt;="&amp;$G$40,tblCalibrations[View date],"&lt;"&amp;DATE(YEAR($G$40),MONTH($G$40)+1,1),tblCalibrations[On time],"No"))</f>
        <v>0</v>
      </c>
      <c r="K40" s="35">
        <f>IF($G$40="","",COUNTIFS(tblCalibrations[View date],"&gt;="&amp;$G$40,tblCalibrations[View date],"&lt;"&amp;DATE(YEAR($G$40),MONTH($G$40)+1,1),tblCalibrations[As found],"Out of tolerance"))</f>
        <v>0</v>
      </c>
      <c r="L40" s="35">
        <f>IF($G$40="","",SUMIFS(tblCalibrations[Cost],tblCalibrations[View date],"&gt;="&amp;$G$40,tblCalibrations[View date],"&lt;"&amp;DATE(YEAR($G$40),MONTH($G$40)+1,1)))</f>
        <v>291</v>
      </c>
    </row>
    <row r="41" spans="2:12">
      <c r="B41" s="54">
        <f>IF($B$40="","",DATE(YEAR($B$40),MONTH($B$40)+1,1))</f>
        <v>46419</v>
      </c>
      <c r="C41" s="35">
        <f>IF($B$41="","",IF(5=1,COUNTIFS(tblGauges[Due status],"Overdue"),0))</f>
        <v>0</v>
      </c>
      <c r="D41" s="35">
        <f>IF($B$41="","",COUNTIFS(tblGauges[Next due],"&gt;="&amp;MAX($B$41,AsOf),tblGauges[Next due],"&lt;"&amp;DATE(YEAR($B$41),MONTH($B$41)+1,1),tblGauges[Status],"In service"))</f>
        <v>5</v>
      </c>
      <c r="E41" s="55">
        <f>IF($B$41="","",$C$41+$D$41)</f>
        <v>5</v>
      </c>
      <c r="G41" s="54">
        <f>IF($G$42="","",DATE(YEAR($G$42),MONTH($G$42)-1,1))</f>
        <v>46054</v>
      </c>
      <c r="H41" s="35">
        <f>IF($G$41="","",COUNTIFS(tblCalibrations[View date],"&gt;="&amp;$G$41,tblCalibrations[View date],"&lt;"&amp;DATE(YEAR($G$41),MONTH($G$41)+1,1)))</f>
        <v>6</v>
      </c>
      <c r="I41" s="35">
        <f>IF($G$41="","",COUNTIFS(tblCalibrations[View date],"&gt;="&amp;$G$41,tblCalibrations[View date],"&lt;"&amp;DATE(YEAR($G$41),MONTH($G$41)+1,1),tblCalibrations[On time],"Yes"))</f>
        <v>5</v>
      </c>
      <c r="J41" s="35">
        <f>IF($G$41="","",COUNTIFS(tblCalibrations[View date],"&gt;="&amp;$G$41,tblCalibrations[View date],"&lt;"&amp;DATE(YEAR($G$41),MONTH($G$41)+1,1),tblCalibrations[On time],"No"))</f>
        <v>1</v>
      </c>
      <c r="K41" s="35">
        <f>IF($G$41="","",COUNTIFS(tblCalibrations[View date],"&gt;="&amp;$G$41,tblCalibrations[View date],"&lt;"&amp;DATE(YEAR($G$41),MONTH($G$41)+1,1),tblCalibrations[As found],"Out of tolerance"))</f>
        <v>1</v>
      </c>
      <c r="L41" s="35">
        <f>IF($G$41="","",SUMIFS(tblCalibrations[Cost],tblCalibrations[View date],"&gt;="&amp;$G$41,tblCalibrations[View date],"&lt;"&amp;DATE(YEAR($G$41),MONTH($G$41)+1,1)))</f>
        <v>658</v>
      </c>
    </row>
    <row r="42" spans="2:12">
      <c r="B42" s="54">
        <f>IF($B$41="","",DATE(YEAR($B$41),MONTH($B$41)+1,1))</f>
        <v>46447</v>
      </c>
      <c r="C42" s="35">
        <f>IF($B$42="","",IF(6=1,COUNTIFS(tblGauges[Due status],"Overdue"),0))</f>
        <v>0</v>
      </c>
      <c r="D42" s="35">
        <f>IF($B$42="","",COUNTIFS(tblGauges[Next due],"&gt;="&amp;MAX($B$42,AsOf),tblGauges[Next due],"&lt;"&amp;DATE(YEAR($B$42),MONTH($B$42)+1,1),tblGauges[Status],"In service"))</f>
        <v>4</v>
      </c>
      <c r="E42" s="55">
        <f>IF($B$42="","",$C$42+$D$42)</f>
        <v>4</v>
      </c>
      <c r="G42" s="54">
        <f>IF($G$43="","",DATE(YEAR($G$43),MONTH($G$43)-1,1))</f>
        <v>46082</v>
      </c>
      <c r="H42" s="35">
        <f>IF($G$42="","",COUNTIFS(tblCalibrations[View date],"&gt;="&amp;$G$42,tblCalibrations[View date],"&lt;"&amp;DATE(YEAR($G$42),MONTH($G$42)+1,1)))</f>
        <v>6</v>
      </c>
      <c r="I42" s="35">
        <f>IF($G$42="","",COUNTIFS(tblCalibrations[View date],"&gt;="&amp;$G$42,tblCalibrations[View date],"&lt;"&amp;DATE(YEAR($G$42),MONTH($G$42)+1,1),tblCalibrations[On time],"Yes"))</f>
        <v>5</v>
      </c>
      <c r="J42" s="35">
        <f>IF($G$42="","",COUNTIFS(tblCalibrations[View date],"&gt;="&amp;$G$42,tblCalibrations[View date],"&lt;"&amp;DATE(YEAR($G$42),MONTH($G$42)+1,1),tblCalibrations[On time],"No"))</f>
        <v>1</v>
      </c>
      <c r="K42" s="35">
        <f>IF($G$42="","",COUNTIFS(tblCalibrations[View date],"&gt;="&amp;$G$42,tblCalibrations[View date],"&lt;"&amp;DATE(YEAR($G$42),MONTH($G$42)+1,1),tblCalibrations[As found],"Out of tolerance"))</f>
        <v>0</v>
      </c>
      <c r="L42" s="35">
        <f>IF($G$42="","",SUMIFS(tblCalibrations[Cost],tblCalibrations[View date],"&gt;="&amp;$G$42,tblCalibrations[View date],"&lt;"&amp;DATE(YEAR($G$42),MONTH($G$42)+1,1)))</f>
        <v>370</v>
      </c>
    </row>
    <row r="43" spans="2:12">
      <c r="B43" s="54">
        <f>IF($B$42="","",DATE(YEAR($B$42),MONTH($B$42)+1,1))</f>
        <v>46478</v>
      </c>
      <c r="C43" s="35">
        <f>IF($B$43="","",IF(7=1,COUNTIFS(tblGauges[Due status],"Overdue"),0))</f>
        <v>0</v>
      </c>
      <c r="D43" s="35">
        <f>IF($B$43="","",COUNTIFS(tblGauges[Next due],"&gt;="&amp;MAX($B$43,AsOf),tblGauges[Next due],"&lt;"&amp;DATE(YEAR($B$43),MONTH($B$43)+1,1),tblGauges[Status],"In service"))</f>
        <v>3</v>
      </c>
      <c r="E43" s="55">
        <f>IF($B$43="","",$C$43+$D$43)</f>
        <v>3</v>
      </c>
      <c r="G43" s="54">
        <f>IF($G$44="","",DATE(YEAR($G$44),MONTH($G$44)-1,1))</f>
        <v>46113</v>
      </c>
      <c r="H43" s="35">
        <f>IF($G$43="","",COUNTIFS(tblCalibrations[View date],"&gt;="&amp;$G$43,tblCalibrations[View date],"&lt;"&amp;DATE(YEAR($G$43),MONTH($G$43)+1,1)))</f>
        <v>8</v>
      </c>
      <c r="I43" s="35">
        <f>IF($G$43="","",COUNTIFS(tblCalibrations[View date],"&gt;="&amp;$G$43,tblCalibrations[View date],"&lt;"&amp;DATE(YEAR($G$43),MONTH($G$43)+1,1),tblCalibrations[On time],"Yes"))</f>
        <v>7</v>
      </c>
      <c r="J43" s="35">
        <f>IF($G$43="","",COUNTIFS(tblCalibrations[View date],"&gt;="&amp;$G$43,tblCalibrations[View date],"&lt;"&amp;DATE(YEAR($G$43),MONTH($G$43)+1,1),tblCalibrations[On time],"No"))</f>
        <v>1</v>
      </c>
      <c r="K43" s="35">
        <f>IF($G$43="","",COUNTIFS(tblCalibrations[View date],"&gt;="&amp;$G$43,tblCalibrations[View date],"&lt;"&amp;DATE(YEAR($G$43),MONTH($G$43)+1,1),tblCalibrations[As found],"Out of tolerance"))</f>
        <v>3</v>
      </c>
      <c r="L43" s="35">
        <f>IF($G$43="","",SUMIFS(tblCalibrations[Cost],tblCalibrations[View date],"&gt;="&amp;$G$43,tblCalibrations[View date],"&lt;"&amp;DATE(YEAR($G$43),MONTH($G$43)+1,1)))</f>
        <v>1922</v>
      </c>
    </row>
    <row r="44" spans="2:12">
      <c r="B44" s="54">
        <f>IF($B$43="","",DATE(YEAR($B$43),MONTH($B$43)+1,1))</f>
        <v>46508</v>
      </c>
      <c r="C44" s="35">
        <f>IF($B$44="","",IF(8=1,COUNTIFS(tblGauges[Due status],"Overdue"),0))</f>
        <v>0</v>
      </c>
      <c r="D44" s="35">
        <f>IF($B$44="","",COUNTIFS(tblGauges[Next due],"&gt;="&amp;MAX($B$44,AsOf),tblGauges[Next due],"&lt;"&amp;DATE(YEAR($B$44),MONTH($B$44)+1,1),tblGauges[Status],"In service"))</f>
        <v>2</v>
      </c>
      <c r="E44" s="55">
        <f>IF($B$44="","",$C$44+$D$44)</f>
        <v>2</v>
      </c>
      <c r="G44" s="54">
        <f>IF($G$45="","",DATE(YEAR($G$45),MONTH($G$45)-1,1))</f>
        <v>46143</v>
      </c>
      <c r="H44" s="35">
        <f>IF($G$44="","",COUNTIFS(tblCalibrations[View date],"&gt;="&amp;$G$44,tblCalibrations[View date],"&lt;"&amp;DATE(YEAR($G$44),MONTH($G$44)+1,1)))</f>
        <v>4</v>
      </c>
      <c r="I44" s="35">
        <f>IF($G$44="","",COUNTIFS(tblCalibrations[View date],"&gt;="&amp;$G$44,tblCalibrations[View date],"&lt;"&amp;DATE(YEAR($G$44),MONTH($G$44)+1,1),tblCalibrations[On time],"Yes"))</f>
        <v>3</v>
      </c>
      <c r="J44" s="35">
        <f>IF($G$44="","",COUNTIFS(tblCalibrations[View date],"&gt;="&amp;$G$44,tblCalibrations[View date],"&lt;"&amp;DATE(YEAR($G$44),MONTH($G$44)+1,1),tblCalibrations[On time],"No"))</f>
        <v>1</v>
      </c>
      <c r="K44" s="35">
        <f>IF($G$44="","",COUNTIFS(tblCalibrations[View date],"&gt;="&amp;$G$44,tblCalibrations[View date],"&lt;"&amp;DATE(YEAR($G$44),MONTH($G$44)+1,1),tblCalibrations[As found],"Out of tolerance"))</f>
        <v>0</v>
      </c>
      <c r="L44" s="35">
        <f>IF($G$44="","",SUMIFS(tblCalibrations[Cost],tblCalibrations[View date],"&gt;="&amp;$G$44,tblCalibrations[View date],"&lt;"&amp;DATE(YEAR($G$44),MONTH($G$44)+1,1)))</f>
        <v>755</v>
      </c>
    </row>
    <row r="45" spans="2:12">
      <c r="B45" s="54">
        <f>IF($B$44="","",DATE(YEAR($B$44),MONTH($B$44)+1,1))</f>
        <v>46539</v>
      </c>
      <c r="C45" s="35">
        <f>IF($B$45="","",IF(9=1,COUNTIFS(tblGauges[Due status],"Overdue"),0))</f>
        <v>0</v>
      </c>
      <c r="D45" s="35">
        <f>IF($B$45="","",COUNTIFS(tblGauges[Next due],"&gt;="&amp;MAX($B$45,AsOf),tblGauges[Next due],"&lt;"&amp;DATE(YEAR($B$45),MONTH($B$45)+1,1),tblGauges[Status],"In service"))</f>
        <v>0</v>
      </c>
      <c r="E45" s="55">
        <f>IF($B$45="","",$C$45+$D$45)</f>
        <v>0</v>
      </c>
      <c r="G45" s="54">
        <f>IF($G$46="","",DATE(YEAR($G$46),MONTH($G$46)-1,1))</f>
        <v>46174</v>
      </c>
      <c r="H45" s="35">
        <f>IF($G$45="","",COUNTIFS(tblCalibrations[View date],"&gt;="&amp;$G$45,tblCalibrations[View date],"&lt;"&amp;DATE(YEAR($G$45),MONTH($G$45)+1,1)))</f>
        <v>1</v>
      </c>
      <c r="I45" s="35">
        <f>IF($G$45="","",COUNTIFS(tblCalibrations[View date],"&gt;="&amp;$G$45,tblCalibrations[View date],"&lt;"&amp;DATE(YEAR($G$45),MONTH($G$45)+1,1),tblCalibrations[On time],"Yes"))</f>
        <v>1</v>
      </c>
      <c r="J45" s="35">
        <f>IF($G$45="","",COUNTIFS(tblCalibrations[View date],"&gt;="&amp;$G$45,tblCalibrations[View date],"&lt;"&amp;DATE(YEAR($G$45),MONTH($G$45)+1,1),tblCalibrations[On time],"No"))</f>
        <v>0</v>
      </c>
      <c r="K45" s="35">
        <f>IF($G$45="","",COUNTIFS(tblCalibrations[View date],"&gt;="&amp;$G$45,tblCalibrations[View date],"&lt;"&amp;DATE(YEAR($G$45),MONTH($G$45)+1,1),tblCalibrations[As found],"Out of tolerance"))</f>
        <v>0</v>
      </c>
      <c r="L45" s="35">
        <f>IF($G$45="","",SUMIFS(tblCalibrations[Cost],tblCalibrations[View date],"&gt;="&amp;$G$45,tblCalibrations[View date],"&lt;"&amp;DATE(YEAR($G$45),MONTH($G$45)+1,1)))</f>
        <v>86</v>
      </c>
    </row>
    <row r="46" spans="2:12">
      <c r="B46" s="54">
        <f>IF($B$45="","",DATE(YEAR($B$45),MONTH($B$45)+1,1))</f>
        <v>46569</v>
      </c>
      <c r="C46" s="35">
        <f>IF($B$46="","",IF(10=1,COUNTIFS(tblGauges[Due status],"Overdue"),0))</f>
        <v>0</v>
      </c>
      <c r="D46" s="35">
        <f>IF($B$46="","",COUNTIFS(tblGauges[Next due],"&gt;="&amp;MAX($B$46,AsOf),tblGauges[Next due],"&lt;"&amp;DATE(YEAR($B$46),MONTH($B$46)+1,1),tblGauges[Status],"In service"))</f>
        <v>0</v>
      </c>
      <c r="E46" s="55">
        <f>IF($B$46="","",$C$46+$D$46)</f>
        <v>0</v>
      </c>
      <c r="G46" s="54">
        <f>IF($G$47="","",DATE(YEAR($G$47),MONTH($G$47)-1,1))</f>
        <v>46204</v>
      </c>
      <c r="H46" s="35">
        <f>IF($G$46="","",COUNTIFS(tblCalibrations[View date],"&gt;="&amp;$G$46,tblCalibrations[View date],"&lt;"&amp;DATE(YEAR($G$46),MONTH($G$46)+1,1)))</f>
        <v>2</v>
      </c>
      <c r="I46" s="35">
        <f>IF($G$46="","",COUNTIFS(tblCalibrations[View date],"&gt;="&amp;$G$46,tblCalibrations[View date],"&lt;"&amp;DATE(YEAR($G$46),MONTH($G$46)+1,1),tblCalibrations[On time],"Yes"))</f>
        <v>2</v>
      </c>
      <c r="J46" s="35">
        <f>IF($G$46="","",COUNTIFS(tblCalibrations[View date],"&gt;="&amp;$G$46,tblCalibrations[View date],"&lt;"&amp;DATE(YEAR($G$46),MONTH($G$46)+1,1),tblCalibrations[On time],"No"))</f>
        <v>0</v>
      </c>
      <c r="K46" s="35">
        <f>IF($G$46="","",COUNTIFS(tblCalibrations[View date],"&gt;="&amp;$G$46,tblCalibrations[View date],"&lt;"&amp;DATE(YEAR($G$46),MONTH($G$46)+1,1),tblCalibrations[As found],"Out of tolerance"))</f>
        <v>0</v>
      </c>
      <c r="L46" s="35">
        <f>IF($G$46="","",SUMIFS(tblCalibrations[Cost],tblCalibrations[View date],"&gt;="&amp;$G$46,tblCalibrations[View date],"&lt;"&amp;DATE(YEAR($G$46),MONTH($G$46)+1,1)))</f>
        <v>270</v>
      </c>
    </row>
    <row r="47" spans="2:12">
      <c r="B47" s="54">
        <f>IF($B$46="","",DATE(YEAR($B$46),MONTH($B$46)+1,1))</f>
        <v>46600</v>
      </c>
      <c r="C47" s="35">
        <f>IF($B$47="","",IF(11=1,COUNTIFS(tblGauges[Due status],"Overdue"),0))</f>
        <v>0</v>
      </c>
      <c r="D47" s="35">
        <f>IF($B$47="","",COUNTIFS(tblGauges[Next due],"&gt;="&amp;MAX($B$47,AsOf),tblGauges[Next due],"&lt;"&amp;DATE(YEAR($B$47),MONTH($B$47)+1,1),tblGauges[Status],"In service"))</f>
        <v>0</v>
      </c>
      <c r="E47" s="55">
        <f>IF($B$47="","",$C$47+$D$47)</f>
        <v>0</v>
      </c>
      <c r="G47" s="54">
        <f>IF($G$48="","",DATE(YEAR($G$48),MONTH($G$48)-1,1))</f>
        <v>46235</v>
      </c>
      <c r="H47" s="35">
        <f>IF($G$47="","",COUNTIFS(tblCalibrations[View date],"&gt;="&amp;$G$47,tblCalibrations[View date],"&lt;"&amp;DATE(YEAR($G$47),MONTH($G$47)+1,1)))</f>
        <v>5</v>
      </c>
      <c r="I47" s="35">
        <f>IF($G$47="","",COUNTIFS(tblCalibrations[View date],"&gt;="&amp;$G$47,tblCalibrations[View date],"&lt;"&amp;DATE(YEAR($G$47),MONTH($G$47)+1,1),tblCalibrations[On time],"Yes"))</f>
        <v>5</v>
      </c>
      <c r="J47" s="35">
        <f>IF($G$47="","",COUNTIFS(tblCalibrations[View date],"&gt;="&amp;$G$47,tblCalibrations[View date],"&lt;"&amp;DATE(YEAR($G$47),MONTH($G$47)+1,1),tblCalibrations[On time],"No"))</f>
        <v>0</v>
      </c>
      <c r="K47" s="35">
        <f>IF($G$47="","",COUNTIFS(tblCalibrations[View date],"&gt;="&amp;$G$47,tblCalibrations[View date],"&lt;"&amp;DATE(YEAR($G$47),MONTH($G$47)+1,1),tblCalibrations[As found],"Out of tolerance"))</f>
        <v>1</v>
      </c>
      <c r="L47" s="35">
        <f>IF($G$47="","",SUMIFS(tblCalibrations[Cost],tblCalibrations[View date],"&gt;="&amp;$G$47,tblCalibrations[View date],"&lt;"&amp;DATE(YEAR($G$47),MONTH($G$47)+1,1)))</f>
        <v>462</v>
      </c>
    </row>
    <row r="48" spans="2:12">
      <c r="B48" s="54">
        <f>IF($B$47="","",DATE(YEAR($B$47),MONTH($B$47)+1,1))</f>
        <v>46631</v>
      </c>
      <c r="C48" s="35">
        <f>IF($B$48="","",IF(12=1,COUNTIFS(tblGauges[Due status],"Overdue"),0))</f>
        <v>0</v>
      </c>
      <c r="D48" s="35">
        <f>IF($B$48="","",COUNTIFS(tblGauges[Next due],"&gt;="&amp;MAX($B$48,AsOf),tblGauges[Next due],"&lt;"&amp;DATE(YEAR($B$48),MONTH($B$48)+1,1),tblGauges[Status],"In service"))</f>
        <v>0</v>
      </c>
      <c r="E48" s="55">
        <f>IF($B$48="","",$C$48+$D$48)</f>
        <v>0</v>
      </c>
      <c r="G48" s="54">
        <f>IF($G$49="","",DATE(YEAR($G$49),MONTH($G$49)-1,1))</f>
        <v>46266</v>
      </c>
      <c r="H48" s="35">
        <f>IF($G$48="","",COUNTIFS(tblCalibrations[View date],"&gt;="&amp;$G$48,tblCalibrations[View date],"&lt;"&amp;DATE(YEAR($G$48),MONTH($G$48)+1,1)))</f>
        <v>2</v>
      </c>
      <c r="I48" s="35">
        <f>IF($G$48="","",COUNTIFS(tblCalibrations[View date],"&gt;="&amp;$G$48,tblCalibrations[View date],"&lt;"&amp;DATE(YEAR($G$48),MONTH($G$48)+1,1),tblCalibrations[On time],"Yes"))</f>
        <v>2</v>
      </c>
      <c r="J48" s="35">
        <f>IF($G$48="","",COUNTIFS(tblCalibrations[View date],"&gt;="&amp;$G$48,tblCalibrations[View date],"&lt;"&amp;DATE(YEAR($G$48),MONTH($G$48)+1,1),tblCalibrations[On time],"No"))</f>
        <v>0</v>
      </c>
      <c r="K48" s="35">
        <f>IF($G$48="","",COUNTIFS(tblCalibrations[View date],"&gt;="&amp;$G$48,tblCalibrations[View date],"&lt;"&amp;DATE(YEAR($G$48),MONTH($G$48)+1,1),tblCalibrations[As found],"Out of tolerance"))</f>
        <v>0</v>
      </c>
      <c r="L48" s="35">
        <f>IF($G$48="","",SUMIFS(tblCalibrations[Cost],tblCalibrations[View date],"&gt;="&amp;$G$48,tblCalibrations[View date],"&lt;"&amp;DATE(YEAR($G$48),MONTH($G$48)+1,1)))</f>
        <v>266</v>
      </c>
    </row>
    <row r="49" spans="2:12">
      <c r="G49" s="54">
        <f>IF(AsOf="","",DATE(YEAR(AsOf),MONTH(AsOf),1))</f>
        <v>46296</v>
      </c>
      <c r="H49" s="35">
        <f>IF($G$49="","",COUNTIFS(tblCalibrations[View date],"&gt;="&amp;$G$49,tblCalibrations[View date],"&lt;"&amp;DATE(YEAR($G$49),MONTH($G$49)+1,1)))</f>
        <v>0</v>
      </c>
      <c r="I49" s="35">
        <f>IF($G$49="","",COUNTIFS(tblCalibrations[View date],"&gt;="&amp;$G$49,tblCalibrations[View date],"&lt;"&amp;DATE(YEAR($G$49),MONTH($G$49)+1,1),tblCalibrations[On time],"Yes"))</f>
        <v>0</v>
      </c>
      <c r="J49" s="35">
        <f>IF($G$49="","",COUNTIFS(tblCalibrations[View date],"&gt;="&amp;$G$49,tblCalibrations[View date],"&lt;"&amp;DATE(YEAR($G$49),MONTH($G$49)+1,1),tblCalibrations[On time],"No"))</f>
        <v>0</v>
      </c>
      <c r="K49" s="35">
        <f>IF($G$49="","",COUNTIFS(tblCalibrations[View date],"&gt;="&amp;$G$49,tblCalibrations[View date],"&lt;"&amp;DATE(YEAR($G$49),MONTH($G$49)+1,1),tblCalibrations[As found],"Out of tolerance"))</f>
        <v>0</v>
      </c>
      <c r="L49" s="35">
        <f>IF($G$49="","",SUMIFS(tblCalibrations[Cost],tblCalibrations[View date],"&gt;="&amp;$G$49,tblCalibrations[View date],"&lt;"&amp;DATE(YEAR($G$49),MONTH($G$49)+1,1)))</f>
        <v>0</v>
      </c>
    </row>
    <row r="51" spans="2:12">
      <c r="B51" s="32" t="s">
        <v>340</v>
      </c>
      <c r="C51" s="32"/>
      <c r="D51" s="32"/>
      <c r="E51" s="32"/>
      <c r="F51" s="32"/>
      <c r="G51" s="32"/>
      <c r="H51" s="32"/>
      <c r="I51" s="32"/>
    </row>
    <row r="52" spans="2:12" ht="32" customHeight="1">
      <c r="B52" s="53" t="s">
        <v>341</v>
      </c>
      <c r="C52" s="33" t="s">
        <v>140</v>
      </c>
      <c r="D52" s="33" t="s">
        <v>342</v>
      </c>
      <c r="E52" s="33" t="s">
        <v>343</v>
      </c>
      <c r="F52" s="33" t="s">
        <v>344</v>
      </c>
      <c r="G52" s="33" t="s">
        <v>345</v>
      </c>
      <c r="H52" s="33" t="s">
        <v>346</v>
      </c>
      <c r="I52" s="33" t="s">
        <v>347</v>
      </c>
    </row>
    <row r="53" spans="2:12">
      <c r="B53" s="56" t="str">
        <f>IFERROR(INDEX(tblGaugeTypes[Type],1)&amp;"","")</f>
        <v>Caliper</v>
      </c>
      <c r="C53" s="35">
        <f>IF($B$53="","",COUNTIFS(tblGauges[Type],$B$53,tblGauges[Status],"In service"))</f>
        <v>4</v>
      </c>
      <c r="D53" s="35">
        <f>IF($B$53="","",COUNTIFS(tblGauges[Type],$B$53,tblGauges[Due status],"Overdue"))</f>
        <v>0</v>
      </c>
      <c r="E53" s="35">
        <f>IF($B$53="","",COUNTIFS(tblGauges[Type],$B$53,tblGauges[Due status],"Due soon"))</f>
        <v>0</v>
      </c>
      <c r="F53" s="35">
        <f>IF($B$53="","",SUMPRODUCT(COUNTIFS(tblCalibrations[Gauge ID],tblGauges[Gauge ID],tblCalibrations[View date],"&gt;0")*(tblGauges[Type]=$B$53)))</f>
        <v>18</v>
      </c>
      <c r="G53" s="35">
        <f>IF($B$53="","",SUMPRODUCT(COUNTIFS(tblCalibrations[Gauge ID],tblGauges[Gauge ID],tblCalibrations[View date],"&gt;0",tblCalibrations[As found],"Out of tolerance")*(tblGauges[Type]=$B$53)))</f>
        <v>1</v>
      </c>
      <c r="H53" s="57">
        <f>IF($B$53="","",IF(($F$53)=0,"",($G$53)/($F$53)))</f>
        <v>0.0555555555555556</v>
      </c>
      <c r="I53" s="58">
        <f>MaxOOT</f>
        <v>0.05</v>
      </c>
    </row>
    <row r="54" spans="2:12">
      <c r="B54" s="56" t="str">
        <f>IFERROR(INDEX(tblGaugeTypes[Type],2)&amp;"","")</f>
        <v>Micrometer</v>
      </c>
      <c r="C54" s="35">
        <f>IF($B$54="","",COUNTIFS(tblGauges[Type],$B$54,tblGauges[Status],"In service"))</f>
        <v>3</v>
      </c>
      <c r="D54" s="35">
        <f>IF($B$54="","",COUNTIFS(tblGauges[Type],$B$54,tblGauges[Due status],"Overdue"))</f>
        <v>0</v>
      </c>
      <c r="E54" s="35">
        <f>IF($B$54="","",COUNTIFS(tblGauges[Type],$B$54,tblGauges[Due status],"Due soon"))</f>
        <v>0</v>
      </c>
      <c r="F54" s="35">
        <f>IF($B$54="","",SUMPRODUCT(COUNTIFS(tblCalibrations[Gauge ID],tblGauges[Gauge ID],tblCalibrations[View date],"&gt;0")*(tblGauges[Type]=$B$54)))</f>
        <v>8</v>
      </c>
      <c r="G54" s="35">
        <f>IF($B$54="","",SUMPRODUCT(COUNTIFS(tblCalibrations[Gauge ID],tblGauges[Gauge ID],tblCalibrations[View date],"&gt;0",tblCalibrations[As found],"Out of tolerance")*(tblGauges[Type]=$B$54)))</f>
        <v>1</v>
      </c>
      <c r="H54" s="57">
        <f>IF($B$54="","",IF(($F$54)=0,"",($G$54)/($F$54)))</f>
        <v>0.125</v>
      </c>
      <c r="I54" s="58">
        <f>MaxOOT</f>
        <v>0.05</v>
      </c>
    </row>
    <row r="55" spans="2:12">
      <c r="B55" s="56" t="str">
        <f>IFERROR(INDEX(tblGaugeTypes[Type],3)&amp;"","")</f>
        <v>Height gauge</v>
      </c>
      <c r="C55" s="35">
        <f>IF($B$55="","",COUNTIFS(tblGauges[Type],$B$55,tblGauges[Status],"In service"))</f>
        <v>1</v>
      </c>
      <c r="D55" s="35">
        <f>IF($B$55="","",COUNTIFS(tblGauges[Type],$B$55,tblGauges[Due status],"Overdue"))</f>
        <v>0</v>
      </c>
      <c r="E55" s="35">
        <f>IF($B$55="","",COUNTIFS(tblGauges[Type],$B$55,tblGauges[Due status],"Due soon"))</f>
        <v>0</v>
      </c>
      <c r="F55" s="35">
        <f>IF($B$55="","",SUMPRODUCT(COUNTIFS(tblCalibrations[Gauge ID],tblGauges[Gauge ID],tblCalibrations[View date],"&gt;0")*(tblGauges[Type]=$B$55)))</f>
        <v>2</v>
      </c>
      <c r="G55" s="35">
        <f>IF($B$55="","",SUMPRODUCT(COUNTIFS(tblCalibrations[Gauge ID],tblGauges[Gauge ID],tblCalibrations[View date],"&gt;0",tblCalibrations[As found],"Out of tolerance")*(tblGauges[Type]=$B$55)))</f>
        <v>0</v>
      </c>
      <c r="H55" s="57">
        <f>IF($B$55="","",IF(($F$55)=0,"",($G$55)/($F$55)))</f>
        <v>0</v>
      </c>
      <c r="I55" s="58">
        <f>MaxOOT</f>
        <v>0.05</v>
      </c>
    </row>
    <row r="56" spans="2:12">
      <c r="B56" s="56" t="str">
        <f>IFERROR(INDEX(tblGaugeTypes[Type],4)&amp;"","")</f>
        <v>Bore gauge</v>
      </c>
      <c r="C56" s="35">
        <f>IF($B$56="","",COUNTIFS(tblGauges[Type],$B$56,tblGauges[Status],"In service"))</f>
        <v>2</v>
      </c>
      <c r="D56" s="35">
        <f>IF($B$56="","",COUNTIFS(tblGauges[Type],$B$56,tblGauges[Due status],"Overdue"))</f>
        <v>0</v>
      </c>
      <c r="E56" s="35">
        <f>IF($B$56="","",COUNTIFS(tblGauges[Type],$B$56,tblGauges[Due status],"Due soon"))</f>
        <v>0</v>
      </c>
      <c r="F56" s="35">
        <f>IF($B$56="","",SUMPRODUCT(COUNTIFS(tblCalibrations[Gauge ID],tblGauges[Gauge ID],tblCalibrations[View date],"&gt;0")*(tblGauges[Type]=$B$56)))</f>
        <v>6</v>
      </c>
      <c r="G56" s="35">
        <f>IF($B$56="","",SUMPRODUCT(COUNTIFS(tblCalibrations[Gauge ID],tblGauges[Gauge ID],tblCalibrations[View date],"&gt;0",tblCalibrations[As found],"Out of tolerance")*(tblGauges[Type]=$B$56)))</f>
        <v>0</v>
      </c>
      <c r="H56" s="57">
        <f>IF($B$56="","",IF(($F$56)=0,"",($G$56)/($F$56)))</f>
        <v>0</v>
      </c>
      <c r="I56" s="58">
        <f>MaxOOT</f>
        <v>0.05</v>
      </c>
    </row>
    <row r="57" spans="2:12">
      <c r="B57" s="56" t="str">
        <f>IFERROR(INDEX(tblGaugeTypes[Type],5)&amp;"","")</f>
        <v>Plug and pin gauge</v>
      </c>
      <c r="C57" s="35">
        <f>IF($B$57="","",COUNTIFS(tblGauges[Type],$B$57,tblGauges[Status],"In service"))</f>
        <v>2</v>
      </c>
      <c r="D57" s="35">
        <f>IF($B$57="","",COUNTIFS(tblGauges[Type],$B$57,tblGauges[Due status],"Overdue"))</f>
        <v>1</v>
      </c>
      <c r="E57" s="35">
        <f>IF($B$57="","",COUNTIFS(tblGauges[Type],$B$57,tblGauges[Due status],"Due soon"))</f>
        <v>0</v>
      </c>
      <c r="F57" s="35">
        <f>IF($B$57="","",SUMPRODUCT(COUNTIFS(tblCalibrations[Gauge ID],tblGauges[Gauge ID],tblCalibrations[View date],"&gt;0")*(tblGauges[Type]=$B$57)))</f>
        <v>5</v>
      </c>
      <c r="G57" s="35">
        <f>IF($B$57="","",SUMPRODUCT(COUNTIFS(tblCalibrations[Gauge ID],tblGauges[Gauge ID],tblCalibrations[View date],"&gt;0",tblCalibrations[As found],"Out of tolerance")*(tblGauges[Type]=$B$57)))</f>
        <v>0</v>
      </c>
      <c r="H57" s="57">
        <f>IF($B$57="","",IF(($F$57)=0,"",($G$57)/($F$57)))</f>
        <v>0</v>
      </c>
      <c r="I57" s="58">
        <f>MaxOOT</f>
        <v>0.05</v>
      </c>
    </row>
    <row r="58" spans="2:12">
      <c r="B58" s="56" t="str">
        <f>IFERROR(INDEX(tblGaugeTypes[Type],6)&amp;"","")</f>
        <v>Thread gauge</v>
      </c>
      <c r="C58" s="35">
        <f>IF($B$58="","",COUNTIFS(tblGauges[Type],$B$58,tblGauges[Status],"In service"))</f>
        <v>2</v>
      </c>
      <c r="D58" s="35">
        <f>IF($B$58="","",COUNTIFS(tblGauges[Type],$B$58,tblGauges[Due status],"Overdue"))</f>
        <v>0</v>
      </c>
      <c r="E58" s="35">
        <f>IF($B$58="","",COUNTIFS(tblGauges[Type],$B$58,tblGauges[Due status],"Due soon"))</f>
        <v>1</v>
      </c>
      <c r="F58" s="35">
        <f>IF($B$58="","",SUMPRODUCT(COUNTIFS(tblCalibrations[Gauge ID],tblGauges[Gauge ID],tblCalibrations[View date],"&gt;0")*(tblGauges[Type]=$B$58)))</f>
        <v>7</v>
      </c>
      <c r="G58" s="35">
        <f>IF($B$58="","",SUMPRODUCT(COUNTIFS(tblCalibrations[Gauge ID],tblGauges[Gauge ID],tblCalibrations[View date],"&gt;0",tblCalibrations[As found],"Out of tolerance")*(tblGauges[Type]=$B$58)))</f>
        <v>1</v>
      </c>
      <c r="H58" s="57">
        <f>IF($B$58="","",IF(($F$58)=0,"",($G$58)/($F$58)))</f>
        <v>0.142857142857143</v>
      </c>
      <c r="I58" s="58">
        <f>MaxOOT</f>
        <v>0.05</v>
      </c>
    </row>
    <row r="59" spans="2:12">
      <c r="B59" s="56" t="str">
        <f>IFERROR(INDEX(tblGaugeTypes[Type],7)&amp;"","")</f>
        <v>Torque wrench</v>
      </c>
      <c r="C59" s="35">
        <f>IF($B$59="","",COUNTIFS(tblGauges[Type],$B$59,tblGauges[Status],"In service"))</f>
        <v>3</v>
      </c>
      <c r="D59" s="35">
        <f>IF($B$59="","",COUNTIFS(tblGauges[Type],$B$59,tblGauges[Due status],"Overdue"))</f>
        <v>1</v>
      </c>
      <c r="E59" s="35">
        <f>IF($B$59="","",COUNTIFS(tblGauges[Type],$B$59,tblGauges[Due status],"Due soon"))</f>
        <v>2</v>
      </c>
      <c r="F59" s="35">
        <f>IF($B$59="","",SUMPRODUCT(COUNTIFS(tblCalibrations[Gauge ID],tblGauges[Gauge ID],tblCalibrations[View date],"&gt;0")*(tblGauges[Type]=$B$59)))</f>
        <v>23</v>
      </c>
      <c r="G59" s="35">
        <f>IF($B$59="","",SUMPRODUCT(COUNTIFS(tblCalibrations[Gauge ID],tblGauges[Gauge ID],tblCalibrations[View date],"&gt;0",tblCalibrations[As found],"Out of tolerance")*(tblGauges[Type]=$B$59)))</f>
        <v>5</v>
      </c>
      <c r="H59" s="57">
        <f>IF($B$59="","",IF(($F$59)=0,"",($G$59)/($F$59)))</f>
        <v>0.217391304347826</v>
      </c>
      <c r="I59" s="58">
        <f>MaxOOT</f>
        <v>0.05</v>
      </c>
    </row>
    <row r="60" spans="2:12">
      <c r="B60" s="56" t="str">
        <f>IFERROR(INDEX(tblGaugeTypes[Type],8)&amp;"","")</f>
        <v>Indicator</v>
      </c>
      <c r="C60" s="35">
        <f>IF($B$60="","",COUNTIFS(tblGauges[Type],$B$60,tblGauges[Status],"In service"))</f>
        <v>2</v>
      </c>
      <c r="D60" s="35">
        <f>IF($B$60="","",COUNTIFS(tblGauges[Type],$B$60,tblGauges[Due status],"Overdue"))</f>
        <v>0</v>
      </c>
      <c r="E60" s="35">
        <f>IF($B$60="","",COUNTIFS(tblGauges[Type],$B$60,tblGauges[Due status],"Due soon"))</f>
        <v>0</v>
      </c>
      <c r="F60" s="35">
        <f>IF($B$60="","",SUMPRODUCT(COUNTIFS(tblCalibrations[Gauge ID],tblGauges[Gauge ID],tblCalibrations[View date],"&gt;0")*(tblGauges[Type]=$B$60)))</f>
        <v>4</v>
      </c>
      <c r="G60" s="35">
        <f>IF($B$60="","",SUMPRODUCT(COUNTIFS(tblCalibrations[Gauge ID],tblGauges[Gauge ID],tblCalibrations[View date],"&gt;0",tblCalibrations[As found],"Out of tolerance")*(tblGauges[Type]=$B$60)))</f>
        <v>0</v>
      </c>
      <c r="H60" s="57">
        <f>IF($B$60="","",IF(($F$60)=0,"",($G$60)/($F$60)))</f>
        <v>0</v>
      </c>
      <c r="I60" s="58">
        <f>MaxOOT</f>
        <v>0.05</v>
      </c>
    </row>
    <row r="61" spans="2:12">
      <c r="B61" s="56" t="str">
        <f>IFERROR(INDEX(tblGaugeTypes[Type],9)&amp;"","")</f>
        <v>CMM</v>
      </c>
      <c r="C61" s="35">
        <f>IF($B$61="","",COUNTIFS(tblGauges[Type],$B$61,tblGauges[Status],"In service"))</f>
        <v>1</v>
      </c>
      <c r="D61" s="35">
        <f>IF($B$61="","",COUNTIFS(tblGauges[Type],$B$61,tblGauges[Due status],"Overdue"))</f>
        <v>0</v>
      </c>
      <c r="E61" s="35">
        <f>IF($B$61="","",COUNTIFS(tblGauges[Type],$B$61,tblGauges[Due status],"Due soon"))</f>
        <v>0</v>
      </c>
      <c r="F61" s="35">
        <f>IF($B$61="","",SUMPRODUCT(COUNTIFS(tblCalibrations[Gauge ID],tblGauges[Gauge ID],tblCalibrations[View date],"&gt;0")*(tblGauges[Type]=$B$61)))</f>
        <v>2</v>
      </c>
      <c r="G61" s="35">
        <f>IF($B$61="","",SUMPRODUCT(COUNTIFS(tblCalibrations[Gauge ID],tblGauges[Gauge ID],tblCalibrations[View date],"&gt;0",tblCalibrations[As found],"Out of tolerance")*(tblGauges[Type]=$B$61)))</f>
        <v>0</v>
      </c>
      <c r="H61" s="57">
        <f>IF($B$61="","",IF(($F$61)=0,"",($G$61)/($F$61)))</f>
        <v>0</v>
      </c>
      <c r="I61" s="58">
        <f>MaxOOT</f>
        <v>0.05</v>
      </c>
    </row>
    <row r="62" spans="2:12">
      <c r="B62" s="56" t="str">
        <f>IFERROR(INDEX(tblGaugeTypes[Type],10)&amp;"","")</f>
        <v>Pressure gauge</v>
      </c>
      <c r="C62" s="35">
        <f>IF($B$62="","",COUNTIFS(tblGauges[Type],$B$62,tblGauges[Status],"In service"))</f>
        <v>2</v>
      </c>
      <c r="D62" s="35">
        <f>IF($B$62="","",COUNTIFS(tblGauges[Type],$B$62,tblGauges[Due status],"Overdue"))</f>
        <v>1</v>
      </c>
      <c r="E62" s="35">
        <f>IF($B$62="","",COUNTIFS(tblGauges[Type],$B$62,tblGauges[Due status],"Due soon"))</f>
        <v>0</v>
      </c>
      <c r="F62" s="35">
        <f>IF($B$62="","",SUMPRODUCT(COUNTIFS(tblCalibrations[Gauge ID],tblGauges[Gauge ID],tblCalibrations[View date],"&gt;0")*(tblGauges[Type]=$B$62)))</f>
        <v>7</v>
      </c>
      <c r="G62" s="35">
        <f>IF($B$62="","",SUMPRODUCT(COUNTIFS(tblCalibrations[Gauge ID],tblGauges[Gauge ID],tblCalibrations[View date],"&gt;0",tblCalibrations[As found],"Out of tolerance")*(tblGauges[Type]=$B$62)))</f>
        <v>0</v>
      </c>
      <c r="H62" s="57">
        <f>IF($B$62="","",IF(($F$62)=0,"",($G$62)/($F$62)))</f>
        <v>0</v>
      </c>
      <c r="I62" s="58">
        <f>MaxOOT</f>
        <v>0.05</v>
      </c>
    </row>
    <row r="64" spans="2:12" ht="8" customHeight="1"/>
    <row r="65" spans="2:12" ht="26.76" customHeight="1">
      <c r="B65" s="21" t="s">
        <v>348</v>
      </c>
      <c r="C65" s="21"/>
      <c r="D65" s="21"/>
      <c r="E65" s="21"/>
      <c r="F65" s="21"/>
      <c r="G65" s="21"/>
      <c r="H65" s="21"/>
      <c r="I65" s="21"/>
      <c r="J65" s="21"/>
      <c r="K65" s="21"/>
      <c r="L65" s="21"/>
    </row>
    <row r="66" spans="2:12">
      <c r="B66" s="59">
        <f>IF(COUNTA(tblGaugeTypes[Type])&gt;10,"The gauge type list is longer than the Dashboard block: some types are not shown.","")</f>
        <v/>
      </c>
      <c r="C66" s="59"/>
      <c r="D66" s="59"/>
      <c r="E66" s="59"/>
      <c r="F66" s="59"/>
      <c r="G66" s="59"/>
      <c r="H66" s="59"/>
      <c r="I66" s="59"/>
      <c r="J66" s="59"/>
      <c r="K66" s="59"/>
      <c r="L66" s="59"/>
    </row>
  </sheetData>
  <sheetProtection sheet="1" formatColumns="0" formatRows="0"/>
  <mergeCells count="43">
    <mergeCell ref="A1:L1"/>
    <mergeCell ref="B2:J2"/>
    <mergeCell ref="K2:L2"/>
    <mergeCell ref="C4:D4"/>
    <mergeCell ref="G4:H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E35"/>
    <mergeCell ref="G35:L35"/>
    <mergeCell ref="B51:I51"/>
    <mergeCell ref="B65:L65"/>
    <mergeCell ref="B66:L66"/>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G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G33">
    <cfRule type="cellIs" dxfId="0" priority="61" operator="equal">
      <formula>"On target"</formula>
    </cfRule>
    <cfRule type="cellIs" dxfId="0" priority="62" operator="equal">
      <formula>"PASS"</formula>
    </cfRule>
    <cfRule type="cellIs" dxfId="0" priority="63" operator="equal">
      <formula>"OK"</formula>
    </cfRule>
    <cfRule type="cellIs" dxfId="0" priority="64" operator="equal">
      <formula>"Within limits"</formula>
    </cfRule>
    <cfRule type="cellIs" dxfId="0" priority="65" operator="equal">
      <formula>"Under capacity"</formula>
    </cfRule>
    <cfRule type="cellIs" dxfId="0" priority="66" operator="equal">
      <formula>"Complete"</formula>
    </cfRule>
    <cfRule type="cellIs" dxfId="0" priority="67" operator="equal">
      <formula>"Yes"</formula>
    </cfRule>
    <cfRule type="cellIs" dxfId="1" priority="68" operator="equal">
      <formula>"Near target"</formula>
    </cfRule>
    <cfRule type="cellIs" dxfId="1" priority="69" operator="equal">
      <formula>"Check"</formula>
    </cfRule>
    <cfRule type="cellIs" dxfId="1" priority="70" operator="equal">
      <formula>"Due soon"</formula>
    </cfRule>
    <cfRule type="cellIs" dxfId="1" priority="71" operator="equal">
      <formula>"Near capacity"</formula>
    </cfRule>
    <cfRule type="cellIs" dxfId="1" priority="72" operator="equal">
      <formula>"In progress"</formula>
    </cfRule>
    <cfRule type="cellIs" dxfId="1" priority="73" operator="equal">
      <formula>"Partial"</formula>
    </cfRule>
    <cfRule type="cellIs" dxfId="2" priority="74" operator="equal">
      <formula>"Below target"</formula>
    </cfRule>
    <cfRule type="cellIs" dxfId="2" priority="75" operator="equal">
      <formula>"Above target"</formula>
    </cfRule>
    <cfRule type="cellIs" dxfId="2" priority="76" operator="equal">
      <formula>"FAIL"</formula>
    </cfRule>
    <cfRule type="cellIs" dxfId="2" priority="77" operator="equal">
      <formula>"Over capacity"</formula>
    </cfRule>
    <cfRule type="cellIs" dxfId="2" priority="78" operator="equal">
      <formula>"Overdue"</formula>
    </cfRule>
    <cfRule type="cellIs" dxfId="2" priority="79" operator="equal">
      <formula>"Out of limits"</formula>
    </cfRule>
    <cfRule type="cellIs" dxfId="2" priority="80" operator="equal">
      <formula>"No"</formula>
    </cfRule>
  </conditionalFormatting>
  <conditionalFormatting sqref="H53:H62">
    <cfRule type="expression" dxfId="3" priority="81" stopIfTrue="1">
      <formula>AND(ISNUMBER(H53),H53&lt;=(MaxOOT))</formula>
    </cfRule>
    <cfRule type="expression" dxfId="4" priority="82" stopIfTrue="1">
      <formula>AND(ISNUMBER(H53),H53&lt;=(MaxOOT)*(1+0.05))</formula>
    </cfRule>
    <cfRule type="expression" dxfId="5" priority="83">
      <formula>ISNUMBER(H53)</formula>
    </cfRule>
  </conditionalFormatting>
  <conditionalFormatting sqref="J11">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dataValidations count="2">
    <dataValidation type="date" allowBlank="1" showInputMessage="1" showErrorMessage="1" errorTitle="Check this entry" error="Enter a date between 01 Jan 2000 and 31 Dec 2100." promptTitle="From" prompt="First date of the period. Leave blank to start at the first record. Enter a date between 01 Jan 2000 and 31 Dec 2100." sqref="C4">
      <formula1>36526</formula1>
      <formula2>73415</formula2>
    </dataValidation>
    <dataValidation type="date" allowBlank="1" showInputMessage="1" showErrorMessage="1" errorTitle="Check this entry" error="Enter a date between 01 Jan 2000 and 31 Dec 2100." promptTitle="To" prompt="Last date of the period. Leave blank to include every record. Enter a date between 01 Jan 2000 and 31 Dec 2100." sqref="G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Gauge Calibration Log&amp;R&amp;8&amp;A</oddHeader>
    <oddFooter>&amp;L&amp;8mfgcalcs.com - free manufacturing templates&amp;R&amp;8Page &amp;P of &amp;N</oddFooter>
  </headerFooter>
  <rowBreaks count="2" manualBreakCount="2">
    <brk id="28" max="16383" man="1"/>
    <brk id="50" max="16383" man="1"/>
  </rowBreaks>
  <drawing r:id="rId2"/>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349</v>
      </c>
      <c r="C4" s="8"/>
      <c r="D4" s="8"/>
    </row>
    <row r="5" spans="1:4" ht="5" customHeight="1"/>
    <row r="6" spans="1:4" ht="55.8" customHeight="1">
      <c r="B6" s="10" t="s">
        <v>350</v>
      </c>
      <c r="C6" s="10"/>
      <c r="D6" s="10"/>
    </row>
    <row r="8" spans="1:4" ht="21" customHeight="1">
      <c r="B8" s="8" t="s">
        <v>351</v>
      </c>
      <c r="C8" s="8"/>
      <c r="D8" s="8"/>
    </row>
    <row r="9" spans="1:4" ht="5" customHeight="1"/>
    <row r="10" spans="1:4" ht="20" customHeight="1">
      <c r="B10" s="53" t="s">
        <v>352</v>
      </c>
      <c r="C10" s="53" t="s">
        <v>353</v>
      </c>
      <c r="D10" s="33" t="s">
        <v>354</v>
      </c>
    </row>
    <row r="11" spans="1:4" ht="17.2" customHeight="1">
      <c r="B11" s="60" t="s">
        <v>129</v>
      </c>
      <c r="C11" s="61" t="s">
        <v>355</v>
      </c>
      <c r="D11" s="62" t="s">
        <v>356</v>
      </c>
    </row>
    <row r="12" spans="1:4" ht="30.4" customHeight="1">
      <c r="B12" s="60" t="s">
        <v>130</v>
      </c>
      <c r="C12" s="61" t="s">
        <v>357</v>
      </c>
      <c r="D12" s="62" t="s">
        <v>358</v>
      </c>
    </row>
    <row r="13" spans="1:4" ht="17.2" customHeight="1">
      <c r="B13" s="60" t="s">
        <v>131</v>
      </c>
      <c r="C13" s="61" t="s">
        <v>359</v>
      </c>
      <c r="D13" s="62" t="s">
        <v>358</v>
      </c>
    </row>
    <row r="14" spans="1:4" ht="17.2" customHeight="1">
      <c r="B14" s="60" t="s">
        <v>132</v>
      </c>
      <c r="C14" s="61" t="s">
        <v>360</v>
      </c>
      <c r="D14" s="62" t="s">
        <v>76</v>
      </c>
    </row>
    <row r="15" spans="1:4" ht="43.6" customHeight="1">
      <c r="B15" s="60" t="s">
        <v>133</v>
      </c>
      <c r="C15" s="61" t="s">
        <v>361</v>
      </c>
      <c r="D15" s="62" t="s">
        <v>362</v>
      </c>
    </row>
    <row r="16" spans="1:4" ht="30.4" customHeight="1">
      <c r="B16" s="60" t="s">
        <v>363</v>
      </c>
      <c r="C16" s="61" t="s">
        <v>364</v>
      </c>
      <c r="D16" s="62" t="s">
        <v>358</v>
      </c>
    </row>
    <row r="17" spans="2:4" ht="30.4" customHeight="1">
      <c r="B17" s="60" t="s">
        <v>365</v>
      </c>
      <c r="C17" s="61" t="s">
        <v>366</v>
      </c>
      <c r="D17" s="62" t="s">
        <v>367</v>
      </c>
    </row>
    <row r="18" spans="2:4" ht="43.6" customHeight="1">
      <c r="B18" s="60" t="s">
        <v>368</v>
      </c>
      <c r="C18" s="61" t="s">
        <v>369</v>
      </c>
      <c r="D18" s="62" t="s">
        <v>370</v>
      </c>
    </row>
    <row r="19" spans="2:4" ht="30.4" customHeight="1">
      <c r="B19" s="60" t="s">
        <v>371</v>
      </c>
      <c r="C19" s="61" t="s">
        <v>372</v>
      </c>
      <c r="D19" s="62" t="s">
        <v>370</v>
      </c>
    </row>
    <row r="20" spans="2:4" ht="30.4" customHeight="1">
      <c r="B20" s="60" t="s">
        <v>373</v>
      </c>
      <c r="C20" s="61" t="s">
        <v>374</v>
      </c>
      <c r="D20" s="62" t="s">
        <v>375</v>
      </c>
    </row>
    <row r="21" spans="2:4" ht="30.4" customHeight="1">
      <c r="B21" s="60" t="s">
        <v>376</v>
      </c>
      <c r="C21" s="61" t="s">
        <v>377</v>
      </c>
      <c r="D21" s="62" t="s">
        <v>378</v>
      </c>
    </row>
    <row r="23" spans="2:4" ht="21" customHeight="1">
      <c r="B23" s="8" t="s">
        <v>379</v>
      </c>
      <c r="C23" s="8"/>
      <c r="D23" s="8"/>
    </row>
    <row r="24" spans="2:4" ht="5" customHeight="1"/>
    <row r="25" spans="2:4" ht="42.6" customHeight="1">
      <c r="B25" s="26" t="s">
        <v>57</v>
      </c>
      <c r="C25" s="10" t="s">
        <v>380</v>
      </c>
      <c r="D25" s="10"/>
    </row>
    <row r="26" spans="2:4" ht="29.4" customHeight="1">
      <c r="B26" s="26" t="s">
        <v>57</v>
      </c>
      <c r="C26" s="10" t="s">
        <v>381</v>
      </c>
      <c r="D26" s="10"/>
    </row>
    <row r="27" spans="2:4" ht="29.4" customHeight="1">
      <c r="B27" s="26" t="s">
        <v>57</v>
      </c>
      <c r="C27" s="10" t="s">
        <v>382</v>
      </c>
      <c r="D27" s="10"/>
    </row>
    <row r="28" spans="2:4" ht="29.4" customHeight="1">
      <c r="B28" s="26" t="s">
        <v>57</v>
      </c>
      <c r="C28" s="10" t="s">
        <v>383</v>
      </c>
      <c r="D28" s="10"/>
    </row>
    <row r="30" spans="2:4" ht="21" customHeight="1">
      <c r="B30" s="8" t="s">
        <v>384</v>
      </c>
      <c r="C30" s="8"/>
      <c r="D30" s="8"/>
    </row>
    <row r="31" spans="2:4" ht="5" customHeight="1"/>
    <row r="32" spans="2:4" ht="29.4" customHeight="1">
      <c r="B32" s="26" t="s">
        <v>57</v>
      </c>
      <c r="C32" s="10" t="s">
        <v>385</v>
      </c>
      <c r="D32" s="10"/>
    </row>
    <row r="33" spans="2:4" ht="29.4" customHeight="1">
      <c r="B33" s="26" t="s">
        <v>57</v>
      </c>
      <c r="C33" s="10" t="s">
        <v>386</v>
      </c>
      <c r="D33" s="10"/>
    </row>
    <row r="34" spans="2:4" ht="29.4" customHeight="1">
      <c r="B34" s="26" t="s">
        <v>57</v>
      </c>
      <c r="C34" s="10" t="s">
        <v>387</v>
      </c>
      <c r="D34" s="10"/>
    </row>
    <row r="35" spans="2:4" ht="29.4" customHeight="1">
      <c r="B35" s="26" t="s">
        <v>57</v>
      </c>
      <c r="C35" s="10" t="s">
        <v>388</v>
      </c>
      <c r="D35" s="10"/>
    </row>
    <row r="37" spans="2:4" ht="21" customHeight="1">
      <c r="B37" s="8" t="s">
        <v>389</v>
      </c>
      <c r="C37" s="8"/>
      <c r="D37" s="8"/>
    </row>
    <row r="38" spans="2:4" ht="5" customHeight="1"/>
    <row r="39" spans="2:4" ht="69" customHeight="1">
      <c r="B39" s="10" t="s">
        <v>390</v>
      </c>
      <c r="C39" s="10"/>
      <c r="D39" s="10"/>
    </row>
    <row r="40" spans="2:4">
      <c r="B40" s="24" t="s">
        <v>391</v>
      </c>
      <c r="C40" s="24"/>
      <c r="D40" s="24"/>
    </row>
    <row r="42" spans="2:4" ht="21" customHeight="1">
      <c r="B42" s="8" t="s">
        <v>44</v>
      </c>
      <c r="C42" s="8"/>
      <c r="D42" s="8"/>
    </row>
    <row r="43" spans="2:4" ht="5" customHeight="1"/>
    <row r="44" spans="2:4" ht="42.6" customHeight="1">
      <c r="B44" s="10" t="s">
        <v>392</v>
      </c>
      <c r="C44" s="10"/>
      <c r="D44" s="10"/>
    </row>
    <row r="46" spans="2:4" ht="21" customHeight="1">
      <c r="B46" s="8" t="s">
        <v>393</v>
      </c>
      <c r="C46" s="8"/>
      <c r="D46" s="8"/>
    </row>
    <row r="47" spans="2:4" ht="5" customHeight="1"/>
    <row r="48" spans="2:4" ht="29.4" customHeight="1">
      <c r="B48" s="26" t="s">
        <v>57</v>
      </c>
      <c r="C48" s="10" t="s">
        <v>394</v>
      </c>
      <c r="D48" s="10"/>
    </row>
    <row r="49" spans="2:4" ht="29.4" customHeight="1">
      <c r="B49" s="26" t="s">
        <v>57</v>
      </c>
      <c r="C49" s="10" t="s">
        <v>395</v>
      </c>
      <c r="D49" s="10"/>
    </row>
    <row r="50" spans="2:4" ht="29.4" customHeight="1">
      <c r="B50" s="26" t="s">
        <v>57</v>
      </c>
      <c r="C50" s="10" t="s">
        <v>396</v>
      </c>
      <c r="D50" s="10"/>
    </row>
    <row r="51" spans="2:4" ht="29.4" customHeight="1">
      <c r="B51" s="26" t="s">
        <v>57</v>
      </c>
      <c r="C51" s="10" t="s">
        <v>397</v>
      </c>
      <c r="D51" s="10"/>
    </row>
    <row r="52" spans="2:4">
      <c r="B52" s="21" t="s">
        <v>398</v>
      </c>
      <c r="C52" s="21"/>
      <c r="D52" s="21"/>
    </row>
    <row r="54" spans="2:4" ht="21" customHeight="1">
      <c r="B54" s="8" t="s">
        <v>399</v>
      </c>
      <c r="C54" s="8"/>
      <c r="D54" s="8"/>
    </row>
    <row r="55" spans="2:4" ht="5" customHeight="1"/>
    <row r="56" spans="2:4">
      <c r="B56" s="53" t="s">
        <v>52</v>
      </c>
      <c r="C56" s="53" t="s">
        <v>400</v>
      </c>
      <c r="D56" s="33" t="s">
        <v>401</v>
      </c>
    </row>
    <row r="57" spans="2:4" ht="16.2" customHeight="1">
      <c r="B57" s="63" t="s">
        <v>402</v>
      </c>
      <c r="C57" s="64" t="s">
        <v>403</v>
      </c>
      <c r="D57" s="65" t="s">
        <v>404</v>
      </c>
    </row>
    <row r="59" spans="2:4">
      <c r="B59" s="21" t="s">
        <v>63</v>
      </c>
      <c r="C59" s="21"/>
      <c r="D59" s="21"/>
    </row>
  </sheetData>
  <sheetProtection sheet="1" formatColumns="0" formatRows="0"/>
  <mergeCells count="28">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C51:D51"/>
    <mergeCell ref="B52:D52"/>
    <mergeCell ref="B54:D54"/>
    <mergeCell ref="B59:D59"/>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Gauge Calibration Log&amp;R&amp;8&amp;A</oddHeader>
    <oddFooter>&amp;L&amp;8mfgcalcs.com - free manufacturing templates&amp;R&amp;8Page &amp;P of &amp;N</oddFooter>
  </headerFooter>
  <rowBreaks count="2" manualBreakCount="2">
    <brk id="22" max="16383" man="1"/>
    <brk id="45"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S72"/>
  <sheetViews>
    <sheetView showGridLines="0" workbookViewId="0"/>
  </sheetViews>
  <sheetFormatPr defaultRowHeight="15"/>
  <cols>
    <col min="1" max="1" width="2.7109375" customWidth="1"/>
    <col min="2" max="19" width="12.7109375" customWidth="1"/>
  </cols>
  <sheetData>
    <row r="1" spans="1:19" ht="30" customHeight="1">
      <c r="A1" s="1" t="s">
        <v>0</v>
      </c>
      <c r="B1" s="1"/>
      <c r="C1" s="1"/>
      <c r="D1" s="1"/>
      <c r="E1" s="1"/>
      <c r="F1" s="1"/>
      <c r="G1" s="1"/>
      <c r="H1" s="1"/>
      <c r="I1" s="1"/>
      <c r="J1" s="1"/>
      <c r="K1" s="1"/>
      <c r="L1" s="1"/>
      <c r="M1" s="1"/>
      <c r="N1" s="1"/>
      <c r="O1" s="1"/>
      <c r="P1" s="1"/>
      <c r="Q1" s="1"/>
      <c r="R1" s="1"/>
      <c r="S1" s="1"/>
    </row>
    <row r="2" spans="1:19" ht="21" customHeight="1">
      <c r="B2" s="2" t="s">
        <v>30</v>
      </c>
      <c r="C2" s="2"/>
      <c r="D2" s="2"/>
      <c r="E2" s="2"/>
      <c r="F2" s="2"/>
      <c r="G2" s="2"/>
      <c r="H2" s="2"/>
      <c r="I2" s="2"/>
      <c r="J2" s="2"/>
      <c r="K2" s="2"/>
      <c r="L2" s="2"/>
      <c r="M2" s="2"/>
      <c r="N2" s="2"/>
      <c r="O2" s="2"/>
      <c r="P2" s="2"/>
      <c r="Q2" s="2"/>
      <c r="R2" s="2"/>
      <c r="S2" s="3" t="s">
        <v>2</v>
      </c>
    </row>
    <row r="3" spans="1:19" ht="6" customHeight="1"/>
    <row r="4" spans="1:19" ht="30" customHeight="1">
      <c r="B4" s="66" t="s">
        <v>405</v>
      </c>
      <c r="C4" s="66"/>
      <c r="D4" s="22" t="str">
        <f>IF(COUNTIF($K$11:$K$28,"PASS")=18,"PASS","FAIL")</f>
        <v>PASS</v>
      </c>
      <c r="E4" s="22"/>
      <c r="F4" s="23" t="str">
        <f>COUNTIF($K$11:$K$28,"PASS")&amp;" of 18 checks pass"</f>
        <v>18 of 18 checks pass</v>
      </c>
      <c r="G4" s="23"/>
      <c r="H4" s="23"/>
      <c r="I4" s="23"/>
      <c r="J4" s="23"/>
    </row>
    <row r="6" spans="1:19" ht="29.4" customHeight="1">
      <c r="B6" s="10" t="s">
        <v>406</v>
      </c>
      <c r="C6" s="10"/>
      <c r="D6" s="10"/>
      <c r="E6" s="10"/>
      <c r="F6" s="10"/>
      <c r="G6" s="10"/>
      <c r="H6" s="10"/>
      <c r="I6" s="10"/>
      <c r="J6" s="10"/>
      <c r="K6" s="10"/>
      <c r="L6" s="10"/>
    </row>
    <row r="8" spans="1:19" ht="21" customHeight="1">
      <c r="B8" s="8" t="s">
        <v>407</v>
      </c>
      <c r="C8" s="8"/>
      <c r="D8" s="8"/>
      <c r="E8" s="8"/>
      <c r="F8" s="8"/>
      <c r="G8" s="8"/>
      <c r="H8" s="8"/>
      <c r="I8" s="8"/>
      <c r="J8" s="8"/>
      <c r="K8" s="8"/>
      <c r="L8" s="8"/>
    </row>
    <row r="9" spans="1:19" ht="5" customHeight="1"/>
    <row r="10" spans="1:19" ht="30" customHeight="1">
      <c r="B10" s="33" t="s">
        <v>408</v>
      </c>
      <c r="C10" s="53" t="s">
        <v>135</v>
      </c>
      <c r="D10" s="53"/>
      <c r="E10" s="53"/>
      <c r="F10" s="53"/>
      <c r="G10" s="33" t="s">
        <v>409</v>
      </c>
      <c r="H10" s="33" t="s">
        <v>410</v>
      </c>
      <c r="I10" s="33" t="s">
        <v>411</v>
      </c>
      <c r="J10" s="33" t="s">
        <v>412</v>
      </c>
      <c r="K10" s="33" t="s">
        <v>413</v>
      </c>
    </row>
    <row r="11" spans="1:19" ht="16.2" customHeight="1">
      <c r="B11" s="67">
        <v>1</v>
      </c>
      <c r="C11" s="64" t="s">
        <v>414</v>
      </c>
      <c r="D11" s="64"/>
      <c r="E11" s="64"/>
      <c r="F11" s="64"/>
      <c r="G11" s="68">
        <v>45920</v>
      </c>
      <c r="H11" s="36">
        <f>$J$57</f>
        <v>45920</v>
      </c>
      <c r="I11" s="69">
        <f>IF(AND(ISNUMBER($G$11),ISNUMBER($H$11)),ABS($H$11-$G$11),"")</f>
        <v>0</v>
      </c>
      <c r="J11" s="70">
        <v>1E-09</v>
      </c>
      <c r="K11" s="38" t="str">
        <f>IF(AND(ISNUMBER($G$11),ISNUMBER($H$11)),IF(ABS($H$11-$G$11)&lt;=$J$11,"PASS","FAIL"),"FAIL")</f>
        <v>PASS</v>
      </c>
    </row>
    <row r="12" spans="1:19" ht="16.2" customHeight="1">
      <c r="B12" s="67">
        <v>2</v>
      </c>
      <c r="C12" s="64" t="s">
        <v>415</v>
      </c>
      <c r="D12" s="64"/>
      <c r="E12" s="64"/>
      <c r="F12" s="64"/>
      <c r="G12" s="68">
        <v>46100</v>
      </c>
      <c r="H12" s="36">
        <f>$K$57</f>
        <v>46100</v>
      </c>
      <c r="I12" s="69">
        <f>IF(AND(ISNUMBER($G$12),ISNUMBER($H$12)),ABS($H$12-$G$12),"")</f>
        <v>0</v>
      </c>
      <c r="J12" s="70">
        <v>1E-09</v>
      </c>
      <c r="K12" s="38" t="str">
        <f>IF(AND(ISNUMBER($G$12),ISNUMBER($H$12)),IF(ABS($H$12-$G$12)&lt;=$J$12,"PASS","FAIL"),"FAIL")</f>
        <v>PASS</v>
      </c>
    </row>
    <row r="13" spans="1:19" ht="16.2" customHeight="1">
      <c r="B13" s="67">
        <v>3</v>
      </c>
      <c r="C13" s="64" t="s">
        <v>416</v>
      </c>
      <c r="D13" s="64"/>
      <c r="E13" s="64"/>
      <c r="F13" s="64"/>
      <c r="G13" s="71">
        <v>-12</v>
      </c>
      <c r="H13" s="35">
        <f>$L$57</f>
        <v>-12</v>
      </c>
      <c r="I13" s="69">
        <f>IF(AND(ISNUMBER($G$13),ISNUMBER($H$13)),ABS($H$13-$G$13),"")</f>
        <v>0</v>
      </c>
      <c r="J13" s="70">
        <v>1E-09</v>
      </c>
      <c r="K13" s="38" t="str">
        <f>IF(AND(ISNUMBER($G$13),ISNUMBER($H$13)),IF(ABS($H$13-$G$13)&lt;=$J$13,"PASS","FAIL"),"FAIL")</f>
        <v>PASS</v>
      </c>
    </row>
    <row r="14" spans="1:19" ht="16.2" customHeight="1">
      <c r="B14" s="67">
        <v>4</v>
      </c>
      <c r="C14" s="64" t="s">
        <v>417</v>
      </c>
      <c r="D14" s="64"/>
      <c r="E14" s="64"/>
      <c r="F14" s="64"/>
      <c r="G14" s="63" t="s">
        <v>342</v>
      </c>
      <c r="H14" s="72" t="str">
        <f>$M$57</f>
        <v>Overdue</v>
      </c>
      <c r="I14" s="72"/>
      <c r="J14" s="65" t="s">
        <v>418</v>
      </c>
      <c r="K14" s="38" t="str">
        <f>IF($H$14&amp;""=$G$14&amp;"","PASS","FAIL")</f>
        <v>PASS</v>
      </c>
    </row>
    <row r="15" spans="1:19" ht="16.2" customHeight="1">
      <c r="B15" s="67">
        <v>5</v>
      </c>
      <c r="C15" s="64" t="s">
        <v>419</v>
      </c>
      <c r="D15" s="64"/>
      <c r="E15" s="64"/>
      <c r="F15" s="64"/>
      <c r="G15" s="71">
        <v>1</v>
      </c>
      <c r="H15" s="35">
        <f>$N$59</f>
        <v>1</v>
      </c>
      <c r="I15" s="69">
        <f>IF(AND(ISNUMBER($G$15),ISNUMBER($H$15)),ABS($H$15-$G$15),"")</f>
        <v>0</v>
      </c>
      <c r="J15" s="70">
        <v>1E-09</v>
      </c>
      <c r="K15" s="38" t="str">
        <f>IF(AND(ISNUMBER($G$15),ISNUMBER($H$15)),IF(ABS($H$15-$G$15)&lt;=$J$15,"PASS","FAIL"),"FAIL")</f>
        <v>PASS</v>
      </c>
    </row>
    <row r="16" spans="1:19" ht="16.2" customHeight="1">
      <c r="B16" s="67">
        <v>6</v>
      </c>
      <c r="C16" s="64" t="s">
        <v>420</v>
      </c>
      <c r="D16" s="64"/>
      <c r="E16" s="64"/>
      <c r="F16" s="64"/>
      <c r="G16" s="63" t="s">
        <v>208</v>
      </c>
      <c r="H16" s="72" t="str">
        <f>$M$60</f>
        <v>Retired</v>
      </c>
      <c r="I16" s="72"/>
      <c r="J16" s="65" t="s">
        <v>418</v>
      </c>
      <c r="K16" s="38" t="str">
        <f>IF($H$16&amp;""=$G$16&amp;"","PASS","FAIL")</f>
        <v>PASS</v>
      </c>
    </row>
    <row r="17" spans="2:12" ht="16.2" customHeight="1">
      <c r="B17" s="67">
        <v>7</v>
      </c>
      <c r="C17" s="64" t="s">
        <v>421</v>
      </c>
      <c r="D17" s="64"/>
      <c r="E17" s="64"/>
      <c r="F17" s="64"/>
      <c r="G17" s="63" t="s">
        <v>422</v>
      </c>
      <c r="H17" s="72" t="str">
        <f>$O$61</f>
        <v>Duplicate gauge ID</v>
      </c>
      <c r="I17" s="72"/>
      <c r="J17" s="65" t="s">
        <v>418</v>
      </c>
      <c r="K17" s="38" t="str">
        <f>IF($H$17&amp;""=$G$17&amp;"","PASS","FAIL")</f>
        <v>PASS</v>
      </c>
    </row>
    <row r="18" spans="2:12" ht="16.2" customHeight="1">
      <c r="B18" s="67">
        <v>8</v>
      </c>
      <c r="C18" s="64" t="s">
        <v>423</v>
      </c>
      <c r="D18" s="64"/>
      <c r="E18" s="64"/>
      <c r="F18" s="64"/>
      <c r="G18" s="63" t="s">
        <v>424</v>
      </c>
      <c r="H18" s="72" t="str">
        <f>$O$59</f>
        <v>Calibrated after the status date</v>
      </c>
      <c r="I18" s="72"/>
      <c r="J18" s="65" t="s">
        <v>418</v>
      </c>
      <c r="K18" s="38" t="str">
        <f>IF($H$18&amp;""=$G$18&amp;"","PASS","FAIL")</f>
        <v>PASS</v>
      </c>
    </row>
    <row r="19" spans="2:12" ht="16.2" customHeight="1">
      <c r="B19" s="67">
        <v>9</v>
      </c>
      <c r="C19" s="64" t="s">
        <v>425</v>
      </c>
      <c r="D19" s="64"/>
      <c r="E19" s="64"/>
      <c r="F19" s="64"/>
      <c r="G19" s="68">
        <v>45748</v>
      </c>
      <c r="H19" s="36">
        <f>$L$67</f>
        <v>45748</v>
      </c>
      <c r="I19" s="69">
        <f>IF(AND(ISNUMBER($G$19),ISNUMBER($H$19)),ABS($H$19-$G$19),"")</f>
        <v>0</v>
      </c>
      <c r="J19" s="70">
        <v>1E-09</v>
      </c>
      <c r="K19" s="38" t="str">
        <f>IF(AND(ISNUMBER($G$19),ISNUMBER($H$19)),IF(ABS($H$19-$G$19)&lt;=$J$19,"PASS","FAIL"),"FAIL")</f>
        <v>PASS</v>
      </c>
    </row>
    <row r="20" spans="2:12" ht="16.2" customHeight="1">
      <c r="B20" s="67">
        <v>10</v>
      </c>
      <c r="C20" s="64" t="s">
        <v>426</v>
      </c>
      <c r="D20" s="64"/>
      <c r="E20" s="64"/>
      <c r="F20" s="64"/>
      <c r="G20" s="68">
        <v>45928</v>
      </c>
      <c r="H20" s="36">
        <f>$M$67</f>
        <v>45928</v>
      </c>
      <c r="I20" s="69">
        <f>IF(AND(ISNUMBER($G$20),ISNUMBER($H$20)),ABS($H$20-$G$20),"")</f>
        <v>0</v>
      </c>
      <c r="J20" s="70">
        <v>1E-09</v>
      </c>
      <c r="K20" s="38" t="str">
        <f>IF(AND(ISNUMBER($G$20),ISNUMBER($H$20)),IF(ABS($H$20-$G$20)&lt;=$J$20,"PASS","FAIL"),"FAIL")</f>
        <v>PASS</v>
      </c>
    </row>
    <row r="21" spans="2:12" ht="16.2" customHeight="1">
      <c r="B21" s="67">
        <v>11</v>
      </c>
      <c r="C21" s="64" t="s">
        <v>427</v>
      </c>
      <c r="D21" s="64"/>
      <c r="E21" s="64"/>
      <c r="F21" s="64"/>
      <c r="G21" s="63" t="s">
        <v>428</v>
      </c>
      <c r="H21" s="72" t="str">
        <f>$O$67</f>
        <v>Yes</v>
      </c>
      <c r="I21" s="72"/>
      <c r="J21" s="65" t="s">
        <v>418</v>
      </c>
      <c r="K21" s="38" t="str">
        <f>IF($H$21&amp;""=$G$21&amp;"","PASS","FAIL")</f>
        <v>PASS</v>
      </c>
    </row>
    <row r="22" spans="2:12" ht="16.2" customHeight="1">
      <c r="B22" s="67">
        <v>12</v>
      </c>
      <c r="C22" s="64" t="s">
        <v>429</v>
      </c>
      <c r="D22" s="64"/>
      <c r="E22" s="64"/>
      <c r="F22" s="64"/>
      <c r="G22" s="71">
        <v>10</v>
      </c>
      <c r="H22" s="35">
        <f>$N$69</f>
        <v>10</v>
      </c>
      <c r="I22" s="69">
        <f>IF(AND(ISNUMBER($G$22),ISNUMBER($H$22)),ABS($H$22-$G$22),"")</f>
        <v>0</v>
      </c>
      <c r="J22" s="70">
        <v>1E-09</v>
      </c>
      <c r="K22" s="38" t="str">
        <f>IF(AND(ISNUMBER($G$22),ISNUMBER($H$22)),IF(ABS($H$22-$G$22)&lt;=$J$22,"PASS","FAIL"),"FAIL")</f>
        <v>PASS</v>
      </c>
    </row>
    <row r="23" spans="2:12" ht="16.2" customHeight="1">
      <c r="B23" s="67">
        <v>13</v>
      </c>
      <c r="C23" s="64" t="s">
        <v>430</v>
      </c>
      <c r="D23" s="64"/>
      <c r="E23" s="64"/>
      <c r="F23" s="64"/>
      <c r="G23" s="63" t="s">
        <v>431</v>
      </c>
      <c r="H23" s="72" t="str">
        <f>$O$69</f>
        <v>No</v>
      </c>
      <c r="I23" s="72"/>
      <c r="J23" s="65" t="s">
        <v>418</v>
      </c>
      <c r="K23" s="38" t="str">
        <f>IF($H$23&amp;""=$G$23&amp;"","PASS","FAIL")</f>
        <v>PASS</v>
      </c>
    </row>
    <row r="24" spans="2:12" ht="16.2" customHeight="1">
      <c r="B24" s="67">
        <v>14</v>
      </c>
      <c r="C24" s="64" t="s">
        <v>432</v>
      </c>
      <c r="D24" s="64"/>
      <c r="E24" s="64"/>
      <c r="F24" s="64"/>
      <c r="G24" s="63" t="s">
        <v>141</v>
      </c>
      <c r="H24" s="72">
        <f>$M$66</f>
        <v/>
      </c>
      <c r="I24" s="72"/>
      <c r="J24" s="65" t="s">
        <v>418</v>
      </c>
      <c r="K24" s="38" t="str">
        <f>IF($H$24&amp;""=$G$24&amp;"","PASS","FAIL")</f>
        <v>PASS</v>
      </c>
    </row>
    <row r="25" spans="2:12" ht="16.2" customHeight="1">
      <c r="B25" s="67">
        <v>15</v>
      </c>
      <c r="C25" s="64" t="s">
        <v>433</v>
      </c>
      <c r="D25" s="64"/>
      <c r="E25" s="64"/>
      <c r="F25" s="64"/>
      <c r="G25" s="63" t="s">
        <v>434</v>
      </c>
      <c r="H25" s="72" t="str">
        <f>$R$72</f>
        <v>Date after the status date</v>
      </c>
      <c r="I25" s="72"/>
      <c r="J25" s="65" t="s">
        <v>418</v>
      </c>
      <c r="K25" s="38" t="str">
        <f>IF($H$25&amp;""=$G$25&amp;"","PASS","FAIL")</f>
        <v>PASS</v>
      </c>
    </row>
    <row r="26" spans="2:12" ht="16.2" customHeight="1">
      <c r="B26" s="67">
        <v>16</v>
      </c>
      <c r="C26" s="64" t="s">
        <v>435</v>
      </c>
      <c r="D26" s="64"/>
      <c r="E26" s="64"/>
      <c r="F26" s="64"/>
      <c r="G26" s="58">
        <v>0.4</v>
      </c>
      <c r="H26" s="57">
        <f>IF((COUNTIFS(tblVerifyCalibrations[Due date],"&gt;="&amp;$E$36,tblVerifyCalibrations[Due date],"&lt;="&amp;$E$37)+COUNTIFS(tblVerifyGauges[Due status],"Overdue",tblVerifyGauges[Next due],"&gt;="&amp;$E$36,tblVerifyGauges[Next due],"&lt;="&amp;$E$37))=0,"",(COUNTIFS(tblVerifyCalibrations[On time],"Yes",tblVerifyCalibrations[Due date],"&gt;="&amp;$E$36,tblVerifyCalibrations[Due date],"&lt;="&amp;$E$37))/(COUNTIFS(tblVerifyCalibrations[Due date],"&gt;="&amp;$E$36,tblVerifyCalibrations[Due date],"&lt;="&amp;$E$37)+COUNTIFS(tblVerifyGauges[Due status],"Overdue",tblVerifyGauges[Next due],"&gt;="&amp;$E$36,tblVerifyGauges[Next due],"&lt;="&amp;$E$37)))</f>
        <v>0.4</v>
      </c>
      <c r="I26" s="69">
        <f>IF(AND(ISNUMBER($G$26),ISNUMBER($H$26)),ABS($H$26-$G$26),"")</f>
        <v>0</v>
      </c>
      <c r="J26" s="70">
        <v>1E-09</v>
      </c>
      <c r="K26" s="38" t="str">
        <f>IF(AND(ISNUMBER($G$26),ISNUMBER($H$26)),IF(ABS($H$26-$G$26)&lt;=$J$26,"PASS","FAIL"),"FAIL")</f>
        <v>PASS</v>
      </c>
    </row>
    <row r="27" spans="2:12" ht="16.2" customHeight="1">
      <c r="B27" s="67">
        <v>17</v>
      </c>
      <c r="C27" s="64" t="s">
        <v>436</v>
      </c>
      <c r="D27" s="64"/>
      <c r="E27" s="64"/>
      <c r="F27" s="64"/>
      <c r="G27" s="58">
        <v>0.2857142857142857</v>
      </c>
      <c r="H27" s="57">
        <f>IF((COUNTIFS(tblVerifyCalibrations[View date],"&gt;0"))=0,"",(COUNTIFS(tblVerifyCalibrations[As found],"Out of tolerance",tblVerifyCalibrations[View date],"&gt;0"))/(COUNTIFS(tblVerifyCalibrations[View date],"&gt;0")))</f>
        <v>0.285714285714286</v>
      </c>
      <c r="I27" s="69">
        <f>IF(AND(ISNUMBER($G$27),ISNUMBER($H$27)),ABS($H$27-$G$27),"")</f>
        <v>0</v>
      </c>
      <c r="J27" s="70">
        <v>1E-09</v>
      </c>
      <c r="K27" s="38" t="str">
        <f>IF(AND(ISNUMBER($G$27),ISNUMBER($H$27)),IF(ABS($H$27-$G$27)&lt;=$J$27,"PASS","FAIL"),"FAIL")</f>
        <v>PASS</v>
      </c>
    </row>
    <row r="28" spans="2:12" ht="16.2" customHeight="1">
      <c r="B28" s="67">
        <v>18</v>
      </c>
      <c r="C28" s="64" t="s">
        <v>437</v>
      </c>
      <c r="D28" s="64"/>
      <c r="E28" s="64"/>
      <c r="F28" s="64"/>
      <c r="G28" s="71">
        <v>2</v>
      </c>
      <c r="H28" s="35">
        <f>COUNTIFS(tblVerifyGauges[Due status],"Overdue")</f>
        <v>2</v>
      </c>
      <c r="I28" s="69">
        <f>IF(AND(ISNUMBER($G$28),ISNUMBER($H$28)),ABS($H$28-$G$28),"")</f>
        <v>0</v>
      </c>
      <c r="J28" s="70">
        <v>1E-09</v>
      </c>
      <c r="K28" s="38" t="str">
        <f>IF(AND(ISNUMBER($G$28),ISNUMBER($H$28)),IF(ABS($H$28-$G$28)&lt;=$J$28,"PASS","FAIL"),"FAIL")</f>
        <v>PASS</v>
      </c>
    </row>
    <row r="30" spans="2:12" ht="21" customHeight="1">
      <c r="B30" s="8" t="s">
        <v>438</v>
      </c>
      <c r="C30" s="8"/>
      <c r="D30" s="8"/>
      <c r="E30" s="8"/>
      <c r="F30" s="8"/>
      <c r="G30" s="8"/>
      <c r="H30" s="8"/>
      <c r="I30" s="8"/>
      <c r="J30" s="8"/>
      <c r="K30" s="8"/>
      <c r="L30" s="8"/>
    </row>
    <row r="31" spans="2:12" ht="5" customHeight="1"/>
    <row r="32" spans="2:12">
      <c r="B32" s="21" t="s">
        <v>439</v>
      </c>
      <c r="C32" s="21"/>
      <c r="D32" s="21"/>
      <c r="E32" s="21"/>
      <c r="F32" s="21"/>
      <c r="G32" s="21"/>
      <c r="H32" s="21"/>
      <c r="I32" s="21"/>
      <c r="J32" s="21"/>
      <c r="K32" s="21"/>
      <c r="L32" s="21"/>
    </row>
    <row r="33" spans="2:12">
      <c r="B33" s="32" t="s">
        <v>440</v>
      </c>
      <c r="C33" s="32"/>
      <c r="D33" s="32"/>
      <c r="E33" s="32"/>
      <c r="F33" s="32"/>
    </row>
    <row r="34" spans="2:12">
      <c r="B34" s="27" t="s">
        <v>441</v>
      </c>
      <c r="C34" s="27"/>
      <c r="D34" s="27"/>
      <c r="E34" s="68">
        <v>46112</v>
      </c>
      <c r="F34" s="7"/>
    </row>
    <row r="35" spans="2:12">
      <c r="B35" s="27" t="s">
        <v>442</v>
      </c>
      <c r="C35" s="27"/>
      <c r="D35" s="27"/>
      <c r="E35" s="71">
        <v>30</v>
      </c>
      <c r="F35" s="7"/>
    </row>
    <row r="36" spans="2:12">
      <c r="B36" s="27" t="s">
        <v>443</v>
      </c>
      <c r="C36" s="27"/>
      <c r="D36" s="27"/>
      <c r="E36" s="71">
        <v>0</v>
      </c>
      <c r="F36" s="7"/>
    </row>
    <row r="37" spans="2:12">
      <c r="B37" s="27" t="s">
        <v>444</v>
      </c>
      <c r="C37" s="27"/>
      <c r="D37" s="27"/>
      <c r="E37" s="71">
        <v>2958465</v>
      </c>
      <c r="F37" s="7"/>
    </row>
    <row r="38" spans="2:12">
      <c r="B38" s="27" t="s">
        <v>445</v>
      </c>
      <c r="C38" s="27"/>
      <c r="D38" s="27"/>
      <c r="E38" s="58">
        <v>0.95</v>
      </c>
      <c r="F38" s="7"/>
    </row>
    <row r="39" spans="2:12">
      <c r="B39" s="27" t="s">
        <v>347</v>
      </c>
      <c r="C39" s="27"/>
      <c r="D39" s="27"/>
      <c r="E39" s="58">
        <v>0.05</v>
      </c>
      <c r="F39" s="7"/>
    </row>
    <row r="41" spans="2:12">
      <c r="B41" s="32" t="s">
        <v>446</v>
      </c>
      <c r="C41" s="32"/>
      <c r="D41" s="32"/>
      <c r="E41" s="32"/>
      <c r="F41" s="32"/>
      <c r="G41" s="32"/>
      <c r="H41" s="32"/>
      <c r="I41" s="32"/>
      <c r="J41" s="32"/>
      <c r="K41" s="32"/>
      <c r="L41" s="32"/>
    </row>
    <row r="42" spans="2:12" ht="20" customHeight="1">
      <c r="B42" s="33" t="s">
        <v>64</v>
      </c>
      <c r="C42" s="33" t="s">
        <v>65</v>
      </c>
    </row>
    <row r="43" spans="2:12">
      <c r="B43" s="63" t="s">
        <v>84</v>
      </c>
      <c r="C43" s="63" t="s">
        <v>141</v>
      </c>
    </row>
    <row r="44" spans="2:12">
      <c r="B44" s="63" t="s">
        <v>96</v>
      </c>
      <c r="C44" s="63" t="s">
        <v>141</v>
      </c>
    </row>
    <row r="45" spans="2:12">
      <c r="B45" s="63" t="s">
        <v>86</v>
      </c>
      <c r="C45" s="63" t="s">
        <v>141</v>
      </c>
    </row>
    <row r="47" spans="2:12">
      <c r="B47" s="32" t="s">
        <v>447</v>
      </c>
      <c r="C47" s="32"/>
      <c r="D47" s="32"/>
      <c r="E47" s="32"/>
      <c r="F47" s="32"/>
      <c r="G47" s="32"/>
      <c r="H47" s="32"/>
      <c r="I47" s="32"/>
      <c r="J47" s="32"/>
      <c r="K47" s="32"/>
      <c r="L47" s="32"/>
    </row>
    <row r="48" spans="2:12" ht="20" customHeight="1">
      <c r="B48" s="33" t="s">
        <v>66</v>
      </c>
      <c r="C48" s="33" t="s">
        <v>65</v>
      </c>
    </row>
    <row r="49" spans="2:19">
      <c r="B49" s="63" t="s">
        <v>448</v>
      </c>
      <c r="C49" s="63" t="s">
        <v>141</v>
      </c>
    </row>
    <row r="51" spans="2:19">
      <c r="B51" s="32" t="s">
        <v>449</v>
      </c>
      <c r="C51" s="32"/>
      <c r="D51" s="32"/>
      <c r="E51" s="32"/>
      <c r="F51" s="32"/>
      <c r="G51" s="32"/>
      <c r="H51" s="32"/>
      <c r="I51" s="32"/>
      <c r="J51" s="32"/>
      <c r="K51" s="32"/>
      <c r="L51" s="32"/>
    </row>
    <row r="52" spans="2:19" ht="20" customHeight="1">
      <c r="B52" s="33" t="s">
        <v>67</v>
      </c>
      <c r="C52" s="33" t="s">
        <v>68</v>
      </c>
      <c r="D52" s="33" t="s">
        <v>65</v>
      </c>
    </row>
    <row r="53" spans="2:19">
      <c r="B53" s="63" t="s">
        <v>450</v>
      </c>
      <c r="C53" s="63" t="s">
        <v>117</v>
      </c>
      <c r="D53" s="63" t="s">
        <v>141</v>
      </c>
    </row>
    <row r="55" spans="2:19">
      <c r="B55" s="32" t="s">
        <v>451</v>
      </c>
      <c r="C55" s="32"/>
      <c r="D55" s="32"/>
      <c r="E55" s="32"/>
      <c r="F55" s="32"/>
      <c r="G55" s="32"/>
      <c r="H55" s="32"/>
      <c r="I55" s="32"/>
      <c r="J55" s="32"/>
      <c r="K55" s="32"/>
      <c r="L55" s="32"/>
    </row>
    <row r="56" spans="2:19" ht="32" customHeight="1">
      <c r="B56" s="33" t="s">
        <v>124</v>
      </c>
      <c r="C56" s="33" t="s">
        <v>125</v>
      </c>
      <c r="D56" s="33" t="s">
        <v>64</v>
      </c>
      <c r="E56" s="33" t="s">
        <v>66</v>
      </c>
      <c r="F56" s="33" t="s">
        <v>126</v>
      </c>
      <c r="G56" s="33" t="s">
        <v>127</v>
      </c>
      <c r="H56" s="33" t="s">
        <v>128</v>
      </c>
      <c r="I56" s="33" t="s">
        <v>129</v>
      </c>
      <c r="J56" s="33" t="s">
        <v>130</v>
      </c>
      <c r="K56" s="33" t="s">
        <v>131</v>
      </c>
      <c r="L56" s="33" t="s">
        <v>132</v>
      </c>
      <c r="M56" s="33" t="s">
        <v>133</v>
      </c>
      <c r="N56" s="33" t="s">
        <v>134</v>
      </c>
      <c r="O56" s="33" t="s">
        <v>135</v>
      </c>
      <c r="P56" s="33" t="s">
        <v>65</v>
      </c>
    </row>
    <row r="57" spans="2:19">
      <c r="B57" s="63" t="s">
        <v>452</v>
      </c>
      <c r="C57" s="63" t="s">
        <v>84</v>
      </c>
      <c r="D57" s="63" t="s">
        <v>84</v>
      </c>
      <c r="E57" s="63" t="s">
        <v>448</v>
      </c>
      <c r="F57" s="63" t="s">
        <v>139</v>
      </c>
      <c r="G57" s="71">
        <v>180</v>
      </c>
      <c r="H57" s="63" t="s">
        <v>140</v>
      </c>
      <c r="I57" s="35">
        <f>IF(tblVerifyGauges[[#This Row],[Gauge ID]]="","",COUNTIFS(tblVerifyCalibrations[Gauge ID],tblVerifyGauges[[#This Row],[Gauge ID]]))</f>
        <v>2</v>
      </c>
      <c r="J57" s="36">
        <f>IF(tblVerifyGauges[[#This Row],[Gauge ID]]="","",IF(tblVerifyGauges[[#This Row],[Records]]=0,"",SUMPRODUCT(MAX((tblVerifyCalibrations[Gauge ID]=tblVerifyGauges[[#This Row],[Gauge ID]])*tblVerifyCalibrations[Date calibrated]))))</f>
        <v>45920</v>
      </c>
      <c r="K57" s="36">
        <f>IF(tblVerifyGauges[[#This Row],[Gauge ID]]="","",IF(OR(tblVerifyGauges[[#This Row],[Last calibrated]]="",tblVerifyGauges[[#This Row],[Interval (days)]]=""),"",tblVerifyGauges[[#This Row],[Last calibrated]]+tblVerifyGauges[[#This Row],[Interval (days)]]))</f>
        <v>46100</v>
      </c>
      <c r="L57" s="37">
        <f>IF(tblVerifyGauges[[#This Row],[Gauge ID]]="","",IF(tblVerifyGauges[[#This Row],[Next due]]="","",tblVerifyGauges[[#This Row],[Next due]]-$E$34))</f>
        <v>-12</v>
      </c>
      <c r="M57" s="38" t="str">
        <f>IF(tblVerifyGauges[[#This Row],[Gauge ID]]="","",IF(tblVerifyGauges[[#This Row],[Status]]&lt;&gt;"In service",tblVerifyGauges[[#This Row],[Status]],IF(tblVerifyGauges[[#This Row],[Next due]]="","Overdue",IF($E$34&gt;tblVerifyGauges[[#This Row],[Next due]],"Overdue",IF(tblVerifyGauges[[#This Row],[Next due]]-$E$34&lt;=$E$35,"Due soon","OK")))))</f>
        <v>Overdue</v>
      </c>
      <c r="N57" s="35">
        <f>IF(tblVerifyGauges[[#This Row],[Gauge ID]]="","",COUNTIFS(tblVerifyCalibrations[Gauge ID],tblVerifyGauges[[#This Row],[Gauge ID]],tblVerifyCalibrations[As found],"Out of tolerance"))</f>
        <v>0</v>
      </c>
      <c r="O57" s="39" t="str">
        <f>IF(tblVerifyGauges[[#This Row],[Gauge ID]]="","",IF(tblVerifyGauges[[#This Row],[Description]]="","Missing description",IF(tblVerifyGauges[[#This Row],[Type]]="","Missing type",IF(tblVerifyGauges[[#This Row],[Interval (days)]]="","Missing interval",IF(tblVerifyGauges[[#This Row],[Status]]="","Missing status",IF(COUNTIF(tblVerifyGauges[Gauge ID],tblVerifyGauges[[#This Row],[Gauge ID]])&gt;1,"Duplicate gauge ID",IF(COUNTIF(tblVerifyGaugeTypes[Type],tblVerifyGauges[[#This Row],[Type]])=0,"Type not on Setup list",IF(COUNTIF(tblVerifyLocations[Location],tblVerifyGauges[[#This Row],[Location]])=0,"Location not on Setup list",IF(AND(tblVerifyGauges[[#This Row],[Status]]="In service",tblVerifyGauges[[#This Row],[Records]]=0),"No calibration record",IF(AND(ISNUMBER(tblVerifyGauges[[#This Row],[Last calibrated]]),tblVerifyGauges[[#This Row],[Last calibrated]]&gt;$E$34),"Calibrated after the status date","OK"))))))))))</f>
        <v>Duplicate gauge ID</v>
      </c>
      <c r="P57" s="63" t="s">
        <v>141</v>
      </c>
    </row>
    <row r="58" spans="2:19">
      <c r="B58" s="63" t="s">
        <v>453</v>
      </c>
      <c r="C58" s="63" t="s">
        <v>96</v>
      </c>
      <c r="D58" s="63" t="s">
        <v>96</v>
      </c>
      <c r="E58" s="63" t="s">
        <v>448</v>
      </c>
      <c r="F58" s="63" t="s">
        <v>184</v>
      </c>
      <c r="G58" s="71">
        <v>90</v>
      </c>
      <c r="H58" s="63" t="s">
        <v>140</v>
      </c>
      <c r="I58" s="35">
        <f>IF(tblVerifyGauges[[#This Row],[Gauge ID]]="","",COUNTIFS(tblVerifyCalibrations[Gauge ID],tblVerifyGauges[[#This Row],[Gauge ID]]))</f>
        <v>2</v>
      </c>
      <c r="J58" s="36">
        <f>IF(tblVerifyGauges[[#This Row],[Gauge ID]]="","",IF(tblVerifyGauges[[#This Row],[Records]]=0,"",SUMPRODUCT(MAX((tblVerifyCalibrations[Gauge ID]=tblVerifyGauges[[#This Row],[Gauge ID]])*tblVerifyCalibrations[Date calibrated]))))</f>
        <v>46001</v>
      </c>
      <c r="K58" s="36">
        <f>IF(tblVerifyGauges[[#This Row],[Gauge ID]]="","",IF(OR(tblVerifyGauges[[#This Row],[Last calibrated]]="",tblVerifyGauges[[#This Row],[Interval (days)]]=""),"",tblVerifyGauges[[#This Row],[Last calibrated]]+tblVerifyGauges[[#This Row],[Interval (days)]]))</f>
        <v>46091</v>
      </c>
      <c r="L58" s="37">
        <f>IF(tblVerifyGauges[[#This Row],[Gauge ID]]="","",IF(tblVerifyGauges[[#This Row],[Next due]]="","",tblVerifyGauges[[#This Row],[Next due]]-$E$34))</f>
        <v>-21</v>
      </c>
      <c r="M58" s="38" t="str">
        <f>IF(tblVerifyGauges[[#This Row],[Gauge ID]]="","",IF(tblVerifyGauges[[#This Row],[Status]]&lt;&gt;"In service",tblVerifyGauges[[#This Row],[Status]],IF(tblVerifyGauges[[#This Row],[Next due]]="","Overdue",IF($E$34&gt;tblVerifyGauges[[#This Row],[Next due]],"Overdue",IF(tblVerifyGauges[[#This Row],[Next due]]-$E$34&lt;=$E$35,"Due soon","OK")))))</f>
        <v>Overdue</v>
      </c>
      <c r="N58" s="35">
        <f>IF(tblVerifyGauges[[#This Row],[Gauge ID]]="","",COUNTIFS(tblVerifyCalibrations[Gauge ID],tblVerifyGauges[[#This Row],[Gauge ID]],tblVerifyCalibrations[As found],"Out of tolerance"))</f>
        <v>1</v>
      </c>
      <c r="O58" s="39" t="str">
        <f>IF(tblVerifyGauges[[#This Row],[Gauge ID]]="","",IF(tblVerifyGauges[[#This Row],[Description]]="","Missing description",IF(tblVerifyGauges[[#This Row],[Type]]="","Missing type",IF(tblVerifyGauges[[#This Row],[Interval (days)]]="","Missing interval",IF(tblVerifyGauges[[#This Row],[Status]]="","Missing status",IF(COUNTIF(tblVerifyGauges[Gauge ID],tblVerifyGauges[[#This Row],[Gauge ID]])&gt;1,"Duplicate gauge ID",IF(COUNTIF(tblVerifyGaugeTypes[Type],tblVerifyGauges[[#This Row],[Type]])=0,"Type not on Setup list",IF(COUNTIF(tblVerifyLocations[Location],tblVerifyGauges[[#This Row],[Location]])=0,"Location not on Setup list",IF(AND(tblVerifyGauges[[#This Row],[Status]]="In service",tblVerifyGauges[[#This Row],[Records]]=0),"No calibration record",IF(AND(ISNUMBER(tblVerifyGauges[[#This Row],[Last calibrated]]),tblVerifyGauges[[#This Row],[Last calibrated]]&gt;$E$34),"Calibrated after the status date","OK"))))))))))</f>
        <v>OK</v>
      </c>
      <c r="P58" s="63" t="s">
        <v>141</v>
      </c>
    </row>
    <row r="59" spans="2:19">
      <c r="B59" s="63" t="s">
        <v>454</v>
      </c>
      <c r="C59" s="63" t="s">
        <v>86</v>
      </c>
      <c r="D59" s="63" t="s">
        <v>86</v>
      </c>
      <c r="E59" s="63" t="s">
        <v>448</v>
      </c>
      <c r="F59" s="63" t="s">
        <v>151</v>
      </c>
      <c r="G59" s="71">
        <v>365</v>
      </c>
      <c r="H59" s="63" t="s">
        <v>140</v>
      </c>
      <c r="I59" s="35">
        <f>IF(tblVerifyGauges[[#This Row],[Gauge ID]]="","",COUNTIFS(tblVerifyCalibrations[Gauge ID],tblVerifyGauges[[#This Row],[Gauge ID]]))</f>
        <v>2</v>
      </c>
      <c r="J59" s="36">
        <f>IF(tblVerifyGauges[[#This Row],[Gauge ID]]="","",IF(tblVerifyGauges[[#This Row],[Records]]=0,"",SUMPRODUCT(MAX((tblVerifyCalibrations[Gauge ID]=tblVerifyGauges[[#This Row],[Gauge ID]])*tblVerifyCalibrations[Date calibrated]))))</f>
        <v>46114</v>
      </c>
      <c r="K59" s="36">
        <f>IF(tblVerifyGauges[[#This Row],[Gauge ID]]="","",IF(OR(tblVerifyGauges[[#This Row],[Last calibrated]]="",tblVerifyGauges[[#This Row],[Interval (days)]]=""),"",tblVerifyGauges[[#This Row],[Last calibrated]]+tblVerifyGauges[[#This Row],[Interval (days)]]))</f>
        <v>46479</v>
      </c>
      <c r="L59" s="37">
        <f>IF(tblVerifyGauges[[#This Row],[Gauge ID]]="","",IF(tblVerifyGauges[[#This Row],[Next due]]="","",tblVerifyGauges[[#This Row],[Next due]]-$E$34))</f>
        <v>367</v>
      </c>
      <c r="M59" s="38" t="str">
        <f>IF(tblVerifyGauges[[#This Row],[Gauge ID]]="","",IF(tblVerifyGauges[[#This Row],[Status]]&lt;&gt;"In service",tblVerifyGauges[[#This Row],[Status]],IF(tblVerifyGauges[[#This Row],[Next due]]="","Overdue",IF($E$34&gt;tblVerifyGauges[[#This Row],[Next due]],"Overdue",IF(tblVerifyGauges[[#This Row],[Next due]]-$E$34&lt;=$E$35,"Due soon","OK")))))</f>
        <v>OK</v>
      </c>
      <c r="N59" s="35">
        <f>IF(tblVerifyGauges[[#This Row],[Gauge ID]]="","",COUNTIFS(tblVerifyCalibrations[Gauge ID],tblVerifyGauges[[#This Row],[Gauge ID]],tblVerifyCalibrations[As found],"Out of tolerance"))</f>
        <v>1</v>
      </c>
      <c r="O59" s="39" t="str">
        <f>IF(tblVerifyGauges[[#This Row],[Gauge ID]]="","",IF(tblVerifyGauges[[#This Row],[Description]]="","Missing description",IF(tblVerifyGauges[[#This Row],[Type]]="","Missing type",IF(tblVerifyGauges[[#This Row],[Interval (days)]]="","Missing interval",IF(tblVerifyGauges[[#This Row],[Status]]="","Missing status",IF(COUNTIF(tblVerifyGauges[Gauge ID],tblVerifyGauges[[#This Row],[Gauge ID]])&gt;1,"Duplicate gauge ID",IF(COUNTIF(tblVerifyGaugeTypes[Type],tblVerifyGauges[[#This Row],[Type]])=0,"Type not on Setup list",IF(COUNTIF(tblVerifyLocations[Location],tblVerifyGauges[[#This Row],[Location]])=0,"Location not on Setup list",IF(AND(tblVerifyGauges[[#This Row],[Status]]="In service",tblVerifyGauges[[#This Row],[Records]]=0),"No calibration record",IF(AND(ISNUMBER(tblVerifyGauges[[#This Row],[Last calibrated]]),tblVerifyGauges[[#This Row],[Last calibrated]]&gt;$E$34),"Calibrated after the status date","OK"))))))))))</f>
        <v>Calibrated after the status date</v>
      </c>
      <c r="P59" s="63" t="s">
        <v>141</v>
      </c>
    </row>
    <row r="60" spans="2:19">
      <c r="B60" s="63" t="s">
        <v>455</v>
      </c>
      <c r="C60" s="63" t="s">
        <v>456</v>
      </c>
      <c r="D60" s="63" t="s">
        <v>84</v>
      </c>
      <c r="E60" s="63" t="s">
        <v>448</v>
      </c>
      <c r="F60" s="63" t="s">
        <v>139</v>
      </c>
      <c r="G60" s="71">
        <v>180</v>
      </c>
      <c r="H60" s="63" t="s">
        <v>208</v>
      </c>
      <c r="I60" s="35">
        <f>IF(tblVerifyGauges[[#This Row],[Gauge ID]]="","",COUNTIFS(tblVerifyCalibrations[Gauge ID],tblVerifyGauges[[#This Row],[Gauge ID]]))</f>
        <v>1</v>
      </c>
      <c r="J60" s="36">
        <f>IF(tblVerifyGauges[[#This Row],[Gauge ID]]="","",IF(tblVerifyGauges[[#This Row],[Records]]=0,"",SUMPRODUCT(MAX((tblVerifyCalibrations[Gauge ID]=tblVerifyGauges[[#This Row],[Gauge ID]])*tblVerifyCalibrations[Date calibrated]))))</f>
        <v>45672</v>
      </c>
      <c r="K60" s="36">
        <f>IF(tblVerifyGauges[[#This Row],[Gauge ID]]="","",IF(OR(tblVerifyGauges[[#This Row],[Last calibrated]]="",tblVerifyGauges[[#This Row],[Interval (days)]]=""),"",tblVerifyGauges[[#This Row],[Last calibrated]]+tblVerifyGauges[[#This Row],[Interval (days)]]))</f>
        <v>45852</v>
      </c>
      <c r="L60" s="37">
        <f>IF(tblVerifyGauges[[#This Row],[Gauge ID]]="","",IF(tblVerifyGauges[[#This Row],[Next due]]="","",tblVerifyGauges[[#This Row],[Next due]]-$E$34))</f>
        <v>-260</v>
      </c>
      <c r="M60" s="38" t="str">
        <f>IF(tblVerifyGauges[[#This Row],[Gauge ID]]="","",IF(tblVerifyGauges[[#This Row],[Status]]&lt;&gt;"In service",tblVerifyGauges[[#This Row],[Status]],IF(tblVerifyGauges[[#This Row],[Next due]]="","Overdue",IF($E$34&gt;tblVerifyGauges[[#This Row],[Next due]],"Overdue",IF(tblVerifyGauges[[#This Row],[Next due]]-$E$34&lt;=$E$35,"Due soon","OK")))))</f>
        <v>Retired</v>
      </c>
      <c r="N60" s="35">
        <f>IF(tblVerifyGauges[[#This Row],[Gauge ID]]="","",COUNTIFS(tblVerifyCalibrations[Gauge ID],tblVerifyGauges[[#This Row],[Gauge ID]],tblVerifyCalibrations[As found],"Out of tolerance"))</f>
        <v>0</v>
      </c>
      <c r="O60" s="39" t="str">
        <f>IF(tblVerifyGauges[[#This Row],[Gauge ID]]="","",IF(tblVerifyGauges[[#This Row],[Description]]="","Missing description",IF(tblVerifyGauges[[#This Row],[Type]]="","Missing type",IF(tblVerifyGauges[[#This Row],[Interval (days)]]="","Missing interval",IF(tblVerifyGauges[[#This Row],[Status]]="","Missing status",IF(COUNTIF(tblVerifyGauges[Gauge ID],tblVerifyGauges[[#This Row],[Gauge ID]])&gt;1,"Duplicate gauge ID",IF(COUNTIF(tblVerifyGaugeTypes[Type],tblVerifyGauges[[#This Row],[Type]])=0,"Type not on Setup list",IF(COUNTIF(tblVerifyLocations[Location],tblVerifyGauges[[#This Row],[Location]])=0,"Location not on Setup list",IF(AND(tblVerifyGauges[[#This Row],[Status]]="In service",tblVerifyGauges[[#This Row],[Records]]=0),"No calibration record",IF(AND(ISNUMBER(tblVerifyGauges[[#This Row],[Last calibrated]]),tblVerifyGauges[[#This Row],[Last calibrated]]&gt;$E$34),"Calibrated after the status date","OK"))))))))))</f>
        <v>OK</v>
      </c>
      <c r="P60" s="63" t="s">
        <v>141</v>
      </c>
    </row>
    <row r="61" spans="2:19">
      <c r="B61" s="63" t="s">
        <v>452</v>
      </c>
      <c r="C61" s="63" t="s">
        <v>457</v>
      </c>
      <c r="D61" s="63" t="s">
        <v>84</v>
      </c>
      <c r="E61" s="63" t="s">
        <v>448</v>
      </c>
      <c r="F61" s="63" t="s">
        <v>139</v>
      </c>
      <c r="G61" s="71">
        <v>180</v>
      </c>
      <c r="H61" s="63" t="s">
        <v>160</v>
      </c>
      <c r="I61" s="35">
        <f>IF(tblVerifyGauges[[#This Row],[Gauge ID]]="","",COUNTIFS(tblVerifyCalibrations[Gauge ID],tblVerifyGauges[[#This Row],[Gauge ID]]))</f>
        <v>2</v>
      </c>
      <c r="J61" s="36">
        <f>IF(tblVerifyGauges[[#This Row],[Gauge ID]]="","",IF(tblVerifyGauges[[#This Row],[Records]]=0,"",SUMPRODUCT(MAX((tblVerifyCalibrations[Gauge ID]=tblVerifyGauges[[#This Row],[Gauge ID]])*tblVerifyCalibrations[Date calibrated]))))</f>
        <v>45920</v>
      </c>
      <c r="K61" s="36">
        <f>IF(tblVerifyGauges[[#This Row],[Gauge ID]]="","",IF(OR(tblVerifyGauges[[#This Row],[Last calibrated]]="",tblVerifyGauges[[#This Row],[Interval (days)]]=""),"",tblVerifyGauges[[#This Row],[Last calibrated]]+tblVerifyGauges[[#This Row],[Interval (days)]]))</f>
        <v>46100</v>
      </c>
      <c r="L61" s="37">
        <f>IF(tblVerifyGauges[[#This Row],[Gauge ID]]="","",IF(tblVerifyGauges[[#This Row],[Next due]]="","",tblVerifyGauges[[#This Row],[Next due]]-$E$34))</f>
        <v>-12</v>
      </c>
      <c r="M61" s="38" t="str">
        <f>IF(tblVerifyGauges[[#This Row],[Gauge ID]]="","",IF(tblVerifyGauges[[#This Row],[Status]]&lt;&gt;"In service",tblVerifyGauges[[#This Row],[Status]],IF(tblVerifyGauges[[#This Row],[Next due]]="","Overdue",IF($E$34&gt;tblVerifyGauges[[#This Row],[Next due]],"Overdue",IF(tblVerifyGauges[[#This Row],[Next due]]-$E$34&lt;=$E$35,"Due soon","OK")))))</f>
        <v>Out of service</v>
      </c>
      <c r="N61" s="35">
        <f>IF(tblVerifyGauges[[#This Row],[Gauge ID]]="","",COUNTIFS(tblVerifyCalibrations[Gauge ID],tblVerifyGauges[[#This Row],[Gauge ID]],tblVerifyCalibrations[As found],"Out of tolerance"))</f>
        <v>0</v>
      </c>
      <c r="O61" s="39" t="str">
        <f>IF(tblVerifyGauges[[#This Row],[Gauge ID]]="","",IF(tblVerifyGauges[[#This Row],[Description]]="","Missing description",IF(tblVerifyGauges[[#This Row],[Type]]="","Missing type",IF(tblVerifyGauges[[#This Row],[Interval (days)]]="","Missing interval",IF(tblVerifyGauges[[#This Row],[Status]]="","Missing status",IF(COUNTIF(tblVerifyGauges[Gauge ID],tblVerifyGauges[[#This Row],[Gauge ID]])&gt;1,"Duplicate gauge ID",IF(COUNTIF(tblVerifyGaugeTypes[Type],tblVerifyGauges[[#This Row],[Type]])=0,"Type not on Setup list",IF(COUNTIF(tblVerifyLocations[Location],tblVerifyGauges[[#This Row],[Location]])=0,"Location not on Setup list",IF(AND(tblVerifyGauges[[#This Row],[Status]]="In service",tblVerifyGauges[[#This Row],[Records]]=0),"No calibration record",IF(AND(ISNUMBER(tblVerifyGauges[[#This Row],[Last calibrated]]),tblVerifyGauges[[#This Row],[Last calibrated]]&gt;$E$34),"Calibrated after the status date","OK"))))))))))</f>
        <v>Duplicate gauge ID</v>
      </c>
      <c r="P61" s="63" t="s">
        <v>141</v>
      </c>
    </row>
    <row r="63" spans="2:19">
      <c r="B63" s="32" t="s">
        <v>458</v>
      </c>
      <c r="C63" s="32"/>
      <c r="D63" s="32"/>
      <c r="E63" s="32"/>
      <c r="F63" s="32"/>
      <c r="G63" s="32"/>
      <c r="H63" s="32"/>
      <c r="I63" s="32"/>
      <c r="J63" s="32"/>
      <c r="K63" s="32"/>
      <c r="L63" s="32"/>
    </row>
    <row r="64" spans="2:19" ht="14" customHeight="1">
      <c r="B64" s="40"/>
      <c r="C64" s="40"/>
      <c r="D64" s="40"/>
      <c r="E64" s="40"/>
      <c r="F64" s="40"/>
      <c r="G64" s="40"/>
      <c r="H64" s="40"/>
      <c r="I64" s="40"/>
      <c r="J64" s="40" t="str">
        <f>Currency</f>
        <v>USD</v>
      </c>
      <c r="K64" s="40"/>
      <c r="L64" s="40"/>
      <c r="M64" s="40"/>
      <c r="N64" s="40"/>
      <c r="O64" s="40"/>
      <c r="P64" s="40"/>
      <c r="Q64" s="40"/>
      <c r="R64" s="40"/>
      <c r="S64" s="40"/>
    </row>
    <row r="65" spans="2:19" ht="32" customHeight="1">
      <c r="B65" s="33" t="s">
        <v>124</v>
      </c>
      <c r="C65" s="33" t="s">
        <v>210</v>
      </c>
      <c r="D65" s="33" t="s">
        <v>67</v>
      </c>
      <c r="E65" s="33" t="s">
        <v>211</v>
      </c>
      <c r="F65" s="33" t="s">
        <v>212</v>
      </c>
      <c r="G65" s="33" t="s">
        <v>213</v>
      </c>
      <c r="H65" s="33" t="s">
        <v>214</v>
      </c>
      <c r="I65" s="33" t="s">
        <v>215</v>
      </c>
      <c r="J65" s="33" t="s">
        <v>216</v>
      </c>
      <c r="K65" s="33" t="s">
        <v>127</v>
      </c>
      <c r="L65" s="33" t="s">
        <v>217</v>
      </c>
      <c r="M65" s="33" t="s">
        <v>218</v>
      </c>
      <c r="N65" s="33" t="s">
        <v>219</v>
      </c>
      <c r="O65" s="33" t="s">
        <v>220</v>
      </c>
      <c r="P65" s="33" t="s">
        <v>221</v>
      </c>
      <c r="Q65" s="33" t="s">
        <v>222</v>
      </c>
      <c r="R65" s="33" t="s">
        <v>135</v>
      </c>
      <c r="S65" s="33" t="s">
        <v>65</v>
      </c>
    </row>
    <row r="66" spans="2:19">
      <c r="B66" s="63" t="s">
        <v>452</v>
      </c>
      <c r="C66" s="68">
        <v>45748</v>
      </c>
      <c r="D66" s="63" t="s">
        <v>450</v>
      </c>
      <c r="E66" s="63" t="s">
        <v>224</v>
      </c>
      <c r="F66" s="63" t="s">
        <v>225</v>
      </c>
      <c r="G66" s="63" t="s">
        <v>224</v>
      </c>
      <c r="H66" s="63" t="s">
        <v>226</v>
      </c>
      <c r="I66" s="63" t="s">
        <v>459</v>
      </c>
      <c r="J66" s="73">
        <v>50</v>
      </c>
      <c r="K66" s="71">
        <v>180</v>
      </c>
      <c r="L66" s="36">
        <f>IF(tblVerifyCalibrations[[#This Row],[Gauge ID]]="","",IF(COUNTIFS(tblVerifyCalibrations[Gauge ID],tblVerifyCalibrations[[#This Row],[Gauge ID]],tblVerifyCalibrations[Date calibrated],"&lt;"&amp;tblVerifyCalibrations[[#This Row],[Date calibrated]])=0,"",SUMPRODUCT(MAX((tblVerifyCalibrations[Gauge ID]=tblVerifyCalibrations[[#This Row],[Gauge ID]])*(tblVerifyCalibrations[Date calibrated]&lt;tblVerifyCalibrations[[#This Row],[Date calibrated]])*tblVerifyCalibrations[Date calibrated]))))</f>
        <v/>
      </c>
      <c r="M66" s="36">
        <f>IF(tblVerifyCalibrations[[#This Row],[Gauge ID]]="","",IF(OR(tblVerifyCalibrations[[#This Row],[Previous calibration]]="",tblVerifyCalibrations[[#This Row],[Interval (days)]]=""),"",tblVerifyCalibrations[[#This Row],[Previous calibration]]+tblVerifyCalibrations[[#This Row],[Interval (days)]]))</f>
        <v/>
      </c>
      <c r="N66" s="35">
        <f>IF(tblVerifyCalibrations[[#This Row],[Gauge ID]]="","",IF(tblVerifyCalibrations[[#This Row],[Due date]]="","",MAX(0,tblVerifyCalibrations[[#This Row],[Date calibrated]]-tblVerifyCalibrations[[#This Row],[Due date]])))</f>
        <v/>
      </c>
      <c r="O66" s="38">
        <f>IF(tblVerifyCalibrations[[#This Row],[Gauge ID]]="","",IF(tblVerifyCalibrations[[#This Row],[Due date]]="","",IF(tblVerifyCalibrations[[#This Row],[Date calibrated]]&lt;=tblVerifyCalibrations[[#This Row],[Due date]],"Yes","No")))</f>
        <v/>
      </c>
      <c r="P66" s="35">
        <f>IF(tblVerifyCalibrations[[#This Row],[Gauge ID]]="","",IF(tblVerifyCalibrations[[#This Row],[As found]]="Out of tolerance",1,0))</f>
        <v>0</v>
      </c>
      <c r="Q66" s="36">
        <f>IF(tblVerifyCalibrations[[#This Row],[Gauge ID]]="","",IF(AND(tblVerifyCalibrations[[#This Row],[Date calibrated]]&gt;=$E$36,tblVerifyCalibrations[[#This Row],[Date calibrated]]&lt;=$E$37),tblVerifyCalibrations[[#This Row],[Date calibrated]],""))</f>
        <v>45748</v>
      </c>
      <c r="R66" s="39" t="str">
        <f>IF(tblVerifyCalibrations[[#This Row],[Gauge ID]]="","",IF(tblVerifyCalibrations[[#This Row],[Date calibrated]]="","Missing date calibrated",IF(tblVerifyCalibrations[[#This Row],[Calibrated by]]="","Missing calibrated by",IF(tblVerifyCalibrations[[#This Row],[As found]]="","Missing as found",IF(tblVerifyCalibrations[[#This Row],[As left]]="","Missing as left",IF(COUNTIF(tblVerifyGauges[Gauge ID],tblVerifyCalibrations[[#This Row],[Gauge ID]])=0,"Gauge not on the register",IF(COUNTIF(tblVerifyLabs[Calibrated by],tblVerifyCalibrations[[#This Row],[Calibrated by]])=0,"Provider not on Setup list",IF(tblVerifyCalibrations[[#This Row],[Date calibrated]]&gt;$E$34,"Date after the status date",IF(COUNTIFS(tblVerifyCalibrations[Gauge ID],tblVerifyCalibrations[[#This Row],[Gauge ID]],tblVerifyCalibrations[Date calibrated],tblVerifyCalibrations[[#This Row],[Date calibrated]])&gt;1,"Duplicate record",IF(AND(tblVerifyCalibrations[[#This Row],[As found]]="Out of tolerance",OR(tblVerifyCalibrations[[#This Row],[Impact review]]="",tblVerifyCalibrations[[#This Row],[Impact review]]="Not needed")),"Out of tolerance: review impact","OK"))))))))))</f>
        <v>OK</v>
      </c>
      <c r="S66" s="63" t="s">
        <v>141</v>
      </c>
    </row>
    <row r="67" spans="2:19">
      <c r="B67" s="63" t="s">
        <v>452</v>
      </c>
      <c r="C67" s="68">
        <v>45920</v>
      </c>
      <c r="D67" s="63" t="s">
        <v>450</v>
      </c>
      <c r="E67" s="63" t="s">
        <v>224</v>
      </c>
      <c r="F67" s="63" t="s">
        <v>225</v>
      </c>
      <c r="G67" s="63" t="s">
        <v>224</v>
      </c>
      <c r="H67" s="63" t="s">
        <v>226</v>
      </c>
      <c r="I67" s="63" t="s">
        <v>459</v>
      </c>
      <c r="J67" s="73">
        <v>50</v>
      </c>
      <c r="K67" s="71">
        <v>180</v>
      </c>
      <c r="L67" s="36">
        <f>IF(tblVerifyCalibrations[[#This Row],[Gauge ID]]="","",IF(COUNTIFS(tblVerifyCalibrations[Gauge ID],tblVerifyCalibrations[[#This Row],[Gauge ID]],tblVerifyCalibrations[Date calibrated],"&lt;"&amp;tblVerifyCalibrations[[#This Row],[Date calibrated]])=0,"",SUMPRODUCT(MAX((tblVerifyCalibrations[Gauge ID]=tblVerifyCalibrations[[#This Row],[Gauge ID]])*(tblVerifyCalibrations[Date calibrated]&lt;tblVerifyCalibrations[[#This Row],[Date calibrated]])*tblVerifyCalibrations[Date calibrated]))))</f>
        <v>45748</v>
      </c>
      <c r="M67" s="36">
        <f>IF(tblVerifyCalibrations[[#This Row],[Gauge ID]]="","",IF(OR(tblVerifyCalibrations[[#This Row],[Previous calibration]]="",tblVerifyCalibrations[[#This Row],[Interval (days)]]=""),"",tblVerifyCalibrations[[#This Row],[Previous calibration]]+tblVerifyCalibrations[[#This Row],[Interval (days)]]))</f>
        <v>45928</v>
      </c>
      <c r="N67" s="35">
        <f>IF(tblVerifyCalibrations[[#This Row],[Gauge ID]]="","",IF(tblVerifyCalibrations[[#This Row],[Due date]]="","",MAX(0,tblVerifyCalibrations[[#This Row],[Date calibrated]]-tblVerifyCalibrations[[#This Row],[Due date]])))</f>
        <v>0</v>
      </c>
      <c r="O67" s="38" t="str">
        <f>IF(tblVerifyCalibrations[[#This Row],[Gauge ID]]="","",IF(tblVerifyCalibrations[[#This Row],[Due date]]="","",IF(tblVerifyCalibrations[[#This Row],[Date calibrated]]&lt;=tblVerifyCalibrations[[#This Row],[Due date]],"Yes","No")))</f>
        <v>Yes</v>
      </c>
      <c r="P67" s="35">
        <f>IF(tblVerifyCalibrations[[#This Row],[Gauge ID]]="","",IF(tblVerifyCalibrations[[#This Row],[As found]]="Out of tolerance",1,0))</f>
        <v>0</v>
      </c>
      <c r="Q67" s="36">
        <f>IF(tblVerifyCalibrations[[#This Row],[Gauge ID]]="","",IF(AND(tblVerifyCalibrations[[#This Row],[Date calibrated]]&gt;=$E$36,tblVerifyCalibrations[[#This Row],[Date calibrated]]&lt;=$E$37),tblVerifyCalibrations[[#This Row],[Date calibrated]],""))</f>
        <v>45920</v>
      </c>
      <c r="R67" s="39" t="str">
        <f>IF(tblVerifyCalibrations[[#This Row],[Gauge ID]]="","",IF(tblVerifyCalibrations[[#This Row],[Date calibrated]]="","Missing date calibrated",IF(tblVerifyCalibrations[[#This Row],[Calibrated by]]="","Missing calibrated by",IF(tblVerifyCalibrations[[#This Row],[As found]]="","Missing as found",IF(tblVerifyCalibrations[[#This Row],[As left]]="","Missing as left",IF(COUNTIF(tblVerifyGauges[Gauge ID],tblVerifyCalibrations[[#This Row],[Gauge ID]])=0,"Gauge not on the register",IF(COUNTIF(tblVerifyLabs[Calibrated by],tblVerifyCalibrations[[#This Row],[Calibrated by]])=0,"Provider not on Setup list",IF(tblVerifyCalibrations[[#This Row],[Date calibrated]]&gt;$E$34,"Date after the status date",IF(COUNTIFS(tblVerifyCalibrations[Gauge ID],tblVerifyCalibrations[[#This Row],[Gauge ID]],tblVerifyCalibrations[Date calibrated],tblVerifyCalibrations[[#This Row],[Date calibrated]])&gt;1,"Duplicate record",IF(AND(tblVerifyCalibrations[[#This Row],[As found]]="Out of tolerance",OR(tblVerifyCalibrations[[#This Row],[Impact review]]="",tblVerifyCalibrations[[#This Row],[Impact review]]="Not needed")),"Out of tolerance: review impact","OK"))))))))))</f>
        <v>OK</v>
      </c>
      <c r="S67" s="63" t="s">
        <v>141</v>
      </c>
    </row>
    <row r="68" spans="2:19">
      <c r="B68" s="63" t="s">
        <v>453</v>
      </c>
      <c r="C68" s="68">
        <v>45901</v>
      </c>
      <c r="D68" s="63" t="s">
        <v>450</v>
      </c>
      <c r="E68" s="63" t="s">
        <v>224</v>
      </c>
      <c r="F68" s="63" t="s">
        <v>225</v>
      </c>
      <c r="G68" s="63" t="s">
        <v>224</v>
      </c>
      <c r="H68" s="63" t="s">
        <v>226</v>
      </c>
      <c r="I68" s="63" t="s">
        <v>459</v>
      </c>
      <c r="J68" s="73">
        <v>50</v>
      </c>
      <c r="K68" s="71">
        <v>90</v>
      </c>
      <c r="L68" s="36">
        <f>IF(tblVerifyCalibrations[[#This Row],[Gauge ID]]="","",IF(COUNTIFS(tblVerifyCalibrations[Gauge ID],tblVerifyCalibrations[[#This Row],[Gauge ID]],tblVerifyCalibrations[Date calibrated],"&lt;"&amp;tblVerifyCalibrations[[#This Row],[Date calibrated]])=0,"",SUMPRODUCT(MAX((tblVerifyCalibrations[Gauge ID]=tblVerifyCalibrations[[#This Row],[Gauge ID]])*(tblVerifyCalibrations[Date calibrated]&lt;tblVerifyCalibrations[[#This Row],[Date calibrated]])*tblVerifyCalibrations[Date calibrated]))))</f>
        <v/>
      </c>
      <c r="M68" s="36">
        <f>IF(tblVerifyCalibrations[[#This Row],[Gauge ID]]="","",IF(OR(tblVerifyCalibrations[[#This Row],[Previous calibration]]="",tblVerifyCalibrations[[#This Row],[Interval (days)]]=""),"",tblVerifyCalibrations[[#This Row],[Previous calibration]]+tblVerifyCalibrations[[#This Row],[Interval (days)]]))</f>
        <v/>
      </c>
      <c r="N68" s="35">
        <f>IF(tblVerifyCalibrations[[#This Row],[Gauge ID]]="","",IF(tblVerifyCalibrations[[#This Row],[Due date]]="","",MAX(0,tblVerifyCalibrations[[#This Row],[Date calibrated]]-tblVerifyCalibrations[[#This Row],[Due date]])))</f>
        <v/>
      </c>
      <c r="O68" s="38">
        <f>IF(tblVerifyCalibrations[[#This Row],[Gauge ID]]="","",IF(tblVerifyCalibrations[[#This Row],[Due date]]="","",IF(tblVerifyCalibrations[[#This Row],[Date calibrated]]&lt;=tblVerifyCalibrations[[#This Row],[Due date]],"Yes","No")))</f>
        <v/>
      </c>
      <c r="P68" s="35">
        <f>IF(tblVerifyCalibrations[[#This Row],[Gauge ID]]="","",IF(tblVerifyCalibrations[[#This Row],[As found]]="Out of tolerance",1,0))</f>
        <v>0</v>
      </c>
      <c r="Q68" s="36">
        <f>IF(tblVerifyCalibrations[[#This Row],[Gauge ID]]="","",IF(AND(tblVerifyCalibrations[[#This Row],[Date calibrated]]&gt;=$E$36,tblVerifyCalibrations[[#This Row],[Date calibrated]]&lt;=$E$37),tblVerifyCalibrations[[#This Row],[Date calibrated]],""))</f>
        <v>45901</v>
      </c>
      <c r="R68" s="39" t="str">
        <f>IF(tblVerifyCalibrations[[#This Row],[Gauge ID]]="","",IF(tblVerifyCalibrations[[#This Row],[Date calibrated]]="","Missing date calibrated",IF(tblVerifyCalibrations[[#This Row],[Calibrated by]]="","Missing calibrated by",IF(tblVerifyCalibrations[[#This Row],[As found]]="","Missing as found",IF(tblVerifyCalibrations[[#This Row],[As left]]="","Missing as left",IF(COUNTIF(tblVerifyGauges[Gauge ID],tblVerifyCalibrations[[#This Row],[Gauge ID]])=0,"Gauge not on the register",IF(COUNTIF(tblVerifyLabs[Calibrated by],tblVerifyCalibrations[[#This Row],[Calibrated by]])=0,"Provider not on Setup list",IF(tblVerifyCalibrations[[#This Row],[Date calibrated]]&gt;$E$34,"Date after the status date",IF(COUNTIFS(tblVerifyCalibrations[Gauge ID],tblVerifyCalibrations[[#This Row],[Gauge ID]],tblVerifyCalibrations[Date calibrated],tblVerifyCalibrations[[#This Row],[Date calibrated]])&gt;1,"Duplicate record",IF(AND(tblVerifyCalibrations[[#This Row],[As found]]="Out of tolerance",OR(tblVerifyCalibrations[[#This Row],[Impact review]]="",tblVerifyCalibrations[[#This Row],[Impact review]]="Not needed")),"Out of tolerance: review impact","OK"))))))))))</f>
        <v>OK</v>
      </c>
      <c r="S68" s="63" t="s">
        <v>141</v>
      </c>
    </row>
    <row r="69" spans="2:19">
      <c r="B69" s="63" t="s">
        <v>453</v>
      </c>
      <c r="C69" s="68">
        <v>46001</v>
      </c>
      <c r="D69" s="63" t="s">
        <v>450</v>
      </c>
      <c r="E69" s="63" t="s">
        <v>254</v>
      </c>
      <c r="F69" s="63" t="s">
        <v>225</v>
      </c>
      <c r="G69" s="63" t="s">
        <v>224</v>
      </c>
      <c r="H69" s="63" t="s">
        <v>256</v>
      </c>
      <c r="I69" s="63" t="s">
        <v>459</v>
      </c>
      <c r="J69" s="73">
        <v>50</v>
      </c>
      <c r="K69" s="71">
        <v>90</v>
      </c>
      <c r="L69" s="36">
        <f>IF(tblVerifyCalibrations[[#This Row],[Gauge ID]]="","",IF(COUNTIFS(tblVerifyCalibrations[Gauge ID],tblVerifyCalibrations[[#This Row],[Gauge ID]],tblVerifyCalibrations[Date calibrated],"&lt;"&amp;tblVerifyCalibrations[[#This Row],[Date calibrated]])=0,"",SUMPRODUCT(MAX((tblVerifyCalibrations[Gauge ID]=tblVerifyCalibrations[[#This Row],[Gauge ID]])*(tblVerifyCalibrations[Date calibrated]&lt;tblVerifyCalibrations[[#This Row],[Date calibrated]])*tblVerifyCalibrations[Date calibrated]))))</f>
        <v>45901</v>
      </c>
      <c r="M69" s="36">
        <f>IF(tblVerifyCalibrations[[#This Row],[Gauge ID]]="","",IF(OR(tblVerifyCalibrations[[#This Row],[Previous calibration]]="",tblVerifyCalibrations[[#This Row],[Interval (days)]]=""),"",tblVerifyCalibrations[[#This Row],[Previous calibration]]+tblVerifyCalibrations[[#This Row],[Interval (days)]]))</f>
        <v>45991</v>
      </c>
      <c r="N69" s="35">
        <f>IF(tblVerifyCalibrations[[#This Row],[Gauge ID]]="","",IF(tblVerifyCalibrations[[#This Row],[Due date]]="","",MAX(0,tblVerifyCalibrations[[#This Row],[Date calibrated]]-tblVerifyCalibrations[[#This Row],[Due date]])))</f>
        <v>10</v>
      </c>
      <c r="O69" s="38" t="str">
        <f>IF(tblVerifyCalibrations[[#This Row],[Gauge ID]]="","",IF(tblVerifyCalibrations[[#This Row],[Due date]]="","",IF(tblVerifyCalibrations[[#This Row],[Date calibrated]]&lt;=tblVerifyCalibrations[[#This Row],[Due date]],"Yes","No")))</f>
        <v>No</v>
      </c>
      <c r="P69" s="35">
        <f>IF(tblVerifyCalibrations[[#This Row],[Gauge ID]]="","",IF(tblVerifyCalibrations[[#This Row],[As found]]="Out of tolerance",1,0))</f>
        <v>1</v>
      </c>
      <c r="Q69" s="36">
        <f>IF(tblVerifyCalibrations[[#This Row],[Gauge ID]]="","",IF(AND(tblVerifyCalibrations[[#This Row],[Date calibrated]]&gt;=$E$36,tblVerifyCalibrations[[#This Row],[Date calibrated]]&lt;=$E$37),tblVerifyCalibrations[[#This Row],[Date calibrated]],""))</f>
        <v>46001</v>
      </c>
      <c r="R69" s="39" t="str">
        <f>IF(tblVerifyCalibrations[[#This Row],[Gauge ID]]="","",IF(tblVerifyCalibrations[[#This Row],[Date calibrated]]="","Missing date calibrated",IF(tblVerifyCalibrations[[#This Row],[Calibrated by]]="","Missing calibrated by",IF(tblVerifyCalibrations[[#This Row],[As found]]="","Missing as found",IF(tblVerifyCalibrations[[#This Row],[As left]]="","Missing as left",IF(COUNTIF(tblVerifyGauges[Gauge ID],tblVerifyCalibrations[[#This Row],[Gauge ID]])=0,"Gauge not on the register",IF(COUNTIF(tblVerifyLabs[Calibrated by],tblVerifyCalibrations[[#This Row],[Calibrated by]])=0,"Provider not on Setup list",IF(tblVerifyCalibrations[[#This Row],[Date calibrated]]&gt;$E$34,"Date after the status date",IF(COUNTIFS(tblVerifyCalibrations[Gauge ID],tblVerifyCalibrations[[#This Row],[Gauge ID]],tblVerifyCalibrations[Date calibrated],tblVerifyCalibrations[[#This Row],[Date calibrated]])&gt;1,"Duplicate record",IF(AND(tblVerifyCalibrations[[#This Row],[As found]]="Out of tolerance",OR(tblVerifyCalibrations[[#This Row],[Impact review]]="",tblVerifyCalibrations[[#This Row],[Impact review]]="Not needed")),"Out of tolerance: review impact","OK"))))))))))</f>
        <v>OK</v>
      </c>
      <c r="S69" s="63" t="s">
        <v>141</v>
      </c>
    </row>
    <row r="70" spans="2:19">
      <c r="B70" s="63" t="s">
        <v>454</v>
      </c>
      <c r="C70" s="68">
        <v>45767</v>
      </c>
      <c r="D70" s="63" t="s">
        <v>450</v>
      </c>
      <c r="E70" s="63" t="s">
        <v>254</v>
      </c>
      <c r="F70" s="63" t="s">
        <v>225</v>
      </c>
      <c r="G70" s="63" t="s">
        <v>224</v>
      </c>
      <c r="H70" s="63" t="s">
        <v>311</v>
      </c>
      <c r="I70" s="63" t="s">
        <v>459</v>
      </c>
      <c r="J70" s="73">
        <v>50</v>
      </c>
      <c r="K70" s="71">
        <v>365</v>
      </c>
      <c r="L70" s="36">
        <f>IF(tblVerifyCalibrations[[#This Row],[Gauge ID]]="","",IF(COUNTIFS(tblVerifyCalibrations[Gauge ID],tblVerifyCalibrations[[#This Row],[Gauge ID]],tblVerifyCalibrations[Date calibrated],"&lt;"&amp;tblVerifyCalibrations[[#This Row],[Date calibrated]])=0,"",SUMPRODUCT(MAX((tblVerifyCalibrations[Gauge ID]=tblVerifyCalibrations[[#This Row],[Gauge ID]])*(tblVerifyCalibrations[Date calibrated]&lt;tblVerifyCalibrations[[#This Row],[Date calibrated]])*tblVerifyCalibrations[Date calibrated]))))</f>
        <v/>
      </c>
      <c r="M70" s="36">
        <f>IF(tblVerifyCalibrations[[#This Row],[Gauge ID]]="","",IF(OR(tblVerifyCalibrations[[#This Row],[Previous calibration]]="",tblVerifyCalibrations[[#This Row],[Interval (days)]]=""),"",tblVerifyCalibrations[[#This Row],[Previous calibration]]+tblVerifyCalibrations[[#This Row],[Interval (days)]]))</f>
        <v/>
      </c>
      <c r="N70" s="35">
        <f>IF(tblVerifyCalibrations[[#This Row],[Gauge ID]]="","",IF(tblVerifyCalibrations[[#This Row],[Due date]]="","",MAX(0,tblVerifyCalibrations[[#This Row],[Date calibrated]]-tblVerifyCalibrations[[#This Row],[Due date]])))</f>
        <v/>
      </c>
      <c r="O70" s="38">
        <f>IF(tblVerifyCalibrations[[#This Row],[Gauge ID]]="","",IF(tblVerifyCalibrations[[#This Row],[Due date]]="","",IF(tblVerifyCalibrations[[#This Row],[Date calibrated]]&lt;=tblVerifyCalibrations[[#This Row],[Due date]],"Yes","No")))</f>
        <v/>
      </c>
      <c r="P70" s="35">
        <f>IF(tblVerifyCalibrations[[#This Row],[Gauge ID]]="","",IF(tblVerifyCalibrations[[#This Row],[As found]]="Out of tolerance",1,0))</f>
        <v>1</v>
      </c>
      <c r="Q70" s="36">
        <f>IF(tblVerifyCalibrations[[#This Row],[Gauge ID]]="","",IF(AND(tblVerifyCalibrations[[#This Row],[Date calibrated]]&gt;=$E$36,tblVerifyCalibrations[[#This Row],[Date calibrated]]&lt;=$E$37),tblVerifyCalibrations[[#This Row],[Date calibrated]],""))</f>
        <v>45767</v>
      </c>
      <c r="R70" s="39" t="str">
        <f>IF(tblVerifyCalibrations[[#This Row],[Gauge ID]]="","",IF(tblVerifyCalibrations[[#This Row],[Date calibrated]]="","Missing date calibrated",IF(tblVerifyCalibrations[[#This Row],[Calibrated by]]="","Missing calibrated by",IF(tblVerifyCalibrations[[#This Row],[As found]]="","Missing as found",IF(tblVerifyCalibrations[[#This Row],[As left]]="","Missing as left",IF(COUNTIF(tblVerifyGauges[Gauge ID],tblVerifyCalibrations[[#This Row],[Gauge ID]])=0,"Gauge not on the register",IF(COUNTIF(tblVerifyLabs[Calibrated by],tblVerifyCalibrations[[#This Row],[Calibrated by]])=0,"Provider not on Setup list",IF(tblVerifyCalibrations[[#This Row],[Date calibrated]]&gt;$E$34,"Date after the status date",IF(COUNTIFS(tblVerifyCalibrations[Gauge ID],tblVerifyCalibrations[[#This Row],[Gauge ID]],tblVerifyCalibrations[Date calibrated],tblVerifyCalibrations[[#This Row],[Date calibrated]])&gt;1,"Duplicate record",IF(AND(tblVerifyCalibrations[[#This Row],[As found]]="Out of tolerance",OR(tblVerifyCalibrations[[#This Row],[Impact review]]="",tblVerifyCalibrations[[#This Row],[Impact review]]="Not needed")),"Out of tolerance: review impact","OK"))))))))))</f>
        <v>OK</v>
      </c>
      <c r="S70" s="63" t="s">
        <v>141</v>
      </c>
    </row>
    <row r="71" spans="2:19">
      <c r="B71" s="63" t="s">
        <v>455</v>
      </c>
      <c r="C71" s="68">
        <v>45672</v>
      </c>
      <c r="D71" s="63" t="s">
        <v>450</v>
      </c>
      <c r="E71" s="63" t="s">
        <v>224</v>
      </c>
      <c r="F71" s="63" t="s">
        <v>225</v>
      </c>
      <c r="G71" s="63" t="s">
        <v>224</v>
      </c>
      <c r="H71" s="63" t="s">
        <v>226</v>
      </c>
      <c r="I71" s="63" t="s">
        <v>459</v>
      </c>
      <c r="J71" s="73">
        <v>50</v>
      </c>
      <c r="K71" s="71">
        <v>180</v>
      </c>
      <c r="L71" s="36">
        <f>IF(tblVerifyCalibrations[[#This Row],[Gauge ID]]="","",IF(COUNTIFS(tblVerifyCalibrations[Gauge ID],tblVerifyCalibrations[[#This Row],[Gauge ID]],tblVerifyCalibrations[Date calibrated],"&lt;"&amp;tblVerifyCalibrations[[#This Row],[Date calibrated]])=0,"",SUMPRODUCT(MAX((tblVerifyCalibrations[Gauge ID]=tblVerifyCalibrations[[#This Row],[Gauge ID]])*(tblVerifyCalibrations[Date calibrated]&lt;tblVerifyCalibrations[[#This Row],[Date calibrated]])*tblVerifyCalibrations[Date calibrated]))))</f>
        <v/>
      </c>
      <c r="M71" s="36">
        <f>IF(tblVerifyCalibrations[[#This Row],[Gauge ID]]="","",IF(OR(tblVerifyCalibrations[[#This Row],[Previous calibration]]="",tblVerifyCalibrations[[#This Row],[Interval (days)]]=""),"",tblVerifyCalibrations[[#This Row],[Previous calibration]]+tblVerifyCalibrations[[#This Row],[Interval (days)]]))</f>
        <v/>
      </c>
      <c r="N71" s="35">
        <f>IF(tblVerifyCalibrations[[#This Row],[Gauge ID]]="","",IF(tblVerifyCalibrations[[#This Row],[Due date]]="","",MAX(0,tblVerifyCalibrations[[#This Row],[Date calibrated]]-tblVerifyCalibrations[[#This Row],[Due date]])))</f>
        <v/>
      </c>
      <c r="O71" s="38">
        <f>IF(tblVerifyCalibrations[[#This Row],[Gauge ID]]="","",IF(tblVerifyCalibrations[[#This Row],[Due date]]="","",IF(tblVerifyCalibrations[[#This Row],[Date calibrated]]&lt;=tblVerifyCalibrations[[#This Row],[Due date]],"Yes","No")))</f>
        <v/>
      </c>
      <c r="P71" s="35">
        <f>IF(tblVerifyCalibrations[[#This Row],[Gauge ID]]="","",IF(tblVerifyCalibrations[[#This Row],[As found]]="Out of tolerance",1,0))</f>
        <v>0</v>
      </c>
      <c r="Q71" s="36">
        <f>IF(tblVerifyCalibrations[[#This Row],[Gauge ID]]="","",IF(AND(tblVerifyCalibrations[[#This Row],[Date calibrated]]&gt;=$E$36,tblVerifyCalibrations[[#This Row],[Date calibrated]]&lt;=$E$37),tblVerifyCalibrations[[#This Row],[Date calibrated]],""))</f>
        <v>45672</v>
      </c>
      <c r="R71" s="39" t="str">
        <f>IF(tblVerifyCalibrations[[#This Row],[Gauge ID]]="","",IF(tblVerifyCalibrations[[#This Row],[Date calibrated]]="","Missing date calibrated",IF(tblVerifyCalibrations[[#This Row],[Calibrated by]]="","Missing calibrated by",IF(tblVerifyCalibrations[[#This Row],[As found]]="","Missing as found",IF(tblVerifyCalibrations[[#This Row],[As left]]="","Missing as left",IF(COUNTIF(tblVerifyGauges[Gauge ID],tblVerifyCalibrations[[#This Row],[Gauge ID]])=0,"Gauge not on the register",IF(COUNTIF(tblVerifyLabs[Calibrated by],tblVerifyCalibrations[[#This Row],[Calibrated by]])=0,"Provider not on Setup list",IF(tblVerifyCalibrations[[#This Row],[Date calibrated]]&gt;$E$34,"Date after the status date",IF(COUNTIFS(tblVerifyCalibrations[Gauge ID],tblVerifyCalibrations[[#This Row],[Gauge ID]],tblVerifyCalibrations[Date calibrated],tblVerifyCalibrations[[#This Row],[Date calibrated]])&gt;1,"Duplicate record",IF(AND(tblVerifyCalibrations[[#This Row],[As found]]="Out of tolerance",OR(tblVerifyCalibrations[[#This Row],[Impact review]]="",tblVerifyCalibrations[[#This Row],[Impact review]]="Not needed")),"Out of tolerance: review impact","OK"))))))))))</f>
        <v>OK</v>
      </c>
      <c r="S71" s="63" t="s">
        <v>141</v>
      </c>
    </row>
    <row r="72" spans="2:19">
      <c r="B72" s="63" t="s">
        <v>454</v>
      </c>
      <c r="C72" s="68">
        <v>46114</v>
      </c>
      <c r="D72" s="63" t="s">
        <v>450</v>
      </c>
      <c r="E72" s="63" t="s">
        <v>224</v>
      </c>
      <c r="F72" s="63" t="s">
        <v>225</v>
      </c>
      <c r="G72" s="63" t="s">
        <v>224</v>
      </c>
      <c r="H72" s="63" t="s">
        <v>226</v>
      </c>
      <c r="I72" s="63" t="s">
        <v>459</v>
      </c>
      <c r="J72" s="73">
        <v>50</v>
      </c>
      <c r="K72" s="71">
        <v>365</v>
      </c>
      <c r="L72" s="36">
        <f>IF(tblVerifyCalibrations[[#This Row],[Gauge ID]]="","",IF(COUNTIFS(tblVerifyCalibrations[Gauge ID],tblVerifyCalibrations[[#This Row],[Gauge ID]],tblVerifyCalibrations[Date calibrated],"&lt;"&amp;tblVerifyCalibrations[[#This Row],[Date calibrated]])=0,"",SUMPRODUCT(MAX((tblVerifyCalibrations[Gauge ID]=tblVerifyCalibrations[[#This Row],[Gauge ID]])*(tblVerifyCalibrations[Date calibrated]&lt;tblVerifyCalibrations[[#This Row],[Date calibrated]])*tblVerifyCalibrations[Date calibrated]))))</f>
        <v>45767</v>
      </c>
      <c r="M72" s="36">
        <f>IF(tblVerifyCalibrations[[#This Row],[Gauge ID]]="","",IF(OR(tblVerifyCalibrations[[#This Row],[Previous calibration]]="",tblVerifyCalibrations[[#This Row],[Interval (days)]]=""),"",tblVerifyCalibrations[[#This Row],[Previous calibration]]+tblVerifyCalibrations[[#This Row],[Interval (days)]]))</f>
        <v>46132</v>
      </c>
      <c r="N72" s="35">
        <f>IF(tblVerifyCalibrations[[#This Row],[Gauge ID]]="","",IF(tblVerifyCalibrations[[#This Row],[Due date]]="","",MAX(0,tblVerifyCalibrations[[#This Row],[Date calibrated]]-tblVerifyCalibrations[[#This Row],[Due date]])))</f>
        <v>0</v>
      </c>
      <c r="O72" s="38" t="str">
        <f>IF(tblVerifyCalibrations[[#This Row],[Gauge ID]]="","",IF(tblVerifyCalibrations[[#This Row],[Due date]]="","",IF(tblVerifyCalibrations[[#This Row],[Date calibrated]]&lt;=tblVerifyCalibrations[[#This Row],[Due date]],"Yes","No")))</f>
        <v>Yes</v>
      </c>
      <c r="P72" s="35">
        <f>IF(tblVerifyCalibrations[[#This Row],[Gauge ID]]="","",IF(tblVerifyCalibrations[[#This Row],[As found]]="Out of tolerance",1,0))</f>
        <v>0</v>
      </c>
      <c r="Q72" s="36">
        <f>IF(tblVerifyCalibrations[[#This Row],[Gauge ID]]="","",IF(AND(tblVerifyCalibrations[[#This Row],[Date calibrated]]&gt;=$E$36,tblVerifyCalibrations[[#This Row],[Date calibrated]]&lt;=$E$37),tblVerifyCalibrations[[#This Row],[Date calibrated]],""))</f>
        <v>46114</v>
      </c>
      <c r="R72" s="39" t="str">
        <f>IF(tblVerifyCalibrations[[#This Row],[Gauge ID]]="","",IF(tblVerifyCalibrations[[#This Row],[Date calibrated]]="","Missing date calibrated",IF(tblVerifyCalibrations[[#This Row],[Calibrated by]]="","Missing calibrated by",IF(tblVerifyCalibrations[[#This Row],[As found]]="","Missing as found",IF(tblVerifyCalibrations[[#This Row],[As left]]="","Missing as left",IF(COUNTIF(tblVerifyGauges[Gauge ID],tblVerifyCalibrations[[#This Row],[Gauge ID]])=0,"Gauge not on the register",IF(COUNTIF(tblVerifyLabs[Calibrated by],tblVerifyCalibrations[[#This Row],[Calibrated by]])=0,"Provider not on Setup list",IF(tblVerifyCalibrations[[#This Row],[Date calibrated]]&gt;$E$34,"Date after the status date",IF(COUNTIFS(tblVerifyCalibrations[Gauge ID],tblVerifyCalibrations[[#This Row],[Gauge ID]],tblVerifyCalibrations[Date calibrated],tblVerifyCalibrations[[#This Row],[Date calibrated]])&gt;1,"Duplicate record",IF(AND(tblVerifyCalibrations[[#This Row],[As found]]="Out of tolerance",OR(tblVerifyCalibrations[[#This Row],[Impact review]]="",tblVerifyCalibrations[[#This Row],[Impact review]]="Not needed")),"Out of tolerance: review impact","OK"))))))))))</f>
        <v>Date after the status date</v>
      </c>
      <c r="S72" s="63" t="s">
        <v>141</v>
      </c>
    </row>
  </sheetData>
  <sheetProtection sheet="1" formatColumns="0" formatRows="0"/>
  <mergeCells count="40">
    <mergeCell ref="A1:S1"/>
    <mergeCell ref="B2:R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B30:L30"/>
    <mergeCell ref="B32:L32"/>
    <mergeCell ref="B33:F33"/>
    <mergeCell ref="B34:D34"/>
    <mergeCell ref="B35:D35"/>
    <mergeCell ref="B36:D36"/>
    <mergeCell ref="B37:D37"/>
    <mergeCell ref="B38:D38"/>
    <mergeCell ref="B39:D39"/>
    <mergeCell ref="B41:L41"/>
    <mergeCell ref="B47:L47"/>
    <mergeCell ref="B51:L51"/>
    <mergeCell ref="B55:L55"/>
    <mergeCell ref="B63:L63"/>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O57:O61">
    <cfRule type="expression" dxfId="3" priority="41">
      <formula>$O57="OK"</formula>
    </cfRule>
    <cfRule type="expression" dxfId="1" priority="42">
      <formula>AND($O57&lt;&gt;"",$O57&lt;&gt;"OK")</formula>
    </cfRule>
  </conditionalFormatting>
  <conditionalFormatting sqref="R66:R72">
    <cfRule type="expression" dxfId="3" priority="43">
      <formula>$R66="OK"</formula>
    </cfRule>
    <cfRule type="expression" dxfId="1" priority="44">
      <formula>AND($R66&lt;&gt;"",$R66&lt;&gt;"OK")</formula>
    </cfRule>
  </conditionalFormatting>
  <hyperlinks>
    <hyperlink ref="S2" r:id="rId1" tooltip="Free manufacturing calculators and templates"/>
  </hyperlinks>
  <printOptions horizontalCentered="1"/>
  <pageMargins left="0.4" right="0.4" top="0.7" bottom="0.65" header="0.3" footer="0.3"/>
  <pageSetup fitToHeight="0" orientation="landscape"/>
  <headerFooter>
    <oddHeader>&amp;L&amp;8MFG Calcs - Gauge Calibration Log&amp;R&amp;8&amp;A</oddHeader>
    <oddFooter>&amp;L&amp;8mfgcalcs.com - free manufacturing templates&amp;R&amp;8Page &amp;P of &amp;N</oddFooter>
  </headerFooter>
  <rowBreaks count="1" manualBreakCount="1">
    <brk id="46" max="16383" man="1"/>
  </rowBreaks>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28</vt:i4>
      </vt:variant>
    </vt:vector>
  </HeadingPairs>
  <TitlesOfParts>
    <vt:vector size="35" baseType="lpstr">
      <vt:lpstr>Start Here</vt:lpstr>
      <vt:lpstr>Setup</vt:lpstr>
      <vt:lpstr>Gauge Register</vt:lpstr>
      <vt:lpstr>Calibration Records</vt:lpstr>
      <vt:lpstr>Dashboard</vt:lpstr>
      <vt:lpstr>Method</vt:lpstr>
      <vt:lpstr>Verify</vt:lpstr>
      <vt:lpstr>AsOf</vt:lpstr>
      <vt:lpstr>Currency</vt:lpstr>
      <vt:lpstr>DashFrom</vt:lpstr>
      <vt:lpstr>DashTo</vt:lpstr>
      <vt:lpstr>DueSoonDays</vt:lpstr>
      <vt:lpstr>KpiCost</vt:lpstr>
      <vt:lpstr>KpiDone</vt:lpstr>
      <vt:lpstr>KpiDueSoon</vt:lpstr>
      <vt:lpstr>KpiInService</vt:lpstr>
      <vt:lpstr>KpiOnTime</vt:lpstr>
      <vt:lpstr>KpiOOT</vt:lpstr>
      <vt:lpstr>KpiOverdue</vt:lpstr>
      <vt:lpstr>KpiReviews</vt:lpstr>
      <vt:lpstr>MaxOOT</vt:lpstr>
      <vt:lpstr>PlantName</vt:lpstr>
      <vt:lpstr>'Calibration Records'!Print_Area</vt:lpstr>
      <vt:lpstr>Dashboard!Print_Area</vt:lpstr>
      <vt:lpstr>'Gauge Register'!Print_Area</vt:lpstr>
      <vt:lpstr>Method!Print_Area</vt:lpstr>
      <vt:lpstr>Setup!Print_Area</vt:lpstr>
      <vt:lpstr>'Start Here'!Print_Area</vt:lpstr>
      <vt:lpstr>Verify!Print_Area</vt:lpstr>
      <vt:lpstr>'Calibration Records'!Print_Titles</vt:lpstr>
      <vt:lpstr>'Gauge Register'!Print_Titles</vt:lpstr>
      <vt:lpstr>Method!Print_Titles</vt:lpstr>
      <vt:lpstr>SelfCheck</vt:lpstr>
      <vt:lpstr>SelfCheckSummary</vt:lpstr>
      <vt:lpstr>TargetOnTime</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Gauge Calibration Log - free Excel template from MFG Calcs</dc:title>
  <dc:subject>Keep every gauge's due date, as-found results and calibration history in one register, and see what is overdue, what falls due next and which gauges drift.</dc:subject>
  <dc:creator>MFG Calcs</dc:creator>
  <cp:keywords>calibration log, gauge calibration, calibration register, measuring equipment, due date, out of tolerance, ISO 9001 7.1.5, metrology</cp:keywords>
  <dc:description>https://www.mfgcalcs.com/templates/calibration-log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calibration-log</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https://www.mfgcalcs.com/templates/calibration-log</vt:lpwstr>
  </property>
  <property fmtid="{D5CDD505-2E9C-101B-9397-08002B2CF9AE}" pid="7" name="Template sheet roles">
    <vt:lpwstr>Start Here=start;Setup=setup;Gauge Register=work;Calibration Records=work;Dashboard=dashboard;Method=method;Verify=verify</vt:lpwstr>
  </property>
</Properties>
</file>