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APA Log" sheetId="3" r:id="rId3"/>
    <sheet name="Dashboard" sheetId="4" r:id="rId4"/>
    <sheet name="Method" sheetId="5" r:id="rId5"/>
    <sheet name="Verify" sheetId="6" r:id="rId6"/>
  </sheets>
  <definedNames>
    <definedName name="AsOf">Setup!$C$7</definedName>
    <definedName name="DashOwner">Dashboard!$H$4</definedName>
    <definedName name="DashSource">Dashboard!$C$4</definedName>
    <definedName name="DueSoonDays">Setup!$C$8</definedName>
    <definedName name="KpiAvgClose">Dashboard!$D$30</definedName>
    <definedName name="KpiContain">Dashboard!$G$30</definedName>
    <definedName name="KpiEffective">Dashboard!$J$8</definedName>
    <definedName name="KpiOldest">Dashboard!$J$30</definedName>
    <definedName name="KpiOnTime">Dashboard!$G$8</definedName>
    <definedName name="KpiOpen">Dashboard!$B$8</definedName>
    <definedName name="KpiOpened">Dashboard!$B$30</definedName>
    <definedName name="KpiOverdue">Dashboard!$D$8</definedName>
    <definedName name="Owners">tblOwners[Owner]</definedName>
    <definedName name="_xlnm.Print_Area" localSheetId="2">'CAPA Log'!$A$1:$AA$49</definedName>
    <definedName name="_xlnm.Print_Area" localSheetId="3">Dashboard!$A$1:$L$74</definedName>
    <definedName name="_xlnm.Print_Area" localSheetId="4">Method!$A$1:$D$61</definedName>
    <definedName name="_xlnm.Print_Area" localSheetId="1">Setup!$A$1:$E$37</definedName>
    <definedName name="_xlnm.Print_Area" localSheetId="0">'Start Here'!$A$1:$F$56</definedName>
    <definedName name="_xlnm.Print_Area" localSheetId="5">Verify!$A$1:$AA$62</definedName>
    <definedName name="_xlnm.Print_Titles" localSheetId="2">'CAPA Log'!$1:$5</definedName>
    <definedName name="_xlnm.Print_Titles" localSheetId="4">Method!$1:$2</definedName>
    <definedName name="Priorities">tblPriorities[Priority]</definedName>
    <definedName name="SelfCheck">Verify!$D$4</definedName>
    <definedName name="SelfCheckSummary">Verify!$F$4</definedName>
    <definedName name="SiteName">Setup!$C$6</definedName>
    <definedName name="Sources">tblSources[Source]</definedName>
    <definedName name="TargetEffective">Setup!$C$10</definedName>
    <definedName name="TargetOnTime">Setup!$C$9</definedName>
  </definedNames>
  <calcPr calcId="124519" fullCalcOnLoad="1"/>
</workbook>
</file>

<file path=xl/sharedStrings.xml><?xml version="1.0" encoding="utf-8"?>
<sst xmlns="http://schemas.openxmlformats.org/spreadsheetml/2006/main" count="914" uniqueCount="375">
  <si>
    <t>CAPA and 8D Tracker</t>
  </si>
  <si>
    <t>Read this first: what the workbook does and how to use it.</t>
  </si>
  <si>
    <t>mfgcalcs.com</t>
  </si>
  <si>
    <t>Track every corrective and preventive action through the 8D disciplines, see what is overdue and stuck, and measure whether closed CAPAs actually worked.</t>
  </si>
  <si>
    <t>For: Quality managers, quality and supplier quality engineers, and CAPA owners in plants that answer to ISO 9001, IATF 16949 or ISO 13485.</t>
  </si>
  <si>
    <t>Version 1.0.0  ·  updated 15 October 2026</t>
  </si>
  <si>
    <t>Quick start</t>
  </si>
  <si>
    <t>1.</t>
  </si>
  <si>
    <t>On Setup, set the status date, your on-time and effectiveness targets, and replace the example priorities (with your containment and closure windows), sources and owners.</t>
  </si>
  <si>
    <t>2.</t>
  </si>
  <si>
    <t>On CAPA Log, add one row per CAPA: number, opened date, source, type, priority, product, problem statement and owner.</t>
  </si>
  <si>
    <t>3.</t>
  </si>
  <si>
    <t>As the CAPA moves, type the date each discipline was reached (D3 contained to D8 closed); the stage, due date and status follow.</t>
  </si>
  <si>
    <t>4.</t>
  </si>
  <si>
    <t>After closure, record the effectiveness check (Effective, Not effective or Pending) and the date it was verified.</t>
  </si>
  <si>
    <t>5.</t>
  </si>
  <si>
    <t>Open the Dashboard; filter by source or owner for a review meeting. Update the status date on Setup each time you review.</t>
  </si>
  <si>
    <t>What is in this workbook</t>
  </si>
  <si>
    <t>Start Here</t>
  </si>
  <si>
    <t>Setup</t>
  </si>
  <si>
    <t>Status date, targets, and the priority, source and owner lists that feed the CAPA Log.</t>
  </si>
  <si>
    <t>CAPA Log</t>
  </si>
  <si>
    <t>One row per CAPA: the date each 8D discipline was reached, the stage and status, and the effectiveness check.</t>
  </si>
  <si>
    <t>Dashboard</t>
  </si>
  <si>
    <t>Open, overdue and stuck CAPAs, on-time closure and effectiveness, for the source and owner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</si>
  <si>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</si>
  <si>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</si>
  <si>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</si>
  <si>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</si>
  <si>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</si>
  <si>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</si>
  <si>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</si>
  <si>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</si>
  <si>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</si>
  <si>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</si>
  <si>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</si>
  <si>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</si>
  <si>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</si>
  <si>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</si>
  <si>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</si>
  <si>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</si>
  <si>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</si>
  <si>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</si>
  <si>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</si>
  <si>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</si>
  <si>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CAPA Effectiveness Rate Calculator on mfgcalcs.com</t>
  </si>
  <si>
    <t>Latest version</t>
  </si>
  <si>
    <t>mfgcalcs.com/templates/capa-8d-tracker</t>
  </si>
  <si>
    <t>More free templates</t>
  </si>
  <si>
    <t>mfgcalcs.com/templates</t>
  </si>
  <si>
    <t>Version</t>
  </si>
  <si>
    <t>1.0.0 (updated 15 October 2026)</t>
  </si>
  <si>
    <t>About the example data</t>
  </si>
  <si>
    <t>Every number already in this workbook is example data for Linden Precision Moulding, a fictional business invented for this template, so the dashboard and charts show something meaningful on day one. It holds 44 CAPAs opened between November 2025 and October 2026 at a fictional moulder of medical and automotive parts, with the status date 9 Oct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</si>
  <si>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</si>
  <si>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</si>
  <si>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</si>
  <si>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</si>
  <si>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</si>
  <si>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</si>
  <si>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</si>
  <si>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</si>
  <si>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Priority</t>
  </si>
  <si>
    <t>Contain within (days)</t>
  </si>
  <si>
    <t>Close within (days)</t>
  </si>
  <si>
    <t>When to use</t>
  </si>
  <si>
    <t>Source</t>
  </si>
  <si>
    <t>Description</t>
  </si>
  <si>
    <t>Owner</t>
  </si>
  <si>
    <t>Role</t>
  </si>
  <si>
    <t>Site, status date and targets</t>
  </si>
  <si>
    <t>Site or company</t>
  </si>
  <si>
    <t>Linden Precision Moulding (example)</t>
  </si>
  <si>
    <t>Status as of</t>
  </si>
  <si>
    <t>'Due soon' warning</t>
  </si>
  <si>
    <t>days</t>
  </si>
  <si>
    <t>On-time closure target</t>
  </si>
  <si>
    <t>Effectiveness target</t>
  </si>
  <si>
    <t>Targets and the containment and closure windows below are yours to set (or your customer's); nothing in this workbook assumes an industry benchmark. A KPI is 'Near target' within 5% of its target.</t>
  </si>
  <si>
    <t>Lists that feed the dropdowns</t>
  </si>
  <si>
    <t>Edit, add or remove rows; the CAPA Log's dropdowns read these lists. Keep names unique. The priority windows set each CAPA's containment check and due date (opened + close within).</t>
  </si>
  <si>
    <t>Priorities and their time windows (example policy)</t>
  </si>
  <si>
    <t>High</t>
  </si>
  <si>
    <t>Safety, regulatory or customer line-stop risk; shipped product affected</t>
  </si>
  <si>
    <t>Medium</t>
  </si>
  <si>
    <t>Customer-visible or repeat problem, no safety or regulatory impact</t>
  </si>
  <si>
    <t>Low</t>
  </si>
  <si>
    <t>Internal problem or improvement, no product shipped</t>
  </si>
  <si>
    <t>Sources (where the CAPA came from)</t>
  </si>
  <si>
    <t>Customer complaint</t>
  </si>
  <si>
    <t>Complaint or rejection from a customer</t>
  </si>
  <si>
    <t>Internal NCR</t>
  </si>
  <si>
    <t>NCR raised in receiving, in process or final inspection</t>
  </si>
  <si>
    <t>Audit finding</t>
  </si>
  <si>
    <t>Internal, customer or registrar audit finding</t>
  </si>
  <si>
    <t>Supplier issue</t>
  </si>
  <si>
    <t>Nonconforming purchased material (SCAR raised)</t>
  </si>
  <si>
    <t>Field return</t>
  </si>
  <si>
    <t>Product returned from use or from the end customer</t>
  </si>
  <si>
    <t>Owners (D1 team leaders)</t>
  </si>
  <si>
    <t>A. Mensah</t>
  </si>
  <si>
    <t>Quality engineer</t>
  </si>
  <si>
    <t>R. Kowalski</t>
  </si>
  <si>
    <t>Process engineer, moulding</t>
  </si>
  <si>
    <t>S. Iyer</t>
  </si>
  <si>
    <t>Supplier quality engineer</t>
  </si>
  <si>
    <t>J. Ortega</t>
  </si>
  <si>
    <t>Assembly supervisor</t>
  </si>
  <si>
    <t>M. Chen</t>
  </si>
  <si>
    <t>Quality manager</t>
  </si>
  <si>
    <t>CAPA no.</t>
  </si>
  <si>
    <t>Opened</t>
  </si>
  <si>
    <t>Type</t>
  </si>
  <si>
    <t>Product or process</t>
  </si>
  <si>
    <t>Problem statement</t>
  </si>
  <si>
    <t>Contained</t>
  </si>
  <si>
    <t>Root cause found</t>
  </si>
  <si>
    <t>Actions implemented</t>
  </si>
  <si>
    <t>Recurrence prevented</t>
  </si>
  <si>
    <t>Closed</t>
  </si>
  <si>
    <t>Effectiveness</t>
  </si>
  <si>
    <t>Verified</t>
  </si>
  <si>
    <t>Due</t>
  </si>
  <si>
    <t>Stage</t>
  </si>
  <si>
    <t>Days open</t>
  </si>
  <si>
    <t>Contained on time</t>
  </si>
  <si>
    <t>Status</t>
  </si>
  <si>
    <t>On time</t>
  </si>
  <si>
    <t>In view</t>
  </si>
  <si>
    <t>Check</t>
  </si>
  <si>
    <t>Root cause</t>
  </si>
  <si>
    <t>Example data for Linden Precision Moulding (fictional). Replace it with your own: select the example rows, right-click, Delete &gt; Table Rows. Type a date when each discipline is reached; leave later ones blank.</t>
  </si>
  <si>
    <t>CA-25-041</t>
  </si>
  <si>
    <t>Corrective</t>
  </si>
  <si>
    <t>Luer connector LC-14</t>
  </si>
  <si>
    <t>Short shot on cavity 3 found at customer incoming inspection, 2 of 500 sampled</t>
  </si>
  <si>
    <t>Not effective</t>
  </si>
  <si>
    <t>Dryer not cleaned between material changes</t>
  </si>
  <si>
    <t>CA-25-042</t>
  </si>
  <si>
    <t>Thread gauge failures on 1 lot after resin batch change</t>
  </si>
  <si>
    <t>Effective</t>
  </si>
  <si>
    <t>Label print file not locked to the released revision</t>
  </si>
  <si>
    <t>CA-25-043</t>
  </si>
  <si>
    <t>Seal carrier SC-55</t>
  </si>
  <si>
    <t>Resin certificate missing melt flow result for 1 delivery</t>
  </si>
  <si>
    <t>CA-25-044</t>
  </si>
  <si>
    <t>Clip assembly CA-7</t>
  </si>
  <si>
    <t>Ultrasonic weld strength below minimum on 1 station</t>
  </si>
  <si>
    <t>CA-25-045</t>
  </si>
  <si>
    <t>Quality system</t>
  </si>
  <si>
    <t>Work instruction at assembly station 4 is an old revision</t>
  </si>
  <si>
    <t>Worn vent on cavity 3 not on the PM list</t>
  </si>
  <si>
    <t>CA-25-046</t>
  </si>
  <si>
    <t>Housing H-310</t>
  </si>
  <si>
    <t>Colour masterbatch shade outside agreed range</t>
  </si>
  <si>
    <t>CA-25-047</t>
  </si>
  <si>
    <t>Supplier deburr step skipped under schedule pressure</t>
  </si>
  <si>
    <t>CA-25-048</t>
  </si>
  <si>
    <t>CA-26-001</t>
  </si>
  <si>
    <t>Preventive</t>
  </si>
  <si>
    <t>Cooling water flow restriction on one mould half</t>
  </si>
  <si>
    <t>CA-26-002</t>
  </si>
  <si>
    <t>Training matrix not updated when roles changed</t>
  </si>
  <si>
    <t>CA-26-003</t>
  </si>
  <si>
    <t>Valve body VB-220</t>
  </si>
  <si>
    <t>Cracked valve body returned after 6 months in use</t>
  </si>
  <si>
    <t>CA-26-004</t>
  </si>
  <si>
    <t>Flash on sealing face caused leak at customer end-of-line test</t>
  </si>
  <si>
    <t>Feeder sensor bypassed after a jam, no error-proofing</t>
  </si>
  <si>
    <t>CA-26-005</t>
  </si>
  <si>
    <t>CA-26-006</t>
  </si>
  <si>
    <t>Training record missing for a new press operator</t>
  </si>
  <si>
    <t>CA-26-007</t>
  </si>
  <si>
    <t>Two gauges past calibration due date still in use</t>
  </si>
  <si>
    <t>Hold pressure profile changed without validation</t>
  </si>
  <si>
    <t>CA-26-008</t>
  </si>
  <si>
    <t>Black specks from hopper dryer contamination</t>
  </si>
  <si>
    <t>CA-26-009</t>
  </si>
  <si>
    <t>CA-26-010</t>
  </si>
  <si>
    <t>Bore diameter drifting toward upper limit after mould maintenance</t>
  </si>
  <si>
    <t>CA-26-011</t>
  </si>
  <si>
    <t>CA-26-012</t>
  </si>
  <si>
    <t>Wrong label revision on 3 cartons shipped to customer</t>
  </si>
  <si>
    <t>Process window too narrow for resin lot variation</t>
  </si>
  <si>
    <t>CA-26-013</t>
  </si>
  <si>
    <t>CA-26-014</t>
  </si>
  <si>
    <t>CA-26-015</t>
  </si>
  <si>
    <t>CA-26-016</t>
  </si>
  <si>
    <t>CA-26-017</t>
  </si>
  <si>
    <t>Sink mark on visible face outside customer appearance limit</t>
  </si>
  <si>
    <t>CA-26-018</t>
  </si>
  <si>
    <t>Gauge recall list not linked to the calibration system</t>
  </si>
  <si>
    <t>CA-26-019</t>
  </si>
  <si>
    <t>CA-26-020</t>
  </si>
  <si>
    <t>Weld line crack found at final inspection on night shift</t>
  </si>
  <si>
    <t>CA-26-021</t>
  </si>
  <si>
    <t>CA-26-022</t>
  </si>
  <si>
    <t>CA-26-023</t>
  </si>
  <si>
    <t>Steel clips delivered with burrs above drawing limit</t>
  </si>
  <si>
    <t>CA-26-024</t>
  </si>
  <si>
    <t>Pending</t>
  </si>
  <si>
    <t>CA-26-025</t>
  </si>
  <si>
    <t>CA-26-026</t>
  </si>
  <si>
    <t>CA-26-027</t>
  </si>
  <si>
    <t>CA-26-028</t>
  </si>
  <si>
    <t>CA-26-029</t>
  </si>
  <si>
    <t>CA-26-030</t>
  </si>
  <si>
    <t>CA-26-031</t>
  </si>
  <si>
    <t>CA-26-032</t>
  </si>
  <si>
    <t>CA-26-033</t>
  </si>
  <si>
    <t>Control plan reaction plan not followed for an out-of-limit check</t>
  </si>
  <si>
    <t>CA-26-034</t>
  </si>
  <si>
    <t>CA-26-035</t>
  </si>
  <si>
    <t>CA-26-036</t>
  </si>
  <si>
    <t>OPEN CAPAS</t>
  </si>
  <si>
    <t>OVERDUE</t>
  </si>
  <si>
    <t>CLOSED ON TIME (12 MONTHS)</t>
  </si>
  <si>
    <t>EFFECTIVE AT VERIFICATION (12 MONTHS)</t>
  </si>
  <si>
    <t>Opened and not yet closed</t>
  </si>
  <si>
    <t>OPENED (12 MONTHS)</t>
  </si>
  <si>
    <t>AVERAGE DAYS TO CLOSE</t>
  </si>
  <si>
    <t>CONTAINED IN TIME</t>
  </si>
  <si>
    <t>OLDEST OPEN CAPA (DAYS)</t>
  </si>
  <si>
    <t>CAPAs opened in the window</t>
  </si>
  <si>
    <t>CAPAs closed in the window</t>
  </si>
  <si>
    <t>Within the priority's window (Setup)</t>
  </si>
  <si>
    <t>Days since opened, at the status date</t>
  </si>
  <si>
    <t>By owner</t>
  </si>
  <si>
    <t>Open</t>
  </si>
  <si>
    <t>Overdue</t>
  </si>
  <si>
    <t>Closed (12 months)</t>
  </si>
  <si>
    <t>Average days to close</t>
  </si>
  <si>
    <t>Closed on time</t>
  </si>
  <si>
    <t>Open CAPAs by 8D stage</t>
  </si>
  <si>
    <t>Stage (open CAPAs)</t>
  </si>
  <si>
    <t>Due soon</t>
  </si>
  <si>
    <t>In progress</t>
  </si>
  <si>
    <t>Average days open</t>
  </si>
  <si>
    <t>D3 Containment</t>
  </si>
  <si>
    <t>D4 Root cause</t>
  </si>
  <si>
    <t>D5-D6 Corrective action</t>
  </si>
  <si>
    <t>D7 Prevent recurrence</t>
  </si>
  <si>
    <t>D8 Close-out</t>
  </si>
  <si>
    <t>By month (the 12 months to the status date)</t>
  </si>
  <si>
    <t>CAPAs opened by source, 12 months (Pareto)</t>
  </si>
  <si>
    <t>Month</t>
  </si>
  <si>
    <t>Open at month end</t>
  </si>
  <si>
    <t>Rank</t>
  </si>
  <si>
    <t>CAPAs</t>
  </si>
  <si>
    <t>Share</t>
  </si>
  <si>
    <t>Cumulative</t>
  </si>
  <si>
    <t>Helper: Source (list order)</t>
  </si>
  <si>
    <t>Helper: value (-1 = unused slot)</t>
  </si>
  <si>
    <t>Helper: rank, ties by list order</t>
  </si>
  <si>
    <t>%</t>
  </si>
  <si>
    <t>Total</t>
  </si>
  <si>
    <t>The Dashboard shows the 5 owners and 5 sources of the Setup lists. If you add more, extend the 'By owner' and Pareto blocks (see Method) or they will not appear here.</t>
  </si>
  <si>
    <t>What this workbook calculates</t>
  </si>
  <si>
    <t>Each CAPA is one row. Instead of typing a stage or a status, you type the date each 8D discipline was reached; the workbook derives the stage, the due date from the priority's window, and the status at the status date on Setup. The effectiveness check after closure is recorded as a result and a date, so the share of CAPAs that actually worked can be measured over a 12-month cohort.</t>
  </si>
  <si>
    <t>Calculations</t>
  </si>
  <si>
    <t>Quantity</t>
  </si>
  <si>
    <t>How it is calculated</t>
  </si>
  <si>
    <t>Units</t>
  </si>
  <si>
    <t>Due date</t>
  </si>
  <si>
    <t>Opened + close-within days for the CAPA's priority (Setup).</t>
  </si>
  <si>
    <t>date</t>
  </si>
  <si>
    <t>The discipline after the latest date filled in: D3 Containment, D4 Root cause, D5-D6 Corrective action, D7 Prevent recurrence, D8 Close-out, or Closed.</t>
  </si>
  <si>
    <t>-</t>
  </si>
  <si>
    <t>Closed - opened; for an open CAPA, status date - opened.</t>
  </si>
  <si>
    <t>Yes when contained - opened &lt;= the priority's containment window; No when later, or still not contained past the window.</t>
  </si>
  <si>
    <t>Yes/No</t>
  </si>
  <si>
    <t>Complete when closed; Overdue when due &lt; status date; Due soon when due - status date &lt;= the warning days; else In progress.</t>
  </si>
  <si>
    <t>For closed CAPAs: Yes when closed &lt;= due date.</t>
  </si>
  <si>
    <t>Open CAPAs</t>
  </si>
  <si>
    <t>Rows opened on or before the status date with no closed date.</t>
  </si>
  <si>
    <t>Closed on time / closed, for CAPAs closed in the 12 months to the status date.</t>
  </si>
  <si>
    <t>Effective at verification</t>
  </si>
  <si>
    <t>Effective / (effective + not effective), for checks verified in the 12 months. Pending results are left out of both.</t>
  </si>
  <si>
    <t>Sum of days open / count, over CAPAs closed in the 12 months.</t>
  </si>
  <si>
    <t>Contained in time</t>
  </si>
  <si>
    <t>Yes / (Yes + No) of Contained on time, for CAPAs opened in the 12 months.</t>
  </si>
  <si>
    <t>CAPAs opened by the month end (or status date) minus CAPAs closed by then.</t>
  </si>
  <si>
    <t>Pareto</t>
  </si>
  <si>
    <t>CAPAs opened in the 12 months per source, ranked with COUNTIF (ties keep list order). Hidden helper columns AO:AQ hold the unsorted counts and ranks.</t>
  </si>
  <si>
    <t>CAPAs, %</t>
  </si>
  <si>
    <t>Assumptions</t>
  </si>
  <si>
    <t>Dates are calendar days; weekends and holidays count, as most CAPA procedures measure them.</t>
  </si>
  <si>
    <t>The 12-month window runs from the first day of the month 11 months before the status date to the status date.</t>
  </si>
  <si>
    <t>A CAPA's due date is its closure (D8) date. If your procedure sets due dates per discipline, keep them in your 8D report; this register tracks the overall commitment.</t>
  </si>
  <si>
    <t>Reopened CAPAs: record a 'Not effective' result and open a new CAPA row rather than clearing the old dates.</t>
  </si>
  <si>
    <t>Limitations</t>
  </si>
  <si>
    <t>The register does not hold the 8D analysis itself (5 whys, fishbone, verification data); link your report in your own system.</t>
  </si>
  <si>
    <t>Stage assumes the disciplines are reached in order; the Check column flags dates before the opened date but not every out-of-order pair.</t>
  </si>
  <si>
    <t>The Dashboard has fixed blocks for 5 owners and 5 sources; longer lists need the blocks extended (a warning appears on the Dashboard).</t>
  </si>
  <si>
    <t>Effectiveness is only as good as the check you define: state the measure and the waiting period in your procedure.</t>
  </si>
  <si>
    <t>Agreement with the live calculator</t>
  </si>
  <si>
    <t>The live CAPA Effectiveness Rate calculator takes a cohort of assessed CAPAs and the number that failed verification: effectiveness = (assessed - failed) / assessed x 100. This workbook's 'Effective at verification' tile is the same ratio with the cohort defined by verification date (the 12 months to the status date), Effective counted as passing and Not effective as failing. The reference implementation is checked against the calculator's engine for its default example (250 assessed, 8 failed: 96.8%) and for the example data on every build. The register, stages, due dates and status are this template's own model.</t>
  </si>
  <si>
    <t>Open the CAPA Effectiveness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</si>
  <si>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</si>
  <si>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</si>
  <si>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Ford Motor Company, Global 8D (G8D) problem-solving method: the D0-D8 disciplines named here.</t>
  </si>
  <si>
    <t>AIAG CQI-20, Effective Problem Solving Practitioner's Guide.</t>
  </si>
  <si>
    <t>ISO 9001:2015, clause 10.2 (nonconformity and corrective action), including reviewing the effectiveness of corrective action; ISO 13485:2016, clauses 8.5.2 and 8.5.3; IATF 16949:2016, clause 10.2.3.</t>
  </si>
  <si>
    <t>MFG Calcs CAPA Effectiveness Rate calculator (capa-effectiveness-rate): the same effectiveness definition.</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</si>
  <si>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</si>
  <si>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</si>
  <si>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</si>
  <si>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</si>
  <si>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</si>
  <si>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</si>
  <si>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</si>
  <si>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</si>
  <si>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</si>
  <si>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</si>
  <si>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</si>
  <si>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</si>
  <si>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</si>
  <si>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</si>
  <si>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</si>
  <si>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</si>
  <si>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CAPA 1: due date</t>
  </si>
  <si>
    <t>CAPA 1: stage</t>
  </si>
  <si>
    <t>exact</t>
  </si>
  <si>
    <t>CAPA 1: status</t>
  </si>
  <si>
    <t>Complete</t>
  </si>
  <si>
    <t>CAPA 2: due date</t>
  </si>
  <si>
    <t>CAPA 2: stage</t>
  </si>
  <si>
    <t>CAPA 2: status</t>
  </si>
  <si>
    <t>CAPA 3: due date</t>
  </si>
  <si>
    <t>CAPA 3: stage</t>
  </si>
  <si>
    <t>CAPA 3: status</t>
  </si>
  <si>
    <t>CAPA 4: due date</t>
  </si>
  <si>
    <t>CAPA 4: stage</t>
  </si>
  <si>
    <t>CAPA 4: status</t>
  </si>
  <si>
    <t>CAPA 5: due date</t>
  </si>
  <si>
    <t>CAPA 5: stage</t>
  </si>
  <si>
    <t>CAPA 5: status</t>
  </si>
  <si>
    <t>CAPA 6: due date</t>
  </si>
  <si>
    <t>CAPA 6: stage</t>
  </si>
  <si>
    <t>CAPA 6: status</t>
  </si>
  <si>
    <t>CAPA 1: days open (closed 28 days after opening)</t>
  </si>
  <si>
    <t>CAPA 3: days open (open, to the status date)</t>
  </si>
  <si>
    <t>CAPA 2: closed on time</t>
  </si>
  <si>
    <t>No</t>
  </si>
  <si>
    <t>CAPA 2: contained on time (3 days against 1)</t>
  </si>
  <si>
    <t>CAPA 4: contained on time (not contained, window passed)</t>
  </si>
  <si>
    <t>CAPA 5: contained on time (inside the window: blank)</t>
  </si>
  <si>
    <t/>
  </si>
  <si>
    <t>CAPA 7: Check reports a date before opened</t>
  </si>
  <si>
    <t>Date before opened</t>
  </si>
  <si>
    <t>CAPA 8: Check reports a duplicate number</t>
  </si>
  <si>
    <t>Duplicate CAPA number</t>
  </si>
  <si>
    <t>All rows: open CAPAs</t>
  </si>
  <si>
    <t>All rows: overdue</t>
  </si>
  <si>
    <t>All rows: closed on time</t>
  </si>
  <si>
    <t>All rows: effective at verification (1 of 2)</t>
  </si>
  <si>
    <t>All rows: average days to close</t>
  </si>
  <si>
    <t>All rows: oldest open CAPA (days)</t>
  </si>
  <si>
    <t>Fixed test inputs</t>
  </si>
  <si>
    <t>White cells are fixed test inputs; blue cells are the workbook's formulas evaluated on them.</t>
  </si>
  <si>
    <t>Parameters</t>
  </si>
  <si>
    <t>'Due soon' warning (days)</t>
  </si>
  <si>
    <t>Filter: source (blank = all)</t>
  </si>
  <si>
    <t>Filter: owner (blank = all)</t>
  </si>
  <si>
    <t>Test table: Capas</t>
  </si>
  <si>
    <t>T-1</t>
  </si>
  <si>
    <t>Part</t>
  </si>
  <si>
    <t>Test</t>
  </si>
  <si>
    <t>Owner A</t>
  </si>
  <si>
    <t>T-2</t>
  </si>
  <si>
    <t>T-3</t>
  </si>
  <si>
    <t>T-4</t>
  </si>
  <si>
    <t>T-5</t>
  </si>
  <si>
    <t>T-6</t>
  </si>
  <si>
    <t>T-7</t>
  </si>
</sst>
</file>

<file path=xl/styles.xml><?xml version="1.0" encoding="utf-8"?>
<styleSheet xmlns="http://schemas.openxmlformats.org/spreadsheetml/2006/main">
  <numFmts count="10">
    <numFmt numFmtId="164" formatCode="d mmm yyyy"/>
    <numFmt numFmtId="165" formatCode="#,##0"/>
    <numFmt numFmtId="166" formatCode="0%"/>
    <numFmt numFmtId="167" formatCode="&quot;Target &quot;#,##0"/>
    <numFmt numFmtId="168" formatCode="&quot;Target &quot;0%"/>
    <numFmt numFmtId="169" formatCode="#,##0.0"/>
    <numFmt numFmtId="170" formatCode="mmm yyyy"/>
    <numFmt numFmtId="171" formatCode="0.0%"/>
    <numFmt numFmtId="172" formatCode="0.0E+00"/>
    <numFmt numFmtId="173"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5"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7" fontId="23" fillId="9" borderId="7" xfId="0" applyNumberFormat="1" applyFont="1" applyFill="1" applyBorder="1" applyAlignment="1">
      <alignment horizontal="left" vertical="center"/>
    </xf>
    <xf numFmtId="168"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9"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9"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70" fontId="9" fillId="0" borderId="9" xfId="0" applyNumberFormat="1" applyFont="1" applyBorder="1" applyAlignment="1">
      <alignment vertical="center"/>
    </xf>
    <xf numFmtId="0" fontId="21" fillId="0" borderId="0" xfId="0" applyFont="1" applyAlignment="1">
      <alignment horizontal="center" vertical="center"/>
    </xf>
    <xf numFmtId="165" fontId="9" fillId="0" borderId="9" xfId="0" applyNumberFormat="1" applyFont="1" applyBorder="1" applyAlignment="1">
      <alignment horizontal="center" vertical="center"/>
    </xf>
    <xf numFmtId="171" fontId="10" fillId="4" borderId="3" xfId="0" applyNumberFormat="1" applyFont="1" applyFill="1" applyBorder="1" applyAlignment="1">
      <alignment vertical="center"/>
    </xf>
    <xf numFmtId="165" fontId="10" fillId="0" borderId="0" xfId="0" applyNumberFormat="1" applyFont="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5" fontId="10" fillId="0" borderId="9" xfId="0" applyNumberFormat="1" applyFont="1" applyBorder="1" applyAlignment="1">
      <alignment vertical="center"/>
    </xf>
    <xf numFmtId="171"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CAPAs by 8D stage</a:t>
            </a:r>
          </a:p>
        </c:rich>
      </c:tx>
      <c:layout/>
    </c:title>
    <c:plotArea>
      <c:layout/>
      <c:barChart>
        <c:barDir val="col"/>
        <c:grouping val="stacked"/>
        <c:ser>
          <c:idx val="0"/>
          <c:order val="0"/>
          <c:tx>
            <c:v>In progress</c:v>
          </c:tx>
          <c:spPr>
            <a:solidFill>
              <a:srgbClr val="3B64D8"/>
            </a:solidFill>
            <a:ln w="9525">
              <a:solidFill>
                <a:srgbClr val="FFFFFF"/>
              </a:solidFill>
            </a:ln>
          </c:spPr>
          <c:cat>
            <c:strRef>
              <c:f>Dashboard!$B$52:$B$56</c:f>
              <c:strCache>
                <c:ptCount val="5"/>
                <c:pt idx="0">
                  <c:v>D3 Containment</c:v>
                </c:pt>
                <c:pt idx="1">
                  <c:v>D4 Root cause</c:v>
                </c:pt>
                <c:pt idx="2">
                  <c:v>D5-D6 Corrective action</c:v>
                </c:pt>
                <c:pt idx="3">
                  <c:v>D7 Prevent recurrence</c:v>
                </c:pt>
                <c:pt idx="4">
                  <c:v>D8 Close-out</c:v>
                </c:pt>
              </c:strCache>
            </c:strRef>
          </c:cat>
          <c:val>
            <c:numRef>
              <c:f>Dashboard!$F$52:$F$56</c:f>
              <c:numCache>
                <c:formatCode>General</c:formatCode>
                <c:ptCount val="5"/>
                <c:pt idx="0">
                  <c:v>0</c:v>
                </c:pt>
                <c:pt idx="1">
                  <c:v>1</c:v>
                </c:pt>
                <c:pt idx="2">
                  <c:v>4</c:v>
                </c:pt>
                <c:pt idx="3">
                  <c:v>0</c:v>
                </c:pt>
                <c:pt idx="4">
                  <c:v>0</c:v>
                </c:pt>
              </c:numCache>
            </c:numRef>
          </c:val>
        </c:ser>
        <c:ser>
          <c:idx val="1"/>
          <c:order val="1"/>
          <c:tx>
            <c:v>Due soon</c:v>
          </c:tx>
          <c:spPr>
            <a:solidFill>
              <a:srgbClr val="E0A100"/>
            </a:solidFill>
            <a:ln w="9525">
              <a:solidFill>
                <a:srgbClr val="FFFFFF"/>
              </a:solidFill>
            </a:ln>
          </c:spPr>
          <c:cat>
            <c:strRef>
              <c:f>Dashboard!$B$52:$B$56</c:f>
              <c:strCache>
                <c:ptCount val="5"/>
                <c:pt idx="0">
                  <c:v>D3 Containment</c:v>
                </c:pt>
                <c:pt idx="1">
                  <c:v>D4 Root cause</c:v>
                </c:pt>
                <c:pt idx="2">
                  <c:v>D5-D6 Corrective action</c:v>
                </c:pt>
                <c:pt idx="3">
                  <c:v>D7 Prevent recurrence</c:v>
                </c:pt>
                <c:pt idx="4">
                  <c:v>D8 Close-out</c:v>
                </c:pt>
              </c:strCache>
            </c:strRef>
          </c:cat>
          <c:val>
            <c:numRef>
              <c:f>Dashboard!$E$52:$E$56</c:f>
              <c:numCache>
                <c:formatCode>General</c:formatCode>
                <c:ptCount val="5"/>
                <c:pt idx="0">
                  <c:v>0</c:v>
                </c:pt>
                <c:pt idx="1">
                  <c:v>0</c:v>
                </c:pt>
                <c:pt idx="2">
                  <c:v>3</c:v>
                </c:pt>
                <c:pt idx="3">
                  <c:v>0</c:v>
                </c:pt>
                <c:pt idx="4">
                  <c:v>0</c:v>
                </c:pt>
              </c:numCache>
            </c:numRef>
          </c:val>
        </c:ser>
        <c:ser>
          <c:idx val="2"/>
          <c:order val="2"/>
          <c:tx>
            <c:v>Overdue</c:v>
          </c:tx>
          <c:spPr>
            <a:solidFill>
              <a:srgbClr val="B3000C"/>
            </a:solidFill>
            <a:ln w="9525">
              <a:solidFill>
                <a:srgbClr val="FFFFFF"/>
              </a:solidFill>
            </a:ln>
          </c:spPr>
          <c:cat>
            <c:strRef>
              <c:f>Dashboard!$B$52:$B$56</c:f>
              <c:strCache>
                <c:ptCount val="5"/>
                <c:pt idx="0">
                  <c:v>D3 Containment</c:v>
                </c:pt>
                <c:pt idx="1">
                  <c:v>D4 Root cause</c:v>
                </c:pt>
                <c:pt idx="2">
                  <c:v>D5-D6 Corrective action</c:v>
                </c:pt>
                <c:pt idx="3">
                  <c:v>D7 Prevent recurrence</c:v>
                </c:pt>
                <c:pt idx="4">
                  <c:v>D8 Close-out</c:v>
                </c:pt>
              </c:strCache>
            </c:strRef>
          </c:cat>
          <c:val>
            <c:numRef>
              <c:f>Dashboard!$D$52:$D$56</c:f>
              <c:numCache>
                <c:formatCode>General</c:formatCode>
                <c:ptCount val="5"/>
                <c:pt idx="0">
                  <c:v>0</c:v>
                </c:pt>
                <c:pt idx="1">
                  <c:v>0</c:v>
                </c:pt>
                <c:pt idx="2">
                  <c:v>2</c:v>
                </c:pt>
                <c:pt idx="3">
                  <c:v>0</c:v>
                </c:pt>
                <c:pt idx="4">
                  <c:v>1</c:v>
                </c:pt>
              </c:numCache>
            </c:numRef>
          </c:val>
        </c:ser>
        <c:gapWidth val="60"/>
        <c:overlap val="100"/>
        <c:axId val="50010001"/>
        <c:axId val="50010002"/>
      </c:bar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Opened, closed and open backlog by month</a:t>
            </a:r>
          </a:p>
        </c:rich>
      </c:tx>
      <c:layout/>
    </c:title>
    <c:plotArea>
      <c:layout/>
      <c:barChart>
        <c:barDir val="col"/>
        <c:grouping val="clustered"/>
        <c:ser>
          <c:idx val="0"/>
          <c:order val="0"/>
          <c:tx>
            <c:v>Opened</c:v>
          </c:tx>
          <c:spPr>
            <a:solidFill>
              <a:srgbClr val="3B64D8"/>
            </a:solidFill>
            <a:ln w="9525">
              <a:solidFill>
                <a:srgbClr val="FFFFFF"/>
              </a:solidFill>
            </a:ln>
          </c:spPr>
          <c:cat>
            <c:numRef>
              <c:f>Dashboard!$B$60:$B$71</c:f>
              <c:numCache>
                <c:formatCode>General</c:formatCode>
                <c:ptCount val="12"/>
                <c:pt idx="0">
                  <c:v>45962</c:v>
                </c:pt>
                <c:pt idx="1">
                  <c:v>45992</c:v>
                </c:pt>
                <c:pt idx="2">
                  <c:v>46023</c:v>
                </c:pt>
                <c:pt idx="3">
                  <c:v>46054</c:v>
                </c:pt>
                <c:pt idx="4">
                  <c:v>46082</c:v>
                </c:pt>
                <c:pt idx="5">
                  <c:v>46113</c:v>
                </c:pt>
                <c:pt idx="6">
                  <c:v>46143</c:v>
                </c:pt>
                <c:pt idx="7">
                  <c:v>46174</c:v>
                </c:pt>
                <c:pt idx="8">
                  <c:v>46204</c:v>
                </c:pt>
                <c:pt idx="9">
                  <c:v>46235</c:v>
                </c:pt>
                <c:pt idx="10">
                  <c:v>46266</c:v>
                </c:pt>
                <c:pt idx="11">
                  <c:v>46296</c:v>
                </c:pt>
              </c:numCache>
            </c:numRef>
          </c:cat>
          <c:val>
            <c:numRef>
              <c:f>Dashboard!$C$60:$C$71</c:f>
              <c:numCache>
                <c:formatCode>General</c:formatCode>
                <c:ptCount val="12"/>
                <c:pt idx="0">
                  <c:v>4</c:v>
                </c:pt>
                <c:pt idx="1">
                  <c:v>4</c:v>
                </c:pt>
                <c:pt idx="2">
                  <c:v>4</c:v>
                </c:pt>
                <c:pt idx="3">
                  <c:v>3</c:v>
                </c:pt>
                <c:pt idx="4">
                  <c:v>4</c:v>
                </c:pt>
                <c:pt idx="5">
                  <c:v>5</c:v>
                </c:pt>
                <c:pt idx="6">
                  <c:v>3</c:v>
                </c:pt>
                <c:pt idx="7">
                  <c:v>5</c:v>
                </c:pt>
                <c:pt idx="8">
                  <c:v>4</c:v>
                </c:pt>
                <c:pt idx="9">
                  <c:v>4</c:v>
                </c:pt>
                <c:pt idx="10">
                  <c:v>4</c:v>
                </c:pt>
                <c:pt idx="11">
                  <c:v>0</c:v>
                </c:pt>
              </c:numCache>
            </c:numRef>
          </c:val>
        </c:ser>
        <c:ser>
          <c:idx val="1"/>
          <c:order val="1"/>
          <c:tx>
            <c:v>Closed</c:v>
          </c:tx>
          <c:spPr>
            <a:solidFill>
              <a:srgbClr val="E8702A"/>
            </a:solidFill>
            <a:ln w="9525">
              <a:solidFill>
                <a:srgbClr val="FFFFFF"/>
              </a:solidFill>
            </a:ln>
          </c:spPr>
          <c:cat>
            <c:numRef>
              <c:f>Dashboard!$B$60:$B$71</c:f>
              <c:numCache>
                <c:formatCode>General</c:formatCode>
                <c:ptCount val="12"/>
                <c:pt idx="0">
                  <c:v>45962</c:v>
                </c:pt>
                <c:pt idx="1">
                  <c:v>45992</c:v>
                </c:pt>
                <c:pt idx="2">
                  <c:v>46023</c:v>
                </c:pt>
                <c:pt idx="3">
                  <c:v>46054</c:v>
                </c:pt>
                <c:pt idx="4">
                  <c:v>46082</c:v>
                </c:pt>
                <c:pt idx="5">
                  <c:v>46113</c:v>
                </c:pt>
                <c:pt idx="6">
                  <c:v>46143</c:v>
                </c:pt>
                <c:pt idx="7">
                  <c:v>46174</c:v>
                </c:pt>
                <c:pt idx="8">
                  <c:v>46204</c:v>
                </c:pt>
                <c:pt idx="9">
                  <c:v>46235</c:v>
                </c:pt>
                <c:pt idx="10">
                  <c:v>46266</c:v>
                </c:pt>
                <c:pt idx="11">
                  <c:v>46296</c:v>
                </c:pt>
              </c:numCache>
            </c:numRef>
          </c:cat>
          <c:val>
            <c:numRef>
              <c:f>Dashboard!$D$60:$D$71</c:f>
              <c:numCache>
                <c:formatCode>General</c:formatCode>
                <c:ptCount val="12"/>
                <c:pt idx="0">
                  <c:v>0</c:v>
                </c:pt>
                <c:pt idx="1">
                  <c:v>1</c:v>
                </c:pt>
                <c:pt idx="2">
                  <c:v>4</c:v>
                </c:pt>
                <c:pt idx="3">
                  <c:v>4</c:v>
                </c:pt>
                <c:pt idx="4">
                  <c:v>2</c:v>
                </c:pt>
                <c:pt idx="5">
                  <c:v>6</c:v>
                </c:pt>
                <c:pt idx="6">
                  <c:v>4</c:v>
                </c:pt>
                <c:pt idx="7">
                  <c:v>4</c:v>
                </c:pt>
                <c:pt idx="8">
                  <c:v>3</c:v>
                </c:pt>
                <c:pt idx="9">
                  <c:v>2</c:v>
                </c:pt>
                <c:pt idx="10">
                  <c:v>3</c:v>
                </c:pt>
                <c:pt idx="11">
                  <c:v>0</c:v>
                </c:pt>
              </c:numCache>
            </c:numRef>
          </c:val>
        </c:ser>
        <c:gapWidth val="60"/>
        <c:overlap val="-10"/>
        <c:axId val="50020001"/>
        <c:axId val="50020002"/>
      </c:barChart>
      <c:lineChart>
        <c:grouping val="standard"/>
        <c:ser>
          <c:idx val="2"/>
          <c:order val="2"/>
          <c:tx>
            <c:v>Open at month end</c:v>
          </c:tx>
          <c:spPr>
            <a:ln w="28575">
              <a:solidFill>
                <a:srgbClr val="1BA37A"/>
              </a:solidFill>
            </a:ln>
          </c:spPr>
          <c:marker>
            <c:symbol val="circle"/>
            <c:size val="5"/>
            <c:spPr>
              <a:solidFill>
                <a:srgbClr val="1BA37A"/>
              </a:solidFill>
              <a:ln>
                <a:solidFill>
                  <a:srgbClr val="1BA37A"/>
                </a:solidFill>
              </a:ln>
            </c:spPr>
          </c:marker>
          <c:cat>
            <c:numRef>
              <c:f>Dashboard!$B$60:$B$71</c:f>
              <c:numCache>
                <c:formatCode>General</c:formatCode>
                <c:ptCount val="12"/>
                <c:pt idx="0">
                  <c:v>45962</c:v>
                </c:pt>
                <c:pt idx="1">
                  <c:v>45992</c:v>
                </c:pt>
                <c:pt idx="2">
                  <c:v>46023</c:v>
                </c:pt>
                <c:pt idx="3">
                  <c:v>46054</c:v>
                </c:pt>
                <c:pt idx="4">
                  <c:v>46082</c:v>
                </c:pt>
                <c:pt idx="5">
                  <c:v>46113</c:v>
                </c:pt>
                <c:pt idx="6">
                  <c:v>46143</c:v>
                </c:pt>
                <c:pt idx="7">
                  <c:v>46174</c:v>
                </c:pt>
                <c:pt idx="8">
                  <c:v>46204</c:v>
                </c:pt>
                <c:pt idx="9">
                  <c:v>46235</c:v>
                </c:pt>
                <c:pt idx="10">
                  <c:v>46266</c:v>
                </c:pt>
                <c:pt idx="11">
                  <c:v>46296</c:v>
                </c:pt>
              </c:numCache>
            </c:numRef>
          </c:cat>
          <c:val>
            <c:numRef>
              <c:f>Dashboard!$F$60:$F$71</c:f>
              <c:numCache>
                <c:formatCode>General</c:formatCode>
                <c:ptCount val="12"/>
                <c:pt idx="0">
                  <c:v>4</c:v>
                </c:pt>
                <c:pt idx="1">
                  <c:v>7</c:v>
                </c:pt>
                <c:pt idx="2">
                  <c:v>7</c:v>
                </c:pt>
                <c:pt idx="3">
                  <c:v>6</c:v>
                </c:pt>
                <c:pt idx="4">
                  <c:v>8</c:v>
                </c:pt>
                <c:pt idx="5">
                  <c:v>7</c:v>
                </c:pt>
                <c:pt idx="6">
                  <c:v>6</c:v>
                </c:pt>
                <c:pt idx="7">
                  <c:v>7</c:v>
                </c:pt>
                <c:pt idx="8">
                  <c:v>8</c:v>
                </c:pt>
                <c:pt idx="9">
                  <c:v>10</c:v>
                </c:pt>
                <c:pt idx="10">
                  <c:v>11</c:v>
                </c:pt>
                <c:pt idx="11">
                  <c:v>11</c:v>
                </c:pt>
              </c:numCache>
            </c:numRef>
          </c:val>
        </c:ser>
        <c:marker val="1"/>
        <c:axId val="50020001"/>
        <c:axId val="50020002"/>
      </c:lineChart>
      <c:catAx>
        <c:axId val="50020001"/>
        <c:scaling>
          <c:orientation val="minMax"/>
        </c:scaling>
        <c:axPos val="b"/>
        <c:numFmt formatCode="mmm 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CAPAs by source</a:t>
            </a:r>
          </a:p>
        </c:rich>
      </c:tx>
      <c:layout/>
    </c:title>
    <c:plotArea>
      <c:layout/>
      <c:barChart>
        <c:barDir val="col"/>
        <c:grouping val="clustered"/>
        <c:ser>
          <c:idx val="0"/>
          <c:order val="0"/>
          <c:tx>
            <c:v>CAPAs</c:v>
          </c:tx>
          <c:spPr>
            <a:solidFill>
              <a:srgbClr val="3B64D8"/>
            </a:solidFill>
            <a:ln w="9525">
              <a:solidFill>
                <a:srgbClr val="FFFFFF"/>
              </a:solidFill>
            </a:ln>
          </c:spPr>
          <c:cat>
            <c:strRef>
              <c:f>Dashboard!$H$61:$H$65</c:f>
              <c:strCache>
                <c:ptCount val="5"/>
                <c:pt idx="0">
                  <c:v>Internal NCR</c:v>
                </c:pt>
                <c:pt idx="1">
                  <c:v>Customer complaint</c:v>
                </c:pt>
                <c:pt idx="2">
                  <c:v>Audit finding</c:v>
                </c:pt>
                <c:pt idx="3">
                  <c:v>Supplier issue</c:v>
                </c:pt>
                <c:pt idx="4">
                  <c:v>Field return</c:v>
                </c:pt>
              </c:strCache>
            </c:strRef>
          </c:cat>
          <c:val>
            <c:numRef>
              <c:f>Dashboard!$J$61:$J$65</c:f>
              <c:numCache>
                <c:formatCode>General</c:formatCode>
                <c:ptCount val="5"/>
                <c:pt idx="0">
                  <c:v>17</c:v>
                </c:pt>
                <c:pt idx="1">
                  <c:v>9</c:v>
                </c:pt>
                <c:pt idx="2">
                  <c:v>8</c:v>
                </c:pt>
                <c:pt idx="3">
                  <c:v>7</c:v>
                </c:pt>
                <c:pt idx="4">
                  <c:v>3</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Dashboard!$H$61:$H$65</c:f>
              <c:strCache>
                <c:ptCount val="5"/>
                <c:pt idx="0">
                  <c:v>Internal NCR</c:v>
                </c:pt>
                <c:pt idx="1">
                  <c:v>Customer complaint</c:v>
                </c:pt>
                <c:pt idx="2">
                  <c:v>Audit finding</c:v>
                </c:pt>
                <c:pt idx="3">
                  <c:v>Supplier issue</c:v>
                </c:pt>
                <c:pt idx="4">
                  <c:v>Field return</c:v>
                </c:pt>
              </c:strCache>
            </c:strRef>
          </c:cat>
          <c:val>
            <c:numRef>
              <c:f>Dashboard!$L$61:$L$65</c:f>
              <c:numCache>
                <c:formatCode>General</c:formatCode>
                <c:ptCount val="5"/>
                <c:pt idx="0">
                  <c:v>0.386363636363636</c:v>
                </c:pt>
                <c:pt idx="1">
                  <c:v>0.590909090909091</c:v>
                </c:pt>
                <c:pt idx="2">
                  <c:v>0.772727272727273</c:v>
                </c:pt>
                <c:pt idx="3">
                  <c:v>0.931818181818182</c:v>
                </c:pt>
                <c:pt idx="4">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open CAPAs at each 8D stage, split into in progress, due soon and overdu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CAPAs opened and closed each month for 12 months, with the number still open at each month end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38100</xdr:colOff>
      <xdr:row>34</xdr:row>
      <xdr:rowOff>38100</xdr:rowOff>
    </xdr:from>
    <xdr:to>
      <xdr:col>11</xdr:col>
      <xdr:colOff>676275</xdr:colOff>
      <xdr:row>47</xdr:row>
      <xdr:rowOff>161925</xdr:rowOff>
    </xdr:to>
    <xdr:graphicFrame macro="">
      <xdr:nvGraphicFramePr>
        <xdr:cNvPr id="4" name="Chart 3" descr="Pareto chart of CAPAs opened in the last 12 months by sourc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Priorities" displayName="tblPriorities" ref="B18:E21" totalsRowShown="0">
  <autoFilter ref="B18:E21"/>
  <tableColumns count="4">
    <tableColumn id="1" name="Priority"/>
    <tableColumn id="2" name="Contain within (days)"/>
    <tableColumn id="3" name="Close within (days)"/>
    <tableColumn id="4" name="When to use"/>
  </tableColumns>
  <tableStyleInfo name="TableStyleLight1" showFirstColumn="0" showLastColumn="0" showRowStripes="0" showColumnStripes="0"/>
</table>
</file>

<file path=xl/tables/table2.xml><?xml version="1.0" encoding="utf-8"?>
<table xmlns="http://schemas.openxmlformats.org/spreadsheetml/2006/main" id="2" name="tblSources" displayName="tblSources" ref="B24:C29" totalsRowShown="0">
  <autoFilter ref="B24:C29"/>
  <tableColumns count="2">
    <tableColumn id="1" name="Source"/>
    <tableColumn id="2" name="Description"/>
  </tableColumns>
  <tableStyleInfo name="TableStyleLight1" showFirstColumn="0" showLastColumn="0" showRowStripes="0" showColumnStripes="0"/>
</table>
</file>

<file path=xl/tables/table3.xml><?xml version="1.0" encoding="utf-8"?>
<table xmlns="http://schemas.openxmlformats.org/spreadsheetml/2006/main" id="3" name="tblOwners" displayName="tblOwners" ref="B32:C37" totalsRowShown="0">
  <autoFilter ref="B32:C37"/>
  <tableColumns count="2">
    <tableColumn id="1" name="Owner"/>
    <tableColumn id="2" name="Role"/>
  </tableColumns>
  <tableStyleInfo name="TableStyleLight1" showFirstColumn="0" showLastColumn="0" showRowStripes="0" showColumnStripes="0"/>
</table>
</file>

<file path=xl/tables/table4.xml><?xml version="1.0" encoding="utf-8"?>
<table xmlns="http://schemas.openxmlformats.org/spreadsheetml/2006/main" id="4" name="tblCapas" displayName="tblCapas" ref="B5:AA49" totalsRowShown="0">
  <autoFilter ref="B5:AA49"/>
  <tableColumns count="26">
    <tableColumn id="1" name="CAPA no."/>
    <tableColumn id="2" name="Opened"/>
    <tableColumn id="3" name="Source"/>
    <tableColumn id="4" name="Type"/>
    <tableColumn id="5" name="Priority"/>
    <tableColumn id="6" name="Product or process"/>
    <tableColumn id="7" name="Problem statement"/>
    <tableColumn id="8" name="Owner"/>
    <tableColumn id="9" name="Contained"/>
    <tableColumn id="10" name="Root cause found"/>
    <tableColumn id="11" name="Actions implemented"/>
    <tableColumn id="12" name="Recurrence prevented"/>
    <tableColumn id="13" name="Closed"/>
    <tableColumn id="14" name="Effectiveness"/>
    <tableColumn id="15" name="Verified"/>
    <tableColumn id="16" name="Contain within (days)">
      <calculatedColumnFormula>IF(tblCapas[[#This Row],[Opened]]="","",IFERROR(INDEX(tblPriorities[Contain within (days)],MATCH(tblCapas[[#This Row],[Priority]],tblPriorities[Priority],0)),""))</calculatedColumnFormula>
    </tableColumn>
    <tableColumn id="17" name="Close within (days)">
      <calculatedColumnFormula>IF(tblCapas[[#This Row],[Opened]]="","",IFERROR(INDEX(tblPriorities[Close within (days)],MATCH(tblCapas[[#This Row],[Priority]],tblPriorities[Priority],0)),""))</calculatedColumnFormula>
    </tableColumn>
    <tableColumn id="18" name="Due">
      <calculatedColumnFormula>IF(tblCapas[[#This Row],[Opened]]="","",IF(tblCapas[[#This Row],[Close within (days)]]="","",tblCapas[[#This Row],[Opened]]+tblCapas[[#This Row],[Close within (days)]]))</calculatedColumnFormula>
    </tableColumn>
    <tableColumn id="19" name="Stage">
      <calculatedColumnFormula>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calculatedColumnFormula>
    </tableColumn>
    <tableColumn id="20" name="Days open">
      <calculatedColumnFormula>IF(tblCapas[[#This Row],[Opened]]="","",IF(N(tblCapas[[#This Row],[Closed]])&gt;0,tblCapas[[#This Row],[Closed]],AsOf)-tblCapas[[#This Row],[Opened]])</calculatedColumnFormula>
    </tableColumn>
    <tableColumn id="21" name="Contained on time">
      <calculatedColumnFormula>IF(tblCapas[[#This Row],[Opened]]="","",IF(tblCapas[[#This Row],[Contain within (days)]]="","",IF(N(tblCapas[[#This Row],[Contained]])&gt;0,IF(tblCapas[[#This Row],[Contained]]-tblCapas[[#This Row],[Opened]]&lt;=tblCapas[[#This Row],[Contain within (days)]],"Yes","No"),IF(AsOf-tblCapas[[#This Row],[Opened]]&gt;tblCapas[[#This Row],[Contain within (days)]],"No",""))))</calculatedColumnFormula>
    </tableColumn>
    <tableColumn id="22" name="Status">
      <calculatedColumnFormula>IF(tblCapas[[#This Row],[Opened]]="","",IF(N(tblCapas[[#This Row],[Closed]])&gt;0,"Complete",IF(tblCapas[[#This Row],[Due]]="","Check",IF(tblCapas[[#This Row],[Due]]&lt;AsOf,"Overdue",IF(tblCapas[[#This Row],[Due]]-AsOf&lt;=DueSoonDays,"Due soon","In progress")))))</calculatedColumnFormula>
    </tableColumn>
    <tableColumn id="23" name="On time">
      <calculatedColumnFormula>IF(tblCapas[[#This Row],[Opened]]="","",IF(N(tblCapas[[#This Row],[Closed]])=0,"",IF(tblCapas[[#This Row],[Due]]="","",IF(tblCapas[[#This Row],[Closed]]&lt;=tblCapas[[#This Row],[Due]],"Yes","No"))))</calculatedColumnFormula>
    </tableColumn>
    <tableColumn id="24" name="In view">
      <calculatedColumnFormula>IF(tblCapas[[#This Row],[Opened]]="","",IF(AND(OR(DashSource="",tblCapas[[#This Row],[Source]]=DashSource),OR(DashOwner="",tblCapas[[#This Row],[Owner]]=DashOwner)),1,0))</calculatedColumnFormula>
    </tableColumn>
    <tableColumn id="25" name="Check">
      <calculatedColumnFormula>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calculatedColumnFormula>
    </tableColumn>
    <tableColumn id="26" name="Root cause"/>
  </tableColumns>
  <tableStyleInfo name="TableStyleLight1" showFirstColumn="0" showLastColumn="0" showRowStripes="0" showColumnStripes="0"/>
</table>
</file>

<file path=xl/tables/table5.xml><?xml version="1.0" encoding="utf-8"?>
<table xmlns="http://schemas.openxmlformats.org/spreadsheetml/2006/main" id="5" name="tblVerifyCapas" displayName="tblVerifyCapas" ref="B54:AA62" totalsRowShown="0">
  <tableColumns count="26">
    <tableColumn id="1" name="CAPA no."/>
    <tableColumn id="2" name="Opened"/>
    <tableColumn id="3" name="Source"/>
    <tableColumn id="4" name="Type"/>
    <tableColumn id="5" name="Priority"/>
    <tableColumn id="6" name="Product or process"/>
    <tableColumn id="7" name="Problem statement"/>
    <tableColumn id="8" name="Owner"/>
    <tableColumn id="9" name="Contained"/>
    <tableColumn id="10" name="Root cause found"/>
    <tableColumn id="11" name="Actions implemented"/>
    <tableColumn id="12" name="Recurrence prevented"/>
    <tableColumn id="13" name="Closed"/>
    <tableColumn id="14" name="Effectiveness"/>
    <tableColumn id="15" name="Verified"/>
    <tableColumn id="16" name="Contain within (days)"/>
    <tableColumn id="17" name="Close within (days)"/>
    <tableColumn id="18" name="Due">
      <calculatedColumnFormula>IF(tblVerifyCapas[[#This Row],[Opened]]="","",IF(tblVerifyCapas[[#This Row],[Close within (days)]]="","",tblVerifyCapas[[#This Row],[Opened]]+tblVerifyCapas[[#This Row],[Close within (days)]]))</calculatedColumnFormula>
    </tableColumn>
    <tableColumn id="19" name="Stage">
      <calculatedColumnFormula>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calculatedColumnFormula>
    </tableColumn>
    <tableColumn id="20" name="Days open">
      <calculatedColumnFormula>IF(tblVerifyCapas[[#This Row],[Opened]]="","",IF(N(tblVerifyCapas[[#This Row],[Closed]])&gt;0,tblVerifyCapas[[#This Row],[Closed]],$E$48)-tblVerifyCapas[[#This Row],[Opened]])</calculatedColumnFormula>
    </tableColumn>
    <tableColumn id="21" name="Contained on time">
      <calculatedColumnFormula>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calculatedColumnFormula>
    </tableColumn>
    <tableColumn id="22" name="Status">
      <calculatedColumnFormula>IF(tblVerifyCapas[[#This Row],[Opened]]="","",IF(N(tblVerifyCapas[[#This Row],[Closed]])&gt;0,"Complete",IF(tblVerifyCapas[[#This Row],[Due]]="","Check",IF(tblVerifyCapas[[#This Row],[Due]]&lt;$E$48,"Overdue",IF(tblVerifyCapas[[#This Row],[Due]]-$E$48&lt;=$E$49,"Due soon","In progress")))))</calculatedColumnFormula>
    </tableColumn>
    <tableColumn id="23" name="On time">
      <calculatedColumnFormula>IF(tblVerifyCapas[[#This Row],[Opened]]="","",IF(N(tblVerifyCapas[[#This Row],[Closed]])=0,"",IF(tblVerifyCapas[[#This Row],[Due]]="","",IF(tblVerifyCapas[[#This Row],[Closed]]&lt;=tblVerifyCapas[[#This Row],[Due]],"Yes","No"))))</calculatedColumnFormula>
    </tableColumn>
    <tableColumn id="24" name="In view">
      <calculatedColumnFormula>IF(tblVerifyCapas[[#This Row],[Opened]]="","",IF(AND(OR($E$50="",tblVerifyCapas[[#This Row],[Source]]=$E$50),OR($E$51="",tblVerifyCapas[[#This Row],[Owner]]=$E$51)),1,0))</calculatedColumnFormula>
    </tableColumn>
    <tableColumn id="25" name="Check">
      <calculatedColumnFormula>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calculatedColumnFormula>
    </tableColumn>
    <tableColumn id="26" name="Root caus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hyperlink" Target="https://www.mfgcalcs.com/calculators/qms-capa-quality-system-management/capa-effectiveness-rate?utm_source=mfgcalcs-template&amp;utm_medium=xlsx&amp;utm_campaign=capa-8d-tracker" TargetMode="External"/><Relationship Id="rId3" Type="http://schemas.openxmlformats.org/officeDocument/2006/relationships/hyperlink" Target="https://www.mfgcalcs.com/templates/capa-8d-tracker?utm_source=mfgcalcs-template&amp;utm_medium=xlsx&amp;utm_campaign=capa-8d-tracker" TargetMode="External"/><Relationship Id="rId4" Type="http://schemas.openxmlformats.org/officeDocument/2006/relationships/hyperlink" Target="https://www.mfgcalcs.com/templates?utm_source=mfgcalcs-template&amp;utm_medium=xlsx&amp;utm_campaign=capa-8d-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hyperlink" Target="https://www.mfgcalcs.com/calculators/qms-capa-quality-system-management/capa-effectiveness-rate?utm_source=mfgcalcs-template&amp;utm_medium=xlsx&amp;utm_campaign=capa-8d-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8d-tracker" TargetMode="External"/><Relationship Id="rId2"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32 of 32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APA Log'!A1" tooltip="Go to CAPA Log" display="CAPA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CAPA and 8D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7"/>
  <sheetViews>
    <sheetView showGridLines="0" workbookViewId="0"/>
  </sheetViews>
  <sheetFormatPr defaultRowHeight="15"/>
  <cols>
    <col min="1" max="1" width="2.7109375" customWidth="1"/>
    <col min="2" max="2" width="30.7109375" customWidth="1"/>
    <col min="3" max="4" width="18.7109375" customWidth="1"/>
    <col min="5" max="5" width="52.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70</v>
      </c>
      <c r="C4" s="8"/>
      <c r="D4" s="8"/>
      <c r="E4" s="8"/>
    </row>
    <row r="5" spans="1:5" ht="5" customHeight="1"/>
    <row r="6" spans="1:5">
      <c r="B6" s="27" t="s">
        <v>71</v>
      </c>
      <c r="C6" s="28" t="s">
        <v>72</v>
      </c>
      <c r="D6" s="28"/>
    </row>
    <row r="7" spans="1:5">
      <c r="B7" s="27" t="s">
        <v>73</v>
      </c>
      <c r="C7" s="29">
        <v>46304</v>
      </c>
      <c r="D7" s="7"/>
    </row>
    <row r="8" spans="1:5">
      <c r="B8" s="27" t="s">
        <v>74</v>
      </c>
      <c r="C8" s="30">
        <v>14</v>
      </c>
      <c r="D8" s="7" t="s">
        <v>75</v>
      </c>
    </row>
    <row r="9" spans="1:5">
      <c r="B9" s="27" t="s">
        <v>76</v>
      </c>
      <c r="C9" s="31">
        <v>0.85</v>
      </c>
      <c r="D9" s="7"/>
    </row>
    <row r="10" spans="1:5">
      <c r="B10" s="27" t="s">
        <v>77</v>
      </c>
      <c r="C10" s="31">
        <v>0.9</v>
      </c>
      <c r="D10" s="7"/>
    </row>
    <row r="12" spans="1:5" ht="35.4" customHeight="1">
      <c r="B12" s="25" t="s">
        <v>78</v>
      </c>
      <c r="C12" s="25"/>
      <c r="D12" s="25"/>
      <c r="E12" s="25"/>
    </row>
    <row r="14" spans="1:5" ht="21" customHeight="1">
      <c r="B14" s="8" t="s">
        <v>79</v>
      </c>
      <c r="C14" s="8"/>
      <c r="D14" s="8"/>
      <c r="E14" s="8"/>
    </row>
    <row r="15" spans="1:5" ht="5" customHeight="1"/>
    <row r="16" spans="1:5" ht="26.76" customHeight="1">
      <c r="B16" s="21" t="s">
        <v>80</v>
      </c>
      <c r="C16" s="21"/>
      <c r="D16" s="21"/>
      <c r="E16" s="21"/>
    </row>
    <row r="17" spans="2:5">
      <c r="B17" s="32" t="s">
        <v>81</v>
      </c>
      <c r="C17" s="32"/>
      <c r="D17" s="32"/>
      <c r="E17" s="32"/>
    </row>
    <row r="18" spans="2:5" ht="32" customHeight="1">
      <c r="B18" s="33" t="s">
        <v>62</v>
      </c>
      <c r="C18" s="33" t="s">
        <v>63</v>
      </c>
      <c r="D18" s="33" t="s">
        <v>64</v>
      </c>
      <c r="E18" s="33" t="s">
        <v>65</v>
      </c>
    </row>
    <row r="19" spans="2:5">
      <c r="B19" s="28" t="s">
        <v>82</v>
      </c>
      <c r="C19" s="30">
        <v>1</v>
      </c>
      <c r="D19" s="30">
        <v>30</v>
      </c>
      <c r="E19" s="28" t="s">
        <v>83</v>
      </c>
    </row>
    <row r="20" spans="2:5">
      <c r="B20" s="28" t="s">
        <v>84</v>
      </c>
      <c r="C20" s="30">
        <v>3</v>
      </c>
      <c r="D20" s="30">
        <v>60</v>
      </c>
      <c r="E20" s="28" t="s">
        <v>85</v>
      </c>
    </row>
    <row r="21" spans="2:5">
      <c r="B21" s="28" t="s">
        <v>86</v>
      </c>
      <c r="C21" s="30">
        <v>7</v>
      </c>
      <c r="D21" s="30">
        <v>90</v>
      </c>
      <c r="E21" s="28" t="s">
        <v>87</v>
      </c>
    </row>
    <row r="23" spans="2:5">
      <c r="B23" s="32" t="s">
        <v>88</v>
      </c>
      <c r="C23" s="32"/>
    </row>
    <row r="24" spans="2:5" ht="20" customHeight="1">
      <c r="B24" s="33" t="s">
        <v>66</v>
      </c>
      <c r="C24" s="33" t="s">
        <v>67</v>
      </c>
    </row>
    <row r="25" spans="2:5">
      <c r="B25" s="28" t="s">
        <v>89</v>
      </c>
      <c r="C25" s="28" t="s">
        <v>90</v>
      </c>
    </row>
    <row r="26" spans="2:5">
      <c r="B26" s="28" t="s">
        <v>91</v>
      </c>
      <c r="C26" s="28" t="s">
        <v>92</v>
      </c>
    </row>
    <row r="27" spans="2:5">
      <c r="B27" s="28" t="s">
        <v>93</v>
      </c>
      <c r="C27" s="28" t="s">
        <v>94</v>
      </c>
    </row>
    <row r="28" spans="2:5">
      <c r="B28" s="28" t="s">
        <v>95</v>
      </c>
      <c r="C28" s="28" t="s">
        <v>96</v>
      </c>
    </row>
    <row r="29" spans="2:5">
      <c r="B29" s="28" t="s">
        <v>97</v>
      </c>
      <c r="C29" s="28" t="s">
        <v>98</v>
      </c>
    </row>
    <row r="31" spans="2:5">
      <c r="B31" s="32" t="s">
        <v>99</v>
      </c>
      <c r="C31" s="32"/>
    </row>
    <row r="32" spans="2:5" ht="20" customHeight="1">
      <c r="B32" s="33" t="s">
        <v>68</v>
      </c>
      <c r="C32" s="33" t="s">
        <v>69</v>
      </c>
    </row>
    <row r="33" spans="2:3">
      <c r="B33" s="28" t="s">
        <v>100</v>
      </c>
      <c r="C33" s="28" t="s">
        <v>101</v>
      </c>
    </row>
    <row r="34" spans="2:3">
      <c r="B34" s="28" t="s">
        <v>102</v>
      </c>
      <c r="C34" s="28" t="s">
        <v>103</v>
      </c>
    </row>
    <row r="35" spans="2:3">
      <c r="B35" s="28" t="s">
        <v>104</v>
      </c>
      <c r="C35" s="28" t="s">
        <v>105</v>
      </c>
    </row>
    <row r="36" spans="2:3">
      <c r="B36" s="28" t="s">
        <v>106</v>
      </c>
      <c r="C36" s="28" t="s">
        <v>107</v>
      </c>
    </row>
    <row r="37" spans="2:3">
      <c r="B37" s="28" t="s">
        <v>108</v>
      </c>
      <c r="C37" s="28" t="s">
        <v>109</v>
      </c>
    </row>
  </sheetData>
  <mergeCells count="10">
    <mergeCell ref="A1:E1"/>
    <mergeCell ref="B2:D2"/>
    <mergeCell ref="B4:E4"/>
    <mergeCell ref="C6:D6"/>
    <mergeCell ref="B12:E12"/>
    <mergeCell ref="B14:E14"/>
    <mergeCell ref="B16:E16"/>
    <mergeCell ref="B17:E17"/>
    <mergeCell ref="B23:C23"/>
    <mergeCell ref="B31:C31"/>
  </mergeCells>
  <dataValidations count="13">
    <dataValidation type="textLength" allowBlank="1" showInputMessage="1" showErrorMessage="1" errorTitle="Check this entry" error="Text up to 80 characters." promptTitle="Site or company" prompt="Shown on the Dashboard. Text up to 80 characters." sqref="C6">
      <formula1>0</formula1>
      <formula2>80</formula2>
    </dataValidation>
    <dataValidation type="date" allowBlank="1" showInputMessage="1" showErrorMessage="1" errorTitle="Check this entry" error="Enter a date between 01 Jan 2000 and 31 Dec 2100." promptTitle="Status as of" prompt="Every status (Overdue, Due soon), days open and the 12-month window are judged at this date. A typed date, so the file never changes by itself: update it when you review. Enter a date between 01 Jan 2000 and 31 Dec 2100." sqref="C7">
      <formula1>36526</formula1>
      <formula2>73415</formula2>
    </dataValidation>
    <dataValidation type="whole" allowBlank="1" showInputMessage="1" showErrorMessage="1" errorTitle="Check this entry" error="Enter a whole number from 0 to 365." promptTitle="'Due soon' warning" prompt="An open CAPA is Due soon when its due date is this many days or fewer after the status date. Enter a whole number from 0 to 365." sqref="C8">
      <formula1>0</formula1>
      <formula2>365</formula2>
    </dataValidation>
    <dataValidation type="decimal" allowBlank="1" showInputMessage="1" showErrorMessage="1" errorTitle="Check this entry" error="Enter a percentage from 0% to 100% (type 85% or 0.85)." promptTitle="On-time closure target" prompt="Your own target: share of CAPAs closed on or before their due date. Enter a percentage from 0% to 100% (type 85% or 0.85)." sqref="C9">
      <formula1>0</formula1>
      <formula2>1</formula2>
    </dataValidation>
    <dataValidation type="decimal" allowBlank="1" showInputMessage="1" showErrorMessage="1" errorTitle="Check this entry" error="Enter a percentage from 0% to 100% (type 85% or 0.85)." promptTitle="Effectiveness target" prompt="Your own target: share of verified CAPAs judged effective. Enter a percentage from 0% to 100% (type 85% or 0.85)." sqref="C10">
      <formula1>0</formula1>
      <formula2>1</formula2>
    </dataValidation>
    <dataValidation type="textLength" allowBlank="1" showInputMessage="1" showErrorMessage="1" errorTitle="Check this entry" error="Text up to 20 characters." promptTitle="Priority" prompt="Text up to 20 characters." sqref="B19:B121">
      <formula1>0</formula1>
      <formula2>20</formula2>
    </dataValidation>
    <dataValidation type="whole" allowBlank="1" showInputMessage="1" showErrorMessage="1" errorTitle="Check this entry" error="Enter a whole number from 0 to 365." promptTitle="Contain within (days)" prompt="Calendar days from opened to containment in place (D3). Enter a whole number from 0 to 365." sqref="C19:C121">
      <formula1>0</formula1>
      <formula2>365</formula2>
    </dataValidation>
    <dataValidation type="whole" allowBlank="1" showInputMessage="1" showErrorMessage="1" errorTitle="Check this entry" error="Enter a whole number from 1 to 3,650." promptTitle="Close within (days)" prompt="Calendar days from opened to closure (D8). Sets the due date. Enter a whole number from 1 to 3,650." sqref="D19:D121">
      <formula1>1</formula1>
      <formula2>3650</formula2>
    </dataValidation>
    <dataValidation type="textLength" allowBlank="1" showInputMessage="1" showErrorMessage="1" errorTitle="Check this entry" error="Text up to 160 characters." promptTitle="When to use" prompt="Text up to 160 characters." sqref="E19:E121">
      <formula1>0</formula1>
      <formula2>160</formula2>
    </dataValidation>
    <dataValidation type="textLength" allowBlank="1" showInputMessage="1" showErrorMessage="1" errorTitle="Check this entry" error="Text up to 40 characters." promptTitle="Source" prompt="Text up to 40 characters." sqref="B25:B129">
      <formula1>0</formula1>
      <formula2>40</formula2>
    </dataValidation>
    <dataValidation type="textLength" allowBlank="1" showInputMessage="1" showErrorMessage="1" errorTitle="Check this entry" error="Text up to 160 characters." promptTitle="Description" prompt="Text up to 160 characters." sqref="C25:C129">
      <formula1>0</formula1>
      <formula2>160</formula2>
    </dataValidation>
    <dataValidation type="textLength" allowBlank="1" showInputMessage="1" showErrorMessage="1" errorTitle="Check this entry" error="Text up to 40 characters." promptTitle="Owner" prompt="Text up to 40 characters." sqref="B33:B137">
      <formula1>0</formula1>
      <formula2>40</formula2>
    </dataValidation>
    <dataValidation type="textLength" allowBlank="1" showInputMessage="1" showErrorMessage="1" errorTitle="Check this entry" error="Text up to 80 characters." promptTitle="Role" prompt="Text up to 80 characters." sqref="C33:C137">
      <formula1>0</formula1>
      <formula2>80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CAPA and 8D Tracker&amp;R&amp;8&amp;A</oddHeader>
    <oddFooter>&amp;L&amp;8mfgcalcs.com - free manufacturing templates&amp;R&amp;8Page &amp;P of &amp;N</oddFooter>
  </headerFooter>
  <rowBreaks count="1" manualBreakCount="1">
    <brk id="22"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AA4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7109375" customWidth="1"/>
    <col min="3" max="3" width="11.7109375" customWidth="1"/>
    <col min="4" max="4" width="15.7109375" customWidth="1"/>
    <col min="5" max="5" width="11.28515625" customWidth="1"/>
    <col min="6" max="6" width="9.28515625" customWidth="1"/>
    <col min="7" max="7" width="17.7109375" customWidth="1"/>
    <col min="8" max="8" width="44.7109375" customWidth="1"/>
    <col min="9" max="9" width="12.28515625" customWidth="1"/>
    <col min="10" max="11" width="11.7109375" customWidth="1"/>
    <col min="12" max="13" width="12.28515625" customWidth="1"/>
    <col min="14" max="14" width="11.7109375" customWidth="1"/>
    <col min="15" max="15" width="12.7109375" customWidth="1"/>
    <col min="16" max="16" width="11.7109375" customWidth="1"/>
    <col min="17" max="17" width="10.7109375" customWidth="1"/>
    <col min="18" max="18" width="10.28515625" customWidth="1"/>
    <col min="19" max="19" width="11.7109375" customWidth="1"/>
    <col min="20" max="20" width="19.7109375" customWidth="1"/>
    <col min="21" max="21" width="9.28515625" customWidth="1"/>
    <col min="22" max="22" width="11.28515625" customWidth="1"/>
    <col min="23" max="23" width="12.28515625" customWidth="1"/>
    <col min="24" max="24" width="8.7109375" customWidth="1"/>
    <col min="25" max="25" width="7.7109375" customWidth="1"/>
    <col min="26" max="26" width="26.7109375" customWidth="1"/>
    <col min="27" max="27" width="38.7109375" customWidth="1"/>
  </cols>
  <sheetData>
    <row r="1" spans="1:27" ht="3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21" customHeight="1">
      <c r="B2" s="2" t="s">
        <v>22</v>
      </c>
      <c r="C2" s="2"/>
      <c r="D2" s="2"/>
      <c r="E2" s="2"/>
      <c r="F2" s="2"/>
      <c r="G2" s="2"/>
      <c r="H2" s="2"/>
      <c r="I2" s="2"/>
      <c r="J2" s="2"/>
      <c r="K2" s="2"/>
      <c r="L2" s="2"/>
      <c r="M2" s="2"/>
      <c r="N2" s="2"/>
      <c r="O2" s="2"/>
      <c r="P2" s="2"/>
      <c r="Q2" s="2"/>
      <c r="R2" s="2"/>
      <c r="S2" s="2"/>
      <c r="T2" s="2"/>
      <c r="U2" s="2"/>
      <c r="V2" s="2"/>
      <c r="W2" s="2"/>
      <c r="X2" s="2"/>
      <c r="Y2" s="2"/>
      <c r="Z2" s="2"/>
      <c r="AA2" s="3" t="s">
        <v>2</v>
      </c>
    </row>
    <row r="3" spans="1:27" ht="6" customHeight="1"/>
    <row r="4" spans="1:27" ht="18" customHeight="1">
      <c r="B4" s="34" t="s">
        <v>131</v>
      </c>
      <c r="C4" s="34"/>
      <c r="D4" s="34"/>
      <c r="E4" s="34"/>
      <c r="F4" s="34"/>
      <c r="G4" s="34"/>
      <c r="H4" s="34"/>
      <c r="I4" s="34"/>
      <c r="J4" s="34"/>
      <c r="K4" s="34"/>
      <c r="L4" s="34"/>
      <c r="M4" s="34"/>
      <c r="N4" s="34"/>
      <c r="O4" s="34"/>
      <c r="P4" s="34"/>
      <c r="Q4" s="34"/>
      <c r="R4" s="34"/>
      <c r="S4" s="34"/>
      <c r="T4" s="34"/>
      <c r="U4" s="34"/>
      <c r="V4" s="34"/>
      <c r="W4" s="34"/>
      <c r="X4" s="34"/>
      <c r="Y4" s="34"/>
      <c r="Z4" s="34"/>
      <c r="AA4" s="34"/>
    </row>
    <row r="5" spans="1:27" ht="32" customHeight="1">
      <c r="B5" s="33" t="s">
        <v>110</v>
      </c>
      <c r="C5" s="33" t="s">
        <v>111</v>
      </c>
      <c r="D5" s="33" t="s">
        <v>66</v>
      </c>
      <c r="E5" s="33" t="s">
        <v>112</v>
      </c>
      <c r="F5" s="33" t="s">
        <v>62</v>
      </c>
      <c r="G5" s="33" t="s">
        <v>113</v>
      </c>
      <c r="H5" s="33" t="s">
        <v>114</v>
      </c>
      <c r="I5" s="33" t="s">
        <v>68</v>
      </c>
      <c r="J5" s="33" t="s">
        <v>115</v>
      </c>
      <c r="K5" s="33" t="s">
        <v>116</v>
      </c>
      <c r="L5" s="33" t="s">
        <v>117</v>
      </c>
      <c r="M5" s="33" t="s">
        <v>118</v>
      </c>
      <c r="N5" s="33" t="s">
        <v>119</v>
      </c>
      <c r="O5" s="33" t="s">
        <v>120</v>
      </c>
      <c r="P5" s="33" t="s">
        <v>121</v>
      </c>
      <c r="Q5" s="33" t="s">
        <v>63</v>
      </c>
      <c r="R5" s="33" t="s">
        <v>64</v>
      </c>
      <c r="S5" s="33" t="s">
        <v>122</v>
      </c>
      <c r="T5" s="33" t="s">
        <v>123</v>
      </c>
      <c r="U5" s="33" t="s">
        <v>124</v>
      </c>
      <c r="V5" s="33" t="s">
        <v>125</v>
      </c>
      <c r="W5" s="33" t="s">
        <v>126</v>
      </c>
      <c r="X5" s="33" t="s">
        <v>127</v>
      </c>
      <c r="Y5" s="33" t="s">
        <v>128</v>
      </c>
      <c r="Z5" s="33" t="s">
        <v>129</v>
      </c>
      <c r="AA5" s="33" t="s">
        <v>130</v>
      </c>
    </row>
    <row r="6" spans="1:27">
      <c r="B6" s="28" t="s">
        <v>132</v>
      </c>
      <c r="C6" s="29">
        <v>45968</v>
      </c>
      <c r="D6" s="28" t="s">
        <v>89</v>
      </c>
      <c r="E6" s="28" t="s">
        <v>133</v>
      </c>
      <c r="F6" s="28" t="s">
        <v>84</v>
      </c>
      <c r="G6" s="28" t="s">
        <v>134</v>
      </c>
      <c r="H6" s="35" t="s">
        <v>135</v>
      </c>
      <c r="I6" s="28" t="s">
        <v>102</v>
      </c>
      <c r="J6" s="29">
        <v>45973</v>
      </c>
      <c r="K6" s="29">
        <v>46002</v>
      </c>
      <c r="L6" s="29">
        <v>46023</v>
      </c>
      <c r="M6" s="29">
        <v>46037</v>
      </c>
      <c r="N6" s="29">
        <v>46049</v>
      </c>
      <c r="O6" s="28" t="s">
        <v>136</v>
      </c>
      <c r="P6" s="29">
        <v>46100</v>
      </c>
      <c r="Q6" s="36">
        <f>IF(tblCapas[[#This Row],[Opened]]="","",IFERROR(INDEX(tblPriorities[Contain within (days)],MATCH(tblCapas[[#This Row],[Priority]],tblPriorities[Priority],0)),""))</f>
        <v>3</v>
      </c>
      <c r="R6" s="36">
        <f>IF(tblCapas[[#This Row],[Opened]]="","",IFERROR(INDEX(tblPriorities[Close within (days)],MATCH(tblCapas[[#This Row],[Priority]],tblPriorities[Priority],0)),""))</f>
        <v>60</v>
      </c>
      <c r="S6" s="37">
        <f>IF(tblCapas[[#This Row],[Opened]]="","",IF(tblCapas[[#This Row],[Close within (days)]]="","",tblCapas[[#This Row],[Opened]]+tblCapas[[#This Row],[Close within (days)]]))</f>
        <v>46028</v>
      </c>
      <c r="T6"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6" s="36">
        <f>IF(tblCapas[[#This Row],[Opened]]="","",IF(N(tblCapas[[#This Row],[Closed]])&gt;0,tblCapas[[#This Row],[Closed]],AsOf)-tblCapas[[#This Row],[Opened]])</f>
        <v>81</v>
      </c>
      <c r="V6" s="39" t="str">
        <f>IF(tblCapas[[#This Row],[Opened]]="","",IF(tblCapas[[#This Row],[Contain within (days)]]="","",IF(N(tblCapas[[#This Row],[Contained]])&gt;0,IF(tblCapas[[#This Row],[Contained]]-tblCapas[[#This Row],[Opened]]&lt;=tblCapas[[#This Row],[Contain within (days)]],"Yes","No"),IF(AsOf-tblCapas[[#This Row],[Opened]]&gt;tblCapas[[#This Row],[Contain within (days)]],"No",""))))</f>
        <v>No</v>
      </c>
      <c r="W6" s="39" t="str">
        <f>IF(tblCapas[[#This Row],[Opened]]="","",IF(N(tblCapas[[#This Row],[Closed]])&gt;0,"Complete",IF(tblCapas[[#This Row],[Due]]="","Check",IF(tblCapas[[#This Row],[Due]]&lt;AsOf,"Overdue",IF(tblCapas[[#This Row],[Due]]-AsOf&lt;=DueSoonDays,"Due soon","In progress")))))</f>
        <v>Complete</v>
      </c>
      <c r="X6" s="39" t="str">
        <f>IF(tblCapas[[#This Row],[Opened]]="","",IF(N(tblCapas[[#This Row],[Closed]])=0,"",IF(tblCapas[[#This Row],[Due]]="","",IF(tblCapas[[#This Row],[Closed]]&lt;=tblCapas[[#This Row],[Due]],"Yes","No"))))</f>
        <v>No</v>
      </c>
      <c r="Y6" s="36">
        <f>IF(tblCapas[[#This Row],[Opened]]="","",IF(AND(OR(DashSource="",tblCapas[[#This Row],[Source]]=DashSource),OR(DashOwner="",tblCapas[[#This Row],[Owner]]=DashOwner)),1,0))</f>
        <v>1</v>
      </c>
      <c r="Z6"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6" s="35" t="s">
        <v>137</v>
      </c>
    </row>
    <row r="7" spans="1:27">
      <c r="B7" s="28" t="s">
        <v>138</v>
      </c>
      <c r="C7" s="29">
        <v>45978</v>
      </c>
      <c r="D7" s="28" t="s">
        <v>91</v>
      </c>
      <c r="E7" s="28" t="s">
        <v>133</v>
      </c>
      <c r="F7" s="28" t="s">
        <v>82</v>
      </c>
      <c r="G7" s="28" t="s">
        <v>134</v>
      </c>
      <c r="H7" s="35" t="s">
        <v>139</v>
      </c>
      <c r="I7" s="28" t="s">
        <v>102</v>
      </c>
      <c r="J7" s="29">
        <v>45978</v>
      </c>
      <c r="K7" s="29">
        <v>45989</v>
      </c>
      <c r="L7" s="29">
        <v>46007</v>
      </c>
      <c r="M7" s="29">
        <v>46019</v>
      </c>
      <c r="N7" s="29">
        <v>46025</v>
      </c>
      <c r="O7" s="28" t="s">
        <v>140</v>
      </c>
      <c r="P7" s="29">
        <v>46057</v>
      </c>
      <c r="Q7" s="36">
        <f>IF(tblCapas[[#This Row],[Opened]]="","",IFERROR(INDEX(tblPriorities[Contain within (days)],MATCH(tblCapas[[#This Row],[Priority]],tblPriorities[Priority],0)),""))</f>
        <v>1</v>
      </c>
      <c r="R7" s="36">
        <f>IF(tblCapas[[#This Row],[Opened]]="","",IFERROR(INDEX(tblPriorities[Close within (days)],MATCH(tblCapas[[#This Row],[Priority]],tblPriorities[Priority],0)),""))</f>
        <v>30</v>
      </c>
      <c r="S7" s="37">
        <f>IF(tblCapas[[#This Row],[Opened]]="","",IF(tblCapas[[#This Row],[Close within (days)]]="","",tblCapas[[#This Row],[Opened]]+tblCapas[[#This Row],[Close within (days)]]))</f>
        <v>46008</v>
      </c>
      <c r="T7"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7" s="36">
        <f>IF(tblCapas[[#This Row],[Opened]]="","",IF(N(tblCapas[[#This Row],[Closed]])&gt;0,tblCapas[[#This Row],[Closed]],AsOf)-tblCapas[[#This Row],[Opened]])</f>
        <v>47</v>
      </c>
      <c r="V7" s="39" t="str">
        <f>IF(tblCapas[[#This Row],[Opened]]="","",IF(tblCapas[[#This Row],[Contain within (days)]]="","",IF(N(tblCapas[[#This Row],[Contained]])&gt;0,IF(tblCapas[[#This Row],[Contained]]-tblCapas[[#This Row],[Opened]]&lt;=tblCapas[[#This Row],[Contain within (days)]],"Yes","No"),IF(AsOf-tblCapas[[#This Row],[Opened]]&gt;tblCapas[[#This Row],[Contain within (days)]],"No",""))))</f>
        <v>Yes</v>
      </c>
      <c r="W7" s="39" t="str">
        <f>IF(tblCapas[[#This Row],[Opened]]="","",IF(N(tblCapas[[#This Row],[Closed]])&gt;0,"Complete",IF(tblCapas[[#This Row],[Due]]="","Check",IF(tblCapas[[#This Row],[Due]]&lt;AsOf,"Overdue",IF(tblCapas[[#This Row],[Due]]-AsOf&lt;=DueSoonDays,"Due soon","In progress")))))</f>
        <v>Complete</v>
      </c>
      <c r="X7" s="39" t="str">
        <f>IF(tblCapas[[#This Row],[Opened]]="","",IF(N(tblCapas[[#This Row],[Closed]])=0,"",IF(tblCapas[[#This Row],[Due]]="","",IF(tblCapas[[#This Row],[Closed]]&lt;=tblCapas[[#This Row],[Due]],"Yes","No"))))</f>
        <v>No</v>
      </c>
      <c r="Y7" s="36">
        <f>IF(tblCapas[[#This Row],[Opened]]="","",IF(AND(OR(DashSource="",tblCapas[[#This Row],[Source]]=DashSource),OR(DashOwner="",tblCapas[[#This Row],[Owner]]=DashOwner)),1,0))</f>
        <v>1</v>
      </c>
      <c r="Z7"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7" s="35" t="s">
        <v>141</v>
      </c>
    </row>
    <row r="8" spans="1:27">
      <c r="B8" s="28" t="s">
        <v>142</v>
      </c>
      <c r="C8" s="29">
        <v>45985</v>
      </c>
      <c r="D8" s="28" t="s">
        <v>95</v>
      </c>
      <c r="E8" s="28" t="s">
        <v>133</v>
      </c>
      <c r="F8" s="28" t="s">
        <v>84</v>
      </c>
      <c r="G8" s="28" t="s">
        <v>143</v>
      </c>
      <c r="H8" s="35" t="s">
        <v>144</v>
      </c>
      <c r="I8" s="28" t="s">
        <v>104</v>
      </c>
      <c r="J8" s="29">
        <v>45988</v>
      </c>
      <c r="K8" s="29">
        <v>46003</v>
      </c>
      <c r="L8" s="29">
        <v>46022</v>
      </c>
      <c r="M8" s="29">
        <v>46029</v>
      </c>
      <c r="N8" s="29">
        <v>46037</v>
      </c>
      <c r="O8" s="28" t="s">
        <v>140</v>
      </c>
      <c r="P8" s="29">
        <v>46078</v>
      </c>
      <c r="Q8" s="36">
        <f>IF(tblCapas[[#This Row],[Opened]]="","",IFERROR(INDEX(tblPriorities[Contain within (days)],MATCH(tblCapas[[#This Row],[Priority]],tblPriorities[Priority],0)),""))</f>
        <v>3</v>
      </c>
      <c r="R8" s="36">
        <f>IF(tblCapas[[#This Row],[Opened]]="","",IFERROR(INDEX(tblPriorities[Close within (days)],MATCH(tblCapas[[#This Row],[Priority]],tblPriorities[Priority],0)),""))</f>
        <v>60</v>
      </c>
      <c r="S8" s="37">
        <f>IF(tblCapas[[#This Row],[Opened]]="","",IF(tblCapas[[#This Row],[Close within (days)]]="","",tblCapas[[#This Row],[Opened]]+tblCapas[[#This Row],[Close within (days)]]))</f>
        <v>46045</v>
      </c>
      <c r="T8"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8" s="36">
        <f>IF(tblCapas[[#This Row],[Opened]]="","",IF(N(tblCapas[[#This Row],[Closed]])&gt;0,tblCapas[[#This Row],[Closed]],AsOf)-tblCapas[[#This Row],[Opened]])</f>
        <v>52</v>
      </c>
      <c r="V8" s="39" t="str">
        <f>IF(tblCapas[[#This Row],[Opened]]="","",IF(tblCapas[[#This Row],[Contain within (days)]]="","",IF(N(tblCapas[[#This Row],[Contained]])&gt;0,IF(tblCapas[[#This Row],[Contained]]-tblCapas[[#This Row],[Opened]]&lt;=tblCapas[[#This Row],[Contain within (days)]],"Yes","No"),IF(AsOf-tblCapas[[#This Row],[Opened]]&gt;tblCapas[[#This Row],[Contain within (days)]],"No",""))))</f>
        <v>Yes</v>
      </c>
      <c r="W8" s="39" t="str">
        <f>IF(tblCapas[[#This Row],[Opened]]="","",IF(N(tblCapas[[#This Row],[Closed]])&gt;0,"Complete",IF(tblCapas[[#This Row],[Due]]="","Check",IF(tblCapas[[#This Row],[Due]]&lt;AsOf,"Overdue",IF(tblCapas[[#This Row],[Due]]-AsOf&lt;=DueSoonDays,"Due soon","In progress")))))</f>
        <v>Complete</v>
      </c>
      <c r="X8" s="39" t="str">
        <f>IF(tblCapas[[#This Row],[Opened]]="","",IF(N(tblCapas[[#This Row],[Closed]])=0,"",IF(tblCapas[[#This Row],[Due]]="","",IF(tblCapas[[#This Row],[Closed]]&lt;=tblCapas[[#This Row],[Due]],"Yes","No"))))</f>
        <v>Yes</v>
      </c>
      <c r="Y8" s="36">
        <f>IF(tblCapas[[#This Row],[Opened]]="","",IF(AND(OR(DashSource="",tblCapas[[#This Row],[Source]]=DashSource),OR(DashOwner="",tblCapas[[#This Row],[Owner]]=DashOwner)),1,0))</f>
        <v>1</v>
      </c>
      <c r="Z8"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8" s="35" t="s">
        <v>137</v>
      </c>
    </row>
    <row r="9" spans="1:27">
      <c r="B9" s="28" t="s">
        <v>145</v>
      </c>
      <c r="C9" s="29">
        <v>45987</v>
      </c>
      <c r="D9" s="28" t="s">
        <v>91</v>
      </c>
      <c r="E9" s="28" t="s">
        <v>133</v>
      </c>
      <c r="F9" s="28" t="s">
        <v>84</v>
      </c>
      <c r="G9" s="28" t="s">
        <v>146</v>
      </c>
      <c r="H9" s="35" t="s">
        <v>147</v>
      </c>
      <c r="I9" s="28" t="s">
        <v>106</v>
      </c>
      <c r="J9" s="29">
        <v>45987</v>
      </c>
      <c r="K9" s="29">
        <v>45995</v>
      </c>
      <c r="L9" s="29">
        <v>46004</v>
      </c>
      <c r="M9" s="29">
        <v>46011</v>
      </c>
      <c r="N9" s="29">
        <v>46016</v>
      </c>
      <c r="O9" s="28" t="s">
        <v>140</v>
      </c>
      <c r="P9" s="29">
        <v>46061</v>
      </c>
      <c r="Q9" s="36">
        <f>IF(tblCapas[[#This Row],[Opened]]="","",IFERROR(INDEX(tblPriorities[Contain within (days)],MATCH(tblCapas[[#This Row],[Priority]],tblPriorities[Priority],0)),""))</f>
        <v>3</v>
      </c>
      <c r="R9" s="36">
        <f>IF(tblCapas[[#This Row],[Opened]]="","",IFERROR(INDEX(tblPriorities[Close within (days)],MATCH(tblCapas[[#This Row],[Priority]],tblPriorities[Priority],0)),""))</f>
        <v>60</v>
      </c>
      <c r="S9" s="37">
        <f>IF(tblCapas[[#This Row],[Opened]]="","",IF(tblCapas[[#This Row],[Close within (days)]]="","",tblCapas[[#This Row],[Opened]]+tblCapas[[#This Row],[Close within (days)]]))</f>
        <v>46047</v>
      </c>
      <c r="T9"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9" s="36">
        <f>IF(tblCapas[[#This Row],[Opened]]="","",IF(N(tblCapas[[#This Row],[Closed]])&gt;0,tblCapas[[#This Row],[Closed]],AsOf)-tblCapas[[#This Row],[Opened]])</f>
        <v>29</v>
      </c>
      <c r="V9" s="39" t="str">
        <f>IF(tblCapas[[#This Row],[Opened]]="","",IF(tblCapas[[#This Row],[Contain within (days)]]="","",IF(N(tblCapas[[#This Row],[Contained]])&gt;0,IF(tblCapas[[#This Row],[Contained]]-tblCapas[[#This Row],[Opened]]&lt;=tblCapas[[#This Row],[Contain within (days)]],"Yes","No"),IF(AsOf-tblCapas[[#This Row],[Opened]]&gt;tblCapas[[#This Row],[Contain within (days)]],"No",""))))</f>
        <v>Yes</v>
      </c>
      <c r="W9" s="39" t="str">
        <f>IF(tblCapas[[#This Row],[Opened]]="","",IF(N(tblCapas[[#This Row],[Closed]])&gt;0,"Complete",IF(tblCapas[[#This Row],[Due]]="","Check",IF(tblCapas[[#This Row],[Due]]&lt;AsOf,"Overdue",IF(tblCapas[[#This Row],[Due]]-AsOf&lt;=DueSoonDays,"Due soon","In progress")))))</f>
        <v>Complete</v>
      </c>
      <c r="X9" s="39" t="str">
        <f>IF(tblCapas[[#This Row],[Opened]]="","",IF(N(tblCapas[[#This Row],[Closed]])=0,"",IF(tblCapas[[#This Row],[Due]]="","",IF(tblCapas[[#This Row],[Closed]]&lt;=tblCapas[[#This Row],[Due]],"Yes","No"))))</f>
        <v>Yes</v>
      </c>
      <c r="Y9" s="36">
        <f>IF(tblCapas[[#This Row],[Opened]]="","",IF(AND(OR(DashSource="",tblCapas[[#This Row],[Source]]=DashSource),OR(DashOwner="",tblCapas[[#This Row],[Owner]]=DashOwner)),1,0))</f>
        <v>1</v>
      </c>
      <c r="Z9"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9" s="35" t="s">
        <v>137</v>
      </c>
    </row>
    <row r="10" spans="1:27">
      <c r="B10" s="28" t="s">
        <v>148</v>
      </c>
      <c r="C10" s="29">
        <v>45995</v>
      </c>
      <c r="D10" s="28" t="s">
        <v>93</v>
      </c>
      <c r="E10" s="28" t="s">
        <v>133</v>
      </c>
      <c r="F10" s="28" t="s">
        <v>84</v>
      </c>
      <c r="G10" s="28" t="s">
        <v>149</v>
      </c>
      <c r="H10" s="35" t="s">
        <v>150</v>
      </c>
      <c r="I10" s="28" t="s">
        <v>108</v>
      </c>
      <c r="J10" s="29">
        <v>45998</v>
      </c>
      <c r="K10" s="29">
        <v>46016</v>
      </c>
      <c r="L10" s="29">
        <v>46030</v>
      </c>
      <c r="M10" s="29">
        <v>46041</v>
      </c>
      <c r="N10" s="29">
        <v>46046</v>
      </c>
      <c r="O10" s="28" t="s">
        <v>140</v>
      </c>
      <c r="P10" s="29">
        <v>46092</v>
      </c>
      <c r="Q10" s="36">
        <f>IF(tblCapas[[#This Row],[Opened]]="","",IFERROR(INDEX(tblPriorities[Contain within (days)],MATCH(tblCapas[[#This Row],[Priority]],tblPriorities[Priority],0)),""))</f>
        <v>3</v>
      </c>
      <c r="R10" s="36">
        <f>IF(tblCapas[[#This Row],[Opened]]="","",IFERROR(INDEX(tblPriorities[Close within (days)],MATCH(tblCapas[[#This Row],[Priority]],tblPriorities[Priority],0)),""))</f>
        <v>60</v>
      </c>
      <c r="S10" s="37">
        <f>IF(tblCapas[[#This Row],[Opened]]="","",IF(tblCapas[[#This Row],[Close within (days)]]="","",tblCapas[[#This Row],[Opened]]+tblCapas[[#This Row],[Close within (days)]]))</f>
        <v>46055</v>
      </c>
      <c r="T10"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0" s="36">
        <f>IF(tblCapas[[#This Row],[Opened]]="","",IF(N(tblCapas[[#This Row],[Closed]])&gt;0,tblCapas[[#This Row],[Closed]],AsOf)-tblCapas[[#This Row],[Opened]])</f>
        <v>51</v>
      </c>
      <c r="V10" s="39" t="str">
        <f>IF(tblCapas[[#This Row],[Opened]]="","",IF(tblCapas[[#This Row],[Contain within (days)]]="","",IF(N(tblCapas[[#This Row],[Contained]])&gt;0,IF(tblCapas[[#This Row],[Contained]]-tblCapas[[#This Row],[Opened]]&lt;=tblCapas[[#This Row],[Contain within (days)]],"Yes","No"),IF(AsOf-tblCapas[[#This Row],[Opened]]&gt;tblCapas[[#This Row],[Contain within (days)]],"No",""))))</f>
        <v>Yes</v>
      </c>
      <c r="W10" s="39" t="str">
        <f>IF(tblCapas[[#This Row],[Opened]]="","",IF(N(tblCapas[[#This Row],[Closed]])&gt;0,"Complete",IF(tblCapas[[#This Row],[Due]]="","Check",IF(tblCapas[[#This Row],[Due]]&lt;AsOf,"Overdue",IF(tblCapas[[#This Row],[Due]]-AsOf&lt;=DueSoonDays,"Due soon","In progress")))))</f>
        <v>Complete</v>
      </c>
      <c r="X10" s="39" t="str">
        <f>IF(tblCapas[[#This Row],[Opened]]="","",IF(N(tblCapas[[#This Row],[Closed]])=0,"",IF(tblCapas[[#This Row],[Due]]="","",IF(tblCapas[[#This Row],[Closed]]&lt;=tblCapas[[#This Row],[Due]],"Yes","No"))))</f>
        <v>Yes</v>
      </c>
      <c r="Y10" s="36">
        <f>IF(tblCapas[[#This Row],[Opened]]="","",IF(AND(OR(DashSource="",tblCapas[[#This Row],[Source]]=DashSource),OR(DashOwner="",tblCapas[[#This Row],[Owner]]=DashOwner)),1,0))</f>
        <v>1</v>
      </c>
      <c r="Z10"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0" s="35" t="s">
        <v>151</v>
      </c>
    </row>
    <row r="11" spans="1:27">
      <c r="B11" s="28" t="s">
        <v>152</v>
      </c>
      <c r="C11" s="29">
        <v>46006</v>
      </c>
      <c r="D11" s="28" t="s">
        <v>95</v>
      </c>
      <c r="E11" s="28" t="s">
        <v>133</v>
      </c>
      <c r="F11" s="28" t="s">
        <v>84</v>
      </c>
      <c r="G11" s="28" t="s">
        <v>153</v>
      </c>
      <c r="H11" s="35" t="s">
        <v>154</v>
      </c>
      <c r="I11" s="28" t="s">
        <v>104</v>
      </c>
      <c r="J11" s="29">
        <v>46007</v>
      </c>
      <c r="K11" s="29">
        <v>46028</v>
      </c>
      <c r="L11" s="29">
        <v>46050</v>
      </c>
      <c r="M11" s="29">
        <v>46061</v>
      </c>
      <c r="N11" s="29">
        <v>46067</v>
      </c>
      <c r="O11" s="28" t="s">
        <v>140</v>
      </c>
      <c r="P11" s="29">
        <v>46112</v>
      </c>
      <c r="Q11" s="36">
        <f>IF(tblCapas[[#This Row],[Opened]]="","",IFERROR(INDEX(tblPriorities[Contain within (days)],MATCH(tblCapas[[#This Row],[Priority]],tblPriorities[Priority],0)),""))</f>
        <v>3</v>
      </c>
      <c r="R11" s="36">
        <f>IF(tblCapas[[#This Row],[Opened]]="","",IFERROR(INDEX(tblPriorities[Close within (days)],MATCH(tblCapas[[#This Row],[Priority]],tblPriorities[Priority],0)),""))</f>
        <v>60</v>
      </c>
      <c r="S11" s="37">
        <f>IF(tblCapas[[#This Row],[Opened]]="","",IF(tblCapas[[#This Row],[Close within (days)]]="","",tblCapas[[#This Row],[Opened]]+tblCapas[[#This Row],[Close within (days)]]))</f>
        <v>46066</v>
      </c>
      <c r="T11"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1" s="36">
        <f>IF(tblCapas[[#This Row],[Opened]]="","",IF(N(tblCapas[[#This Row],[Closed]])&gt;0,tblCapas[[#This Row],[Closed]],AsOf)-tblCapas[[#This Row],[Opened]])</f>
        <v>61</v>
      </c>
      <c r="V11" s="39" t="str">
        <f>IF(tblCapas[[#This Row],[Opened]]="","",IF(tblCapas[[#This Row],[Contain within (days)]]="","",IF(N(tblCapas[[#This Row],[Contained]])&gt;0,IF(tblCapas[[#This Row],[Contained]]-tblCapas[[#This Row],[Opened]]&lt;=tblCapas[[#This Row],[Contain within (days)]],"Yes","No"),IF(AsOf-tblCapas[[#This Row],[Opened]]&gt;tblCapas[[#This Row],[Contain within (days)]],"No",""))))</f>
        <v>Yes</v>
      </c>
      <c r="W11" s="39" t="str">
        <f>IF(tblCapas[[#This Row],[Opened]]="","",IF(N(tblCapas[[#This Row],[Closed]])&gt;0,"Complete",IF(tblCapas[[#This Row],[Due]]="","Check",IF(tblCapas[[#This Row],[Due]]&lt;AsOf,"Overdue",IF(tblCapas[[#This Row],[Due]]-AsOf&lt;=DueSoonDays,"Due soon","In progress")))))</f>
        <v>Complete</v>
      </c>
      <c r="X11" s="39" t="str">
        <f>IF(tblCapas[[#This Row],[Opened]]="","",IF(N(tblCapas[[#This Row],[Closed]])=0,"",IF(tblCapas[[#This Row],[Due]]="","",IF(tblCapas[[#This Row],[Closed]]&lt;=tblCapas[[#This Row],[Due]],"Yes","No"))))</f>
        <v>No</v>
      </c>
      <c r="Y11" s="36">
        <f>IF(tblCapas[[#This Row],[Opened]]="","",IF(AND(OR(DashSource="",tblCapas[[#This Row],[Source]]=DashSource),OR(DashOwner="",tblCapas[[#This Row],[Owner]]=DashOwner)),1,0))</f>
        <v>1</v>
      </c>
      <c r="Z11"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1" s="35" t="s">
        <v>151</v>
      </c>
    </row>
    <row r="12" spans="1:27">
      <c r="B12" s="28" t="s">
        <v>155</v>
      </c>
      <c r="C12" s="29">
        <v>46013</v>
      </c>
      <c r="D12" s="28" t="s">
        <v>95</v>
      </c>
      <c r="E12" s="28" t="s">
        <v>133</v>
      </c>
      <c r="F12" s="28" t="s">
        <v>84</v>
      </c>
      <c r="G12" s="28" t="s">
        <v>143</v>
      </c>
      <c r="H12" s="35" t="s">
        <v>144</v>
      </c>
      <c r="I12" s="28" t="s">
        <v>104</v>
      </c>
      <c r="J12" s="29">
        <v>46013</v>
      </c>
      <c r="K12" s="29">
        <v>46034</v>
      </c>
      <c r="L12" s="29">
        <v>46065</v>
      </c>
      <c r="M12" s="29">
        <v>46076</v>
      </c>
      <c r="N12" s="29">
        <v>46082</v>
      </c>
      <c r="O12" s="28" t="s">
        <v>140</v>
      </c>
      <c r="P12" s="29">
        <v>46136</v>
      </c>
      <c r="Q12" s="36">
        <f>IF(tblCapas[[#This Row],[Opened]]="","",IFERROR(INDEX(tblPriorities[Contain within (days)],MATCH(tblCapas[[#This Row],[Priority]],tblPriorities[Priority],0)),""))</f>
        <v>3</v>
      </c>
      <c r="R12" s="36">
        <f>IF(tblCapas[[#This Row],[Opened]]="","",IFERROR(INDEX(tblPriorities[Close within (days)],MATCH(tblCapas[[#This Row],[Priority]],tblPriorities[Priority],0)),""))</f>
        <v>60</v>
      </c>
      <c r="S12" s="37">
        <f>IF(tblCapas[[#This Row],[Opened]]="","",IF(tblCapas[[#This Row],[Close within (days)]]="","",tblCapas[[#This Row],[Opened]]+tblCapas[[#This Row],[Close within (days)]]))</f>
        <v>46073</v>
      </c>
      <c r="T12"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2" s="36">
        <f>IF(tblCapas[[#This Row],[Opened]]="","",IF(N(tblCapas[[#This Row],[Closed]])&gt;0,tblCapas[[#This Row],[Closed]],AsOf)-tblCapas[[#This Row],[Opened]])</f>
        <v>69</v>
      </c>
      <c r="V12" s="39" t="str">
        <f>IF(tblCapas[[#This Row],[Opened]]="","",IF(tblCapas[[#This Row],[Contain within (days)]]="","",IF(N(tblCapas[[#This Row],[Contained]])&gt;0,IF(tblCapas[[#This Row],[Contained]]-tblCapas[[#This Row],[Opened]]&lt;=tblCapas[[#This Row],[Contain within (days)]],"Yes","No"),IF(AsOf-tblCapas[[#This Row],[Opened]]&gt;tblCapas[[#This Row],[Contain within (days)]],"No",""))))</f>
        <v>Yes</v>
      </c>
      <c r="W12" s="39" t="str">
        <f>IF(tblCapas[[#This Row],[Opened]]="","",IF(N(tblCapas[[#This Row],[Closed]])&gt;0,"Complete",IF(tblCapas[[#This Row],[Due]]="","Check",IF(tblCapas[[#This Row],[Due]]&lt;AsOf,"Overdue",IF(tblCapas[[#This Row],[Due]]-AsOf&lt;=DueSoonDays,"Due soon","In progress")))))</f>
        <v>Complete</v>
      </c>
      <c r="X12" s="39" t="str">
        <f>IF(tblCapas[[#This Row],[Opened]]="","",IF(N(tblCapas[[#This Row],[Closed]])=0,"",IF(tblCapas[[#This Row],[Due]]="","",IF(tblCapas[[#This Row],[Closed]]&lt;=tblCapas[[#This Row],[Due]],"Yes","No"))))</f>
        <v>No</v>
      </c>
      <c r="Y12" s="36">
        <f>IF(tblCapas[[#This Row],[Opened]]="","",IF(AND(OR(DashSource="",tblCapas[[#This Row],[Source]]=DashSource),OR(DashOwner="",tblCapas[[#This Row],[Owner]]=DashOwner)),1,0))</f>
        <v>1</v>
      </c>
      <c r="Z12"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2" s="35" t="s">
        <v>156</v>
      </c>
    </row>
    <row r="13" spans="1:27">
      <c r="B13" s="28" t="s">
        <v>157</v>
      </c>
      <c r="C13" s="29">
        <v>46022</v>
      </c>
      <c r="D13" s="28" t="s">
        <v>95</v>
      </c>
      <c r="E13" s="28" t="s">
        <v>133</v>
      </c>
      <c r="F13" s="28" t="s">
        <v>84</v>
      </c>
      <c r="G13" s="28" t="s">
        <v>153</v>
      </c>
      <c r="H13" s="35" t="s">
        <v>154</v>
      </c>
      <c r="I13" s="28" t="s">
        <v>104</v>
      </c>
      <c r="J13" s="29">
        <v>46023</v>
      </c>
      <c r="K13" s="29">
        <v>46033</v>
      </c>
      <c r="L13" s="29">
        <v>46050</v>
      </c>
      <c r="M13" s="29">
        <v>46062</v>
      </c>
      <c r="N13" s="29">
        <v>46067</v>
      </c>
      <c r="O13" s="28" t="s">
        <v>140</v>
      </c>
      <c r="P13" s="29">
        <v>46113</v>
      </c>
      <c r="Q13" s="36">
        <f>IF(tblCapas[[#This Row],[Opened]]="","",IFERROR(INDEX(tblPriorities[Contain within (days)],MATCH(tblCapas[[#This Row],[Priority]],tblPriorities[Priority],0)),""))</f>
        <v>3</v>
      </c>
      <c r="R13" s="36">
        <f>IF(tblCapas[[#This Row],[Opened]]="","",IFERROR(INDEX(tblPriorities[Close within (days)],MATCH(tblCapas[[#This Row],[Priority]],tblPriorities[Priority],0)),""))</f>
        <v>60</v>
      </c>
      <c r="S13" s="37">
        <f>IF(tblCapas[[#This Row],[Opened]]="","",IF(tblCapas[[#This Row],[Close within (days)]]="","",tblCapas[[#This Row],[Opened]]+tblCapas[[#This Row],[Close within (days)]]))</f>
        <v>46082</v>
      </c>
      <c r="T13"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3" s="36">
        <f>IF(tblCapas[[#This Row],[Opened]]="","",IF(N(tblCapas[[#This Row],[Closed]])&gt;0,tblCapas[[#This Row],[Closed]],AsOf)-tblCapas[[#This Row],[Opened]])</f>
        <v>45</v>
      </c>
      <c r="V13" s="39" t="str">
        <f>IF(tblCapas[[#This Row],[Opened]]="","",IF(tblCapas[[#This Row],[Contain within (days)]]="","",IF(N(tblCapas[[#This Row],[Contained]])&gt;0,IF(tblCapas[[#This Row],[Contained]]-tblCapas[[#This Row],[Opened]]&lt;=tblCapas[[#This Row],[Contain within (days)]],"Yes","No"),IF(AsOf-tblCapas[[#This Row],[Opened]]&gt;tblCapas[[#This Row],[Contain within (days)]],"No",""))))</f>
        <v>Yes</v>
      </c>
      <c r="W13" s="39" t="str">
        <f>IF(tblCapas[[#This Row],[Opened]]="","",IF(N(tblCapas[[#This Row],[Closed]])&gt;0,"Complete",IF(tblCapas[[#This Row],[Due]]="","Check",IF(tblCapas[[#This Row],[Due]]&lt;AsOf,"Overdue",IF(tblCapas[[#This Row],[Due]]-AsOf&lt;=DueSoonDays,"Due soon","In progress")))))</f>
        <v>Complete</v>
      </c>
      <c r="X13" s="39" t="str">
        <f>IF(tblCapas[[#This Row],[Opened]]="","",IF(N(tblCapas[[#This Row],[Closed]])=0,"",IF(tblCapas[[#This Row],[Due]]="","",IF(tblCapas[[#This Row],[Closed]]&lt;=tblCapas[[#This Row],[Due]],"Yes","No"))))</f>
        <v>Yes</v>
      </c>
      <c r="Y13" s="36">
        <f>IF(tblCapas[[#This Row],[Opened]]="","",IF(AND(OR(DashSource="",tblCapas[[#This Row],[Source]]=DashSource),OR(DashOwner="",tblCapas[[#This Row],[Owner]]=DashOwner)),1,0))</f>
        <v>1</v>
      </c>
      <c r="Z13"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3" s="35" t="s">
        <v>137</v>
      </c>
    </row>
    <row r="14" spans="1:27">
      <c r="B14" s="28" t="s">
        <v>158</v>
      </c>
      <c r="C14" s="29">
        <v>46030</v>
      </c>
      <c r="D14" s="28" t="s">
        <v>93</v>
      </c>
      <c r="E14" s="28" t="s">
        <v>159</v>
      </c>
      <c r="F14" s="28" t="s">
        <v>84</v>
      </c>
      <c r="G14" s="28" t="s">
        <v>149</v>
      </c>
      <c r="H14" s="35" t="s">
        <v>150</v>
      </c>
      <c r="I14" s="28" t="s">
        <v>108</v>
      </c>
      <c r="J14" s="29">
        <v>46035</v>
      </c>
      <c r="K14" s="29">
        <v>46049</v>
      </c>
      <c r="L14" s="29">
        <v>46069</v>
      </c>
      <c r="M14" s="29">
        <v>46074</v>
      </c>
      <c r="N14" s="29">
        <v>46076</v>
      </c>
      <c r="O14" s="28" t="s">
        <v>140</v>
      </c>
      <c r="P14" s="29">
        <v>46128</v>
      </c>
      <c r="Q14" s="36">
        <f>IF(tblCapas[[#This Row],[Opened]]="","",IFERROR(INDEX(tblPriorities[Contain within (days)],MATCH(tblCapas[[#This Row],[Priority]],tblPriorities[Priority],0)),""))</f>
        <v>3</v>
      </c>
      <c r="R14" s="36">
        <f>IF(tblCapas[[#This Row],[Opened]]="","",IFERROR(INDEX(tblPriorities[Close within (days)],MATCH(tblCapas[[#This Row],[Priority]],tblPriorities[Priority],0)),""))</f>
        <v>60</v>
      </c>
      <c r="S14" s="37">
        <f>IF(tblCapas[[#This Row],[Opened]]="","",IF(tblCapas[[#This Row],[Close within (days)]]="","",tblCapas[[#This Row],[Opened]]+tblCapas[[#This Row],[Close within (days)]]))</f>
        <v>46090</v>
      </c>
      <c r="T14"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4" s="36">
        <f>IF(tblCapas[[#This Row],[Opened]]="","",IF(N(tblCapas[[#This Row],[Closed]])&gt;0,tblCapas[[#This Row],[Closed]],AsOf)-tblCapas[[#This Row],[Opened]])</f>
        <v>46</v>
      </c>
      <c r="V14" s="39" t="str">
        <f>IF(tblCapas[[#This Row],[Opened]]="","",IF(tblCapas[[#This Row],[Contain within (days)]]="","",IF(N(tblCapas[[#This Row],[Contained]])&gt;0,IF(tblCapas[[#This Row],[Contained]]-tblCapas[[#This Row],[Opened]]&lt;=tblCapas[[#This Row],[Contain within (days)]],"Yes","No"),IF(AsOf-tblCapas[[#This Row],[Opened]]&gt;tblCapas[[#This Row],[Contain within (days)]],"No",""))))</f>
        <v>No</v>
      </c>
      <c r="W14" s="39" t="str">
        <f>IF(tblCapas[[#This Row],[Opened]]="","",IF(N(tblCapas[[#This Row],[Closed]])&gt;0,"Complete",IF(tblCapas[[#This Row],[Due]]="","Check",IF(tblCapas[[#This Row],[Due]]&lt;AsOf,"Overdue",IF(tblCapas[[#This Row],[Due]]-AsOf&lt;=DueSoonDays,"Due soon","In progress")))))</f>
        <v>Complete</v>
      </c>
      <c r="X14" s="39" t="str">
        <f>IF(tblCapas[[#This Row],[Opened]]="","",IF(N(tblCapas[[#This Row],[Closed]])=0,"",IF(tblCapas[[#This Row],[Due]]="","",IF(tblCapas[[#This Row],[Closed]]&lt;=tblCapas[[#This Row],[Due]],"Yes","No"))))</f>
        <v>Yes</v>
      </c>
      <c r="Y14" s="36">
        <f>IF(tblCapas[[#This Row],[Opened]]="","",IF(AND(OR(DashSource="",tblCapas[[#This Row],[Source]]=DashSource),OR(DashOwner="",tblCapas[[#This Row],[Owner]]=DashOwner)),1,0))</f>
        <v>1</v>
      </c>
      <c r="Z14"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4" s="35" t="s">
        <v>160</v>
      </c>
    </row>
    <row r="15" spans="1:27">
      <c r="B15" s="28" t="s">
        <v>161</v>
      </c>
      <c r="C15" s="29">
        <v>46034</v>
      </c>
      <c r="D15" s="28" t="s">
        <v>91</v>
      </c>
      <c r="E15" s="28" t="s">
        <v>133</v>
      </c>
      <c r="F15" s="28" t="s">
        <v>84</v>
      </c>
      <c r="G15" s="28" t="s">
        <v>134</v>
      </c>
      <c r="H15" s="35" t="s">
        <v>139</v>
      </c>
      <c r="I15" s="28" t="s">
        <v>102</v>
      </c>
      <c r="J15" s="29">
        <v>46034</v>
      </c>
      <c r="K15" s="29">
        <v>46056</v>
      </c>
      <c r="L15" s="29">
        <v>46073</v>
      </c>
      <c r="M15" s="29">
        <v>46085</v>
      </c>
      <c r="N15" s="29">
        <v>46088</v>
      </c>
      <c r="O15" s="28" t="s">
        <v>140</v>
      </c>
      <c r="P15" s="29">
        <v>46144</v>
      </c>
      <c r="Q15" s="36">
        <f>IF(tblCapas[[#This Row],[Opened]]="","",IFERROR(INDEX(tblPriorities[Contain within (days)],MATCH(tblCapas[[#This Row],[Priority]],tblPriorities[Priority],0)),""))</f>
        <v>3</v>
      </c>
      <c r="R15" s="36">
        <f>IF(tblCapas[[#This Row],[Opened]]="","",IFERROR(INDEX(tblPriorities[Close within (days)],MATCH(tblCapas[[#This Row],[Priority]],tblPriorities[Priority],0)),""))</f>
        <v>60</v>
      </c>
      <c r="S15" s="37">
        <f>IF(tblCapas[[#This Row],[Opened]]="","",IF(tblCapas[[#This Row],[Close within (days)]]="","",tblCapas[[#This Row],[Opened]]+tblCapas[[#This Row],[Close within (days)]]))</f>
        <v>46094</v>
      </c>
      <c r="T15"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5" s="36">
        <f>IF(tblCapas[[#This Row],[Opened]]="","",IF(N(tblCapas[[#This Row],[Closed]])&gt;0,tblCapas[[#This Row],[Closed]],AsOf)-tblCapas[[#This Row],[Opened]])</f>
        <v>54</v>
      </c>
      <c r="V15" s="39" t="str">
        <f>IF(tblCapas[[#This Row],[Opened]]="","",IF(tblCapas[[#This Row],[Contain within (days)]]="","",IF(N(tblCapas[[#This Row],[Contained]])&gt;0,IF(tblCapas[[#This Row],[Contained]]-tblCapas[[#This Row],[Opened]]&lt;=tblCapas[[#This Row],[Contain within (days)]],"Yes","No"),IF(AsOf-tblCapas[[#This Row],[Opened]]&gt;tblCapas[[#This Row],[Contain within (days)]],"No",""))))</f>
        <v>Yes</v>
      </c>
      <c r="W15" s="39" t="str">
        <f>IF(tblCapas[[#This Row],[Opened]]="","",IF(N(tblCapas[[#This Row],[Closed]])&gt;0,"Complete",IF(tblCapas[[#This Row],[Due]]="","Check",IF(tblCapas[[#This Row],[Due]]&lt;AsOf,"Overdue",IF(tblCapas[[#This Row],[Due]]-AsOf&lt;=DueSoonDays,"Due soon","In progress")))))</f>
        <v>Complete</v>
      </c>
      <c r="X15" s="39" t="str">
        <f>IF(tblCapas[[#This Row],[Opened]]="","",IF(N(tblCapas[[#This Row],[Closed]])=0,"",IF(tblCapas[[#This Row],[Due]]="","",IF(tblCapas[[#This Row],[Closed]]&lt;=tblCapas[[#This Row],[Due]],"Yes","No"))))</f>
        <v>Yes</v>
      </c>
      <c r="Y15" s="36">
        <f>IF(tblCapas[[#This Row],[Opened]]="","",IF(AND(OR(DashSource="",tblCapas[[#This Row],[Source]]=DashSource),OR(DashOwner="",tblCapas[[#This Row],[Owner]]=DashOwner)),1,0))</f>
        <v>1</v>
      </c>
      <c r="Z15"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5" s="35" t="s">
        <v>162</v>
      </c>
    </row>
    <row r="16" spans="1:27">
      <c r="B16" s="28" t="s">
        <v>163</v>
      </c>
      <c r="C16" s="29">
        <v>46043</v>
      </c>
      <c r="D16" s="28" t="s">
        <v>97</v>
      </c>
      <c r="E16" s="28" t="s">
        <v>133</v>
      </c>
      <c r="F16" s="28" t="s">
        <v>82</v>
      </c>
      <c r="G16" s="28" t="s">
        <v>164</v>
      </c>
      <c r="H16" s="35" t="s">
        <v>165</v>
      </c>
      <c r="I16" s="28" t="s">
        <v>100</v>
      </c>
      <c r="J16" s="29">
        <v>46043</v>
      </c>
      <c r="K16" s="29">
        <v>46050</v>
      </c>
      <c r="L16" s="29">
        <v>46062</v>
      </c>
      <c r="M16" s="29">
        <v>46066</v>
      </c>
      <c r="N16" s="29">
        <v>46070</v>
      </c>
      <c r="O16" s="28" t="s">
        <v>140</v>
      </c>
      <c r="P16" s="29">
        <v>46117</v>
      </c>
      <c r="Q16" s="36">
        <f>IF(tblCapas[[#This Row],[Opened]]="","",IFERROR(INDEX(tblPriorities[Contain within (days)],MATCH(tblCapas[[#This Row],[Priority]],tblPriorities[Priority],0)),""))</f>
        <v>1</v>
      </c>
      <c r="R16" s="36">
        <f>IF(tblCapas[[#This Row],[Opened]]="","",IFERROR(INDEX(tblPriorities[Close within (days)],MATCH(tblCapas[[#This Row],[Priority]],tblPriorities[Priority],0)),""))</f>
        <v>30</v>
      </c>
      <c r="S16" s="37">
        <f>IF(tblCapas[[#This Row],[Opened]]="","",IF(tblCapas[[#This Row],[Close within (days)]]="","",tblCapas[[#This Row],[Opened]]+tblCapas[[#This Row],[Close within (days)]]))</f>
        <v>46073</v>
      </c>
      <c r="T16"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6" s="36">
        <f>IF(tblCapas[[#This Row],[Opened]]="","",IF(N(tblCapas[[#This Row],[Closed]])&gt;0,tblCapas[[#This Row],[Closed]],AsOf)-tblCapas[[#This Row],[Opened]])</f>
        <v>27</v>
      </c>
      <c r="V16" s="39" t="str">
        <f>IF(tblCapas[[#This Row],[Opened]]="","",IF(tblCapas[[#This Row],[Contain within (days)]]="","",IF(N(tblCapas[[#This Row],[Contained]])&gt;0,IF(tblCapas[[#This Row],[Contained]]-tblCapas[[#This Row],[Opened]]&lt;=tblCapas[[#This Row],[Contain within (days)]],"Yes","No"),IF(AsOf-tblCapas[[#This Row],[Opened]]&gt;tblCapas[[#This Row],[Contain within (days)]],"No",""))))</f>
        <v>Yes</v>
      </c>
      <c r="W16" s="39" t="str">
        <f>IF(tblCapas[[#This Row],[Opened]]="","",IF(N(tblCapas[[#This Row],[Closed]])&gt;0,"Complete",IF(tblCapas[[#This Row],[Due]]="","Check",IF(tblCapas[[#This Row],[Due]]&lt;AsOf,"Overdue",IF(tblCapas[[#This Row],[Due]]-AsOf&lt;=DueSoonDays,"Due soon","In progress")))))</f>
        <v>Complete</v>
      </c>
      <c r="X16" s="39" t="str">
        <f>IF(tblCapas[[#This Row],[Opened]]="","",IF(N(tblCapas[[#This Row],[Closed]])=0,"",IF(tblCapas[[#This Row],[Due]]="","",IF(tblCapas[[#This Row],[Closed]]&lt;=tblCapas[[#This Row],[Due]],"Yes","No"))))</f>
        <v>Yes</v>
      </c>
      <c r="Y16" s="36">
        <f>IF(tblCapas[[#This Row],[Opened]]="","",IF(AND(OR(DashSource="",tblCapas[[#This Row],[Source]]=DashSource),OR(DashOwner="",tblCapas[[#This Row],[Owner]]=DashOwner)),1,0))</f>
        <v>1</v>
      </c>
      <c r="Z16"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6" s="35" t="s">
        <v>137</v>
      </c>
    </row>
    <row r="17" spans="2:27">
      <c r="B17" s="28" t="s">
        <v>166</v>
      </c>
      <c r="C17" s="29">
        <v>46052</v>
      </c>
      <c r="D17" s="28" t="s">
        <v>89</v>
      </c>
      <c r="E17" s="28" t="s">
        <v>133</v>
      </c>
      <c r="F17" s="28" t="s">
        <v>86</v>
      </c>
      <c r="G17" s="28" t="s">
        <v>164</v>
      </c>
      <c r="H17" s="35" t="s">
        <v>167</v>
      </c>
      <c r="I17" s="28" t="s">
        <v>102</v>
      </c>
      <c r="J17" s="29">
        <v>46058</v>
      </c>
      <c r="K17" s="29">
        <v>46086</v>
      </c>
      <c r="L17" s="29">
        <v>46117</v>
      </c>
      <c r="M17" s="29">
        <v>46141</v>
      </c>
      <c r="N17" s="29">
        <v>46145</v>
      </c>
      <c r="O17" s="28" t="s">
        <v>140</v>
      </c>
      <c r="P17" s="29">
        <v>46194</v>
      </c>
      <c r="Q17" s="36">
        <f>IF(tblCapas[[#This Row],[Opened]]="","",IFERROR(INDEX(tblPriorities[Contain within (days)],MATCH(tblCapas[[#This Row],[Priority]],tblPriorities[Priority],0)),""))</f>
        <v>7</v>
      </c>
      <c r="R17" s="36">
        <f>IF(tblCapas[[#This Row],[Opened]]="","",IFERROR(INDEX(tblPriorities[Close within (days)],MATCH(tblCapas[[#This Row],[Priority]],tblPriorities[Priority],0)),""))</f>
        <v>90</v>
      </c>
      <c r="S17" s="37">
        <f>IF(tblCapas[[#This Row],[Opened]]="","",IF(tblCapas[[#This Row],[Close within (days)]]="","",tblCapas[[#This Row],[Opened]]+tblCapas[[#This Row],[Close within (days)]]))</f>
        <v>46142</v>
      </c>
      <c r="T17"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7" s="36">
        <f>IF(tblCapas[[#This Row],[Opened]]="","",IF(N(tblCapas[[#This Row],[Closed]])&gt;0,tblCapas[[#This Row],[Closed]],AsOf)-tblCapas[[#This Row],[Opened]])</f>
        <v>93</v>
      </c>
      <c r="V17" s="39" t="str">
        <f>IF(tblCapas[[#This Row],[Opened]]="","",IF(tblCapas[[#This Row],[Contain within (days)]]="","",IF(N(tblCapas[[#This Row],[Contained]])&gt;0,IF(tblCapas[[#This Row],[Contained]]-tblCapas[[#This Row],[Opened]]&lt;=tblCapas[[#This Row],[Contain within (days)]],"Yes","No"),IF(AsOf-tblCapas[[#This Row],[Opened]]&gt;tblCapas[[#This Row],[Contain within (days)]],"No",""))))</f>
        <v>Yes</v>
      </c>
      <c r="W17" s="39" t="str">
        <f>IF(tblCapas[[#This Row],[Opened]]="","",IF(N(tblCapas[[#This Row],[Closed]])&gt;0,"Complete",IF(tblCapas[[#This Row],[Due]]="","Check",IF(tblCapas[[#This Row],[Due]]&lt;AsOf,"Overdue",IF(tblCapas[[#This Row],[Due]]-AsOf&lt;=DueSoonDays,"Due soon","In progress")))))</f>
        <v>Complete</v>
      </c>
      <c r="X17" s="39" t="str">
        <f>IF(tblCapas[[#This Row],[Opened]]="","",IF(N(tblCapas[[#This Row],[Closed]])=0,"",IF(tblCapas[[#This Row],[Due]]="","",IF(tblCapas[[#This Row],[Closed]]&lt;=tblCapas[[#This Row],[Due]],"Yes","No"))))</f>
        <v>No</v>
      </c>
      <c r="Y17" s="36">
        <f>IF(tblCapas[[#This Row],[Opened]]="","",IF(AND(OR(DashSource="",tblCapas[[#This Row],[Source]]=DashSource),OR(DashOwner="",tblCapas[[#This Row],[Owner]]=DashOwner)),1,0))</f>
        <v>1</v>
      </c>
      <c r="Z17"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7" s="35" t="s">
        <v>168</v>
      </c>
    </row>
    <row r="18" spans="2:27">
      <c r="B18" s="28" t="s">
        <v>169</v>
      </c>
      <c r="C18" s="29">
        <v>46062</v>
      </c>
      <c r="D18" s="28" t="s">
        <v>97</v>
      </c>
      <c r="E18" s="28" t="s">
        <v>133</v>
      </c>
      <c r="F18" s="28" t="s">
        <v>86</v>
      </c>
      <c r="G18" s="28" t="s">
        <v>164</v>
      </c>
      <c r="H18" s="35" t="s">
        <v>165</v>
      </c>
      <c r="I18" s="28" t="s">
        <v>100</v>
      </c>
      <c r="J18" s="29">
        <v>46066</v>
      </c>
      <c r="K18" s="29">
        <v>46083</v>
      </c>
      <c r="L18" s="29">
        <v>46111</v>
      </c>
      <c r="M18" s="29">
        <v>46125</v>
      </c>
      <c r="N18" s="29">
        <v>46128</v>
      </c>
      <c r="O18" s="28" t="s">
        <v>140</v>
      </c>
      <c r="P18" s="29">
        <v>46172</v>
      </c>
      <c r="Q18" s="36">
        <f>IF(tblCapas[[#This Row],[Opened]]="","",IFERROR(INDEX(tblPriorities[Contain within (days)],MATCH(tblCapas[[#This Row],[Priority]],tblPriorities[Priority],0)),""))</f>
        <v>7</v>
      </c>
      <c r="R18" s="36">
        <f>IF(tblCapas[[#This Row],[Opened]]="","",IFERROR(INDEX(tblPriorities[Close within (days)],MATCH(tblCapas[[#This Row],[Priority]],tblPriorities[Priority],0)),""))</f>
        <v>90</v>
      </c>
      <c r="S18" s="37">
        <f>IF(tblCapas[[#This Row],[Opened]]="","",IF(tblCapas[[#This Row],[Close within (days)]]="","",tblCapas[[#This Row],[Opened]]+tblCapas[[#This Row],[Close within (days)]]))</f>
        <v>46152</v>
      </c>
      <c r="T18"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8" s="36">
        <f>IF(tblCapas[[#This Row],[Opened]]="","",IF(N(tblCapas[[#This Row],[Closed]])&gt;0,tblCapas[[#This Row],[Closed]],AsOf)-tblCapas[[#This Row],[Opened]])</f>
        <v>66</v>
      </c>
      <c r="V18" s="39" t="str">
        <f>IF(tblCapas[[#This Row],[Opened]]="","",IF(tblCapas[[#This Row],[Contain within (days)]]="","",IF(N(tblCapas[[#This Row],[Contained]])&gt;0,IF(tblCapas[[#This Row],[Contained]]-tblCapas[[#This Row],[Opened]]&lt;=tblCapas[[#This Row],[Contain within (days)]],"Yes","No"),IF(AsOf-tblCapas[[#This Row],[Opened]]&gt;tblCapas[[#This Row],[Contain within (days)]],"No",""))))</f>
        <v>Yes</v>
      </c>
      <c r="W18" s="39" t="str">
        <f>IF(tblCapas[[#This Row],[Opened]]="","",IF(N(tblCapas[[#This Row],[Closed]])&gt;0,"Complete",IF(tblCapas[[#This Row],[Due]]="","Check",IF(tblCapas[[#This Row],[Due]]&lt;AsOf,"Overdue",IF(tblCapas[[#This Row],[Due]]-AsOf&lt;=DueSoonDays,"Due soon","In progress")))))</f>
        <v>Complete</v>
      </c>
      <c r="X18" s="39" t="str">
        <f>IF(tblCapas[[#This Row],[Opened]]="","",IF(N(tblCapas[[#This Row],[Closed]])=0,"",IF(tblCapas[[#This Row],[Due]]="","",IF(tblCapas[[#This Row],[Closed]]&lt;=tblCapas[[#This Row],[Due]],"Yes","No"))))</f>
        <v>Yes</v>
      </c>
      <c r="Y18" s="36">
        <f>IF(tblCapas[[#This Row],[Opened]]="","",IF(AND(OR(DashSource="",tblCapas[[#This Row],[Source]]=DashSource),OR(DashOwner="",tblCapas[[#This Row],[Owner]]=DashOwner)),1,0))</f>
        <v>1</v>
      </c>
      <c r="Z18"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8" s="35" t="s">
        <v>156</v>
      </c>
    </row>
    <row r="19" spans="2:27">
      <c r="B19" s="28" t="s">
        <v>170</v>
      </c>
      <c r="C19" s="29">
        <v>46065</v>
      </c>
      <c r="D19" s="28" t="s">
        <v>93</v>
      </c>
      <c r="E19" s="28" t="s">
        <v>159</v>
      </c>
      <c r="F19" s="28" t="s">
        <v>86</v>
      </c>
      <c r="G19" s="28" t="s">
        <v>149</v>
      </c>
      <c r="H19" s="35" t="s">
        <v>171</v>
      </c>
      <c r="I19" s="28" t="s">
        <v>100</v>
      </c>
      <c r="J19" s="29">
        <v>46067</v>
      </c>
      <c r="K19" s="29">
        <v>46083</v>
      </c>
      <c r="L19" s="29">
        <v>46111</v>
      </c>
      <c r="M19" s="29">
        <v>46116</v>
      </c>
      <c r="N19" s="29">
        <v>46125</v>
      </c>
      <c r="O19" s="28" t="s">
        <v>136</v>
      </c>
      <c r="P19" s="29">
        <v>46173</v>
      </c>
      <c r="Q19" s="36">
        <f>IF(tblCapas[[#This Row],[Opened]]="","",IFERROR(INDEX(tblPriorities[Contain within (days)],MATCH(tblCapas[[#This Row],[Priority]],tblPriorities[Priority],0)),""))</f>
        <v>7</v>
      </c>
      <c r="R19" s="36">
        <f>IF(tblCapas[[#This Row],[Opened]]="","",IFERROR(INDEX(tblPriorities[Close within (days)],MATCH(tblCapas[[#This Row],[Priority]],tblPriorities[Priority],0)),""))</f>
        <v>90</v>
      </c>
      <c r="S19" s="37">
        <f>IF(tblCapas[[#This Row],[Opened]]="","",IF(tblCapas[[#This Row],[Close within (days)]]="","",tblCapas[[#This Row],[Opened]]+tblCapas[[#This Row],[Close within (days)]]))</f>
        <v>46155</v>
      </c>
      <c r="T19"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19" s="36">
        <f>IF(tblCapas[[#This Row],[Opened]]="","",IF(N(tblCapas[[#This Row],[Closed]])&gt;0,tblCapas[[#This Row],[Closed]],AsOf)-tblCapas[[#This Row],[Opened]])</f>
        <v>60</v>
      </c>
      <c r="V19" s="39" t="str">
        <f>IF(tblCapas[[#This Row],[Opened]]="","",IF(tblCapas[[#This Row],[Contain within (days)]]="","",IF(N(tblCapas[[#This Row],[Contained]])&gt;0,IF(tblCapas[[#This Row],[Contained]]-tblCapas[[#This Row],[Opened]]&lt;=tblCapas[[#This Row],[Contain within (days)]],"Yes","No"),IF(AsOf-tblCapas[[#This Row],[Opened]]&gt;tblCapas[[#This Row],[Contain within (days)]],"No",""))))</f>
        <v>Yes</v>
      </c>
      <c r="W19" s="39" t="str">
        <f>IF(tblCapas[[#This Row],[Opened]]="","",IF(N(tblCapas[[#This Row],[Closed]])&gt;0,"Complete",IF(tblCapas[[#This Row],[Due]]="","Check",IF(tblCapas[[#This Row],[Due]]&lt;AsOf,"Overdue",IF(tblCapas[[#This Row],[Due]]-AsOf&lt;=DueSoonDays,"Due soon","In progress")))))</f>
        <v>Complete</v>
      </c>
      <c r="X19" s="39" t="str">
        <f>IF(tblCapas[[#This Row],[Opened]]="","",IF(N(tblCapas[[#This Row],[Closed]])=0,"",IF(tblCapas[[#This Row],[Due]]="","",IF(tblCapas[[#This Row],[Closed]]&lt;=tblCapas[[#This Row],[Due]],"Yes","No"))))</f>
        <v>Yes</v>
      </c>
      <c r="Y19" s="36">
        <f>IF(tblCapas[[#This Row],[Opened]]="","",IF(AND(OR(DashSource="",tblCapas[[#This Row],[Source]]=DashSource),OR(DashOwner="",tblCapas[[#This Row],[Owner]]=DashOwner)),1,0))</f>
        <v>1</v>
      </c>
      <c r="Z19"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19" s="35" t="s">
        <v>160</v>
      </c>
    </row>
    <row r="20" spans="2:27">
      <c r="B20" s="28" t="s">
        <v>172</v>
      </c>
      <c r="C20" s="29">
        <v>46073</v>
      </c>
      <c r="D20" s="28" t="s">
        <v>93</v>
      </c>
      <c r="E20" s="28" t="s">
        <v>133</v>
      </c>
      <c r="F20" s="28" t="s">
        <v>84</v>
      </c>
      <c r="G20" s="28" t="s">
        <v>149</v>
      </c>
      <c r="H20" s="35" t="s">
        <v>173</v>
      </c>
      <c r="I20" s="28" t="s">
        <v>100</v>
      </c>
      <c r="J20" s="29">
        <v>46078</v>
      </c>
      <c r="K20" s="29">
        <v>46098</v>
      </c>
      <c r="L20" s="29">
        <v>46116</v>
      </c>
      <c r="M20" s="29">
        <v>46128</v>
      </c>
      <c r="N20" s="29">
        <v>46131</v>
      </c>
      <c r="O20" s="28" t="s">
        <v>140</v>
      </c>
      <c r="P20" s="29">
        <v>46187</v>
      </c>
      <c r="Q20" s="36">
        <f>IF(tblCapas[[#This Row],[Opened]]="","",IFERROR(INDEX(tblPriorities[Contain within (days)],MATCH(tblCapas[[#This Row],[Priority]],tblPriorities[Priority],0)),""))</f>
        <v>3</v>
      </c>
      <c r="R20" s="36">
        <f>IF(tblCapas[[#This Row],[Opened]]="","",IFERROR(INDEX(tblPriorities[Close within (days)],MATCH(tblCapas[[#This Row],[Priority]],tblPriorities[Priority],0)),""))</f>
        <v>60</v>
      </c>
      <c r="S20" s="37">
        <f>IF(tblCapas[[#This Row],[Opened]]="","",IF(tblCapas[[#This Row],[Close within (days)]]="","",tblCapas[[#This Row],[Opened]]+tblCapas[[#This Row],[Close within (days)]]))</f>
        <v>46133</v>
      </c>
      <c r="T20"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0" s="36">
        <f>IF(tblCapas[[#This Row],[Opened]]="","",IF(N(tblCapas[[#This Row],[Closed]])&gt;0,tblCapas[[#This Row],[Closed]],AsOf)-tblCapas[[#This Row],[Opened]])</f>
        <v>58</v>
      </c>
      <c r="V20" s="39" t="str">
        <f>IF(tblCapas[[#This Row],[Opened]]="","",IF(tblCapas[[#This Row],[Contain within (days)]]="","",IF(N(tblCapas[[#This Row],[Contained]])&gt;0,IF(tblCapas[[#This Row],[Contained]]-tblCapas[[#This Row],[Opened]]&lt;=tblCapas[[#This Row],[Contain within (days)]],"Yes","No"),IF(AsOf-tblCapas[[#This Row],[Opened]]&gt;tblCapas[[#This Row],[Contain within (days)]],"No",""))))</f>
        <v>No</v>
      </c>
      <c r="W20" s="39" t="str">
        <f>IF(tblCapas[[#This Row],[Opened]]="","",IF(N(tblCapas[[#This Row],[Closed]])&gt;0,"Complete",IF(tblCapas[[#This Row],[Due]]="","Check",IF(tblCapas[[#This Row],[Due]]&lt;AsOf,"Overdue",IF(tblCapas[[#This Row],[Due]]-AsOf&lt;=DueSoonDays,"Due soon","In progress")))))</f>
        <v>Complete</v>
      </c>
      <c r="X20" s="39" t="str">
        <f>IF(tblCapas[[#This Row],[Opened]]="","",IF(N(tblCapas[[#This Row],[Closed]])=0,"",IF(tblCapas[[#This Row],[Due]]="","",IF(tblCapas[[#This Row],[Closed]]&lt;=tblCapas[[#This Row],[Due]],"Yes","No"))))</f>
        <v>Yes</v>
      </c>
      <c r="Y20" s="36">
        <f>IF(tblCapas[[#This Row],[Opened]]="","",IF(AND(OR(DashSource="",tblCapas[[#This Row],[Source]]=DashSource),OR(DashOwner="",tblCapas[[#This Row],[Owner]]=DashOwner)),1,0))</f>
        <v>1</v>
      </c>
      <c r="Z20"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0" s="35" t="s">
        <v>174</v>
      </c>
    </row>
    <row r="21" spans="2:27">
      <c r="B21" s="28" t="s">
        <v>175</v>
      </c>
      <c r="C21" s="29">
        <v>46084</v>
      </c>
      <c r="D21" s="28" t="s">
        <v>91</v>
      </c>
      <c r="E21" s="28" t="s">
        <v>133</v>
      </c>
      <c r="F21" s="28" t="s">
        <v>82</v>
      </c>
      <c r="G21" s="28" t="s">
        <v>143</v>
      </c>
      <c r="H21" s="35" t="s">
        <v>176</v>
      </c>
      <c r="I21" s="28" t="s">
        <v>102</v>
      </c>
      <c r="J21" s="29">
        <v>46085</v>
      </c>
      <c r="K21" s="29">
        <v>46097</v>
      </c>
      <c r="L21" s="29">
        <v>46122</v>
      </c>
      <c r="M21" s="29">
        <v>46126</v>
      </c>
      <c r="N21" s="29">
        <v>46132</v>
      </c>
      <c r="O21" s="28" t="s">
        <v>136</v>
      </c>
      <c r="P21" s="29">
        <v>46166</v>
      </c>
      <c r="Q21" s="36">
        <f>IF(tblCapas[[#This Row],[Opened]]="","",IFERROR(INDEX(tblPriorities[Contain within (days)],MATCH(tblCapas[[#This Row],[Priority]],tblPriorities[Priority],0)),""))</f>
        <v>1</v>
      </c>
      <c r="R21" s="36">
        <f>IF(tblCapas[[#This Row],[Opened]]="","",IFERROR(INDEX(tblPriorities[Close within (days)],MATCH(tblCapas[[#This Row],[Priority]],tblPriorities[Priority],0)),""))</f>
        <v>30</v>
      </c>
      <c r="S21" s="37">
        <f>IF(tblCapas[[#This Row],[Opened]]="","",IF(tblCapas[[#This Row],[Close within (days)]]="","",tblCapas[[#This Row],[Opened]]+tblCapas[[#This Row],[Close within (days)]]))</f>
        <v>46114</v>
      </c>
      <c r="T21"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1" s="36">
        <f>IF(tblCapas[[#This Row],[Opened]]="","",IF(N(tblCapas[[#This Row],[Closed]])&gt;0,tblCapas[[#This Row],[Closed]],AsOf)-tblCapas[[#This Row],[Opened]])</f>
        <v>48</v>
      </c>
      <c r="V21" s="39" t="str">
        <f>IF(tblCapas[[#This Row],[Opened]]="","",IF(tblCapas[[#This Row],[Contain within (days)]]="","",IF(N(tblCapas[[#This Row],[Contained]])&gt;0,IF(tblCapas[[#This Row],[Contained]]-tblCapas[[#This Row],[Opened]]&lt;=tblCapas[[#This Row],[Contain within (days)]],"Yes","No"),IF(AsOf-tblCapas[[#This Row],[Opened]]&gt;tblCapas[[#This Row],[Contain within (days)]],"No",""))))</f>
        <v>Yes</v>
      </c>
      <c r="W21" s="39" t="str">
        <f>IF(tblCapas[[#This Row],[Opened]]="","",IF(N(tblCapas[[#This Row],[Closed]])&gt;0,"Complete",IF(tblCapas[[#This Row],[Due]]="","Check",IF(tblCapas[[#This Row],[Due]]&lt;AsOf,"Overdue",IF(tblCapas[[#This Row],[Due]]-AsOf&lt;=DueSoonDays,"Due soon","In progress")))))</f>
        <v>Complete</v>
      </c>
      <c r="X21" s="39" t="str">
        <f>IF(tblCapas[[#This Row],[Opened]]="","",IF(N(tblCapas[[#This Row],[Closed]])=0,"",IF(tblCapas[[#This Row],[Due]]="","",IF(tblCapas[[#This Row],[Closed]]&lt;=tblCapas[[#This Row],[Due]],"Yes","No"))))</f>
        <v>No</v>
      </c>
      <c r="Y21" s="36">
        <f>IF(tblCapas[[#This Row],[Opened]]="","",IF(AND(OR(DashSource="",tblCapas[[#This Row],[Source]]=DashSource),OR(DashOwner="",tblCapas[[#This Row],[Owner]]=DashOwner)),1,0))</f>
        <v>1</v>
      </c>
      <c r="Z21"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1" s="35" t="s">
        <v>137</v>
      </c>
    </row>
    <row r="22" spans="2:27">
      <c r="B22" s="28" t="s">
        <v>177</v>
      </c>
      <c r="C22" s="29">
        <v>46090</v>
      </c>
      <c r="D22" s="28" t="s">
        <v>91</v>
      </c>
      <c r="E22" s="28" t="s">
        <v>133</v>
      </c>
      <c r="F22" s="28" t="s">
        <v>84</v>
      </c>
      <c r="G22" s="28" t="s">
        <v>134</v>
      </c>
      <c r="H22" s="35" t="s">
        <v>139</v>
      </c>
      <c r="I22" s="28" t="s">
        <v>100</v>
      </c>
      <c r="J22" s="29">
        <v>46090</v>
      </c>
      <c r="K22" s="29">
        <v>46106</v>
      </c>
      <c r="L22" s="29">
        <v>46123</v>
      </c>
      <c r="M22" s="29">
        <v>46127</v>
      </c>
      <c r="N22" s="29">
        <v>46131</v>
      </c>
      <c r="O22" s="28" t="s">
        <v>136</v>
      </c>
      <c r="P22" s="29">
        <v>46177</v>
      </c>
      <c r="Q22" s="36">
        <f>IF(tblCapas[[#This Row],[Opened]]="","",IFERROR(INDEX(tblPriorities[Contain within (days)],MATCH(tblCapas[[#This Row],[Priority]],tblPriorities[Priority],0)),""))</f>
        <v>3</v>
      </c>
      <c r="R22" s="36">
        <f>IF(tblCapas[[#This Row],[Opened]]="","",IFERROR(INDEX(tblPriorities[Close within (days)],MATCH(tblCapas[[#This Row],[Priority]],tblPriorities[Priority],0)),""))</f>
        <v>60</v>
      </c>
      <c r="S22" s="37">
        <f>IF(tblCapas[[#This Row],[Opened]]="","",IF(tblCapas[[#This Row],[Close within (days)]]="","",tblCapas[[#This Row],[Opened]]+tblCapas[[#This Row],[Close within (days)]]))</f>
        <v>46150</v>
      </c>
      <c r="T22"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2" s="36">
        <f>IF(tblCapas[[#This Row],[Opened]]="","",IF(N(tblCapas[[#This Row],[Closed]])&gt;0,tblCapas[[#This Row],[Closed]],AsOf)-tblCapas[[#This Row],[Opened]])</f>
        <v>41</v>
      </c>
      <c r="V22" s="39" t="str">
        <f>IF(tblCapas[[#This Row],[Opened]]="","",IF(tblCapas[[#This Row],[Contain within (days)]]="","",IF(N(tblCapas[[#This Row],[Contained]])&gt;0,IF(tblCapas[[#This Row],[Contained]]-tblCapas[[#This Row],[Opened]]&lt;=tblCapas[[#This Row],[Contain within (days)]],"Yes","No"),IF(AsOf-tblCapas[[#This Row],[Opened]]&gt;tblCapas[[#This Row],[Contain within (days)]],"No",""))))</f>
        <v>Yes</v>
      </c>
      <c r="W22" s="39" t="str">
        <f>IF(tblCapas[[#This Row],[Opened]]="","",IF(N(tblCapas[[#This Row],[Closed]])&gt;0,"Complete",IF(tblCapas[[#This Row],[Due]]="","Check",IF(tblCapas[[#This Row],[Due]]&lt;AsOf,"Overdue",IF(tblCapas[[#This Row],[Due]]-AsOf&lt;=DueSoonDays,"Due soon","In progress")))))</f>
        <v>Complete</v>
      </c>
      <c r="X22" s="39" t="str">
        <f>IF(tblCapas[[#This Row],[Opened]]="","",IF(N(tblCapas[[#This Row],[Closed]])=0,"",IF(tblCapas[[#This Row],[Due]]="","",IF(tblCapas[[#This Row],[Closed]]&lt;=tblCapas[[#This Row],[Due]],"Yes","No"))))</f>
        <v>Yes</v>
      </c>
      <c r="Y22" s="36">
        <f>IF(tblCapas[[#This Row],[Opened]]="","",IF(AND(OR(DashSource="",tblCapas[[#This Row],[Source]]=DashSource),OR(DashOwner="",tblCapas[[#This Row],[Owner]]=DashOwner)),1,0))</f>
        <v>1</v>
      </c>
      <c r="Z22"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2" s="35" t="s">
        <v>160</v>
      </c>
    </row>
    <row r="23" spans="2:27">
      <c r="B23" s="28" t="s">
        <v>178</v>
      </c>
      <c r="C23" s="29">
        <v>46097</v>
      </c>
      <c r="D23" s="28" t="s">
        <v>91</v>
      </c>
      <c r="E23" s="28" t="s">
        <v>133</v>
      </c>
      <c r="F23" s="28" t="s">
        <v>82</v>
      </c>
      <c r="G23" s="28" t="s">
        <v>164</v>
      </c>
      <c r="H23" s="35" t="s">
        <v>179</v>
      </c>
      <c r="I23" s="28" t="s">
        <v>102</v>
      </c>
      <c r="J23" s="29">
        <v>46098</v>
      </c>
      <c r="K23" s="29">
        <v>46116</v>
      </c>
      <c r="L23" s="29">
        <v>46135</v>
      </c>
      <c r="M23" s="29">
        <v>46139</v>
      </c>
      <c r="N23" s="29">
        <v>46145</v>
      </c>
      <c r="O23" s="28" t="s">
        <v>140</v>
      </c>
      <c r="P23" s="29">
        <v>46179</v>
      </c>
      <c r="Q23" s="36">
        <f>IF(tblCapas[[#This Row],[Opened]]="","",IFERROR(INDEX(tblPriorities[Contain within (days)],MATCH(tblCapas[[#This Row],[Priority]],tblPriorities[Priority],0)),""))</f>
        <v>1</v>
      </c>
      <c r="R23" s="36">
        <f>IF(tblCapas[[#This Row],[Opened]]="","",IFERROR(INDEX(tblPriorities[Close within (days)],MATCH(tblCapas[[#This Row],[Priority]],tblPriorities[Priority],0)),""))</f>
        <v>30</v>
      </c>
      <c r="S23" s="37">
        <f>IF(tblCapas[[#This Row],[Opened]]="","",IF(tblCapas[[#This Row],[Close within (days)]]="","",tblCapas[[#This Row],[Opened]]+tblCapas[[#This Row],[Close within (days)]]))</f>
        <v>46127</v>
      </c>
      <c r="T23"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3" s="36">
        <f>IF(tblCapas[[#This Row],[Opened]]="","",IF(N(tblCapas[[#This Row],[Closed]])&gt;0,tblCapas[[#This Row],[Closed]],AsOf)-tblCapas[[#This Row],[Opened]])</f>
        <v>48</v>
      </c>
      <c r="V23" s="39" t="str">
        <f>IF(tblCapas[[#This Row],[Opened]]="","",IF(tblCapas[[#This Row],[Contain within (days)]]="","",IF(N(tblCapas[[#This Row],[Contained]])&gt;0,IF(tblCapas[[#This Row],[Contained]]-tblCapas[[#This Row],[Opened]]&lt;=tblCapas[[#This Row],[Contain within (days)]],"Yes","No"),IF(AsOf-tblCapas[[#This Row],[Opened]]&gt;tblCapas[[#This Row],[Contain within (days)]],"No",""))))</f>
        <v>Yes</v>
      </c>
      <c r="W23" s="39" t="str">
        <f>IF(tblCapas[[#This Row],[Opened]]="","",IF(N(tblCapas[[#This Row],[Closed]])&gt;0,"Complete",IF(tblCapas[[#This Row],[Due]]="","Check",IF(tblCapas[[#This Row],[Due]]&lt;AsOf,"Overdue",IF(tblCapas[[#This Row],[Due]]-AsOf&lt;=DueSoonDays,"Due soon","In progress")))))</f>
        <v>Complete</v>
      </c>
      <c r="X23" s="39" t="str">
        <f>IF(tblCapas[[#This Row],[Opened]]="","",IF(N(tblCapas[[#This Row],[Closed]])=0,"",IF(tblCapas[[#This Row],[Due]]="","",IF(tblCapas[[#This Row],[Closed]]&lt;=tblCapas[[#This Row],[Due]],"Yes","No"))))</f>
        <v>No</v>
      </c>
      <c r="Y23" s="36">
        <f>IF(tblCapas[[#This Row],[Opened]]="","",IF(AND(OR(DashSource="",tblCapas[[#This Row],[Source]]=DashSource),OR(DashOwner="",tblCapas[[#This Row],[Owner]]=DashOwner)),1,0))</f>
        <v>1</v>
      </c>
      <c r="Z23"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3" s="35" t="s">
        <v>168</v>
      </c>
    </row>
    <row r="24" spans="2:27">
      <c r="B24" s="28" t="s">
        <v>180</v>
      </c>
      <c r="C24" s="29">
        <v>46106</v>
      </c>
      <c r="D24" s="28" t="s">
        <v>93</v>
      </c>
      <c r="E24" s="28" t="s">
        <v>159</v>
      </c>
      <c r="F24" s="28" t="s">
        <v>84</v>
      </c>
      <c r="G24" s="28" t="s">
        <v>149</v>
      </c>
      <c r="H24" s="35" t="s">
        <v>171</v>
      </c>
      <c r="I24" s="28" t="s">
        <v>100</v>
      </c>
      <c r="J24" s="29">
        <v>46106</v>
      </c>
      <c r="K24" s="29">
        <v>46112</v>
      </c>
      <c r="L24" s="29">
        <v>46142</v>
      </c>
      <c r="M24" s="29">
        <v>46153</v>
      </c>
      <c r="N24" s="29">
        <v>46158</v>
      </c>
      <c r="O24" s="28" t="s">
        <v>140</v>
      </c>
      <c r="P24" s="29">
        <v>46205</v>
      </c>
      <c r="Q24" s="36">
        <f>IF(tblCapas[[#This Row],[Opened]]="","",IFERROR(INDEX(tblPriorities[Contain within (days)],MATCH(tblCapas[[#This Row],[Priority]],tblPriorities[Priority],0)),""))</f>
        <v>3</v>
      </c>
      <c r="R24" s="36">
        <f>IF(tblCapas[[#This Row],[Opened]]="","",IFERROR(INDEX(tblPriorities[Close within (days)],MATCH(tblCapas[[#This Row],[Priority]],tblPriorities[Priority],0)),""))</f>
        <v>60</v>
      </c>
      <c r="S24" s="37">
        <f>IF(tblCapas[[#This Row],[Opened]]="","",IF(tblCapas[[#This Row],[Close within (days)]]="","",tblCapas[[#This Row],[Opened]]+tblCapas[[#This Row],[Close within (days)]]))</f>
        <v>46166</v>
      </c>
      <c r="T24"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4" s="36">
        <f>IF(tblCapas[[#This Row],[Opened]]="","",IF(N(tblCapas[[#This Row],[Closed]])&gt;0,tblCapas[[#This Row],[Closed]],AsOf)-tblCapas[[#This Row],[Opened]])</f>
        <v>52</v>
      </c>
      <c r="V24" s="39" t="str">
        <f>IF(tblCapas[[#This Row],[Opened]]="","",IF(tblCapas[[#This Row],[Contain within (days)]]="","",IF(N(tblCapas[[#This Row],[Contained]])&gt;0,IF(tblCapas[[#This Row],[Contained]]-tblCapas[[#This Row],[Opened]]&lt;=tblCapas[[#This Row],[Contain within (days)]],"Yes","No"),IF(AsOf-tblCapas[[#This Row],[Opened]]&gt;tblCapas[[#This Row],[Contain within (days)]],"No",""))))</f>
        <v>Yes</v>
      </c>
      <c r="W24" s="39" t="str">
        <f>IF(tblCapas[[#This Row],[Opened]]="","",IF(N(tblCapas[[#This Row],[Closed]])&gt;0,"Complete",IF(tblCapas[[#This Row],[Due]]="","Check",IF(tblCapas[[#This Row],[Due]]&lt;AsOf,"Overdue",IF(tblCapas[[#This Row],[Due]]-AsOf&lt;=DueSoonDays,"Due soon","In progress")))))</f>
        <v>Complete</v>
      </c>
      <c r="X24" s="39" t="str">
        <f>IF(tblCapas[[#This Row],[Opened]]="","",IF(N(tblCapas[[#This Row],[Closed]])=0,"",IF(tblCapas[[#This Row],[Due]]="","",IF(tblCapas[[#This Row],[Closed]]&lt;=tblCapas[[#This Row],[Due]],"Yes","No"))))</f>
        <v>Yes</v>
      </c>
      <c r="Y24" s="36">
        <f>IF(tblCapas[[#This Row],[Opened]]="","",IF(AND(OR(DashSource="",tblCapas[[#This Row],[Source]]=DashSource),OR(DashOwner="",tblCapas[[#This Row],[Owner]]=DashOwner)),1,0))</f>
        <v>1</v>
      </c>
      <c r="Z24"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4" s="35" t="s">
        <v>137</v>
      </c>
    </row>
    <row r="25" spans="2:27">
      <c r="B25" s="28" t="s">
        <v>181</v>
      </c>
      <c r="C25" s="29">
        <v>46114</v>
      </c>
      <c r="D25" s="28" t="s">
        <v>89</v>
      </c>
      <c r="E25" s="28" t="s">
        <v>133</v>
      </c>
      <c r="F25" s="28" t="s">
        <v>84</v>
      </c>
      <c r="G25" s="28" t="s">
        <v>153</v>
      </c>
      <c r="H25" s="35" t="s">
        <v>182</v>
      </c>
      <c r="I25" s="28" t="s">
        <v>100</v>
      </c>
      <c r="J25" s="29">
        <v>46117</v>
      </c>
      <c r="K25" s="29">
        <v>46125</v>
      </c>
      <c r="L25" s="29">
        <v>46146</v>
      </c>
      <c r="M25" s="29">
        <v>46156</v>
      </c>
      <c r="N25" s="29">
        <v>46160</v>
      </c>
      <c r="O25" s="28" t="s">
        <v>140</v>
      </c>
      <c r="P25" s="29">
        <v>46217</v>
      </c>
      <c r="Q25" s="36">
        <f>IF(tblCapas[[#This Row],[Opened]]="","",IFERROR(INDEX(tblPriorities[Contain within (days)],MATCH(tblCapas[[#This Row],[Priority]],tblPriorities[Priority],0)),""))</f>
        <v>3</v>
      </c>
      <c r="R25" s="36">
        <f>IF(tblCapas[[#This Row],[Opened]]="","",IFERROR(INDEX(tblPriorities[Close within (days)],MATCH(tblCapas[[#This Row],[Priority]],tblPriorities[Priority],0)),""))</f>
        <v>60</v>
      </c>
      <c r="S25" s="37">
        <f>IF(tblCapas[[#This Row],[Opened]]="","",IF(tblCapas[[#This Row],[Close within (days)]]="","",tblCapas[[#This Row],[Opened]]+tblCapas[[#This Row],[Close within (days)]]))</f>
        <v>46174</v>
      </c>
      <c r="T25"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5" s="36">
        <f>IF(tblCapas[[#This Row],[Opened]]="","",IF(N(tblCapas[[#This Row],[Closed]])&gt;0,tblCapas[[#This Row],[Closed]],AsOf)-tblCapas[[#This Row],[Opened]])</f>
        <v>46</v>
      </c>
      <c r="V25" s="39" t="str">
        <f>IF(tblCapas[[#This Row],[Opened]]="","",IF(tblCapas[[#This Row],[Contain within (days)]]="","",IF(N(tblCapas[[#This Row],[Contained]])&gt;0,IF(tblCapas[[#This Row],[Contained]]-tblCapas[[#This Row],[Opened]]&lt;=tblCapas[[#This Row],[Contain within (days)]],"Yes","No"),IF(AsOf-tblCapas[[#This Row],[Opened]]&gt;tblCapas[[#This Row],[Contain within (days)]],"No",""))))</f>
        <v>Yes</v>
      </c>
      <c r="W25" s="39" t="str">
        <f>IF(tblCapas[[#This Row],[Opened]]="","",IF(N(tblCapas[[#This Row],[Closed]])&gt;0,"Complete",IF(tblCapas[[#This Row],[Due]]="","Check",IF(tblCapas[[#This Row],[Due]]&lt;AsOf,"Overdue",IF(tblCapas[[#This Row],[Due]]-AsOf&lt;=DueSoonDays,"Due soon","In progress")))))</f>
        <v>Complete</v>
      </c>
      <c r="X25" s="39" t="str">
        <f>IF(tblCapas[[#This Row],[Opened]]="","",IF(N(tblCapas[[#This Row],[Closed]])=0,"",IF(tblCapas[[#This Row],[Due]]="","",IF(tblCapas[[#This Row],[Closed]]&lt;=tblCapas[[#This Row],[Due]],"Yes","No"))))</f>
        <v>Yes</v>
      </c>
      <c r="Y25" s="36">
        <f>IF(tblCapas[[#This Row],[Opened]]="","",IF(AND(OR(DashSource="",tblCapas[[#This Row],[Source]]=DashSource),OR(DashOwner="",tblCapas[[#This Row],[Owner]]=DashOwner)),1,0))</f>
        <v>1</v>
      </c>
      <c r="Z25"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5" s="35" t="s">
        <v>183</v>
      </c>
    </row>
    <row r="26" spans="2:27">
      <c r="B26" s="28" t="s">
        <v>184</v>
      </c>
      <c r="C26" s="29">
        <v>46118</v>
      </c>
      <c r="D26" s="28" t="s">
        <v>89</v>
      </c>
      <c r="E26" s="28" t="s">
        <v>133</v>
      </c>
      <c r="F26" s="28" t="s">
        <v>82</v>
      </c>
      <c r="G26" s="28" t="s">
        <v>134</v>
      </c>
      <c r="H26" s="35" t="s">
        <v>135</v>
      </c>
      <c r="I26" s="28" t="s">
        <v>106</v>
      </c>
      <c r="J26" s="29">
        <v>46118</v>
      </c>
      <c r="K26" s="29">
        <v>46122</v>
      </c>
      <c r="L26" s="29">
        <v>46127</v>
      </c>
      <c r="M26" s="29">
        <v>46130</v>
      </c>
      <c r="N26" s="29">
        <v>46132</v>
      </c>
      <c r="O26" s="28" t="s">
        <v>140</v>
      </c>
      <c r="P26" s="29">
        <v>46173</v>
      </c>
      <c r="Q26" s="36">
        <f>IF(tblCapas[[#This Row],[Opened]]="","",IFERROR(INDEX(tblPriorities[Contain within (days)],MATCH(tblCapas[[#This Row],[Priority]],tblPriorities[Priority],0)),""))</f>
        <v>1</v>
      </c>
      <c r="R26" s="36">
        <f>IF(tblCapas[[#This Row],[Opened]]="","",IFERROR(INDEX(tblPriorities[Close within (days)],MATCH(tblCapas[[#This Row],[Priority]],tblPriorities[Priority],0)),""))</f>
        <v>30</v>
      </c>
      <c r="S26" s="37">
        <f>IF(tblCapas[[#This Row],[Opened]]="","",IF(tblCapas[[#This Row],[Close within (days)]]="","",tblCapas[[#This Row],[Opened]]+tblCapas[[#This Row],[Close within (days)]]))</f>
        <v>46148</v>
      </c>
      <c r="T26"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6" s="36">
        <f>IF(tblCapas[[#This Row],[Opened]]="","",IF(N(tblCapas[[#This Row],[Closed]])&gt;0,tblCapas[[#This Row],[Closed]],AsOf)-tblCapas[[#This Row],[Opened]])</f>
        <v>14</v>
      </c>
      <c r="V26" s="39" t="str">
        <f>IF(tblCapas[[#This Row],[Opened]]="","",IF(tblCapas[[#This Row],[Contain within (days)]]="","",IF(N(tblCapas[[#This Row],[Contained]])&gt;0,IF(tblCapas[[#This Row],[Contained]]-tblCapas[[#This Row],[Opened]]&lt;=tblCapas[[#This Row],[Contain within (days)]],"Yes","No"),IF(AsOf-tblCapas[[#This Row],[Opened]]&gt;tblCapas[[#This Row],[Contain within (days)]],"No",""))))</f>
        <v>Yes</v>
      </c>
      <c r="W26" s="39" t="str">
        <f>IF(tblCapas[[#This Row],[Opened]]="","",IF(N(tblCapas[[#This Row],[Closed]])&gt;0,"Complete",IF(tblCapas[[#This Row],[Due]]="","Check",IF(tblCapas[[#This Row],[Due]]&lt;AsOf,"Overdue",IF(tblCapas[[#This Row],[Due]]-AsOf&lt;=DueSoonDays,"Due soon","In progress")))))</f>
        <v>Complete</v>
      </c>
      <c r="X26" s="39" t="str">
        <f>IF(tblCapas[[#This Row],[Opened]]="","",IF(N(tblCapas[[#This Row],[Closed]])=0,"",IF(tblCapas[[#This Row],[Due]]="","",IF(tblCapas[[#This Row],[Closed]]&lt;=tblCapas[[#This Row],[Due]],"Yes","No"))))</f>
        <v>Yes</v>
      </c>
      <c r="Y26" s="36">
        <f>IF(tblCapas[[#This Row],[Opened]]="","",IF(AND(OR(DashSource="",tblCapas[[#This Row],[Source]]=DashSource),OR(DashOwner="",tblCapas[[#This Row],[Owner]]=DashOwner)),1,0))</f>
        <v>1</v>
      </c>
      <c r="Z26"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6" s="35" t="s">
        <v>160</v>
      </c>
    </row>
    <row r="27" spans="2:27">
      <c r="B27" s="28" t="s">
        <v>185</v>
      </c>
      <c r="C27" s="29">
        <v>46128</v>
      </c>
      <c r="D27" s="28" t="s">
        <v>91</v>
      </c>
      <c r="E27" s="28" t="s">
        <v>133</v>
      </c>
      <c r="F27" s="28" t="s">
        <v>82</v>
      </c>
      <c r="G27" s="28" t="s">
        <v>146</v>
      </c>
      <c r="H27" s="35" t="s">
        <v>147</v>
      </c>
      <c r="I27" s="28" t="s">
        <v>102</v>
      </c>
      <c r="J27" s="29">
        <v>46129</v>
      </c>
      <c r="K27" s="29">
        <v>46150</v>
      </c>
      <c r="L27" s="29">
        <v>46166</v>
      </c>
      <c r="M27" s="29">
        <v>46178</v>
      </c>
      <c r="N27" s="29">
        <v>46185</v>
      </c>
      <c r="O27" s="28" t="s">
        <v>136</v>
      </c>
      <c r="P27" s="29">
        <v>46241</v>
      </c>
      <c r="Q27" s="36">
        <f>IF(tblCapas[[#This Row],[Opened]]="","",IFERROR(INDEX(tblPriorities[Contain within (days)],MATCH(tblCapas[[#This Row],[Priority]],tblPriorities[Priority],0)),""))</f>
        <v>1</v>
      </c>
      <c r="R27" s="36">
        <f>IF(tblCapas[[#This Row],[Opened]]="","",IFERROR(INDEX(tblPriorities[Close within (days)],MATCH(tblCapas[[#This Row],[Priority]],tblPriorities[Priority],0)),""))</f>
        <v>30</v>
      </c>
      <c r="S27" s="37">
        <f>IF(tblCapas[[#This Row],[Opened]]="","",IF(tblCapas[[#This Row],[Close within (days)]]="","",tblCapas[[#This Row],[Opened]]+tblCapas[[#This Row],[Close within (days)]]))</f>
        <v>46158</v>
      </c>
      <c r="T27"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7" s="36">
        <f>IF(tblCapas[[#This Row],[Opened]]="","",IF(N(tblCapas[[#This Row],[Closed]])&gt;0,tblCapas[[#This Row],[Closed]],AsOf)-tblCapas[[#This Row],[Opened]])</f>
        <v>57</v>
      </c>
      <c r="V27" s="39" t="str">
        <f>IF(tblCapas[[#This Row],[Opened]]="","",IF(tblCapas[[#This Row],[Contain within (days)]]="","",IF(N(tblCapas[[#This Row],[Contained]])&gt;0,IF(tblCapas[[#This Row],[Contained]]-tblCapas[[#This Row],[Opened]]&lt;=tblCapas[[#This Row],[Contain within (days)]],"Yes","No"),IF(AsOf-tblCapas[[#This Row],[Opened]]&gt;tblCapas[[#This Row],[Contain within (days)]],"No",""))))</f>
        <v>Yes</v>
      </c>
      <c r="W27" s="39" t="str">
        <f>IF(tblCapas[[#This Row],[Opened]]="","",IF(N(tblCapas[[#This Row],[Closed]])&gt;0,"Complete",IF(tblCapas[[#This Row],[Due]]="","Check",IF(tblCapas[[#This Row],[Due]]&lt;AsOf,"Overdue",IF(tblCapas[[#This Row],[Due]]-AsOf&lt;=DueSoonDays,"Due soon","In progress")))))</f>
        <v>Complete</v>
      </c>
      <c r="X27" s="39" t="str">
        <f>IF(tblCapas[[#This Row],[Opened]]="","",IF(N(tblCapas[[#This Row],[Closed]])=0,"",IF(tblCapas[[#This Row],[Due]]="","",IF(tblCapas[[#This Row],[Closed]]&lt;=tblCapas[[#This Row],[Due]],"Yes","No"))))</f>
        <v>No</v>
      </c>
      <c r="Y27" s="36">
        <f>IF(tblCapas[[#This Row],[Opened]]="","",IF(AND(OR(DashSource="",tblCapas[[#This Row],[Source]]=DashSource),OR(DashOwner="",tblCapas[[#This Row],[Owner]]=DashOwner)),1,0))</f>
        <v>1</v>
      </c>
      <c r="Z27"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7" s="35" t="s">
        <v>168</v>
      </c>
    </row>
    <row r="28" spans="2:27">
      <c r="B28" s="28" t="s">
        <v>186</v>
      </c>
      <c r="C28" s="29">
        <v>46134</v>
      </c>
      <c r="D28" s="28" t="s">
        <v>89</v>
      </c>
      <c r="E28" s="28" t="s">
        <v>133</v>
      </c>
      <c r="F28" s="28" t="s">
        <v>86</v>
      </c>
      <c r="G28" s="28" t="s">
        <v>164</v>
      </c>
      <c r="H28" s="35" t="s">
        <v>167</v>
      </c>
      <c r="I28" s="28" t="s">
        <v>102</v>
      </c>
      <c r="J28" s="29">
        <v>46136</v>
      </c>
      <c r="K28" s="29">
        <v>46158</v>
      </c>
      <c r="L28" s="29">
        <v>46184</v>
      </c>
      <c r="M28" s="29">
        <v>46204</v>
      </c>
      <c r="N28" s="29">
        <v>46217</v>
      </c>
      <c r="O28" s="28" t="s">
        <v>136</v>
      </c>
      <c r="P28" s="29">
        <v>46249</v>
      </c>
      <c r="Q28" s="36">
        <f>IF(tblCapas[[#This Row],[Opened]]="","",IFERROR(INDEX(tblPriorities[Contain within (days)],MATCH(tblCapas[[#This Row],[Priority]],tblPriorities[Priority],0)),""))</f>
        <v>7</v>
      </c>
      <c r="R28" s="36">
        <f>IF(tblCapas[[#This Row],[Opened]]="","",IFERROR(INDEX(tblPriorities[Close within (days)],MATCH(tblCapas[[#This Row],[Priority]],tblPriorities[Priority],0)),""))</f>
        <v>90</v>
      </c>
      <c r="S28" s="37">
        <f>IF(tblCapas[[#This Row],[Opened]]="","",IF(tblCapas[[#This Row],[Close within (days)]]="","",tblCapas[[#This Row],[Opened]]+tblCapas[[#This Row],[Close within (days)]]))</f>
        <v>46224</v>
      </c>
      <c r="T28"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8" s="36">
        <f>IF(tblCapas[[#This Row],[Opened]]="","",IF(N(tblCapas[[#This Row],[Closed]])&gt;0,tblCapas[[#This Row],[Closed]],AsOf)-tblCapas[[#This Row],[Opened]])</f>
        <v>83</v>
      </c>
      <c r="V28" s="39" t="str">
        <f>IF(tblCapas[[#This Row],[Opened]]="","",IF(tblCapas[[#This Row],[Contain within (days)]]="","",IF(N(tblCapas[[#This Row],[Contained]])&gt;0,IF(tblCapas[[#This Row],[Contained]]-tblCapas[[#This Row],[Opened]]&lt;=tblCapas[[#This Row],[Contain within (days)]],"Yes","No"),IF(AsOf-tblCapas[[#This Row],[Opened]]&gt;tblCapas[[#This Row],[Contain within (days)]],"No",""))))</f>
        <v>Yes</v>
      </c>
      <c r="W28" s="39" t="str">
        <f>IF(tblCapas[[#This Row],[Opened]]="","",IF(N(tblCapas[[#This Row],[Closed]])&gt;0,"Complete",IF(tblCapas[[#This Row],[Due]]="","Check",IF(tblCapas[[#This Row],[Due]]&lt;AsOf,"Overdue",IF(tblCapas[[#This Row],[Due]]-AsOf&lt;=DueSoonDays,"Due soon","In progress")))))</f>
        <v>Complete</v>
      </c>
      <c r="X28" s="39" t="str">
        <f>IF(tblCapas[[#This Row],[Opened]]="","",IF(N(tblCapas[[#This Row],[Closed]])=0,"",IF(tblCapas[[#This Row],[Due]]="","",IF(tblCapas[[#This Row],[Closed]]&lt;=tblCapas[[#This Row],[Due]],"Yes","No"))))</f>
        <v>Yes</v>
      </c>
      <c r="Y28" s="36">
        <f>IF(tblCapas[[#This Row],[Opened]]="","",IF(AND(OR(DashSource="",tblCapas[[#This Row],[Source]]=DashSource),OR(DashOwner="",tblCapas[[#This Row],[Owner]]=DashOwner)),1,0))</f>
        <v>1</v>
      </c>
      <c r="Z28"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8" s="35" t="s">
        <v>183</v>
      </c>
    </row>
    <row r="29" spans="2:27">
      <c r="B29" s="28" t="s">
        <v>187</v>
      </c>
      <c r="C29" s="29">
        <v>46142</v>
      </c>
      <c r="D29" s="28" t="s">
        <v>89</v>
      </c>
      <c r="E29" s="28" t="s">
        <v>133</v>
      </c>
      <c r="F29" s="28" t="s">
        <v>84</v>
      </c>
      <c r="G29" s="28" t="s">
        <v>164</v>
      </c>
      <c r="H29" s="35" t="s">
        <v>167</v>
      </c>
      <c r="I29" s="28" t="s">
        <v>100</v>
      </c>
      <c r="J29" s="29">
        <v>46142</v>
      </c>
      <c r="K29" s="29">
        <v>46151</v>
      </c>
      <c r="L29" s="29">
        <v>46171</v>
      </c>
      <c r="M29" s="29">
        <v>46181</v>
      </c>
      <c r="N29" s="29">
        <v>46184</v>
      </c>
      <c r="O29" s="28" t="s">
        <v>140</v>
      </c>
      <c r="P29" s="29">
        <v>46233</v>
      </c>
      <c r="Q29" s="36">
        <f>IF(tblCapas[[#This Row],[Opened]]="","",IFERROR(INDEX(tblPriorities[Contain within (days)],MATCH(tblCapas[[#This Row],[Priority]],tblPriorities[Priority],0)),""))</f>
        <v>3</v>
      </c>
      <c r="R29" s="36">
        <f>IF(tblCapas[[#This Row],[Opened]]="","",IFERROR(INDEX(tblPriorities[Close within (days)],MATCH(tblCapas[[#This Row],[Priority]],tblPriorities[Priority],0)),""))</f>
        <v>60</v>
      </c>
      <c r="S29" s="37">
        <f>IF(tblCapas[[#This Row],[Opened]]="","",IF(tblCapas[[#This Row],[Close within (days)]]="","",tblCapas[[#This Row],[Opened]]+tblCapas[[#This Row],[Close within (days)]]))</f>
        <v>46202</v>
      </c>
      <c r="T29"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29" s="36">
        <f>IF(tblCapas[[#This Row],[Opened]]="","",IF(N(tblCapas[[#This Row],[Closed]])&gt;0,tblCapas[[#This Row],[Closed]],AsOf)-tblCapas[[#This Row],[Opened]])</f>
        <v>42</v>
      </c>
      <c r="V29" s="39" t="str">
        <f>IF(tblCapas[[#This Row],[Opened]]="","",IF(tblCapas[[#This Row],[Contain within (days)]]="","",IF(N(tblCapas[[#This Row],[Contained]])&gt;0,IF(tblCapas[[#This Row],[Contained]]-tblCapas[[#This Row],[Opened]]&lt;=tblCapas[[#This Row],[Contain within (days)]],"Yes","No"),IF(AsOf-tblCapas[[#This Row],[Opened]]&gt;tblCapas[[#This Row],[Contain within (days)]],"No",""))))</f>
        <v>Yes</v>
      </c>
      <c r="W29" s="39" t="str">
        <f>IF(tblCapas[[#This Row],[Opened]]="","",IF(N(tblCapas[[#This Row],[Closed]])&gt;0,"Complete",IF(tblCapas[[#This Row],[Due]]="","Check",IF(tblCapas[[#This Row],[Due]]&lt;AsOf,"Overdue",IF(tblCapas[[#This Row],[Due]]-AsOf&lt;=DueSoonDays,"Due soon","In progress")))))</f>
        <v>Complete</v>
      </c>
      <c r="X29" s="39" t="str">
        <f>IF(tblCapas[[#This Row],[Opened]]="","",IF(N(tblCapas[[#This Row],[Closed]])=0,"",IF(tblCapas[[#This Row],[Due]]="","",IF(tblCapas[[#This Row],[Closed]]&lt;=tblCapas[[#This Row],[Due]],"Yes","No"))))</f>
        <v>Yes</v>
      </c>
      <c r="Y29" s="36">
        <f>IF(tblCapas[[#This Row],[Opened]]="","",IF(AND(OR(DashSource="",tblCapas[[#This Row],[Source]]=DashSource),OR(DashOwner="",tblCapas[[#This Row],[Owner]]=DashOwner)),1,0))</f>
        <v>1</v>
      </c>
      <c r="Z29"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29" s="35" t="s">
        <v>160</v>
      </c>
    </row>
    <row r="30" spans="2:27">
      <c r="B30" s="28" t="s">
        <v>188</v>
      </c>
      <c r="C30" s="29">
        <v>46148</v>
      </c>
      <c r="D30" s="28" t="s">
        <v>89</v>
      </c>
      <c r="E30" s="28" t="s">
        <v>133</v>
      </c>
      <c r="F30" s="28" t="s">
        <v>84</v>
      </c>
      <c r="G30" s="28" t="s">
        <v>143</v>
      </c>
      <c r="H30" s="35" t="s">
        <v>189</v>
      </c>
      <c r="I30" s="28" t="s">
        <v>100</v>
      </c>
      <c r="J30" s="29">
        <v>46149</v>
      </c>
      <c r="K30" s="29">
        <v>46157</v>
      </c>
      <c r="L30" s="29">
        <v>46183</v>
      </c>
      <c r="M30" s="29">
        <v>46196</v>
      </c>
      <c r="N30" s="29">
        <v>46200</v>
      </c>
      <c r="O30" s="28" t="s">
        <v>140</v>
      </c>
      <c r="P30" s="29">
        <v>46241</v>
      </c>
      <c r="Q30" s="36">
        <f>IF(tblCapas[[#This Row],[Opened]]="","",IFERROR(INDEX(tblPriorities[Contain within (days)],MATCH(tblCapas[[#This Row],[Priority]],tblPriorities[Priority],0)),""))</f>
        <v>3</v>
      </c>
      <c r="R30" s="36">
        <f>IF(tblCapas[[#This Row],[Opened]]="","",IFERROR(INDEX(tblPriorities[Close within (days)],MATCH(tblCapas[[#This Row],[Priority]],tblPriorities[Priority],0)),""))</f>
        <v>60</v>
      </c>
      <c r="S30" s="37">
        <f>IF(tblCapas[[#This Row],[Opened]]="","",IF(tblCapas[[#This Row],[Close within (days)]]="","",tblCapas[[#This Row],[Opened]]+tblCapas[[#This Row],[Close within (days)]]))</f>
        <v>46208</v>
      </c>
      <c r="T30"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0" s="36">
        <f>IF(tblCapas[[#This Row],[Opened]]="","",IF(N(tblCapas[[#This Row],[Closed]])&gt;0,tblCapas[[#This Row],[Closed]],AsOf)-tblCapas[[#This Row],[Opened]])</f>
        <v>52</v>
      </c>
      <c r="V30" s="39" t="str">
        <f>IF(tblCapas[[#This Row],[Opened]]="","",IF(tblCapas[[#This Row],[Contain within (days)]]="","",IF(N(tblCapas[[#This Row],[Contained]])&gt;0,IF(tblCapas[[#This Row],[Contained]]-tblCapas[[#This Row],[Opened]]&lt;=tblCapas[[#This Row],[Contain within (days)]],"Yes","No"),IF(AsOf-tblCapas[[#This Row],[Opened]]&gt;tblCapas[[#This Row],[Contain within (days)]],"No",""))))</f>
        <v>Yes</v>
      </c>
      <c r="W30" s="39" t="str">
        <f>IF(tblCapas[[#This Row],[Opened]]="","",IF(N(tblCapas[[#This Row],[Closed]])&gt;0,"Complete",IF(tblCapas[[#This Row],[Due]]="","Check",IF(tblCapas[[#This Row],[Due]]&lt;AsOf,"Overdue",IF(tblCapas[[#This Row],[Due]]-AsOf&lt;=DueSoonDays,"Due soon","In progress")))))</f>
        <v>Complete</v>
      </c>
      <c r="X30" s="39" t="str">
        <f>IF(tblCapas[[#This Row],[Opened]]="","",IF(N(tblCapas[[#This Row],[Closed]])=0,"",IF(tblCapas[[#This Row],[Due]]="","",IF(tblCapas[[#This Row],[Closed]]&lt;=tblCapas[[#This Row],[Due]],"Yes","No"))))</f>
        <v>Yes</v>
      </c>
      <c r="Y30" s="36">
        <f>IF(tblCapas[[#This Row],[Opened]]="","",IF(AND(OR(DashSource="",tblCapas[[#This Row],[Source]]=DashSource),OR(DashOwner="",tblCapas[[#This Row],[Owner]]=DashOwner)),1,0))</f>
        <v>1</v>
      </c>
      <c r="Z30"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0" s="35" t="s">
        <v>156</v>
      </c>
    </row>
    <row r="31" spans="2:27">
      <c r="B31" s="28" t="s">
        <v>190</v>
      </c>
      <c r="C31" s="29">
        <v>46160</v>
      </c>
      <c r="D31" s="28" t="s">
        <v>93</v>
      </c>
      <c r="E31" s="28" t="s">
        <v>159</v>
      </c>
      <c r="F31" s="28" t="s">
        <v>84</v>
      </c>
      <c r="G31" s="28" t="s">
        <v>149</v>
      </c>
      <c r="H31" s="35" t="s">
        <v>150</v>
      </c>
      <c r="I31" s="28" t="s">
        <v>100</v>
      </c>
      <c r="J31" s="29">
        <v>46163</v>
      </c>
      <c r="K31" s="29">
        <v>46172</v>
      </c>
      <c r="L31" s="29">
        <v>46186</v>
      </c>
      <c r="M31" s="29">
        <v>46194</v>
      </c>
      <c r="N31" s="29">
        <v>46196</v>
      </c>
      <c r="O31" s="28" t="s">
        <v>140</v>
      </c>
      <c r="P31" s="29">
        <v>46238</v>
      </c>
      <c r="Q31" s="36">
        <f>IF(tblCapas[[#This Row],[Opened]]="","",IFERROR(INDEX(tblPriorities[Contain within (days)],MATCH(tblCapas[[#This Row],[Priority]],tblPriorities[Priority],0)),""))</f>
        <v>3</v>
      </c>
      <c r="R31" s="36">
        <f>IF(tblCapas[[#This Row],[Opened]]="","",IFERROR(INDEX(tblPriorities[Close within (days)],MATCH(tblCapas[[#This Row],[Priority]],tblPriorities[Priority],0)),""))</f>
        <v>60</v>
      </c>
      <c r="S31" s="37">
        <f>IF(tblCapas[[#This Row],[Opened]]="","",IF(tblCapas[[#This Row],[Close within (days)]]="","",tblCapas[[#This Row],[Opened]]+tblCapas[[#This Row],[Close within (days)]]))</f>
        <v>46220</v>
      </c>
      <c r="T31"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1" s="36">
        <f>IF(tblCapas[[#This Row],[Opened]]="","",IF(N(tblCapas[[#This Row],[Closed]])&gt;0,tblCapas[[#This Row],[Closed]],AsOf)-tblCapas[[#This Row],[Opened]])</f>
        <v>36</v>
      </c>
      <c r="V31" s="39" t="str">
        <f>IF(tblCapas[[#This Row],[Opened]]="","",IF(tblCapas[[#This Row],[Contain within (days)]]="","",IF(N(tblCapas[[#This Row],[Contained]])&gt;0,IF(tblCapas[[#This Row],[Contained]]-tblCapas[[#This Row],[Opened]]&lt;=tblCapas[[#This Row],[Contain within (days)]],"Yes","No"),IF(AsOf-tblCapas[[#This Row],[Opened]]&gt;tblCapas[[#This Row],[Contain within (days)]],"No",""))))</f>
        <v>Yes</v>
      </c>
      <c r="W31" s="39" t="str">
        <f>IF(tblCapas[[#This Row],[Opened]]="","",IF(N(tblCapas[[#This Row],[Closed]])&gt;0,"Complete",IF(tblCapas[[#This Row],[Due]]="","Check",IF(tblCapas[[#This Row],[Due]]&lt;AsOf,"Overdue",IF(tblCapas[[#This Row],[Due]]-AsOf&lt;=DueSoonDays,"Due soon","In progress")))))</f>
        <v>Complete</v>
      </c>
      <c r="X31" s="39" t="str">
        <f>IF(tblCapas[[#This Row],[Opened]]="","",IF(N(tblCapas[[#This Row],[Closed]])=0,"",IF(tblCapas[[#This Row],[Due]]="","",IF(tblCapas[[#This Row],[Closed]]&lt;=tblCapas[[#This Row],[Due]],"Yes","No"))))</f>
        <v>Yes</v>
      </c>
      <c r="Y31" s="36">
        <f>IF(tblCapas[[#This Row],[Opened]]="","",IF(AND(OR(DashSource="",tblCapas[[#This Row],[Source]]=DashSource),OR(DashOwner="",tblCapas[[#This Row],[Owner]]=DashOwner)),1,0))</f>
        <v>1</v>
      </c>
      <c r="Z31"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1" s="35" t="s">
        <v>191</v>
      </c>
    </row>
    <row r="32" spans="2:27">
      <c r="B32" s="28" t="s">
        <v>192</v>
      </c>
      <c r="C32" s="29">
        <v>46164</v>
      </c>
      <c r="D32" s="28" t="s">
        <v>89</v>
      </c>
      <c r="E32" s="28" t="s">
        <v>133</v>
      </c>
      <c r="F32" s="28" t="s">
        <v>86</v>
      </c>
      <c r="G32" s="28" t="s">
        <v>153</v>
      </c>
      <c r="H32" s="35" t="s">
        <v>182</v>
      </c>
      <c r="I32" s="28" t="s">
        <v>106</v>
      </c>
      <c r="J32" s="29">
        <v>46172</v>
      </c>
      <c r="K32" s="29">
        <v>46191</v>
      </c>
      <c r="L32" s="29">
        <v>46215</v>
      </c>
      <c r="M32" s="29">
        <v>46221</v>
      </c>
      <c r="N32" s="29">
        <v>46225</v>
      </c>
      <c r="O32" s="28" t="s">
        <v>140</v>
      </c>
      <c r="P32" s="29">
        <v>46284</v>
      </c>
      <c r="Q32" s="36">
        <f>IF(tblCapas[[#This Row],[Opened]]="","",IFERROR(INDEX(tblPriorities[Contain within (days)],MATCH(tblCapas[[#This Row],[Priority]],tblPriorities[Priority],0)),""))</f>
        <v>7</v>
      </c>
      <c r="R32" s="36">
        <f>IF(tblCapas[[#This Row],[Opened]]="","",IFERROR(INDEX(tblPriorities[Close within (days)],MATCH(tblCapas[[#This Row],[Priority]],tblPriorities[Priority],0)),""))</f>
        <v>90</v>
      </c>
      <c r="S32" s="37">
        <f>IF(tblCapas[[#This Row],[Opened]]="","",IF(tblCapas[[#This Row],[Close within (days)]]="","",tblCapas[[#This Row],[Opened]]+tblCapas[[#This Row],[Close within (days)]]))</f>
        <v>46254</v>
      </c>
      <c r="T32"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2" s="36">
        <f>IF(tblCapas[[#This Row],[Opened]]="","",IF(N(tblCapas[[#This Row],[Closed]])&gt;0,tblCapas[[#This Row],[Closed]],AsOf)-tblCapas[[#This Row],[Opened]])</f>
        <v>61</v>
      </c>
      <c r="V32" s="39" t="str">
        <f>IF(tblCapas[[#This Row],[Opened]]="","",IF(tblCapas[[#This Row],[Contain within (days)]]="","",IF(N(tblCapas[[#This Row],[Contained]])&gt;0,IF(tblCapas[[#This Row],[Contained]]-tblCapas[[#This Row],[Opened]]&lt;=tblCapas[[#This Row],[Contain within (days)]],"Yes","No"),IF(AsOf-tblCapas[[#This Row],[Opened]]&gt;tblCapas[[#This Row],[Contain within (days)]],"No",""))))</f>
        <v>No</v>
      </c>
      <c r="W32" s="39" t="str">
        <f>IF(tblCapas[[#This Row],[Opened]]="","",IF(N(tblCapas[[#This Row],[Closed]])&gt;0,"Complete",IF(tblCapas[[#This Row],[Due]]="","Check",IF(tblCapas[[#This Row],[Due]]&lt;AsOf,"Overdue",IF(tblCapas[[#This Row],[Due]]-AsOf&lt;=DueSoonDays,"Due soon","In progress")))))</f>
        <v>Complete</v>
      </c>
      <c r="X32" s="39" t="str">
        <f>IF(tblCapas[[#This Row],[Opened]]="","",IF(N(tblCapas[[#This Row],[Closed]])=0,"",IF(tblCapas[[#This Row],[Due]]="","",IF(tblCapas[[#This Row],[Closed]]&lt;=tblCapas[[#This Row],[Due]],"Yes","No"))))</f>
        <v>Yes</v>
      </c>
      <c r="Y32" s="36">
        <f>IF(tblCapas[[#This Row],[Opened]]="","",IF(AND(OR(DashSource="",tblCapas[[#This Row],[Source]]=DashSource),OR(DashOwner="",tblCapas[[#This Row],[Owner]]=DashOwner)),1,0))</f>
        <v>1</v>
      </c>
      <c r="Z32"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2" s="35" t="s">
        <v>137</v>
      </c>
    </row>
    <row r="33" spans="2:27">
      <c r="B33" s="28" t="s">
        <v>193</v>
      </c>
      <c r="C33" s="29">
        <v>46174</v>
      </c>
      <c r="D33" s="28" t="s">
        <v>91</v>
      </c>
      <c r="E33" s="28" t="s">
        <v>133</v>
      </c>
      <c r="F33" s="28" t="s">
        <v>86</v>
      </c>
      <c r="G33" s="28" t="s">
        <v>153</v>
      </c>
      <c r="H33" s="35" t="s">
        <v>194</v>
      </c>
      <c r="I33" s="28" t="s">
        <v>100</v>
      </c>
      <c r="J33" s="29">
        <v>46181</v>
      </c>
      <c r="K33" s="29">
        <v>46195</v>
      </c>
      <c r="L33" s="29">
        <v>46225</v>
      </c>
      <c r="M33" s="29">
        <v>46235</v>
      </c>
      <c r="N33" s="29">
        <v>46240</v>
      </c>
      <c r="O33" s="28" t="s">
        <v>140</v>
      </c>
      <c r="P33" s="29">
        <v>46273</v>
      </c>
      <c r="Q33" s="36">
        <f>IF(tblCapas[[#This Row],[Opened]]="","",IFERROR(INDEX(tblPriorities[Contain within (days)],MATCH(tblCapas[[#This Row],[Priority]],tblPriorities[Priority],0)),""))</f>
        <v>7</v>
      </c>
      <c r="R33" s="36">
        <f>IF(tblCapas[[#This Row],[Opened]]="","",IFERROR(INDEX(tblPriorities[Close within (days)],MATCH(tblCapas[[#This Row],[Priority]],tblPriorities[Priority],0)),""))</f>
        <v>90</v>
      </c>
      <c r="S33" s="37">
        <f>IF(tblCapas[[#This Row],[Opened]]="","",IF(tblCapas[[#This Row],[Close within (days)]]="","",tblCapas[[#This Row],[Opened]]+tblCapas[[#This Row],[Close within (days)]]))</f>
        <v>46264</v>
      </c>
      <c r="T33"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3" s="36">
        <f>IF(tblCapas[[#This Row],[Opened]]="","",IF(N(tblCapas[[#This Row],[Closed]])&gt;0,tblCapas[[#This Row],[Closed]],AsOf)-tblCapas[[#This Row],[Opened]])</f>
        <v>66</v>
      </c>
      <c r="V33" s="39" t="str">
        <f>IF(tblCapas[[#This Row],[Opened]]="","",IF(tblCapas[[#This Row],[Contain within (days)]]="","",IF(N(tblCapas[[#This Row],[Contained]])&gt;0,IF(tblCapas[[#This Row],[Contained]]-tblCapas[[#This Row],[Opened]]&lt;=tblCapas[[#This Row],[Contain within (days)]],"Yes","No"),IF(AsOf-tblCapas[[#This Row],[Opened]]&gt;tblCapas[[#This Row],[Contain within (days)]],"No",""))))</f>
        <v>Yes</v>
      </c>
      <c r="W33" s="39" t="str">
        <f>IF(tblCapas[[#This Row],[Opened]]="","",IF(N(tblCapas[[#This Row],[Closed]])&gt;0,"Complete",IF(tblCapas[[#This Row],[Due]]="","Check",IF(tblCapas[[#This Row],[Due]]&lt;AsOf,"Overdue",IF(tblCapas[[#This Row],[Due]]-AsOf&lt;=DueSoonDays,"Due soon","In progress")))))</f>
        <v>Complete</v>
      </c>
      <c r="X33" s="39" t="str">
        <f>IF(tblCapas[[#This Row],[Opened]]="","",IF(N(tblCapas[[#This Row],[Closed]])=0,"",IF(tblCapas[[#This Row],[Due]]="","",IF(tblCapas[[#This Row],[Closed]]&lt;=tblCapas[[#This Row],[Due]],"Yes","No"))))</f>
        <v>Yes</v>
      </c>
      <c r="Y33" s="36">
        <f>IF(tblCapas[[#This Row],[Opened]]="","",IF(AND(OR(DashSource="",tblCapas[[#This Row],[Source]]=DashSource),OR(DashOwner="",tblCapas[[#This Row],[Owner]]=DashOwner)),1,0))</f>
        <v>1</v>
      </c>
      <c r="Z33"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3" s="35" t="s">
        <v>168</v>
      </c>
    </row>
    <row r="34" spans="2:27">
      <c r="B34" s="28" t="s">
        <v>195</v>
      </c>
      <c r="C34" s="29">
        <v>46181</v>
      </c>
      <c r="D34" s="28" t="s">
        <v>91</v>
      </c>
      <c r="E34" s="28" t="s">
        <v>133</v>
      </c>
      <c r="F34" s="28" t="s">
        <v>84</v>
      </c>
      <c r="G34" s="28" t="s">
        <v>134</v>
      </c>
      <c r="H34" s="35" t="s">
        <v>139</v>
      </c>
      <c r="I34" s="28" t="s">
        <v>106</v>
      </c>
      <c r="J34" s="29">
        <v>46181</v>
      </c>
      <c r="K34" s="29">
        <v>46198</v>
      </c>
      <c r="L34" s="29">
        <v>46226</v>
      </c>
      <c r="M34" s="29">
        <v>46235</v>
      </c>
      <c r="N34" s="29">
        <v>46241</v>
      </c>
      <c r="O34" s="28" t="s">
        <v>140</v>
      </c>
      <c r="P34" s="29">
        <v>46275</v>
      </c>
      <c r="Q34" s="36">
        <f>IF(tblCapas[[#This Row],[Opened]]="","",IFERROR(INDEX(tblPriorities[Contain within (days)],MATCH(tblCapas[[#This Row],[Priority]],tblPriorities[Priority],0)),""))</f>
        <v>3</v>
      </c>
      <c r="R34" s="36">
        <f>IF(tblCapas[[#This Row],[Opened]]="","",IFERROR(INDEX(tblPriorities[Close within (days)],MATCH(tblCapas[[#This Row],[Priority]],tblPriorities[Priority],0)),""))</f>
        <v>60</v>
      </c>
      <c r="S34" s="37">
        <f>IF(tblCapas[[#This Row],[Opened]]="","",IF(tblCapas[[#This Row],[Close within (days)]]="","",tblCapas[[#This Row],[Opened]]+tblCapas[[#This Row],[Close within (days)]]))</f>
        <v>46241</v>
      </c>
      <c r="T34"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4" s="36">
        <f>IF(tblCapas[[#This Row],[Opened]]="","",IF(N(tblCapas[[#This Row],[Closed]])&gt;0,tblCapas[[#This Row],[Closed]],AsOf)-tblCapas[[#This Row],[Opened]])</f>
        <v>60</v>
      </c>
      <c r="V34" s="39" t="str">
        <f>IF(tblCapas[[#This Row],[Opened]]="","",IF(tblCapas[[#This Row],[Contain within (days)]]="","",IF(N(tblCapas[[#This Row],[Contained]])&gt;0,IF(tblCapas[[#This Row],[Contained]]-tblCapas[[#This Row],[Opened]]&lt;=tblCapas[[#This Row],[Contain within (days)]],"Yes","No"),IF(AsOf-tblCapas[[#This Row],[Opened]]&gt;tblCapas[[#This Row],[Contain within (days)]],"No",""))))</f>
        <v>Yes</v>
      </c>
      <c r="W34" s="39" t="str">
        <f>IF(tblCapas[[#This Row],[Opened]]="","",IF(N(tblCapas[[#This Row],[Closed]])&gt;0,"Complete",IF(tblCapas[[#This Row],[Due]]="","Check",IF(tblCapas[[#This Row],[Due]]&lt;AsOf,"Overdue",IF(tblCapas[[#This Row],[Due]]-AsOf&lt;=DueSoonDays,"Due soon","In progress")))))</f>
        <v>Complete</v>
      </c>
      <c r="X34" s="39" t="str">
        <f>IF(tblCapas[[#This Row],[Opened]]="","",IF(N(tblCapas[[#This Row],[Closed]])=0,"",IF(tblCapas[[#This Row],[Due]]="","",IF(tblCapas[[#This Row],[Closed]]&lt;=tblCapas[[#This Row],[Due]],"Yes","No"))))</f>
        <v>Yes</v>
      </c>
      <c r="Y34" s="36">
        <f>IF(tblCapas[[#This Row],[Opened]]="","",IF(AND(OR(DashSource="",tblCapas[[#This Row],[Source]]=DashSource),OR(DashOwner="",tblCapas[[#This Row],[Owner]]=DashOwner)),1,0))</f>
        <v>1</v>
      </c>
      <c r="Z34"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4" s="35" t="s">
        <v>156</v>
      </c>
    </row>
    <row r="35" spans="2:27">
      <c r="B35" s="28" t="s">
        <v>196</v>
      </c>
      <c r="C35" s="29">
        <v>46189</v>
      </c>
      <c r="D35" s="28" t="s">
        <v>91</v>
      </c>
      <c r="E35" s="28" t="s">
        <v>133</v>
      </c>
      <c r="F35" s="28" t="s">
        <v>86</v>
      </c>
      <c r="G35" s="28" t="s">
        <v>146</v>
      </c>
      <c r="H35" s="35" t="s">
        <v>147</v>
      </c>
      <c r="I35" s="28" t="s">
        <v>102</v>
      </c>
      <c r="J35" s="29">
        <v>46189</v>
      </c>
      <c r="K35" s="29">
        <v>46217</v>
      </c>
      <c r="L35" s="29">
        <v>46267</v>
      </c>
      <c r="M35" s="29">
        <v>46289</v>
      </c>
      <c r="N35" s="29"/>
      <c r="O35" s="28"/>
      <c r="P35" s="29"/>
      <c r="Q35" s="36">
        <f>IF(tblCapas[[#This Row],[Opened]]="","",IFERROR(INDEX(tblPriorities[Contain within (days)],MATCH(tblCapas[[#This Row],[Priority]],tblPriorities[Priority],0)),""))</f>
        <v>7</v>
      </c>
      <c r="R35" s="36">
        <f>IF(tblCapas[[#This Row],[Opened]]="","",IFERROR(INDEX(tblPriorities[Close within (days)],MATCH(tblCapas[[#This Row],[Priority]],tblPriorities[Priority],0)),""))</f>
        <v>90</v>
      </c>
      <c r="S35" s="37">
        <f>IF(tblCapas[[#This Row],[Opened]]="","",IF(tblCapas[[#This Row],[Close within (days)]]="","",tblCapas[[#This Row],[Opened]]+tblCapas[[#This Row],[Close within (days)]]))</f>
        <v>46279</v>
      </c>
      <c r="T35"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D8 Close-out</v>
      </c>
      <c r="U35" s="36">
        <f>IF(tblCapas[[#This Row],[Opened]]="","",IF(N(tblCapas[[#This Row],[Closed]])&gt;0,tblCapas[[#This Row],[Closed]],AsOf)-tblCapas[[#This Row],[Opened]])</f>
        <v>115</v>
      </c>
      <c r="V35" s="39" t="str">
        <f>IF(tblCapas[[#This Row],[Opened]]="","",IF(tblCapas[[#This Row],[Contain within (days)]]="","",IF(N(tblCapas[[#This Row],[Contained]])&gt;0,IF(tblCapas[[#This Row],[Contained]]-tblCapas[[#This Row],[Opened]]&lt;=tblCapas[[#This Row],[Contain within (days)]],"Yes","No"),IF(AsOf-tblCapas[[#This Row],[Opened]]&gt;tblCapas[[#This Row],[Contain within (days)]],"No",""))))</f>
        <v>Yes</v>
      </c>
      <c r="W35" s="39" t="str">
        <f>IF(tblCapas[[#This Row],[Opened]]="","",IF(N(tblCapas[[#This Row],[Closed]])&gt;0,"Complete",IF(tblCapas[[#This Row],[Due]]="","Check",IF(tblCapas[[#This Row],[Due]]&lt;AsOf,"Overdue",IF(tblCapas[[#This Row],[Due]]-AsOf&lt;=DueSoonDays,"Due soon","In progress")))))</f>
        <v>Overdue</v>
      </c>
      <c r="X35" s="39">
        <f>IF(tblCapas[[#This Row],[Opened]]="","",IF(N(tblCapas[[#This Row],[Closed]])=0,"",IF(tblCapas[[#This Row],[Due]]="","",IF(tblCapas[[#This Row],[Closed]]&lt;=tblCapas[[#This Row],[Due]],"Yes","No"))))</f>
        <v/>
      </c>
      <c r="Y35" s="36">
        <f>IF(tblCapas[[#This Row],[Opened]]="","",IF(AND(OR(DashSource="",tblCapas[[#This Row],[Source]]=DashSource),OR(DashOwner="",tblCapas[[#This Row],[Owner]]=DashOwner)),1,0))</f>
        <v>1</v>
      </c>
      <c r="Z35"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5" s="35" t="s">
        <v>162</v>
      </c>
    </row>
    <row r="36" spans="2:27">
      <c r="B36" s="28" t="s">
        <v>197</v>
      </c>
      <c r="C36" s="29">
        <v>46195</v>
      </c>
      <c r="D36" s="28" t="s">
        <v>95</v>
      </c>
      <c r="E36" s="28" t="s">
        <v>133</v>
      </c>
      <c r="F36" s="28" t="s">
        <v>82</v>
      </c>
      <c r="G36" s="28" t="s">
        <v>146</v>
      </c>
      <c r="H36" s="35" t="s">
        <v>198</v>
      </c>
      <c r="I36" s="28" t="s">
        <v>104</v>
      </c>
      <c r="J36" s="29">
        <v>46197</v>
      </c>
      <c r="K36" s="29">
        <v>46209</v>
      </c>
      <c r="L36" s="29">
        <v>46215</v>
      </c>
      <c r="M36" s="29">
        <v>46222</v>
      </c>
      <c r="N36" s="29">
        <v>46224</v>
      </c>
      <c r="O36" s="28" t="s">
        <v>140</v>
      </c>
      <c r="P36" s="29">
        <v>46280</v>
      </c>
      <c r="Q36" s="36">
        <f>IF(tblCapas[[#This Row],[Opened]]="","",IFERROR(INDEX(tblPriorities[Contain within (days)],MATCH(tblCapas[[#This Row],[Priority]],tblPriorities[Priority],0)),""))</f>
        <v>1</v>
      </c>
      <c r="R36" s="36">
        <f>IF(tblCapas[[#This Row],[Opened]]="","",IFERROR(INDEX(tblPriorities[Close within (days)],MATCH(tblCapas[[#This Row],[Priority]],tblPriorities[Priority],0)),""))</f>
        <v>30</v>
      </c>
      <c r="S36" s="37">
        <f>IF(tblCapas[[#This Row],[Opened]]="","",IF(tblCapas[[#This Row],[Close within (days)]]="","",tblCapas[[#This Row],[Opened]]+tblCapas[[#This Row],[Close within (days)]]))</f>
        <v>46225</v>
      </c>
      <c r="T36"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6" s="36">
        <f>IF(tblCapas[[#This Row],[Opened]]="","",IF(N(tblCapas[[#This Row],[Closed]])&gt;0,tblCapas[[#This Row],[Closed]],AsOf)-tblCapas[[#This Row],[Opened]])</f>
        <v>29</v>
      </c>
      <c r="V36" s="39" t="str">
        <f>IF(tblCapas[[#This Row],[Opened]]="","",IF(tblCapas[[#This Row],[Contain within (days)]]="","",IF(N(tblCapas[[#This Row],[Contained]])&gt;0,IF(tblCapas[[#This Row],[Contained]]-tblCapas[[#This Row],[Opened]]&lt;=tblCapas[[#This Row],[Contain within (days)]],"Yes","No"),IF(AsOf-tblCapas[[#This Row],[Opened]]&gt;tblCapas[[#This Row],[Contain within (days)]],"No",""))))</f>
        <v>No</v>
      </c>
      <c r="W36" s="39" t="str">
        <f>IF(tblCapas[[#This Row],[Opened]]="","",IF(N(tblCapas[[#This Row],[Closed]])&gt;0,"Complete",IF(tblCapas[[#This Row],[Due]]="","Check",IF(tblCapas[[#This Row],[Due]]&lt;AsOf,"Overdue",IF(tblCapas[[#This Row],[Due]]-AsOf&lt;=DueSoonDays,"Due soon","In progress")))))</f>
        <v>Complete</v>
      </c>
      <c r="X36" s="39" t="str">
        <f>IF(tblCapas[[#This Row],[Opened]]="","",IF(N(tblCapas[[#This Row],[Closed]])=0,"",IF(tblCapas[[#This Row],[Due]]="","",IF(tblCapas[[#This Row],[Closed]]&lt;=tblCapas[[#This Row],[Due]],"Yes","No"))))</f>
        <v>Yes</v>
      </c>
      <c r="Y36" s="36">
        <f>IF(tblCapas[[#This Row],[Opened]]="","",IF(AND(OR(DashSource="",tblCapas[[#This Row],[Source]]=DashSource),OR(DashOwner="",tblCapas[[#This Row],[Owner]]=DashOwner)),1,0))</f>
        <v>1</v>
      </c>
      <c r="Z36"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6" s="35" t="s">
        <v>191</v>
      </c>
    </row>
    <row r="37" spans="2:27">
      <c r="B37" s="28" t="s">
        <v>199</v>
      </c>
      <c r="C37" s="29">
        <v>46202</v>
      </c>
      <c r="D37" s="28" t="s">
        <v>95</v>
      </c>
      <c r="E37" s="28" t="s">
        <v>133</v>
      </c>
      <c r="F37" s="28" t="s">
        <v>86</v>
      </c>
      <c r="G37" s="28" t="s">
        <v>153</v>
      </c>
      <c r="H37" s="35" t="s">
        <v>154</v>
      </c>
      <c r="I37" s="28" t="s">
        <v>104</v>
      </c>
      <c r="J37" s="29">
        <v>46203</v>
      </c>
      <c r="K37" s="29">
        <v>46226</v>
      </c>
      <c r="L37" s="29">
        <v>46260</v>
      </c>
      <c r="M37" s="29">
        <v>46266</v>
      </c>
      <c r="N37" s="29">
        <v>46276</v>
      </c>
      <c r="O37" s="28" t="s">
        <v>200</v>
      </c>
      <c r="P37" s="29"/>
      <c r="Q37" s="36">
        <f>IF(tblCapas[[#This Row],[Opened]]="","",IFERROR(INDEX(tblPriorities[Contain within (days)],MATCH(tblCapas[[#This Row],[Priority]],tblPriorities[Priority],0)),""))</f>
        <v>7</v>
      </c>
      <c r="R37" s="36">
        <f>IF(tblCapas[[#This Row],[Opened]]="","",IFERROR(INDEX(tblPriorities[Close within (days)],MATCH(tblCapas[[#This Row],[Priority]],tblPriorities[Priority],0)),""))</f>
        <v>90</v>
      </c>
      <c r="S37" s="37">
        <f>IF(tblCapas[[#This Row],[Opened]]="","",IF(tblCapas[[#This Row],[Close within (days)]]="","",tblCapas[[#This Row],[Opened]]+tblCapas[[#This Row],[Close within (days)]]))</f>
        <v>46292</v>
      </c>
      <c r="T37"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7" s="36">
        <f>IF(tblCapas[[#This Row],[Opened]]="","",IF(N(tblCapas[[#This Row],[Closed]])&gt;0,tblCapas[[#This Row],[Closed]],AsOf)-tblCapas[[#This Row],[Opened]])</f>
        <v>74</v>
      </c>
      <c r="V37" s="39" t="str">
        <f>IF(tblCapas[[#This Row],[Opened]]="","",IF(tblCapas[[#This Row],[Contain within (days)]]="","",IF(N(tblCapas[[#This Row],[Contained]])&gt;0,IF(tblCapas[[#This Row],[Contained]]-tblCapas[[#This Row],[Opened]]&lt;=tblCapas[[#This Row],[Contain within (days)]],"Yes","No"),IF(AsOf-tblCapas[[#This Row],[Opened]]&gt;tblCapas[[#This Row],[Contain within (days)]],"No",""))))</f>
        <v>Yes</v>
      </c>
      <c r="W37" s="39" t="str">
        <f>IF(tblCapas[[#This Row],[Opened]]="","",IF(N(tblCapas[[#This Row],[Closed]])&gt;0,"Complete",IF(tblCapas[[#This Row],[Due]]="","Check",IF(tblCapas[[#This Row],[Due]]&lt;AsOf,"Overdue",IF(tblCapas[[#This Row],[Due]]-AsOf&lt;=DueSoonDays,"Due soon","In progress")))))</f>
        <v>Complete</v>
      </c>
      <c r="X37" s="39" t="str">
        <f>IF(tblCapas[[#This Row],[Opened]]="","",IF(N(tblCapas[[#This Row],[Closed]])=0,"",IF(tblCapas[[#This Row],[Due]]="","",IF(tblCapas[[#This Row],[Closed]]&lt;=tblCapas[[#This Row],[Due]],"Yes","No"))))</f>
        <v>Yes</v>
      </c>
      <c r="Y37" s="36">
        <f>IF(tblCapas[[#This Row],[Opened]]="","",IF(AND(OR(DashSource="",tblCapas[[#This Row],[Source]]=DashSource),OR(DashOwner="",tblCapas[[#This Row],[Owner]]=DashOwner)),1,0))</f>
        <v>1</v>
      </c>
      <c r="Z37"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7" s="35" t="s">
        <v>183</v>
      </c>
    </row>
    <row r="38" spans="2:27">
      <c r="B38" s="28" t="s">
        <v>201</v>
      </c>
      <c r="C38" s="29">
        <v>46211</v>
      </c>
      <c r="D38" s="28" t="s">
        <v>91</v>
      </c>
      <c r="E38" s="28" t="s">
        <v>133</v>
      </c>
      <c r="F38" s="28" t="s">
        <v>84</v>
      </c>
      <c r="G38" s="28" t="s">
        <v>146</v>
      </c>
      <c r="H38" s="35" t="s">
        <v>147</v>
      </c>
      <c r="I38" s="28" t="s">
        <v>102</v>
      </c>
      <c r="J38" s="29">
        <v>46213</v>
      </c>
      <c r="K38" s="29">
        <v>46223</v>
      </c>
      <c r="L38" s="29"/>
      <c r="M38" s="29"/>
      <c r="N38" s="29"/>
      <c r="O38" s="28"/>
      <c r="P38" s="29"/>
      <c r="Q38" s="36">
        <f>IF(tblCapas[[#This Row],[Opened]]="","",IFERROR(INDEX(tblPriorities[Contain within (days)],MATCH(tblCapas[[#This Row],[Priority]],tblPriorities[Priority],0)),""))</f>
        <v>3</v>
      </c>
      <c r="R38" s="36">
        <f>IF(tblCapas[[#This Row],[Opened]]="","",IFERROR(INDEX(tblPriorities[Close within (days)],MATCH(tblCapas[[#This Row],[Priority]],tblPriorities[Priority],0)),""))</f>
        <v>60</v>
      </c>
      <c r="S38" s="37">
        <f>IF(tblCapas[[#This Row],[Opened]]="","",IF(tblCapas[[#This Row],[Close within (days)]]="","",tblCapas[[#This Row],[Opened]]+tblCapas[[#This Row],[Close within (days)]]))</f>
        <v>46271</v>
      </c>
      <c r="T38"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38" s="36">
        <f>IF(tblCapas[[#This Row],[Opened]]="","",IF(N(tblCapas[[#This Row],[Closed]])&gt;0,tblCapas[[#This Row],[Closed]],AsOf)-tblCapas[[#This Row],[Opened]])</f>
        <v>93</v>
      </c>
      <c r="V38" s="39" t="str">
        <f>IF(tblCapas[[#This Row],[Opened]]="","",IF(tblCapas[[#This Row],[Contain within (days)]]="","",IF(N(tblCapas[[#This Row],[Contained]])&gt;0,IF(tblCapas[[#This Row],[Contained]]-tblCapas[[#This Row],[Opened]]&lt;=tblCapas[[#This Row],[Contain within (days)]],"Yes","No"),IF(AsOf-tblCapas[[#This Row],[Opened]]&gt;tblCapas[[#This Row],[Contain within (days)]],"No",""))))</f>
        <v>Yes</v>
      </c>
      <c r="W38" s="39" t="str">
        <f>IF(tblCapas[[#This Row],[Opened]]="","",IF(N(tblCapas[[#This Row],[Closed]])&gt;0,"Complete",IF(tblCapas[[#This Row],[Due]]="","Check",IF(tblCapas[[#This Row],[Due]]&lt;AsOf,"Overdue",IF(tblCapas[[#This Row],[Due]]-AsOf&lt;=DueSoonDays,"Due soon","In progress")))))</f>
        <v>Overdue</v>
      </c>
      <c r="X38" s="39">
        <f>IF(tblCapas[[#This Row],[Opened]]="","",IF(N(tblCapas[[#This Row],[Closed]])=0,"",IF(tblCapas[[#This Row],[Due]]="","",IF(tblCapas[[#This Row],[Closed]]&lt;=tblCapas[[#This Row],[Due]],"Yes","No"))))</f>
        <v/>
      </c>
      <c r="Y38" s="36">
        <f>IF(tblCapas[[#This Row],[Opened]]="","",IF(AND(OR(DashSource="",tblCapas[[#This Row],[Source]]=DashSource),OR(DashOwner="",tblCapas[[#This Row],[Owner]]=DashOwner)),1,0))</f>
        <v>1</v>
      </c>
      <c r="Z38"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8" s="35" t="s">
        <v>162</v>
      </c>
    </row>
    <row r="39" spans="2:27">
      <c r="B39" s="28" t="s">
        <v>202</v>
      </c>
      <c r="C39" s="29">
        <v>46217</v>
      </c>
      <c r="D39" s="28" t="s">
        <v>95</v>
      </c>
      <c r="E39" s="28" t="s">
        <v>133</v>
      </c>
      <c r="F39" s="28" t="s">
        <v>86</v>
      </c>
      <c r="G39" s="28" t="s">
        <v>143</v>
      </c>
      <c r="H39" s="35" t="s">
        <v>144</v>
      </c>
      <c r="I39" s="28" t="s">
        <v>104</v>
      </c>
      <c r="J39" s="29">
        <v>46218</v>
      </c>
      <c r="K39" s="29">
        <v>46234</v>
      </c>
      <c r="L39" s="29">
        <v>46253</v>
      </c>
      <c r="M39" s="29">
        <v>46262</v>
      </c>
      <c r="N39" s="29">
        <v>46272</v>
      </c>
      <c r="O39" s="28" t="s">
        <v>200</v>
      </c>
      <c r="P39" s="29"/>
      <c r="Q39" s="36">
        <f>IF(tblCapas[[#This Row],[Opened]]="","",IFERROR(INDEX(tblPriorities[Contain within (days)],MATCH(tblCapas[[#This Row],[Priority]],tblPriorities[Priority],0)),""))</f>
        <v>7</v>
      </c>
      <c r="R39" s="36">
        <f>IF(tblCapas[[#This Row],[Opened]]="","",IFERROR(INDEX(tblPriorities[Close within (days)],MATCH(tblCapas[[#This Row],[Priority]],tblPriorities[Priority],0)),""))</f>
        <v>90</v>
      </c>
      <c r="S39" s="37">
        <f>IF(tblCapas[[#This Row],[Opened]]="","",IF(tblCapas[[#This Row],[Close within (days)]]="","",tblCapas[[#This Row],[Opened]]+tblCapas[[#This Row],[Close within (days)]]))</f>
        <v>46307</v>
      </c>
      <c r="T39"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39" s="36">
        <f>IF(tblCapas[[#This Row],[Opened]]="","",IF(N(tblCapas[[#This Row],[Closed]])&gt;0,tblCapas[[#This Row],[Closed]],AsOf)-tblCapas[[#This Row],[Opened]])</f>
        <v>55</v>
      </c>
      <c r="V39" s="39" t="str">
        <f>IF(tblCapas[[#This Row],[Opened]]="","",IF(tblCapas[[#This Row],[Contain within (days)]]="","",IF(N(tblCapas[[#This Row],[Contained]])&gt;0,IF(tblCapas[[#This Row],[Contained]]-tblCapas[[#This Row],[Opened]]&lt;=tblCapas[[#This Row],[Contain within (days)]],"Yes","No"),IF(AsOf-tblCapas[[#This Row],[Opened]]&gt;tblCapas[[#This Row],[Contain within (days)]],"No",""))))</f>
        <v>Yes</v>
      </c>
      <c r="W39" s="39" t="str">
        <f>IF(tblCapas[[#This Row],[Opened]]="","",IF(N(tblCapas[[#This Row],[Closed]])&gt;0,"Complete",IF(tblCapas[[#This Row],[Due]]="","Check",IF(tblCapas[[#This Row],[Due]]&lt;AsOf,"Overdue",IF(tblCapas[[#This Row],[Due]]-AsOf&lt;=DueSoonDays,"Due soon","In progress")))))</f>
        <v>Complete</v>
      </c>
      <c r="X39" s="39" t="str">
        <f>IF(tblCapas[[#This Row],[Opened]]="","",IF(N(tblCapas[[#This Row],[Closed]])=0,"",IF(tblCapas[[#This Row],[Due]]="","",IF(tblCapas[[#This Row],[Closed]]&lt;=tblCapas[[#This Row],[Due]],"Yes","No"))))</f>
        <v>Yes</v>
      </c>
      <c r="Y39" s="36">
        <f>IF(tblCapas[[#This Row],[Opened]]="","",IF(AND(OR(DashSource="",tblCapas[[#This Row],[Source]]=DashSource),OR(DashOwner="",tblCapas[[#This Row],[Owner]]=DashOwner)),1,0))</f>
        <v>1</v>
      </c>
      <c r="Z39"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39" s="35" t="s">
        <v>191</v>
      </c>
    </row>
    <row r="40" spans="2:27">
      <c r="B40" s="28" t="s">
        <v>203</v>
      </c>
      <c r="C40" s="29">
        <v>46225</v>
      </c>
      <c r="D40" s="28" t="s">
        <v>93</v>
      </c>
      <c r="E40" s="28" t="s">
        <v>159</v>
      </c>
      <c r="F40" s="28" t="s">
        <v>86</v>
      </c>
      <c r="G40" s="28" t="s">
        <v>149</v>
      </c>
      <c r="H40" s="35" t="s">
        <v>150</v>
      </c>
      <c r="I40" s="28" t="s">
        <v>100</v>
      </c>
      <c r="J40" s="29">
        <v>46225</v>
      </c>
      <c r="K40" s="29">
        <v>46237</v>
      </c>
      <c r="L40" s="29">
        <v>46249</v>
      </c>
      <c r="M40" s="29">
        <v>46258</v>
      </c>
      <c r="N40" s="29">
        <v>46266</v>
      </c>
      <c r="O40" s="28" t="s">
        <v>200</v>
      </c>
      <c r="P40" s="29"/>
      <c r="Q40" s="36">
        <f>IF(tblCapas[[#This Row],[Opened]]="","",IFERROR(INDEX(tblPriorities[Contain within (days)],MATCH(tblCapas[[#This Row],[Priority]],tblPriorities[Priority],0)),""))</f>
        <v>7</v>
      </c>
      <c r="R40" s="36">
        <f>IF(tblCapas[[#This Row],[Opened]]="","",IFERROR(INDEX(tblPriorities[Close within (days)],MATCH(tblCapas[[#This Row],[Priority]],tblPriorities[Priority],0)),""))</f>
        <v>90</v>
      </c>
      <c r="S40" s="37">
        <f>IF(tblCapas[[#This Row],[Opened]]="","",IF(tblCapas[[#This Row],[Close within (days)]]="","",tblCapas[[#This Row],[Opened]]+tblCapas[[#This Row],[Close within (days)]]))</f>
        <v>46315</v>
      </c>
      <c r="T40"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Closed</v>
      </c>
      <c r="U40" s="36">
        <f>IF(tblCapas[[#This Row],[Opened]]="","",IF(N(tblCapas[[#This Row],[Closed]])&gt;0,tblCapas[[#This Row],[Closed]],AsOf)-tblCapas[[#This Row],[Opened]])</f>
        <v>41</v>
      </c>
      <c r="V40" s="39" t="str">
        <f>IF(tblCapas[[#This Row],[Opened]]="","",IF(tblCapas[[#This Row],[Contain within (days)]]="","",IF(N(tblCapas[[#This Row],[Contained]])&gt;0,IF(tblCapas[[#This Row],[Contained]]-tblCapas[[#This Row],[Opened]]&lt;=tblCapas[[#This Row],[Contain within (days)]],"Yes","No"),IF(AsOf-tblCapas[[#This Row],[Opened]]&gt;tblCapas[[#This Row],[Contain within (days)]],"No",""))))</f>
        <v>Yes</v>
      </c>
      <c r="W40" s="39" t="str">
        <f>IF(tblCapas[[#This Row],[Opened]]="","",IF(N(tblCapas[[#This Row],[Closed]])&gt;0,"Complete",IF(tblCapas[[#This Row],[Due]]="","Check",IF(tblCapas[[#This Row],[Due]]&lt;AsOf,"Overdue",IF(tblCapas[[#This Row],[Due]]-AsOf&lt;=DueSoonDays,"Due soon","In progress")))))</f>
        <v>Complete</v>
      </c>
      <c r="X40" s="39" t="str">
        <f>IF(tblCapas[[#This Row],[Opened]]="","",IF(N(tblCapas[[#This Row],[Closed]])=0,"",IF(tblCapas[[#This Row],[Due]]="","",IF(tblCapas[[#This Row],[Closed]]&lt;=tblCapas[[#This Row],[Due]],"Yes","No"))))</f>
        <v>Yes</v>
      </c>
      <c r="Y40" s="36">
        <f>IF(tblCapas[[#This Row],[Opened]]="","",IF(AND(OR(DashSource="",tblCapas[[#This Row],[Source]]=DashSource),OR(DashOwner="",tblCapas[[#This Row],[Owner]]=DashOwner)),1,0))</f>
        <v>1</v>
      </c>
      <c r="Z40"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0" s="35" t="s">
        <v>137</v>
      </c>
    </row>
    <row r="41" spans="2:27">
      <c r="B41" s="28" t="s">
        <v>204</v>
      </c>
      <c r="C41" s="29">
        <v>46234</v>
      </c>
      <c r="D41" s="28" t="s">
        <v>91</v>
      </c>
      <c r="E41" s="28" t="s">
        <v>133</v>
      </c>
      <c r="F41" s="28" t="s">
        <v>82</v>
      </c>
      <c r="G41" s="28" t="s">
        <v>164</v>
      </c>
      <c r="H41" s="35" t="s">
        <v>179</v>
      </c>
      <c r="I41" s="28" t="s">
        <v>102</v>
      </c>
      <c r="J41" s="29">
        <v>46234</v>
      </c>
      <c r="K41" s="29">
        <v>46244</v>
      </c>
      <c r="L41" s="29"/>
      <c r="M41" s="29"/>
      <c r="N41" s="29"/>
      <c r="O41" s="28"/>
      <c r="P41" s="29"/>
      <c r="Q41" s="36">
        <f>IF(tblCapas[[#This Row],[Opened]]="","",IFERROR(INDEX(tblPriorities[Contain within (days)],MATCH(tblCapas[[#This Row],[Priority]],tblPriorities[Priority],0)),""))</f>
        <v>1</v>
      </c>
      <c r="R41" s="36">
        <f>IF(tblCapas[[#This Row],[Opened]]="","",IFERROR(INDEX(tblPriorities[Close within (days)],MATCH(tblCapas[[#This Row],[Priority]],tblPriorities[Priority],0)),""))</f>
        <v>30</v>
      </c>
      <c r="S41" s="37">
        <f>IF(tblCapas[[#This Row],[Opened]]="","",IF(tblCapas[[#This Row],[Close within (days)]]="","",tblCapas[[#This Row],[Opened]]+tblCapas[[#This Row],[Close within (days)]]))</f>
        <v>46264</v>
      </c>
      <c r="T41"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1" s="36">
        <f>IF(tblCapas[[#This Row],[Opened]]="","",IF(N(tblCapas[[#This Row],[Closed]])&gt;0,tblCapas[[#This Row],[Closed]],AsOf)-tblCapas[[#This Row],[Opened]])</f>
        <v>70</v>
      </c>
      <c r="V41" s="39" t="str">
        <f>IF(tblCapas[[#This Row],[Opened]]="","",IF(tblCapas[[#This Row],[Contain within (days)]]="","",IF(N(tblCapas[[#This Row],[Contained]])&gt;0,IF(tblCapas[[#This Row],[Contained]]-tblCapas[[#This Row],[Opened]]&lt;=tblCapas[[#This Row],[Contain within (days)]],"Yes","No"),IF(AsOf-tblCapas[[#This Row],[Opened]]&gt;tblCapas[[#This Row],[Contain within (days)]],"No",""))))</f>
        <v>Yes</v>
      </c>
      <c r="W41" s="39" t="str">
        <f>IF(tblCapas[[#This Row],[Opened]]="","",IF(N(tblCapas[[#This Row],[Closed]])&gt;0,"Complete",IF(tblCapas[[#This Row],[Due]]="","Check",IF(tblCapas[[#This Row],[Due]]&lt;AsOf,"Overdue",IF(tblCapas[[#This Row],[Due]]-AsOf&lt;=DueSoonDays,"Due soon","In progress")))))</f>
        <v>Overdue</v>
      </c>
      <c r="X41" s="39">
        <f>IF(tblCapas[[#This Row],[Opened]]="","",IF(N(tblCapas[[#This Row],[Closed]])=0,"",IF(tblCapas[[#This Row],[Due]]="","",IF(tblCapas[[#This Row],[Closed]]&lt;=tblCapas[[#This Row],[Due]],"Yes","No"))))</f>
        <v/>
      </c>
      <c r="Y41" s="36">
        <f>IF(tblCapas[[#This Row],[Opened]]="","",IF(AND(OR(DashSource="",tblCapas[[#This Row],[Source]]=DashSource),OR(DashOwner="",tblCapas[[#This Row],[Owner]]=DashOwner)),1,0))</f>
        <v>1</v>
      </c>
      <c r="Z41"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1" s="35" t="s">
        <v>141</v>
      </c>
    </row>
    <row r="42" spans="2:27">
      <c r="B42" s="28" t="s">
        <v>205</v>
      </c>
      <c r="C42" s="29">
        <v>46244</v>
      </c>
      <c r="D42" s="28" t="s">
        <v>91</v>
      </c>
      <c r="E42" s="28" t="s">
        <v>133</v>
      </c>
      <c r="F42" s="28" t="s">
        <v>84</v>
      </c>
      <c r="G42" s="28" t="s">
        <v>146</v>
      </c>
      <c r="H42" s="35" t="s">
        <v>147</v>
      </c>
      <c r="I42" s="28" t="s">
        <v>102</v>
      </c>
      <c r="J42" s="29">
        <v>46246</v>
      </c>
      <c r="K42" s="29">
        <v>46280</v>
      </c>
      <c r="L42" s="29"/>
      <c r="M42" s="29"/>
      <c r="N42" s="29"/>
      <c r="O42" s="28"/>
      <c r="P42" s="29"/>
      <c r="Q42" s="36">
        <f>IF(tblCapas[[#This Row],[Opened]]="","",IFERROR(INDEX(tblPriorities[Contain within (days)],MATCH(tblCapas[[#This Row],[Priority]],tblPriorities[Priority],0)),""))</f>
        <v>3</v>
      </c>
      <c r="R42" s="36">
        <f>IF(tblCapas[[#This Row],[Opened]]="","",IFERROR(INDEX(tblPriorities[Close within (days)],MATCH(tblCapas[[#This Row],[Priority]],tblPriorities[Priority],0)),""))</f>
        <v>60</v>
      </c>
      <c r="S42" s="37">
        <f>IF(tblCapas[[#This Row],[Opened]]="","",IF(tblCapas[[#This Row],[Close within (days)]]="","",tblCapas[[#This Row],[Opened]]+tblCapas[[#This Row],[Close within (days)]]))</f>
        <v>46304</v>
      </c>
      <c r="T42"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2" s="36">
        <f>IF(tblCapas[[#This Row],[Opened]]="","",IF(N(tblCapas[[#This Row],[Closed]])&gt;0,tblCapas[[#This Row],[Closed]],AsOf)-tblCapas[[#This Row],[Opened]])</f>
        <v>60</v>
      </c>
      <c r="V42" s="39" t="str">
        <f>IF(tblCapas[[#This Row],[Opened]]="","",IF(tblCapas[[#This Row],[Contain within (days)]]="","",IF(N(tblCapas[[#This Row],[Contained]])&gt;0,IF(tblCapas[[#This Row],[Contained]]-tblCapas[[#This Row],[Opened]]&lt;=tblCapas[[#This Row],[Contain within (days)]],"Yes","No"),IF(AsOf-tblCapas[[#This Row],[Opened]]&gt;tblCapas[[#This Row],[Contain within (days)]],"No",""))))</f>
        <v>Yes</v>
      </c>
      <c r="W42" s="39" t="str">
        <f>IF(tblCapas[[#This Row],[Opened]]="","",IF(N(tblCapas[[#This Row],[Closed]])&gt;0,"Complete",IF(tblCapas[[#This Row],[Due]]="","Check",IF(tblCapas[[#This Row],[Due]]&lt;AsOf,"Overdue",IF(tblCapas[[#This Row],[Due]]-AsOf&lt;=DueSoonDays,"Due soon","In progress")))))</f>
        <v>Due soon</v>
      </c>
      <c r="X42" s="39">
        <f>IF(tblCapas[[#This Row],[Opened]]="","",IF(N(tblCapas[[#This Row],[Closed]])=0,"",IF(tblCapas[[#This Row],[Due]]="","",IF(tblCapas[[#This Row],[Closed]]&lt;=tblCapas[[#This Row],[Due]],"Yes","No"))))</f>
        <v/>
      </c>
      <c r="Y42" s="36">
        <f>IF(tblCapas[[#This Row],[Opened]]="","",IF(AND(OR(DashSource="",tblCapas[[#This Row],[Source]]=DashSource),OR(DashOwner="",tblCapas[[#This Row],[Owner]]=DashOwner)),1,0))</f>
        <v>1</v>
      </c>
      <c r="Z42"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2" s="35" t="s">
        <v>174</v>
      </c>
    </row>
    <row r="43" spans="2:27">
      <c r="B43" s="28" t="s">
        <v>206</v>
      </c>
      <c r="C43" s="29">
        <v>46251</v>
      </c>
      <c r="D43" s="28" t="s">
        <v>89</v>
      </c>
      <c r="E43" s="28" t="s">
        <v>133</v>
      </c>
      <c r="F43" s="28" t="s">
        <v>84</v>
      </c>
      <c r="G43" s="28" t="s">
        <v>143</v>
      </c>
      <c r="H43" s="35" t="s">
        <v>189</v>
      </c>
      <c r="I43" s="28" t="s">
        <v>102</v>
      </c>
      <c r="J43" s="29">
        <v>46254</v>
      </c>
      <c r="K43" s="29">
        <v>46292</v>
      </c>
      <c r="L43" s="29"/>
      <c r="M43" s="29"/>
      <c r="N43" s="29"/>
      <c r="O43" s="28"/>
      <c r="P43" s="29"/>
      <c r="Q43" s="36">
        <f>IF(tblCapas[[#This Row],[Opened]]="","",IFERROR(INDEX(tblPriorities[Contain within (days)],MATCH(tblCapas[[#This Row],[Priority]],tblPriorities[Priority],0)),""))</f>
        <v>3</v>
      </c>
      <c r="R43" s="36">
        <f>IF(tblCapas[[#This Row],[Opened]]="","",IFERROR(INDEX(tblPriorities[Close within (days)],MATCH(tblCapas[[#This Row],[Priority]],tblPriorities[Priority],0)),""))</f>
        <v>60</v>
      </c>
      <c r="S43" s="37">
        <f>IF(tblCapas[[#This Row],[Opened]]="","",IF(tblCapas[[#This Row],[Close within (days)]]="","",tblCapas[[#This Row],[Opened]]+tblCapas[[#This Row],[Close within (days)]]))</f>
        <v>46311</v>
      </c>
      <c r="T43"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3" s="36">
        <f>IF(tblCapas[[#This Row],[Opened]]="","",IF(N(tblCapas[[#This Row],[Closed]])&gt;0,tblCapas[[#This Row],[Closed]],AsOf)-tblCapas[[#This Row],[Opened]])</f>
        <v>53</v>
      </c>
      <c r="V43" s="39" t="str">
        <f>IF(tblCapas[[#This Row],[Opened]]="","",IF(tblCapas[[#This Row],[Contain within (days)]]="","",IF(N(tblCapas[[#This Row],[Contained]])&gt;0,IF(tblCapas[[#This Row],[Contained]]-tblCapas[[#This Row],[Opened]]&lt;=tblCapas[[#This Row],[Contain within (days)]],"Yes","No"),IF(AsOf-tblCapas[[#This Row],[Opened]]&gt;tblCapas[[#This Row],[Contain within (days)]],"No",""))))</f>
        <v>Yes</v>
      </c>
      <c r="W43" s="39" t="str">
        <f>IF(tblCapas[[#This Row],[Opened]]="","",IF(N(tblCapas[[#This Row],[Closed]])&gt;0,"Complete",IF(tblCapas[[#This Row],[Due]]="","Check",IF(tblCapas[[#This Row],[Due]]&lt;AsOf,"Overdue",IF(tblCapas[[#This Row],[Due]]-AsOf&lt;=DueSoonDays,"Due soon","In progress")))))</f>
        <v>Due soon</v>
      </c>
      <c r="X43" s="39">
        <f>IF(tblCapas[[#This Row],[Opened]]="","",IF(N(tblCapas[[#This Row],[Closed]])=0,"",IF(tblCapas[[#This Row],[Due]]="","",IF(tblCapas[[#This Row],[Closed]]&lt;=tblCapas[[#This Row],[Due]],"Yes","No"))))</f>
        <v/>
      </c>
      <c r="Y43" s="36">
        <f>IF(tblCapas[[#This Row],[Opened]]="","",IF(AND(OR(DashSource="",tblCapas[[#This Row],[Source]]=DashSource),OR(DashOwner="",tblCapas[[#This Row],[Owner]]=DashOwner)),1,0))</f>
        <v>1</v>
      </c>
      <c r="Z43"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3" s="35" t="s">
        <v>183</v>
      </c>
    </row>
    <row r="44" spans="2:27">
      <c r="B44" s="28" t="s">
        <v>207</v>
      </c>
      <c r="C44" s="29">
        <v>46261</v>
      </c>
      <c r="D44" s="28" t="s">
        <v>91</v>
      </c>
      <c r="E44" s="28" t="s">
        <v>133</v>
      </c>
      <c r="F44" s="28" t="s">
        <v>86</v>
      </c>
      <c r="G44" s="28" t="s">
        <v>164</v>
      </c>
      <c r="H44" s="35" t="s">
        <v>179</v>
      </c>
      <c r="I44" s="28" t="s">
        <v>102</v>
      </c>
      <c r="J44" s="29">
        <v>46262</v>
      </c>
      <c r="K44" s="29">
        <v>46282</v>
      </c>
      <c r="L44" s="29"/>
      <c r="M44" s="29"/>
      <c r="N44" s="29"/>
      <c r="O44" s="28"/>
      <c r="P44" s="29"/>
      <c r="Q44" s="36">
        <f>IF(tblCapas[[#This Row],[Opened]]="","",IFERROR(INDEX(tblPriorities[Contain within (days)],MATCH(tblCapas[[#This Row],[Priority]],tblPriorities[Priority],0)),""))</f>
        <v>7</v>
      </c>
      <c r="R44" s="36">
        <f>IF(tblCapas[[#This Row],[Opened]]="","",IFERROR(INDEX(tblPriorities[Close within (days)],MATCH(tblCapas[[#This Row],[Priority]],tblPriorities[Priority],0)),""))</f>
        <v>90</v>
      </c>
      <c r="S44" s="37">
        <f>IF(tblCapas[[#This Row],[Opened]]="","",IF(tblCapas[[#This Row],[Close within (days)]]="","",tblCapas[[#This Row],[Opened]]+tblCapas[[#This Row],[Close within (days)]]))</f>
        <v>46351</v>
      </c>
      <c r="T44"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4" s="36">
        <f>IF(tblCapas[[#This Row],[Opened]]="","",IF(N(tblCapas[[#This Row],[Closed]])&gt;0,tblCapas[[#This Row],[Closed]],AsOf)-tblCapas[[#This Row],[Opened]])</f>
        <v>43</v>
      </c>
      <c r="V44" s="39" t="str">
        <f>IF(tblCapas[[#This Row],[Opened]]="","",IF(tblCapas[[#This Row],[Contain within (days)]]="","",IF(N(tblCapas[[#This Row],[Contained]])&gt;0,IF(tblCapas[[#This Row],[Contained]]-tblCapas[[#This Row],[Opened]]&lt;=tblCapas[[#This Row],[Contain within (days)]],"Yes","No"),IF(AsOf-tblCapas[[#This Row],[Opened]]&gt;tblCapas[[#This Row],[Contain within (days)]],"No",""))))</f>
        <v>Yes</v>
      </c>
      <c r="W44" s="39" t="str">
        <f>IF(tblCapas[[#This Row],[Opened]]="","",IF(N(tblCapas[[#This Row],[Closed]])&gt;0,"Complete",IF(tblCapas[[#This Row],[Due]]="","Check",IF(tblCapas[[#This Row],[Due]]&lt;AsOf,"Overdue",IF(tblCapas[[#This Row],[Due]]-AsOf&lt;=DueSoonDays,"Due soon","In progress")))))</f>
        <v>In progress</v>
      </c>
      <c r="X44" s="39">
        <f>IF(tblCapas[[#This Row],[Opened]]="","",IF(N(tblCapas[[#This Row],[Closed]])=0,"",IF(tblCapas[[#This Row],[Due]]="","",IF(tblCapas[[#This Row],[Closed]]&lt;=tblCapas[[#This Row],[Due]],"Yes","No"))))</f>
        <v/>
      </c>
      <c r="Y44" s="36">
        <f>IF(tblCapas[[#This Row],[Opened]]="","",IF(AND(OR(DashSource="",tblCapas[[#This Row],[Source]]=DashSource),OR(DashOwner="",tblCapas[[#This Row],[Owner]]=DashOwner)),1,0))</f>
        <v>1</v>
      </c>
      <c r="Z44"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4" s="35" t="s">
        <v>162</v>
      </c>
    </row>
    <row r="45" spans="2:27">
      <c r="B45" s="28" t="s">
        <v>208</v>
      </c>
      <c r="C45" s="29">
        <v>46265</v>
      </c>
      <c r="D45" s="28" t="s">
        <v>97</v>
      </c>
      <c r="E45" s="28" t="s">
        <v>133</v>
      </c>
      <c r="F45" s="28" t="s">
        <v>84</v>
      </c>
      <c r="G45" s="28" t="s">
        <v>164</v>
      </c>
      <c r="H45" s="35" t="s">
        <v>165</v>
      </c>
      <c r="I45" s="28" t="s">
        <v>100</v>
      </c>
      <c r="J45" s="29">
        <v>46265</v>
      </c>
      <c r="K45" s="29">
        <v>46276</v>
      </c>
      <c r="L45" s="29"/>
      <c r="M45" s="29"/>
      <c r="N45" s="29"/>
      <c r="O45" s="28"/>
      <c r="P45" s="29"/>
      <c r="Q45" s="36">
        <f>IF(tblCapas[[#This Row],[Opened]]="","",IFERROR(INDEX(tblPriorities[Contain within (days)],MATCH(tblCapas[[#This Row],[Priority]],tblPriorities[Priority],0)),""))</f>
        <v>3</v>
      </c>
      <c r="R45" s="36">
        <f>IF(tblCapas[[#This Row],[Opened]]="","",IFERROR(INDEX(tblPriorities[Close within (days)],MATCH(tblCapas[[#This Row],[Priority]],tblPriorities[Priority],0)),""))</f>
        <v>60</v>
      </c>
      <c r="S45" s="37">
        <f>IF(tblCapas[[#This Row],[Opened]]="","",IF(tblCapas[[#This Row],[Close within (days)]]="","",tblCapas[[#This Row],[Opened]]+tblCapas[[#This Row],[Close within (days)]]))</f>
        <v>46325</v>
      </c>
      <c r="T45"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5" s="36">
        <f>IF(tblCapas[[#This Row],[Opened]]="","",IF(N(tblCapas[[#This Row],[Closed]])&gt;0,tblCapas[[#This Row],[Closed]],AsOf)-tblCapas[[#This Row],[Opened]])</f>
        <v>39</v>
      </c>
      <c r="V45" s="39" t="str">
        <f>IF(tblCapas[[#This Row],[Opened]]="","",IF(tblCapas[[#This Row],[Contain within (days)]]="","",IF(N(tblCapas[[#This Row],[Contained]])&gt;0,IF(tblCapas[[#This Row],[Contained]]-tblCapas[[#This Row],[Opened]]&lt;=tblCapas[[#This Row],[Contain within (days)]],"Yes","No"),IF(AsOf-tblCapas[[#This Row],[Opened]]&gt;tblCapas[[#This Row],[Contain within (days)]],"No",""))))</f>
        <v>Yes</v>
      </c>
      <c r="W45" s="39" t="str">
        <f>IF(tblCapas[[#This Row],[Opened]]="","",IF(N(tblCapas[[#This Row],[Closed]])&gt;0,"Complete",IF(tblCapas[[#This Row],[Due]]="","Check",IF(tblCapas[[#This Row],[Due]]&lt;AsOf,"Overdue",IF(tblCapas[[#This Row],[Due]]-AsOf&lt;=DueSoonDays,"Due soon","In progress")))))</f>
        <v>In progress</v>
      </c>
      <c r="X45" s="39">
        <f>IF(tblCapas[[#This Row],[Opened]]="","",IF(N(tblCapas[[#This Row],[Closed]])=0,"",IF(tblCapas[[#This Row],[Due]]="","",IF(tblCapas[[#This Row],[Closed]]&lt;=tblCapas[[#This Row],[Due]],"Yes","No"))))</f>
        <v/>
      </c>
      <c r="Y45" s="36">
        <f>IF(tblCapas[[#This Row],[Opened]]="","",IF(AND(OR(DashSource="",tblCapas[[#This Row],[Source]]=DashSource),OR(DashOwner="",tblCapas[[#This Row],[Owner]]=DashOwner)),1,0))</f>
        <v>1</v>
      </c>
      <c r="Z45"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5" s="35" t="s">
        <v>141</v>
      </c>
    </row>
    <row r="46" spans="2:27">
      <c r="B46" s="28" t="s">
        <v>209</v>
      </c>
      <c r="C46" s="29">
        <v>46272</v>
      </c>
      <c r="D46" s="28" t="s">
        <v>93</v>
      </c>
      <c r="E46" s="28" t="s">
        <v>159</v>
      </c>
      <c r="F46" s="28" t="s">
        <v>86</v>
      </c>
      <c r="G46" s="28" t="s">
        <v>149</v>
      </c>
      <c r="H46" s="35" t="s">
        <v>210</v>
      </c>
      <c r="I46" s="28" t="s">
        <v>108</v>
      </c>
      <c r="J46" s="29">
        <v>46279</v>
      </c>
      <c r="K46" s="29">
        <v>46291</v>
      </c>
      <c r="L46" s="29"/>
      <c r="M46" s="29"/>
      <c r="N46" s="29"/>
      <c r="O46" s="28"/>
      <c r="P46" s="29"/>
      <c r="Q46" s="36">
        <f>IF(tblCapas[[#This Row],[Opened]]="","",IFERROR(INDEX(tblPriorities[Contain within (days)],MATCH(tblCapas[[#This Row],[Priority]],tblPriorities[Priority],0)),""))</f>
        <v>7</v>
      </c>
      <c r="R46" s="36">
        <f>IF(tblCapas[[#This Row],[Opened]]="","",IFERROR(INDEX(tblPriorities[Close within (days)],MATCH(tblCapas[[#This Row],[Priority]],tblPriorities[Priority],0)),""))</f>
        <v>90</v>
      </c>
      <c r="S46" s="37">
        <f>IF(tblCapas[[#This Row],[Opened]]="","",IF(tblCapas[[#This Row],[Close within (days)]]="","",tblCapas[[#This Row],[Opened]]+tblCapas[[#This Row],[Close within (days)]]))</f>
        <v>46362</v>
      </c>
      <c r="T46"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6" s="36">
        <f>IF(tblCapas[[#This Row],[Opened]]="","",IF(N(tblCapas[[#This Row],[Closed]])&gt;0,tblCapas[[#This Row],[Closed]],AsOf)-tblCapas[[#This Row],[Opened]])</f>
        <v>32</v>
      </c>
      <c r="V46" s="39" t="str">
        <f>IF(tblCapas[[#This Row],[Opened]]="","",IF(tblCapas[[#This Row],[Contain within (days)]]="","",IF(N(tblCapas[[#This Row],[Contained]])&gt;0,IF(tblCapas[[#This Row],[Contained]]-tblCapas[[#This Row],[Opened]]&lt;=tblCapas[[#This Row],[Contain within (days)]],"Yes","No"),IF(AsOf-tblCapas[[#This Row],[Opened]]&gt;tblCapas[[#This Row],[Contain within (days)]],"No",""))))</f>
        <v>Yes</v>
      </c>
      <c r="W46" s="39" t="str">
        <f>IF(tblCapas[[#This Row],[Opened]]="","",IF(N(tblCapas[[#This Row],[Closed]])&gt;0,"Complete",IF(tblCapas[[#This Row],[Due]]="","Check",IF(tblCapas[[#This Row],[Due]]&lt;AsOf,"Overdue",IF(tblCapas[[#This Row],[Due]]-AsOf&lt;=DueSoonDays,"Due soon","In progress")))))</f>
        <v>In progress</v>
      </c>
      <c r="X46" s="39">
        <f>IF(tblCapas[[#This Row],[Opened]]="","",IF(N(tblCapas[[#This Row],[Closed]])=0,"",IF(tblCapas[[#This Row],[Due]]="","",IF(tblCapas[[#This Row],[Closed]]&lt;=tblCapas[[#This Row],[Due]],"Yes","No"))))</f>
        <v/>
      </c>
      <c r="Y46" s="36">
        <f>IF(tblCapas[[#This Row],[Opened]]="","",IF(AND(OR(DashSource="",tblCapas[[#This Row],[Source]]=DashSource),OR(DashOwner="",tblCapas[[#This Row],[Owner]]=DashOwner)),1,0))</f>
        <v>1</v>
      </c>
      <c r="Z46"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6" s="35" t="s">
        <v>162</v>
      </c>
    </row>
    <row r="47" spans="2:27">
      <c r="B47" s="28" t="s">
        <v>211</v>
      </c>
      <c r="C47" s="29">
        <v>46283</v>
      </c>
      <c r="D47" s="28" t="s">
        <v>91</v>
      </c>
      <c r="E47" s="28" t="s">
        <v>133</v>
      </c>
      <c r="F47" s="28" t="s">
        <v>86</v>
      </c>
      <c r="G47" s="28" t="s">
        <v>146</v>
      </c>
      <c r="H47" s="35" t="s">
        <v>147</v>
      </c>
      <c r="I47" s="28" t="s">
        <v>100</v>
      </c>
      <c r="J47" s="29">
        <v>46289</v>
      </c>
      <c r="K47" s="29">
        <v>46301</v>
      </c>
      <c r="L47" s="29"/>
      <c r="M47" s="29"/>
      <c r="N47" s="29"/>
      <c r="O47" s="28"/>
      <c r="P47" s="29"/>
      <c r="Q47" s="36">
        <f>IF(tblCapas[[#This Row],[Opened]]="","",IFERROR(INDEX(tblPriorities[Contain within (days)],MATCH(tblCapas[[#This Row],[Priority]],tblPriorities[Priority],0)),""))</f>
        <v>7</v>
      </c>
      <c r="R47" s="36">
        <f>IF(tblCapas[[#This Row],[Opened]]="","",IFERROR(INDEX(tblPriorities[Close within (days)],MATCH(tblCapas[[#This Row],[Priority]],tblPriorities[Priority],0)),""))</f>
        <v>90</v>
      </c>
      <c r="S47" s="37">
        <f>IF(tblCapas[[#This Row],[Opened]]="","",IF(tblCapas[[#This Row],[Close within (days)]]="","",tblCapas[[#This Row],[Opened]]+tblCapas[[#This Row],[Close within (days)]]))</f>
        <v>46373</v>
      </c>
      <c r="T47"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7" s="36">
        <f>IF(tblCapas[[#This Row],[Opened]]="","",IF(N(tblCapas[[#This Row],[Closed]])&gt;0,tblCapas[[#This Row],[Closed]],AsOf)-tblCapas[[#This Row],[Opened]])</f>
        <v>21</v>
      </c>
      <c r="V47" s="39" t="str">
        <f>IF(tblCapas[[#This Row],[Opened]]="","",IF(tblCapas[[#This Row],[Contain within (days)]]="","",IF(N(tblCapas[[#This Row],[Contained]])&gt;0,IF(tblCapas[[#This Row],[Contained]]-tblCapas[[#This Row],[Opened]]&lt;=tblCapas[[#This Row],[Contain within (days)]],"Yes","No"),IF(AsOf-tblCapas[[#This Row],[Opened]]&gt;tblCapas[[#This Row],[Contain within (days)]],"No",""))))</f>
        <v>Yes</v>
      </c>
      <c r="W47" s="39" t="str">
        <f>IF(tblCapas[[#This Row],[Opened]]="","",IF(N(tblCapas[[#This Row],[Closed]])&gt;0,"Complete",IF(tblCapas[[#This Row],[Due]]="","Check",IF(tblCapas[[#This Row],[Due]]&lt;AsOf,"Overdue",IF(tblCapas[[#This Row],[Due]]-AsOf&lt;=DueSoonDays,"Due soon","In progress")))))</f>
        <v>In progress</v>
      </c>
      <c r="X47" s="39">
        <f>IF(tblCapas[[#This Row],[Opened]]="","",IF(N(tblCapas[[#This Row],[Closed]])=0,"",IF(tblCapas[[#This Row],[Due]]="","",IF(tblCapas[[#This Row],[Closed]]&lt;=tblCapas[[#This Row],[Due]],"Yes","No"))))</f>
        <v/>
      </c>
      <c r="Y47" s="36">
        <f>IF(tblCapas[[#This Row],[Opened]]="","",IF(AND(OR(DashSource="",tblCapas[[#This Row],[Source]]=DashSource),OR(DashOwner="",tblCapas[[#This Row],[Owner]]=DashOwner)),1,0))</f>
        <v>1</v>
      </c>
      <c r="Z47"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7" s="35" t="s">
        <v>156</v>
      </c>
    </row>
    <row r="48" spans="2:27">
      <c r="B48" s="28" t="s">
        <v>212</v>
      </c>
      <c r="C48" s="29">
        <v>46286</v>
      </c>
      <c r="D48" s="28" t="s">
        <v>91</v>
      </c>
      <c r="E48" s="28" t="s">
        <v>133</v>
      </c>
      <c r="F48" s="28" t="s">
        <v>82</v>
      </c>
      <c r="G48" s="28" t="s">
        <v>164</v>
      </c>
      <c r="H48" s="35" t="s">
        <v>179</v>
      </c>
      <c r="I48" s="28" t="s">
        <v>102</v>
      </c>
      <c r="J48" s="29">
        <v>46286</v>
      </c>
      <c r="K48" s="29">
        <v>46292</v>
      </c>
      <c r="L48" s="29"/>
      <c r="M48" s="29"/>
      <c r="N48" s="29"/>
      <c r="O48" s="28"/>
      <c r="P48" s="29"/>
      <c r="Q48" s="36">
        <f>IF(tblCapas[[#This Row],[Opened]]="","",IFERROR(INDEX(tblPriorities[Contain within (days)],MATCH(tblCapas[[#This Row],[Priority]],tblPriorities[Priority],0)),""))</f>
        <v>1</v>
      </c>
      <c r="R48" s="36">
        <f>IF(tblCapas[[#This Row],[Opened]]="","",IFERROR(INDEX(tblPriorities[Close within (days)],MATCH(tblCapas[[#This Row],[Priority]],tblPriorities[Priority],0)),""))</f>
        <v>30</v>
      </c>
      <c r="S48" s="37">
        <f>IF(tblCapas[[#This Row],[Opened]]="","",IF(tblCapas[[#This Row],[Close within (days)]]="","",tblCapas[[#This Row],[Opened]]+tblCapas[[#This Row],[Close within (days)]]))</f>
        <v>46316</v>
      </c>
      <c r="T48"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D5-D6 Corrective action</v>
      </c>
      <c r="U48" s="36">
        <f>IF(tblCapas[[#This Row],[Opened]]="","",IF(N(tblCapas[[#This Row],[Closed]])&gt;0,tblCapas[[#This Row],[Closed]],AsOf)-tblCapas[[#This Row],[Opened]])</f>
        <v>18</v>
      </c>
      <c r="V48" s="39" t="str">
        <f>IF(tblCapas[[#This Row],[Opened]]="","",IF(tblCapas[[#This Row],[Contain within (days)]]="","",IF(N(tblCapas[[#This Row],[Contained]])&gt;0,IF(tblCapas[[#This Row],[Contained]]-tblCapas[[#This Row],[Opened]]&lt;=tblCapas[[#This Row],[Contain within (days)]],"Yes","No"),IF(AsOf-tblCapas[[#This Row],[Opened]]&gt;tblCapas[[#This Row],[Contain within (days)]],"No",""))))</f>
        <v>Yes</v>
      </c>
      <c r="W48" s="39" t="str">
        <f>IF(tblCapas[[#This Row],[Opened]]="","",IF(N(tblCapas[[#This Row],[Closed]])&gt;0,"Complete",IF(tblCapas[[#This Row],[Due]]="","Check",IF(tblCapas[[#This Row],[Due]]&lt;AsOf,"Overdue",IF(tblCapas[[#This Row],[Due]]-AsOf&lt;=DueSoonDays,"Due soon","In progress")))))</f>
        <v>Due soon</v>
      </c>
      <c r="X48" s="39">
        <f>IF(tblCapas[[#This Row],[Opened]]="","",IF(N(tblCapas[[#This Row],[Closed]])=0,"",IF(tblCapas[[#This Row],[Due]]="","",IF(tblCapas[[#This Row],[Closed]]&lt;=tblCapas[[#This Row],[Due]],"Yes","No"))))</f>
        <v/>
      </c>
      <c r="Y48" s="36">
        <f>IF(tblCapas[[#This Row],[Opened]]="","",IF(AND(OR(DashSource="",tblCapas[[#This Row],[Source]]=DashSource),OR(DashOwner="",tblCapas[[#This Row],[Owner]]=DashOwner)),1,0))</f>
        <v>1</v>
      </c>
      <c r="Z48"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8" s="35" t="s">
        <v>160</v>
      </c>
    </row>
    <row r="49" spans="2:27">
      <c r="B49" s="28" t="s">
        <v>213</v>
      </c>
      <c r="C49" s="29">
        <v>46295</v>
      </c>
      <c r="D49" s="28" t="s">
        <v>91</v>
      </c>
      <c r="E49" s="28" t="s">
        <v>133</v>
      </c>
      <c r="F49" s="28" t="s">
        <v>86</v>
      </c>
      <c r="G49" s="28" t="s">
        <v>164</v>
      </c>
      <c r="H49" s="35" t="s">
        <v>179</v>
      </c>
      <c r="I49" s="28" t="s">
        <v>106</v>
      </c>
      <c r="J49" s="29">
        <v>46299</v>
      </c>
      <c r="K49" s="29"/>
      <c r="L49" s="29"/>
      <c r="M49" s="29"/>
      <c r="N49" s="29"/>
      <c r="O49" s="28"/>
      <c r="P49" s="29"/>
      <c r="Q49" s="36">
        <f>IF(tblCapas[[#This Row],[Opened]]="","",IFERROR(INDEX(tblPriorities[Contain within (days)],MATCH(tblCapas[[#This Row],[Priority]],tblPriorities[Priority],0)),""))</f>
        <v>7</v>
      </c>
      <c r="R49" s="36">
        <f>IF(tblCapas[[#This Row],[Opened]]="","",IFERROR(INDEX(tblPriorities[Close within (days)],MATCH(tblCapas[[#This Row],[Priority]],tblPriorities[Priority],0)),""))</f>
        <v>90</v>
      </c>
      <c r="S49" s="37">
        <f>IF(tblCapas[[#This Row],[Opened]]="","",IF(tblCapas[[#This Row],[Close within (days)]]="","",tblCapas[[#This Row],[Opened]]+tblCapas[[#This Row],[Close within (days)]]))</f>
        <v>46385</v>
      </c>
      <c r="T49" s="38" t="str">
        <f>IF(tblCapas[[#This Row],[Opened]]="","",IF(N(tblCapas[[#This Row],[Closed]])&gt;0,"Closed",IF(N(tblCapas[[#This Row],[Recurrence prevented]])&gt;0,"D8 Close-out",IF(N(tblCapas[[#This Row],[Actions implemented]])&gt;0,"D7 Prevent recurrence",IF(N(tblCapas[[#This Row],[Root cause found]])&gt;0,"D5-D6 Corrective action",IF(N(tblCapas[[#This Row],[Contained]])&gt;0,"D4 Root cause","D3 Containment"))))))</f>
        <v>D4 Root cause</v>
      </c>
      <c r="U49" s="36">
        <f>IF(tblCapas[[#This Row],[Opened]]="","",IF(N(tblCapas[[#This Row],[Closed]])&gt;0,tblCapas[[#This Row],[Closed]],AsOf)-tblCapas[[#This Row],[Opened]])</f>
        <v>9</v>
      </c>
      <c r="V49" s="39" t="str">
        <f>IF(tblCapas[[#This Row],[Opened]]="","",IF(tblCapas[[#This Row],[Contain within (days)]]="","",IF(N(tblCapas[[#This Row],[Contained]])&gt;0,IF(tblCapas[[#This Row],[Contained]]-tblCapas[[#This Row],[Opened]]&lt;=tblCapas[[#This Row],[Contain within (days)]],"Yes","No"),IF(AsOf-tblCapas[[#This Row],[Opened]]&gt;tblCapas[[#This Row],[Contain within (days)]],"No",""))))</f>
        <v>Yes</v>
      </c>
      <c r="W49" s="39" t="str">
        <f>IF(tblCapas[[#This Row],[Opened]]="","",IF(N(tblCapas[[#This Row],[Closed]])&gt;0,"Complete",IF(tblCapas[[#This Row],[Due]]="","Check",IF(tblCapas[[#This Row],[Due]]&lt;AsOf,"Overdue",IF(tblCapas[[#This Row],[Due]]-AsOf&lt;=DueSoonDays,"Due soon","In progress")))))</f>
        <v>In progress</v>
      </c>
      <c r="X49" s="39">
        <f>IF(tblCapas[[#This Row],[Opened]]="","",IF(N(tblCapas[[#This Row],[Closed]])=0,"",IF(tblCapas[[#This Row],[Due]]="","",IF(tblCapas[[#This Row],[Closed]]&lt;=tblCapas[[#This Row],[Due]],"Yes","No"))))</f>
        <v/>
      </c>
      <c r="Y49" s="36">
        <f>IF(tblCapas[[#This Row],[Opened]]="","",IF(AND(OR(DashSource="",tblCapas[[#This Row],[Source]]=DashSource),OR(DashOwner="",tblCapas[[#This Row],[Owner]]=DashOwner)),1,0))</f>
        <v>1</v>
      </c>
      <c r="Z49" s="40" t="str">
        <f>IF(tblCapas[[#This Row],[Opened]]="","",IF(tblCapas[[#This Row],[CAPA no.]]="","Missing capa no.",IF(tblCapas[[#This Row],[Source]]="","Missing source",IF(tblCapas[[#This Row],[Owner]]="","Missing owner",IF(COUNTIFS(tblCapas[CAPA no.],tblCapas[[#This Row],[CAPA no.]])&gt;1,"Duplicate CAPA number",IF(tblCapas[[#This Row],[Due]]="","Priority not on Setup list",IF(OR(AND(N(tblCapas[[#This Row],[Contained]])&gt;0,tblCapas[[#This Row],[Contained]]&lt;tblCapas[[#This Row],[Opened]]),AND(N(tblCapas[[#This Row],[Root cause found]])&gt;0,tblCapas[[#This Row],[Root cause found]]&lt;tblCapas[[#This Row],[Opened]]),AND(N(tblCapas[[#This Row],[Actions implemented]])&gt;0,tblCapas[[#This Row],[Actions implemented]]&lt;tblCapas[[#This Row],[Opened]]),AND(N(tblCapas[[#This Row],[Closed]])&gt;0,tblCapas[[#This Row],[Closed]]&lt;tblCapas[[#This Row],[Opened]])),"Date before opened",IF(MAX(tblCapas[[#This Row],[Opened]],tblCapas[[#This Row],[Contained]],tblCapas[[#This Row],[Root cause found]],tblCapas[[#This Row],[Actions implemented]],tblCapas[[#This Row],[Recurrence prevented]],tblCapas[[#This Row],[Closed]],tblCapas[[#This Row],[Verified]])&gt;AsOf,"Date after the status date",IF(AND(N(tblCapas[[#This Row],[Closed]])&gt;0,N(tblCapas[[#This Row],[Actions implemented]])=0),"Closed without actions implemented",IF(AND(OR(tblCapas[[#This Row],[Effectiveness]]="Effective",tblCapas[[#This Row],[Effectiveness]]="Not effective"),N(tblCapas[[#This Row],[Verified]])=0),"Missing verified date",IF(AND(N(tblCapas[[#This Row],[Verified]])&gt;0,N(tblCapas[[#This Row],[Closed]])=0),"Verified before closure","OK")))))))))))</f>
        <v>OK</v>
      </c>
      <c r="AA49" s="35"/>
    </row>
  </sheetData>
  <mergeCells count="3">
    <mergeCell ref="A1:AA1"/>
    <mergeCell ref="B2:Z2"/>
    <mergeCell ref="B4:AA4"/>
  </mergeCells>
  <conditionalFormatting sqref="V6:V54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W6:W54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X6:X549">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Z6:Z549">
    <cfRule type="expression" dxfId="3" priority="61">
      <formula>$Z6="OK"</formula>
    </cfRule>
    <cfRule type="expression" dxfId="1" priority="62">
      <formula>AND($Z6&lt;&gt;"",$Z6&lt;&gt;"OK")</formula>
    </cfRule>
  </conditionalFormatting>
  <dataValidations count="16">
    <dataValidation type="textLength" allowBlank="1" showInputMessage="1" showErrorMessage="1" errorTitle="Check this entry" error="Text up to 20 characters." promptTitle="CAPA no." prompt="Your CAPA or 8D number. Must be unique. Text up to 20 characters." sqref="B6:B549">
      <formula1>0</formula1>
      <formula2>20</formula2>
    </dataValidation>
    <dataValidation type="date" allowBlank="1" showInputMessage="1" showErrorMessage="1" errorTitle="Check this entry" error="Enter a date between 01 Jan 2000 and 31 Dec 2100." promptTitle="Opened" prompt="Date the CAPA was opened (D0/D1: team named). Enter a date between 01 Jan 2000 and 31 Dec 2100." sqref="C6:C549">
      <formula1>36526</formula1>
      <formula2>73415</formula2>
    </dataValidation>
    <dataValidation type="list" allowBlank="1" showInputMessage="1" showErrorMessage="1" errorTitle="Check this entry" error="Pick from the list (edit the list on Setup: Sources)." promptTitle="Source" prompt="Pick from the list (edit the list on Setup: Sources)." sqref="D6:D549">
      <formula1>Sources</formula1>
    </dataValidation>
    <dataValidation type="list" allowBlank="1" showInputMessage="1" showErrorMessage="1" errorTitle="Check this entry" error="Pick one of: Corrective, Preventive." promptTitle="Type" prompt="Corrective: a problem that happened. Preventive: a potential problem. Pick one of: Corrective, Preventive." sqref="E6:E549">
      <formula1>"Corrective,Preventive"</formula1>
    </dataValidation>
    <dataValidation type="list" allowBlank="1" showInputMessage="1" showErrorMessage="1" errorTitle="Check this entry" error="Pick from the list (edit the list on Setup: Priorities)." promptTitle="Priority" prompt="Pick from the list (edit the list on Setup: Priorities)." sqref="F6:F549">
      <formula1>Priorities</formula1>
    </dataValidation>
    <dataValidation type="textLength" allowBlank="1" showInputMessage="1" showErrorMessage="1" errorTitle="Check this entry" error="Text up to 60 characters." promptTitle="Product or process" prompt="Text up to 60 characters." sqref="G6:G549">
      <formula1>0</formula1>
      <formula2>60</formula2>
    </dataValidation>
    <dataValidation type="textLength" allowBlank="1" showInputMessage="1" showErrorMessage="1" errorTitle="Check this entry" error="Text up to 255 characters." promptTitle="Problem statement" prompt="D2: what is wrong with what, where, when and how big, in one sentence. Text up to 255 characters." sqref="H6:H549">
      <formula1>0</formula1>
      <formula2>255</formula2>
    </dataValidation>
    <dataValidation type="list" allowBlank="1" showInputMessage="1" showErrorMessage="1" errorTitle="Check this entry" error="Pick from the list (edit the list on Setup: Owners)." promptTitle="Owner" prompt="Pick from the list (edit the list on Setup: Owners)." sqref="I6:I549">
      <formula1>Owners</formula1>
    </dataValidation>
    <dataValidation type="date" allowBlank="1" showInputMessage="1" showErrorMessage="1" errorTitle="Check this entry" error="Enter a date between 01 Jan 2000 and 31 Dec 2100." promptTitle="Contained" prompt="D3: date interim containment was in place (stock sorted, holds placed). Enter a date between 01 Jan 2000 and 31 Dec 2100." sqref="J6:J549">
      <formula1>36526</formula1>
      <formula2>73415</formula2>
    </dataValidation>
    <dataValidation type="date" allowBlank="1" showInputMessage="1" showErrorMessage="1" errorTitle="Check this entry" error="Enter a date between 01 Jan 2000 and 31 Dec 2100." promptTitle="Root cause found" prompt="D4: date the root cause (and escape point) was confirmed. Enter a date between 01 Jan 2000 and 31 Dec 2100." sqref="K6:K549">
      <formula1>36526</formula1>
      <formula2>73415</formula2>
    </dataValidation>
    <dataValidation type="date" allowBlank="1" showInputMessage="1" showErrorMessage="1" errorTitle="Check this entry" error="Enter a date between 01 Jan 2000 and 31 Dec 2100." promptTitle="Actions implemented" prompt="D5-D6: date the permanent corrective action was implemented and verified. Enter a date between 01 Jan 2000 and 31 Dec 2100." sqref="L6:L549">
      <formula1>36526</formula1>
      <formula2>73415</formula2>
    </dataValidation>
    <dataValidation type="date" allowBlank="1" showInputMessage="1" showErrorMessage="1" errorTitle="Check this entry" error="Enter a date between 01 Jan 2000 and 31 Dec 2100." promptTitle="Recurrence prevented" prompt="D7: date systems were updated (FMEA, control plan, procedures, similar products). Enter a date between 01 Jan 2000 and 31 Dec 2100." sqref="M6:M549">
      <formula1>36526</formula1>
      <formula2>73415</formula2>
    </dataValidation>
    <dataValidation type="date" allowBlank="1" showInputMessage="1" showErrorMessage="1" errorTitle="Check this entry" error="Enter a date between 01 Jan 2000 and 31 Dec 2100." promptTitle="Closed" prompt="D8: date the CAPA was closed and the team recognised. Leave blank while open. Enter a date between 01 Jan 2000 and 31 Dec 2100." sqref="N6:N549">
      <formula1>36526</formula1>
      <formula2>73415</formula2>
    </dataValidation>
    <dataValidation type="list" allowBlank="1" showInputMessage="1" showErrorMessage="1" errorTitle="Check this entry" error="Pick one of: Effective, Not effective, Pending." promptTitle="Effectiveness" prompt="Result of the effectiveness check after closure: did the problem stay away? Pending until checked. Pick one of: Effective, Not effective, Pending." sqref="O6:O549">
      <formula1>"Effective,Not effective,Pending"</formula1>
    </dataValidation>
    <dataValidation type="date" allowBlank="1" showInputMessage="1" showErrorMessage="1" errorTitle="Check this entry" error="Enter a date between 01 Jan 2000 and 31 Dec 2100." promptTitle="Verified" prompt="Date the effectiveness check was completed. Enter a date between 01 Jan 2000 and 31 Dec 2100." sqref="P6:P549">
      <formula1>36526</formula1>
      <formula2>73415</formula2>
    </dataValidation>
    <dataValidation type="textLength" allowBlank="1" showInputMessage="1" showErrorMessage="1" errorTitle="Check this entry" error="Text up to 255 characters." promptTitle="Root cause" prompt="D4 in one line; keep the full analysis (5 whys, fishbone) in your 8D report. Text up to 255 characters." sqref="AA6:AA549">
      <formula1>0</formula1>
      <formula2>255</formula2>
    </dataValidation>
  </dataValidations>
  <hyperlinks>
    <hyperlink ref="AA2" r:id="rId1" tooltip="Free manufacturing calculators and templates"/>
  </hyperlinks>
  <pageMargins left="0.4" right="0.4" top="0.7" bottom="0.65" header="0.3" footer="0.3"/>
  <pageSetup fitToHeight="0" orientation="landscape"/>
  <headerFooter>
    <oddHeader>&amp;L&amp;8MFG Calcs - CAPA and 8D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7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66</v>
      </c>
      <c r="C4" s="28"/>
      <c r="D4" s="28"/>
      <c r="E4" s="28"/>
      <c r="G4" s="27" t="s">
        <v>68</v>
      </c>
      <c r="H4" s="28"/>
      <c r="I4" s="28"/>
      <c r="J4" s="28"/>
    </row>
    <row r="5" spans="1:12" x14ac:dyDescent="0.25">
      <c r="B5" s="41" t="str">
        <f>"Status as of "&amp;TEXT(AsOf,"d mmm yyyy")&amp;" (Setup). Rates cover the 12 months from "&amp;TEXT(EDATE(DATE(YEAR(AsOf),MONTH(AsOf),1),-11),"d mmm yyyy")&amp;". Showing "&amp;COUNTIFS(tblCapas[In view],1)&amp;" CAPAs; leave the filters blank to include everything."</f>
        <v>Status as of 9 Oct 2026 (Setup). Rates cover the 12 months from 1 Nov 2025. Showing 44 CAPAs; leave the filters blank to include everything.</v>
      </c>
      <c r="C5" s="41"/>
      <c r="D5" s="41"/>
      <c r="E5" s="41"/>
      <c r="F5" s="41"/>
      <c r="G5" s="41"/>
      <c r="H5" s="41"/>
      <c r="I5" s="41"/>
      <c r="J5" s="41"/>
      <c r="K5" s="41"/>
      <c r="L5" s="41"/>
    </row>
    <row r="7" spans="1:12" ht="18" customHeight="1" x14ac:dyDescent="0.25">
      <c r="B7" s="42" t="s">
        <v>214</v>
      </c>
      <c r="C7" s="42"/>
      <c r="D7" s="42" t="s">
        <v>215</v>
      </c>
      <c r="E7" s="42"/>
      <c r="F7" s="42"/>
      <c r="G7" s="42" t="s">
        <v>216</v>
      </c>
      <c r="H7" s="42"/>
      <c r="I7" s="42"/>
      <c r="J7" s="42" t="s">
        <v>217</v>
      </c>
      <c r="K7" s="42"/>
      <c r="L7" s="42"/>
    </row>
    <row r="8" spans="1:12" ht="21" customHeight="1" x14ac:dyDescent="0.25">
      <c r="B8" s="43">
        <f>COUNTIFS(tblCapas[In view],1,tblCapas[Opened],"&lt;="&amp;AsOf,tblCapas[Closed],"")</f>
        <v>11</v>
      </c>
      <c r="C8" s="43"/>
      <c r="D8" s="43">
        <f>COUNTIFS(tblCapas[In view],1,tblCapas[Status],"Overdue")</f>
        <v>3</v>
      </c>
      <c r="E8" s="43"/>
      <c r="F8" s="43"/>
      <c r="G8" s="44">
        <f>IF((COUNTIFS(tblCapas[In view],1,tblCapas[Closed],"&gt;="&amp;EDATE(DATE(YEAR(AsOf),MONTH(AsOf),1),-11),tblCapas[Closed],"&lt;="&amp;AsOf))=0,"",(COUNTIFS(tblCapas[In view],1,tblCapas[Closed],"&gt;="&amp;EDATE(DATE(YEAR(AsOf),MONTH(AsOf),1),-11),tblCapas[Closed],"&lt;="&amp;AsOf,tblCapas[On time],"Yes"))/(COUNTIFS(tblCapas[In view],1,tblCapas[Closed],"&gt;="&amp;EDATE(DATE(YEAR(AsOf),MONTH(AsOf),1),-11),tblCapas[Closed],"&lt;="&amp;AsOf)))</f>
        <v>0.757575757575758</v>
      </c>
      <c r="H8" s="44"/>
      <c r="I8" s="44"/>
      <c r="J8" s="44">
        <f>IF((COUNTIFS(tblCapas[In view],1,tblCapas[Verified],"&gt;="&amp;EDATE(DATE(YEAR(AsOf),MONTH(AsOf),1),-11),tblCapas[Verified],"&lt;="&amp;AsOf,tblCapas[Effectiveness],"Effective")+COUNTIFS(tblCapas[In view],1,tblCapas[Verified],"&gt;="&amp;EDATE(DATE(YEAR(AsOf),MONTH(AsOf),1),-11),tblCapas[Verified],"&lt;="&amp;AsOf,tblCapas[Effectiveness],"Not effective"))=0,"",(COUNTIFS(tblCapas[In view],1,tblCapas[Verified],"&gt;="&amp;EDATE(DATE(YEAR(AsOf),MONTH(AsOf),1),-11),tblCapas[Verified],"&lt;="&amp;AsOf,tblCapas[Effectiveness],"Effective"))/(COUNTIFS(tblCapas[In view],1,tblCapas[Verified],"&gt;="&amp;EDATE(DATE(YEAR(AsOf),MONTH(AsOf),1),-11),tblCapas[Verified],"&lt;="&amp;AsOf,tblCapas[Effectiveness],"Effective")+COUNTIFS(tblCapas[In view],1,tblCapas[Verified],"&gt;="&amp;EDATE(DATE(YEAR(AsOf),MONTH(AsOf),1),-11),tblCapas[Verified],"&lt;="&amp;AsOf,tblCapas[Effectiveness],"Not effective")))</f>
        <v>0.8</v>
      </c>
      <c r="K8" s="44"/>
      <c r="L8" s="44"/>
    </row>
    <row r="9" spans="1:12" ht="21" customHeight="1" x14ac:dyDescent="0.25">
      <c r="B9" s="43"/>
      <c r="C9" s="43"/>
      <c r="D9" s="43"/>
      <c r="E9" s="43"/>
      <c r="F9" s="43"/>
      <c r="G9" s="44"/>
      <c r="H9" s="44"/>
      <c r="I9" s="44"/>
      <c r="J9" s="44"/>
      <c r="K9" s="44"/>
      <c r="L9" s="44"/>
    </row>
    <row r="10" spans="1:12" x14ac:dyDescent="0.25">
      <c r="B10" s="45" t="s">
        <v>218</v>
      </c>
      <c r="C10" s="45"/>
      <c r="D10" s="46">
        <f>0</f>
        <v>0</v>
      </c>
      <c r="E10" s="46"/>
      <c r="F10" s="46"/>
      <c r="G10" s="47">
        <f>TargetOnTime</f>
        <v>0.85</v>
      </c>
      <c r="H10" s="47"/>
      <c r="I10" s="47"/>
      <c r="J10" s="47">
        <f>TargetEffective</f>
        <v>0.9</v>
      </c>
      <c r="K10" s="47"/>
      <c r="L10" s="47"/>
    </row>
    <row r="11" spans="1:12" ht="18" customHeight="1" x14ac:dyDescent="0.25">
      <c r="B11" s="48"/>
      <c r="C11" s="48"/>
      <c r="D11" s="48" t="str">
        <f>IF(NOT(ISNUMBER(KpiOverdue)),"No data",IF(KpiOverdue&lt;=(0),"On target",IF(KpiOverdue&lt;=(0)*(1+0.05),"Near target","Above target")))</f>
        <v>Above target</v>
      </c>
      <c r="E11" s="48"/>
      <c r="F11" s="48"/>
      <c r="G11" s="48" t="str">
        <f>IF(NOT(ISNUMBER(KpiOnTime)),"No data",IF(KpiOnTime&gt;=(TargetOnTime),"On target",IF(KpiOnTime&gt;=(TargetOnTime)*(1-0.05),"Near target","Below target")))</f>
        <v>Below target</v>
      </c>
      <c r="H11" s="48"/>
      <c r="I11" s="48"/>
      <c r="J11" s="48" t="str">
        <f>IF(NOT(ISNUMBER(KpiEffective)),"No data",IF(KpiEffective&gt;=(TargetEffective),"On target",IF(KpiEffective&gt;=(TargetEffective)*(1-0.05),"Near target","Below target")))</f>
        <v>Below target</v>
      </c>
      <c r="K11" s="48"/>
      <c r="L11" s="48"/>
    </row>
    <row r="29" spans="2:12" ht="18" customHeight="1" x14ac:dyDescent="0.25">
      <c r="B29" s="42" t="s">
        <v>219</v>
      </c>
      <c r="C29" s="42"/>
      <c r="D29" s="42" t="s">
        <v>220</v>
      </c>
      <c r="E29" s="42"/>
      <c r="F29" s="42"/>
      <c r="G29" s="42" t="s">
        <v>221</v>
      </c>
      <c r="H29" s="42"/>
      <c r="I29" s="42"/>
      <c r="J29" s="42" t="s">
        <v>222</v>
      </c>
      <c r="K29" s="42"/>
      <c r="L29" s="42"/>
    </row>
    <row r="30" spans="2:12" ht="21" customHeight="1" x14ac:dyDescent="0.25">
      <c r="B30" s="43">
        <f>COUNTIFS(tblCapas[In view],1,tblCapas[Opened],"&gt;="&amp;EDATE(DATE(YEAR(AsOf),MONTH(AsOf),1),-11),tblCapas[Opened],"&lt;="&amp;AsOf)</f>
        <v>44</v>
      </c>
      <c r="C30" s="43"/>
      <c r="D30" s="49">
        <f>IF((COUNTIFS(tblCapas[In view],1,tblCapas[Closed],"&gt;="&amp;EDATE(DATE(YEAR(AsOf),MONTH(AsOf),1),-11),tblCapas[Closed],"&lt;="&amp;AsOf))=0,"",(SUMIFS(tblCapas[Days open],tblCapas[In view],1,tblCapas[Closed],"&gt;="&amp;EDATE(DATE(YEAR(AsOf),MONTH(AsOf),1),-11),tblCapas[Closed],"&lt;="&amp;AsOf))/(COUNTIFS(tblCapas[In view],1,tblCapas[Closed],"&gt;="&amp;EDATE(DATE(YEAR(AsOf),MONTH(AsOf),1),-11),tblCapas[Closed],"&lt;="&amp;AsOf)))</f>
        <v>52.8484848484849</v>
      </c>
      <c r="E30" s="49"/>
      <c r="F30" s="49"/>
      <c r="G30" s="44">
        <f>IF((COUNTIFS(tblCapas[In view],1,tblCapas[Opened],"&gt;="&amp;EDATE(DATE(YEAR(AsOf),MONTH(AsOf),1),-11),tblCapas[Opened],"&lt;="&amp;AsOf,tblCapas[Contained on time],"Yes")+COUNTIFS(tblCapas[In view],1,tblCapas[Opened],"&gt;="&amp;EDATE(DATE(YEAR(AsOf),MONTH(AsOf),1),-11),tblCapas[Opened],"&lt;="&amp;AsOf,tblCapas[Contained on time],"No"))=0,"",(COUNTIFS(tblCapas[In view],1,tblCapas[Opened],"&gt;="&amp;EDATE(DATE(YEAR(AsOf),MONTH(AsOf),1),-11),tblCapas[Opened],"&lt;="&amp;AsOf,tblCapas[Contained on time],"Yes"))/(COUNTIFS(tblCapas[In view],1,tblCapas[Opened],"&gt;="&amp;EDATE(DATE(YEAR(AsOf),MONTH(AsOf),1),-11),tblCapas[Opened],"&lt;="&amp;AsOf,tblCapas[Contained on time],"Yes")+COUNTIFS(tblCapas[In view],1,tblCapas[Opened],"&gt;="&amp;EDATE(DATE(YEAR(AsOf),MONTH(AsOf),1),-11),tblCapas[Opened],"&lt;="&amp;AsOf,tblCapas[Contained on time],"No")))</f>
        <v>0.886363636363636</v>
      </c>
      <c r="H30" s="44"/>
      <c r="I30" s="44"/>
      <c r="J30" s="43">
        <f>IF(COUNTIFS(tblCapas[In view],1,tblCapas[Opened],"&lt;="&amp;AsOf,tblCapas[Closed],"")=0,"",SUMPRODUCT(MAX((tblCapas[In view]=1)*(tblCapas[Opened]&gt;0)*(tblCapas[Opened]&lt;=AsOf)*(tblCapas[Closed]="")*(AsOf-tblCapas[Opened]))))</f>
        <v>115</v>
      </c>
      <c r="K30" s="43"/>
      <c r="L30" s="43"/>
    </row>
    <row r="31" spans="2:12" ht="21" customHeight="1" x14ac:dyDescent="0.25">
      <c r="B31" s="43"/>
      <c r="C31" s="43"/>
      <c r="D31" s="49"/>
      <c r="E31" s="49"/>
      <c r="F31" s="49"/>
      <c r="G31" s="44"/>
      <c r="H31" s="44"/>
      <c r="I31" s="44"/>
      <c r="J31" s="43"/>
      <c r="K31" s="43"/>
      <c r="L31" s="43"/>
    </row>
    <row r="32" spans="2:12" x14ac:dyDescent="0.25">
      <c r="B32" s="45" t="s">
        <v>223</v>
      </c>
      <c r="C32" s="45"/>
      <c r="D32" s="45" t="s">
        <v>224</v>
      </c>
      <c r="E32" s="45"/>
      <c r="F32" s="45"/>
      <c r="G32" s="45" t="s">
        <v>225</v>
      </c>
      <c r="H32" s="45"/>
      <c r="I32" s="45"/>
      <c r="J32" s="45" t="s">
        <v>226</v>
      </c>
      <c r="K32" s="45"/>
      <c r="L32" s="45"/>
    </row>
    <row r="33" spans="2:12" ht="18" customHeight="1" x14ac:dyDescent="0.25">
      <c r="B33" s="48"/>
      <c r="C33" s="48"/>
      <c r="D33" s="48"/>
      <c r="E33" s="48"/>
      <c r="F33" s="48"/>
      <c r="G33" s="48"/>
      <c r="H33" s="48"/>
      <c r="I33" s="48"/>
      <c r="J33" s="48"/>
      <c r="K33" s="48"/>
      <c r="L33" s="48"/>
    </row>
    <row r="35" spans="2:12" x14ac:dyDescent="0.25">
      <c r="B35" s="32" t="s">
        <v>227</v>
      </c>
      <c r="C35" s="32"/>
      <c r="D35" s="32"/>
      <c r="E35" s="32"/>
      <c r="F35" s="32"/>
      <c r="G35" s="32"/>
    </row>
    <row r="36" spans="2:12" ht="32" customHeight="1" x14ac:dyDescent="0.25">
      <c r="B36" s="50" t="s">
        <v>68</v>
      </c>
      <c r="C36" s="33" t="s">
        <v>228</v>
      </c>
      <c r="D36" s="33" t="s">
        <v>229</v>
      </c>
      <c r="E36" s="33" t="s">
        <v>230</v>
      </c>
      <c r="F36" s="33" t="s">
        <v>231</v>
      </c>
      <c r="G36" s="33" t="s">
        <v>232</v>
      </c>
    </row>
    <row r="37" spans="2:12" x14ac:dyDescent="0.25">
      <c r="B37" s="51" t="str">
        <f>IFERROR(INDEX(tblOwners[Owner],1)&amp;"","")</f>
        <v>A. Mensah</v>
      </c>
      <c r="C37" s="36">
        <f>IF($B$37="","",COUNTIFS(tblCapas[Owner],$B$37,tblCapas[In view],1,tblCapas[Opened],"&lt;="&amp;AsOf,tblCapas[Closed],""))</f>
        <v>2</v>
      </c>
      <c r="D37" s="36">
        <f>IF($B$37="","",COUNTIFS(tblCapas[Owner],$B$37,tblCapas[In view],1,tblCapas[Status],"Overdue"))</f>
        <v>0</v>
      </c>
      <c r="E37" s="36">
        <f>IF($B$37="","",COUNTIFS(tblCapas[Owner],$B$37,tblCapas[In view],1,tblCapas[Closed],"&gt;="&amp;EDATE(DATE(YEAR(AsOf),MONTH(AsOf),1),-11),tblCapas[Closed],"&lt;="&amp;AsOf))</f>
        <v>12</v>
      </c>
      <c r="F37" s="52">
        <f>IF($B$37="","",IF(($E$37)=0,"",(SUMIFS(tblCapas[Days open],tblCapas[Owner],$B$37,tblCapas[In view],1,tblCapas[Closed],"&gt;="&amp;EDATE(DATE(YEAR(AsOf),MONTH(AsOf),1),-11),tblCapas[Closed],"&lt;="&amp;AsOf))/($E$37)))</f>
        <v>48.9166666666667</v>
      </c>
      <c r="G37" s="53">
        <f>IF($B$37="","",IF(($E$37)=0,"",(COUNTIFS(tblCapas[Owner],$B$37,tblCapas[In view],1,tblCapas[Closed],"&gt;="&amp;EDATE(DATE(YEAR(AsOf),MONTH(AsOf),1),-11),tblCapas[Closed],"&lt;="&amp;AsOf,tblCapas[On time],"Yes"))/($E$37)))</f>
        <v>1</v>
      </c>
    </row>
    <row r="38" spans="2:12" x14ac:dyDescent="0.25">
      <c r="B38" s="51" t="str">
        <f>IFERROR(INDEX(tblOwners[Owner],2)&amp;"","")</f>
        <v>R. Kowalski</v>
      </c>
      <c r="C38" s="36">
        <f>IF($B$38="","",COUNTIFS(tblCapas[Owner],$B$38,tblCapas[In view],1,tblCapas[Opened],"&lt;="&amp;AsOf,tblCapas[Closed],""))</f>
        <v>7</v>
      </c>
      <c r="D38" s="36">
        <f>IF($B$38="","",COUNTIFS(tblCapas[Owner],$B$38,tblCapas[In view],1,tblCapas[Status],"Overdue"))</f>
        <v>3</v>
      </c>
      <c r="E38" s="36">
        <f>IF($B$38="","",COUNTIFS(tblCapas[Owner],$B$38,tblCapas[In view],1,tblCapas[Closed],"&gt;="&amp;EDATE(DATE(YEAR(AsOf),MONTH(AsOf),1),-11),tblCapas[Closed],"&lt;="&amp;AsOf))</f>
        <v>8</v>
      </c>
      <c r="F38" s="52">
        <f>IF($B$38="","",IF(($E$38)=0,"",(SUMIFS(tblCapas[Days open],tblCapas[Owner],$B$38,tblCapas[In view],1,tblCapas[Closed],"&gt;="&amp;EDATE(DATE(YEAR(AsOf),MONTH(AsOf),1),-11),tblCapas[Closed],"&lt;="&amp;AsOf))/($E$38)))</f>
        <v>63.875</v>
      </c>
      <c r="G38" s="53">
        <f>IF($B$38="","",IF(($E$38)=0,"",(COUNTIFS(tblCapas[Owner],$B$38,tblCapas[In view],1,tblCapas[Closed],"&gt;="&amp;EDATE(DATE(YEAR(AsOf),MONTH(AsOf),1),-11),tblCapas[Closed],"&lt;="&amp;AsOf,tblCapas[On time],"Yes"))/($E$38)))</f>
        <v>0.25</v>
      </c>
    </row>
    <row r="39" spans="2:12" x14ac:dyDescent="0.25">
      <c r="B39" s="51" t="str">
        <f>IFERROR(INDEX(tblOwners[Owner],3)&amp;"","")</f>
        <v>S. Iyer</v>
      </c>
      <c r="C39" s="36">
        <f>IF($B$39="","",COUNTIFS(tblCapas[Owner],$B$39,tblCapas[In view],1,tblCapas[Opened],"&lt;="&amp;AsOf,tblCapas[Closed],""))</f>
        <v>0</v>
      </c>
      <c r="D39" s="36">
        <f>IF($B$39="","",COUNTIFS(tblCapas[Owner],$B$39,tblCapas[In view],1,tblCapas[Status],"Overdue"))</f>
        <v>0</v>
      </c>
      <c r="E39" s="36">
        <f>IF($B$39="","",COUNTIFS(tblCapas[Owner],$B$39,tblCapas[In view],1,tblCapas[Closed],"&gt;="&amp;EDATE(DATE(YEAR(AsOf),MONTH(AsOf),1),-11),tblCapas[Closed],"&lt;="&amp;AsOf))</f>
        <v>7</v>
      </c>
      <c r="F39" s="52">
        <f>IF($B$39="","",IF(($E$39)=0,"",(SUMIFS(tblCapas[Days open],tblCapas[Owner],$B$39,tblCapas[In view],1,tblCapas[Closed],"&gt;="&amp;EDATE(DATE(YEAR(AsOf),MONTH(AsOf),1),-11),tblCapas[Closed],"&lt;="&amp;AsOf))/($E$39)))</f>
        <v>55</v>
      </c>
      <c r="G39" s="53">
        <f>IF($B$39="","",IF(($E$39)=0,"",(COUNTIFS(tblCapas[Owner],$B$39,tblCapas[In view],1,tblCapas[Closed],"&gt;="&amp;EDATE(DATE(YEAR(AsOf),MONTH(AsOf),1),-11),tblCapas[Closed],"&lt;="&amp;AsOf,tblCapas[On time],"Yes"))/($E$39)))</f>
        <v>0.714285714285714</v>
      </c>
    </row>
    <row r="40" spans="2:12" x14ac:dyDescent="0.25">
      <c r="B40" s="51" t="str">
        <f>IFERROR(INDEX(tblOwners[Owner],4)&amp;"","")</f>
        <v>J. Ortega</v>
      </c>
      <c r="C40" s="36">
        <f>IF($B$40="","",COUNTIFS(tblCapas[Owner],$B$40,tblCapas[In view],1,tblCapas[Opened],"&lt;="&amp;AsOf,tblCapas[Closed],""))</f>
        <v>1</v>
      </c>
      <c r="D40" s="36">
        <f>IF($B$40="","",COUNTIFS(tblCapas[Owner],$B$40,tblCapas[In view],1,tblCapas[Status],"Overdue"))</f>
        <v>0</v>
      </c>
      <c r="E40" s="36">
        <f>IF($B$40="","",COUNTIFS(tblCapas[Owner],$B$40,tblCapas[In view],1,tblCapas[Closed],"&gt;="&amp;EDATE(DATE(YEAR(AsOf),MONTH(AsOf),1),-11),tblCapas[Closed],"&lt;="&amp;AsOf))</f>
        <v>4</v>
      </c>
      <c r="F40" s="52">
        <f>IF($B$40="","",IF(($E$40)=0,"",(SUMIFS(tblCapas[Days open],tblCapas[Owner],$B$40,tblCapas[In view],1,tblCapas[Closed],"&gt;="&amp;EDATE(DATE(YEAR(AsOf),MONTH(AsOf),1),-11),tblCapas[Closed],"&lt;="&amp;AsOf))/($E$40)))</f>
        <v>41</v>
      </c>
      <c r="G40" s="53">
        <f>IF($B$40="","",IF(($E$40)=0,"",(COUNTIFS(tblCapas[Owner],$B$40,tblCapas[In view],1,tblCapas[Closed],"&gt;="&amp;EDATE(DATE(YEAR(AsOf),MONTH(AsOf),1),-11),tblCapas[Closed],"&lt;="&amp;AsOf,tblCapas[On time],"Yes"))/($E$40)))</f>
        <v>1</v>
      </c>
    </row>
    <row r="41" spans="2:12" x14ac:dyDescent="0.25">
      <c r="B41" s="51" t="str">
        <f>IFERROR(INDEX(tblOwners[Owner],5)&amp;"","")</f>
        <v>M. Chen</v>
      </c>
      <c r="C41" s="36">
        <f>IF($B$41="","",COUNTIFS(tblCapas[Owner],$B$41,tblCapas[In view],1,tblCapas[Opened],"&lt;="&amp;AsOf,tblCapas[Closed],""))</f>
        <v>1</v>
      </c>
      <c r="D41" s="36">
        <f>IF($B$41="","",COUNTIFS(tblCapas[Owner],$B$41,tblCapas[In view],1,tblCapas[Status],"Overdue"))</f>
        <v>0</v>
      </c>
      <c r="E41" s="36">
        <f>IF($B$41="","",COUNTIFS(tblCapas[Owner],$B$41,tblCapas[In view],1,tblCapas[Closed],"&gt;="&amp;EDATE(DATE(YEAR(AsOf),MONTH(AsOf),1),-11),tblCapas[Closed],"&lt;="&amp;AsOf))</f>
        <v>2</v>
      </c>
      <c r="F41" s="52">
        <f>IF($B$41="","",IF(($E$41)=0,"",(SUMIFS(tblCapas[Days open],tblCapas[Owner],$B$41,tblCapas[In view],1,tblCapas[Closed],"&gt;="&amp;EDATE(DATE(YEAR(AsOf),MONTH(AsOf),1),-11),tblCapas[Closed],"&lt;="&amp;AsOf))/($E$41)))</f>
        <v>48.5</v>
      </c>
      <c r="G41" s="53">
        <f>IF($B$41="","",IF(($E$41)=0,"",(COUNTIFS(tblCapas[Owner],$B$41,tblCapas[In view],1,tblCapas[Closed],"&gt;="&amp;EDATE(DATE(YEAR(AsOf),MONTH(AsOf),1),-11),tblCapas[Closed],"&lt;="&amp;AsOf,tblCapas[On time],"Yes"))/($E$41)))</f>
        <v>1</v>
      </c>
    </row>
    <row r="50" spans="2:43" x14ac:dyDescent="0.25">
      <c r="B50" s="32" t="s">
        <v>233</v>
      </c>
      <c r="C50" s="32"/>
      <c r="D50" s="32"/>
      <c r="E50" s="32"/>
      <c r="F50" s="32"/>
      <c r="G50" s="32"/>
    </row>
    <row r="51" spans="2:43" ht="32" customHeight="1" x14ac:dyDescent="0.25">
      <c r="B51" s="50" t="s">
        <v>234</v>
      </c>
      <c r="C51" s="33" t="s">
        <v>228</v>
      </c>
      <c r="D51" s="33" t="s">
        <v>229</v>
      </c>
      <c r="E51" s="33" t="s">
        <v>235</v>
      </c>
      <c r="F51" s="33" t="s">
        <v>236</v>
      </c>
      <c r="G51" s="33" t="s">
        <v>237</v>
      </c>
    </row>
    <row r="52" spans="2:43" x14ac:dyDescent="0.25">
      <c r="B52" s="51" t="s">
        <v>238</v>
      </c>
      <c r="C52" s="36">
        <f>COUNTIFS(tblCapas[In view],1,tblCapas[Opened],"&lt;="&amp;AsOf,tblCapas[Closed],"",tblCapas[Stage],$B$52)</f>
        <v>0</v>
      </c>
      <c r="D52" s="36">
        <f>COUNTIFS(tblCapas[In view],1,tblCapas[Opened],"&lt;="&amp;AsOf,tblCapas[Closed],"",tblCapas[Stage],$B$52,tblCapas[Status],"Overdue")</f>
        <v>0</v>
      </c>
      <c r="E52" s="36">
        <f>COUNTIFS(tblCapas[In view],1,tblCapas[Opened],"&lt;="&amp;AsOf,tblCapas[Closed],"",tblCapas[Stage],$B$52,tblCapas[Status],"Due soon")</f>
        <v>0</v>
      </c>
      <c r="F52" s="36">
        <f>$C$52-$D$52-$E$52</f>
        <v>0</v>
      </c>
      <c r="G52" s="52">
        <f>IF(($C$52)=0,"",(SUMIFS(tblCapas[Days open],tblCapas[In view],1,tblCapas[Opened],"&lt;="&amp;AsOf,tblCapas[Closed],"",tblCapas[Stage],$B$52))/($C$52))</f>
        <v/>
      </c>
    </row>
    <row r="53" spans="2:43" x14ac:dyDescent="0.25">
      <c r="B53" s="51" t="s">
        <v>239</v>
      </c>
      <c r="C53" s="36">
        <f>COUNTIFS(tblCapas[In view],1,tblCapas[Opened],"&lt;="&amp;AsOf,tblCapas[Closed],"",tblCapas[Stage],$B$53)</f>
        <v>1</v>
      </c>
      <c r="D53" s="36">
        <f>COUNTIFS(tblCapas[In view],1,tblCapas[Opened],"&lt;="&amp;AsOf,tblCapas[Closed],"",tblCapas[Stage],$B$53,tblCapas[Status],"Overdue")</f>
        <v>0</v>
      </c>
      <c r="E53" s="36">
        <f>COUNTIFS(tblCapas[In view],1,tblCapas[Opened],"&lt;="&amp;AsOf,tblCapas[Closed],"",tblCapas[Stage],$B$53,tblCapas[Status],"Due soon")</f>
        <v>0</v>
      </c>
      <c r="F53" s="36">
        <f>$C$53-$D$53-$E$53</f>
        <v>1</v>
      </c>
      <c r="G53" s="52">
        <f>IF(($C$53)=0,"",(SUMIFS(tblCapas[Days open],tblCapas[In view],1,tblCapas[Opened],"&lt;="&amp;AsOf,tblCapas[Closed],"",tblCapas[Stage],$B$53))/($C$53))</f>
        <v>9</v>
      </c>
    </row>
    <row r="54" spans="2:43" x14ac:dyDescent="0.25">
      <c r="B54" s="51" t="s">
        <v>240</v>
      </c>
      <c r="C54" s="36">
        <f>COUNTIFS(tblCapas[In view],1,tblCapas[Opened],"&lt;="&amp;AsOf,tblCapas[Closed],"",tblCapas[Stage],$B$54)</f>
        <v>9</v>
      </c>
      <c r="D54" s="36">
        <f>COUNTIFS(tblCapas[In view],1,tblCapas[Opened],"&lt;="&amp;AsOf,tblCapas[Closed],"",tblCapas[Stage],$B$54,tblCapas[Status],"Overdue")</f>
        <v>2</v>
      </c>
      <c r="E54" s="36">
        <f>COUNTIFS(tblCapas[In view],1,tblCapas[Opened],"&lt;="&amp;AsOf,tblCapas[Closed],"",tblCapas[Stage],$B$54,tblCapas[Status],"Due soon")</f>
        <v>3</v>
      </c>
      <c r="F54" s="36">
        <f>$C$54-$D$54-$E$54</f>
        <v>4</v>
      </c>
      <c r="G54" s="52">
        <f>IF(($C$54)=0,"",(SUMIFS(tblCapas[Days open],tblCapas[In view],1,tblCapas[Opened],"&lt;="&amp;AsOf,tblCapas[Closed],"",tblCapas[Stage],$B$54))/($C$54))</f>
        <v>47.6666666666667</v>
      </c>
    </row>
    <row r="55" spans="2:43" x14ac:dyDescent="0.25">
      <c r="B55" s="51" t="s">
        <v>241</v>
      </c>
      <c r="C55" s="36">
        <f>COUNTIFS(tblCapas[In view],1,tblCapas[Opened],"&lt;="&amp;AsOf,tblCapas[Closed],"",tblCapas[Stage],$B$55)</f>
        <v>0</v>
      </c>
      <c r="D55" s="36">
        <f>COUNTIFS(tblCapas[In view],1,tblCapas[Opened],"&lt;="&amp;AsOf,tblCapas[Closed],"",tblCapas[Stage],$B$55,tblCapas[Status],"Overdue")</f>
        <v>0</v>
      </c>
      <c r="E55" s="36">
        <f>COUNTIFS(tblCapas[In view],1,tblCapas[Opened],"&lt;="&amp;AsOf,tblCapas[Closed],"",tblCapas[Stage],$B$55,tblCapas[Status],"Due soon")</f>
        <v>0</v>
      </c>
      <c r="F55" s="36">
        <f>$C$55-$D$55-$E$55</f>
        <v>0</v>
      </c>
      <c r="G55" s="52">
        <f>IF(($C$55)=0,"",(SUMIFS(tblCapas[Days open],tblCapas[In view],1,tblCapas[Opened],"&lt;="&amp;AsOf,tblCapas[Closed],"",tblCapas[Stage],$B$55))/($C$55))</f>
        <v/>
      </c>
    </row>
    <row r="56" spans="2:43" x14ac:dyDescent="0.25">
      <c r="B56" s="51" t="s">
        <v>242</v>
      </c>
      <c r="C56" s="36">
        <f>COUNTIFS(tblCapas[In view],1,tblCapas[Opened],"&lt;="&amp;AsOf,tblCapas[Closed],"",tblCapas[Stage],$B$56)</f>
        <v>1</v>
      </c>
      <c r="D56" s="36">
        <f>COUNTIFS(tblCapas[In view],1,tblCapas[Opened],"&lt;="&amp;AsOf,tblCapas[Closed],"",tblCapas[Stage],$B$56,tblCapas[Status],"Overdue")</f>
        <v>1</v>
      </c>
      <c r="E56" s="36">
        <f>COUNTIFS(tblCapas[In view],1,tblCapas[Opened],"&lt;="&amp;AsOf,tblCapas[Closed],"",tblCapas[Stage],$B$56,tblCapas[Status],"Due soon")</f>
        <v>0</v>
      </c>
      <c r="F56" s="36">
        <f>$C$56-$D$56-$E$56</f>
        <v>0</v>
      </c>
      <c r="G56" s="52">
        <f>IF(($C$56)=0,"",(SUMIFS(tblCapas[Days open],tblCapas[In view],1,tblCapas[Opened],"&lt;="&amp;AsOf,tblCapas[Closed],"",tblCapas[Stage],$B$56))/($C$56))</f>
        <v>115</v>
      </c>
    </row>
    <row r="58" spans="2:43" x14ac:dyDescent="0.25">
      <c r="B58" s="32" t="s">
        <v>243</v>
      </c>
      <c r="C58" s="32"/>
      <c r="D58" s="32"/>
      <c r="E58" s="32"/>
      <c r="F58" s="32"/>
      <c r="G58" s="32" t="s">
        <v>244</v>
      </c>
      <c r="H58" s="32"/>
      <c r="I58" s="32"/>
      <c r="J58" s="32"/>
      <c r="K58" s="32"/>
      <c r="L58" s="32"/>
    </row>
    <row r="59" spans="2:43" ht="20" customHeight="1" x14ac:dyDescent="0.25">
      <c r="B59" s="50" t="s">
        <v>245</v>
      </c>
      <c r="C59" s="33" t="s">
        <v>111</v>
      </c>
      <c r="D59" s="33" t="s">
        <v>119</v>
      </c>
      <c r="E59" s="33" t="s">
        <v>232</v>
      </c>
      <c r="F59" s="33" t="s">
        <v>246</v>
      </c>
      <c r="G59" s="33" t="s">
        <v>247</v>
      </c>
      <c r="H59" s="50" t="s">
        <v>66</v>
      </c>
      <c r="I59" s="50"/>
      <c r="J59" s="33" t="s">
        <v>248</v>
      </c>
      <c r="K59" s="33" t="s">
        <v>249</v>
      </c>
      <c r="L59" s="33" t="s">
        <v>250</v>
      </c>
      <c r="AO59" s="7" t="s">
        <v>251</v>
      </c>
      <c r="AP59" s="7" t="s">
        <v>252</v>
      </c>
      <c r="AQ59" s="7" t="s">
        <v>253</v>
      </c>
    </row>
    <row r="60" spans="2:43" x14ac:dyDescent="0.25">
      <c r="B60" s="54">
        <f>EDATE(DATE(YEAR(AsOf),MONTH(AsOf),1),-11)</f>
        <v>45962</v>
      </c>
      <c r="C60" s="36">
        <f>IF($B$60="","",COUNTIFS(tblCapas[In view],1,tblCapas[Opened],"&gt;="&amp;$B$60,tblCapas[Opened],"&lt;="&amp;EOMONTH($B$60,0)))</f>
        <v>4</v>
      </c>
      <c r="D60" s="36">
        <f>IF($B$60="","",COUNTIFS(tblCapas[In view],1,tblCapas[Closed],"&gt;="&amp;$B$60,tblCapas[Closed],"&lt;="&amp;EOMONTH($B$60,0)))</f>
        <v>0</v>
      </c>
      <c r="E60" s="36">
        <f>IF($B$60="","",COUNTIFS(tblCapas[In view],1,tblCapas[Closed],"&gt;="&amp;$B$60,tblCapas[Closed],"&lt;="&amp;EOMONTH($B$60,0),tblCapas[On time],"Yes"))</f>
        <v>0</v>
      </c>
      <c r="F60" s="36">
        <f>IF($B$60="","",COUNTIFS(tblCapas[In view],1,tblCapas[Opened],"&lt;="&amp;MIN(EOMONTH($B$60,0),AsOf))-COUNTIFS(tblCapas[In view],1,tblCapas[Closed],"&lt;="&amp;MIN(EOMONTH($B$60,0),AsOf)))</f>
        <v>4</v>
      </c>
      <c r="G60" s="55"/>
      <c r="H60" s="55"/>
      <c r="I60" s="55"/>
      <c r="J60" s="55" t="s">
        <v>248</v>
      </c>
      <c r="K60" s="55" t="s">
        <v>254</v>
      </c>
      <c r="L60" s="55" t="s">
        <v>254</v>
      </c>
    </row>
    <row r="61" spans="2:43" x14ac:dyDescent="0.25">
      <c r="B61" s="54">
        <f>IF($B$60="","",EDATE($B$60,1))</f>
        <v>45992</v>
      </c>
      <c r="C61" s="36">
        <f>IF($B$61="","",COUNTIFS(tblCapas[In view],1,tblCapas[Opened],"&gt;="&amp;$B$61,tblCapas[Opened],"&lt;="&amp;EOMONTH($B$61,0)))</f>
        <v>4</v>
      </c>
      <c r="D61" s="36">
        <f>IF($B$61="","",COUNTIFS(tblCapas[In view],1,tblCapas[Closed],"&gt;="&amp;$B$61,tblCapas[Closed],"&lt;="&amp;EOMONTH($B$61,0)))</f>
        <v>1</v>
      </c>
      <c r="E61" s="36">
        <f>IF($B$61="","",COUNTIFS(tblCapas[In view],1,tblCapas[Closed],"&gt;="&amp;$B$61,tblCapas[Closed],"&lt;="&amp;EOMONTH($B$61,0),tblCapas[On time],"Yes"))</f>
        <v>1</v>
      </c>
      <c r="F61" s="36">
        <f>IF($B$61="","",COUNTIFS(tblCapas[In view],1,tblCapas[Opened],"&lt;="&amp;MIN(EOMONTH($B$61,0),AsOf))-COUNTIFS(tblCapas[In view],1,tblCapas[Closed],"&lt;="&amp;MIN(EOMONTH($B$61,0),AsOf)))</f>
        <v>7</v>
      </c>
      <c r="G61" s="56">
        <v>1</v>
      </c>
      <c r="H61" s="38" t="str">
        <f>IF(INDEX($AP$61:$AP$65,MATCH(1,$AQ$61:$AQ$65,0))&lt;0,"",INDEX($AO$61:$AO$65,MATCH(1,$AQ$61:$AQ$65,0)))</f>
        <v>Internal NCR</v>
      </c>
      <c r="I61" s="38"/>
      <c r="J61" s="36">
        <f>IF($H$61="","",INDEX($AP$61:$AP$65,MATCH(1,$AQ$61:$AQ$65,0)))</f>
        <v>17</v>
      </c>
      <c r="K61" s="57">
        <f>IF(OR($H$61="",$J$66=0),"",$J$61/$J$66)</f>
        <v>0.386363636363636</v>
      </c>
      <c r="L61" s="57">
        <f>IF(OR($H$61="",$J$66=0),"",SUM($J$61:$J$61)/$J$66)</f>
        <v>0.386363636363636</v>
      </c>
      <c r="AO61" s="11" t="str">
        <f>IFERROR(INDEX(tblSources[Source],1)&amp;"","")</f>
        <v>Customer complaint</v>
      </c>
      <c r="AP61" s="58">
        <f>IF($AO$61="",-1,COUNTIFS(tblCapas[In view],1,tblCapas[Opened],"&gt;="&amp;EDATE(DATE(YEAR(AsOf),MONTH(AsOf),1),-11),tblCapas[Opened],"&lt;="&amp;AsOf,tblCapas[Source],$AO$61))</f>
        <v>9</v>
      </c>
      <c r="AQ61" s="58">
        <f>COUNTIF($AP$61:$AP$65,"&gt;"&amp;$AP$61)+COUNTIF($AP$61:$AP$61,$AP$61)</f>
        <v>2</v>
      </c>
    </row>
    <row r="62" spans="2:43" x14ac:dyDescent="0.25">
      <c r="B62" s="54">
        <f>IF($B$61="","",EDATE($B$61,1))</f>
        <v>46023</v>
      </c>
      <c r="C62" s="36">
        <f>IF($B$62="","",COUNTIFS(tblCapas[In view],1,tblCapas[Opened],"&gt;="&amp;$B$62,tblCapas[Opened],"&lt;="&amp;EOMONTH($B$62,0)))</f>
        <v>4</v>
      </c>
      <c r="D62" s="36">
        <f>IF($B$62="","",COUNTIFS(tblCapas[In view],1,tblCapas[Closed],"&gt;="&amp;$B$62,tblCapas[Closed],"&lt;="&amp;EOMONTH($B$62,0)))</f>
        <v>4</v>
      </c>
      <c r="E62" s="36">
        <f>IF($B$62="","",COUNTIFS(tblCapas[In view],1,tblCapas[Closed],"&gt;="&amp;$B$62,tblCapas[Closed],"&lt;="&amp;EOMONTH($B$62,0),tblCapas[On time],"Yes"))</f>
        <v>2</v>
      </c>
      <c r="F62" s="36">
        <f>IF($B$62="","",COUNTIFS(tblCapas[In view],1,tblCapas[Opened],"&lt;="&amp;MIN(EOMONTH($B$62,0),AsOf))-COUNTIFS(tblCapas[In view],1,tblCapas[Closed],"&lt;="&amp;MIN(EOMONTH($B$62,0),AsOf)))</f>
        <v>7</v>
      </c>
      <c r="G62" s="56">
        <v>2</v>
      </c>
      <c r="H62" s="38" t="str">
        <f>IF(INDEX($AP$61:$AP$65,MATCH(2,$AQ$61:$AQ$65,0))&lt;0,"",INDEX($AO$61:$AO$65,MATCH(2,$AQ$61:$AQ$65,0)))</f>
        <v>Customer complaint</v>
      </c>
      <c r="I62" s="38"/>
      <c r="J62" s="36">
        <f>IF($H$62="","",INDEX($AP$61:$AP$65,MATCH(2,$AQ$61:$AQ$65,0)))</f>
        <v>9</v>
      </c>
      <c r="K62" s="57">
        <f>IF(OR($H$62="",$J$66=0),"",$J$62/$J$66)</f>
        <v>0.204545454545455</v>
      </c>
      <c r="L62" s="57">
        <f>IF(OR($H$62="",$J$66=0),"",SUM($J$61:$J$62)/$J$66)</f>
        <v>0.590909090909091</v>
      </c>
      <c r="AO62" s="11" t="str">
        <f>IFERROR(INDEX(tblSources[Source],2)&amp;"","")</f>
        <v>Internal NCR</v>
      </c>
      <c r="AP62" s="58">
        <f>IF($AO$62="",-1,COUNTIFS(tblCapas[In view],1,tblCapas[Opened],"&gt;="&amp;EDATE(DATE(YEAR(AsOf),MONTH(AsOf),1),-11),tblCapas[Opened],"&lt;="&amp;AsOf,tblCapas[Source],$AO$62))</f>
        <v>17</v>
      </c>
      <c r="AQ62" s="58">
        <f>COUNTIF($AP$61:$AP$65,"&gt;"&amp;$AP$62)+COUNTIF($AP$61:$AP$62,$AP$62)</f>
        <v>1</v>
      </c>
    </row>
    <row r="63" spans="2:43" x14ac:dyDescent="0.25">
      <c r="B63" s="54">
        <f>IF($B$62="","",EDATE($B$62,1))</f>
        <v>46054</v>
      </c>
      <c r="C63" s="36">
        <f>IF($B$63="","",COUNTIFS(tblCapas[In view],1,tblCapas[Opened],"&gt;="&amp;$B$63,tblCapas[Opened],"&lt;="&amp;EOMONTH($B$63,0)))</f>
        <v>3</v>
      </c>
      <c r="D63" s="36">
        <f>IF($B$63="","",COUNTIFS(tblCapas[In view],1,tblCapas[Closed],"&gt;="&amp;$B$63,tblCapas[Closed],"&lt;="&amp;EOMONTH($B$63,0)))</f>
        <v>4</v>
      </c>
      <c r="E63" s="36">
        <f>IF($B$63="","",COUNTIFS(tblCapas[In view],1,tblCapas[Closed],"&gt;="&amp;$B$63,tblCapas[Closed],"&lt;="&amp;EOMONTH($B$63,0),tblCapas[On time],"Yes"))</f>
        <v>3</v>
      </c>
      <c r="F63" s="36">
        <f>IF($B$63="","",COUNTIFS(tblCapas[In view],1,tblCapas[Opened],"&lt;="&amp;MIN(EOMONTH($B$63,0),AsOf))-COUNTIFS(tblCapas[In view],1,tblCapas[Closed],"&lt;="&amp;MIN(EOMONTH($B$63,0),AsOf)))</f>
        <v>6</v>
      </c>
      <c r="G63" s="56">
        <v>3</v>
      </c>
      <c r="H63" s="38" t="str">
        <f>IF(INDEX($AP$61:$AP$65,MATCH(3,$AQ$61:$AQ$65,0))&lt;0,"",INDEX($AO$61:$AO$65,MATCH(3,$AQ$61:$AQ$65,0)))</f>
        <v>Audit finding</v>
      </c>
      <c r="I63" s="38"/>
      <c r="J63" s="36">
        <f>IF($H$63="","",INDEX($AP$61:$AP$65,MATCH(3,$AQ$61:$AQ$65,0)))</f>
        <v>8</v>
      </c>
      <c r="K63" s="57">
        <f>IF(OR($H$63="",$J$66=0),"",$J$63/$J$66)</f>
        <v>0.181818181818182</v>
      </c>
      <c r="L63" s="57">
        <f>IF(OR($H$63="",$J$66=0),"",SUM($J$61:$J$63)/$J$66)</f>
        <v>0.772727272727273</v>
      </c>
      <c r="AO63" s="11" t="str">
        <f>IFERROR(INDEX(tblSources[Source],3)&amp;"","")</f>
        <v>Audit finding</v>
      </c>
      <c r="AP63" s="58">
        <f>IF($AO$63="",-1,COUNTIFS(tblCapas[In view],1,tblCapas[Opened],"&gt;="&amp;EDATE(DATE(YEAR(AsOf),MONTH(AsOf),1),-11),tblCapas[Opened],"&lt;="&amp;AsOf,tblCapas[Source],$AO$63))</f>
        <v>8</v>
      </c>
      <c r="AQ63" s="58">
        <f>COUNTIF($AP$61:$AP$65,"&gt;"&amp;$AP$63)+COUNTIF($AP$61:$AP$63,$AP$63)</f>
        <v>3</v>
      </c>
    </row>
    <row r="64" spans="2:43" x14ac:dyDescent="0.25">
      <c r="B64" s="54">
        <f>IF($B$63="","",EDATE($B$63,1))</f>
        <v>46082</v>
      </c>
      <c r="C64" s="36">
        <f>IF($B$64="","",COUNTIFS(tblCapas[In view],1,tblCapas[Opened],"&gt;="&amp;$B$64,tblCapas[Opened],"&lt;="&amp;EOMONTH($B$64,0)))</f>
        <v>4</v>
      </c>
      <c r="D64" s="36">
        <f>IF($B$64="","",COUNTIFS(tblCapas[In view],1,tblCapas[Closed],"&gt;="&amp;$B$64,tblCapas[Closed],"&lt;="&amp;EOMONTH($B$64,0)))</f>
        <v>2</v>
      </c>
      <c r="E64" s="36">
        <f>IF($B$64="","",COUNTIFS(tblCapas[In view],1,tblCapas[Closed],"&gt;="&amp;$B$64,tblCapas[Closed],"&lt;="&amp;EOMONTH($B$64,0),tblCapas[On time],"Yes"))</f>
        <v>1</v>
      </c>
      <c r="F64" s="36">
        <f>IF($B$64="","",COUNTIFS(tblCapas[In view],1,tblCapas[Opened],"&lt;="&amp;MIN(EOMONTH($B$64,0),AsOf))-COUNTIFS(tblCapas[In view],1,tblCapas[Closed],"&lt;="&amp;MIN(EOMONTH($B$64,0),AsOf)))</f>
        <v>8</v>
      </c>
      <c r="G64" s="56">
        <v>4</v>
      </c>
      <c r="H64" s="38" t="str">
        <f>IF(INDEX($AP$61:$AP$65,MATCH(4,$AQ$61:$AQ$65,0))&lt;0,"",INDEX($AO$61:$AO$65,MATCH(4,$AQ$61:$AQ$65,0)))</f>
        <v>Supplier issue</v>
      </c>
      <c r="I64" s="38"/>
      <c r="J64" s="36">
        <f>IF($H$64="","",INDEX($AP$61:$AP$65,MATCH(4,$AQ$61:$AQ$65,0)))</f>
        <v>7</v>
      </c>
      <c r="K64" s="57">
        <f>IF(OR($H$64="",$J$66=0),"",$J$64/$J$66)</f>
        <v>0.159090909090909</v>
      </c>
      <c r="L64" s="57">
        <f>IF(OR($H$64="",$J$66=0),"",SUM($J$61:$J$64)/$J$66)</f>
        <v>0.931818181818182</v>
      </c>
      <c r="AO64" s="11" t="str">
        <f>IFERROR(INDEX(tblSources[Source],4)&amp;"","")</f>
        <v>Supplier issue</v>
      </c>
      <c r="AP64" s="58">
        <f>IF($AO$64="",-1,COUNTIFS(tblCapas[In view],1,tblCapas[Opened],"&gt;="&amp;EDATE(DATE(YEAR(AsOf),MONTH(AsOf),1),-11),tblCapas[Opened],"&lt;="&amp;AsOf,tblCapas[Source],$AO$64))</f>
        <v>7</v>
      </c>
      <c r="AQ64" s="58">
        <f>COUNTIF($AP$61:$AP$65,"&gt;"&amp;$AP$64)+COUNTIF($AP$61:$AP$64,$AP$64)</f>
        <v>4</v>
      </c>
    </row>
    <row r="65" spans="2:43" x14ac:dyDescent="0.25">
      <c r="B65" s="54">
        <f>IF($B$64="","",EDATE($B$64,1))</f>
        <v>46113</v>
      </c>
      <c r="C65" s="36">
        <f>IF($B$65="","",COUNTIFS(tblCapas[In view],1,tblCapas[Opened],"&gt;="&amp;$B$65,tblCapas[Opened],"&lt;="&amp;EOMONTH($B$65,0)))</f>
        <v>5</v>
      </c>
      <c r="D65" s="36">
        <f>IF($B$65="","",COUNTIFS(tblCapas[In view],1,tblCapas[Closed],"&gt;="&amp;$B$65,tblCapas[Closed],"&lt;="&amp;EOMONTH($B$65,0)))</f>
        <v>6</v>
      </c>
      <c r="E65" s="36">
        <f>IF($B$65="","",COUNTIFS(tblCapas[In view],1,tblCapas[Closed],"&gt;="&amp;$B$65,tblCapas[Closed],"&lt;="&amp;EOMONTH($B$65,0),tblCapas[On time],"Yes"))</f>
        <v>5</v>
      </c>
      <c r="F65" s="36">
        <f>IF($B$65="","",COUNTIFS(tblCapas[In view],1,tblCapas[Opened],"&lt;="&amp;MIN(EOMONTH($B$65,0),AsOf))-COUNTIFS(tblCapas[In view],1,tblCapas[Closed],"&lt;="&amp;MIN(EOMONTH($B$65,0),AsOf)))</f>
        <v>7</v>
      </c>
      <c r="G65" s="56">
        <v>5</v>
      </c>
      <c r="H65" s="38" t="str">
        <f>IF(INDEX($AP$61:$AP$65,MATCH(5,$AQ$61:$AQ$65,0))&lt;0,"",INDEX($AO$61:$AO$65,MATCH(5,$AQ$61:$AQ$65,0)))</f>
        <v>Field return</v>
      </c>
      <c r="I65" s="38"/>
      <c r="J65" s="36">
        <f>IF($H$65="","",INDEX($AP$61:$AP$65,MATCH(5,$AQ$61:$AQ$65,0)))</f>
        <v>3</v>
      </c>
      <c r="K65" s="57">
        <f>IF(OR($H$65="",$J$66=0),"",$J$65/$J$66)</f>
        <v>0.0681818181818182</v>
      </c>
      <c r="L65" s="57">
        <f>IF(OR($H$65="",$J$66=0),"",SUM($J$61:$J$65)/$J$66)</f>
        <v>1</v>
      </c>
      <c r="AO65" s="11" t="str">
        <f>IFERROR(INDEX(tblSources[Source],5)&amp;"","")</f>
        <v>Field return</v>
      </c>
      <c r="AP65" s="58">
        <f>IF($AO$65="",-1,COUNTIFS(tblCapas[In view],1,tblCapas[Opened],"&gt;="&amp;EDATE(DATE(YEAR(AsOf),MONTH(AsOf),1),-11),tblCapas[Opened],"&lt;="&amp;AsOf,tblCapas[Source],$AO$65))</f>
        <v>3</v>
      </c>
      <c r="AQ65" s="58">
        <f>COUNTIF($AP$61:$AP$65,"&gt;"&amp;$AP$65)+COUNTIF($AP$61:$AP$65,$AP$65)</f>
        <v>5</v>
      </c>
    </row>
    <row r="66" spans="2:43" x14ac:dyDescent="0.25">
      <c r="B66" s="54">
        <f>IF($B$65="","",EDATE($B$65,1))</f>
        <v>46143</v>
      </c>
      <c r="C66" s="36">
        <f>IF($B$66="","",COUNTIFS(tblCapas[In view],1,tblCapas[Opened],"&gt;="&amp;$B$66,tblCapas[Opened],"&lt;="&amp;EOMONTH($B$66,0)))</f>
        <v>3</v>
      </c>
      <c r="D66" s="36">
        <f>IF($B$66="","",COUNTIFS(tblCapas[In view],1,tblCapas[Closed],"&gt;="&amp;$B$66,tblCapas[Closed],"&lt;="&amp;EOMONTH($B$66,0)))</f>
        <v>4</v>
      </c>
      <c r="E66" s="36">
        <f>IF($B$66="","",COUNTIFS(tblCapas[In view],1,tblCapas[Closed],"&gt;="&amp;$B$66,tblCapas[Closed],"&lt;="&amp;EOMONTH($B$66,0),tblCapas[On time],"Yes"))</f>
        <v>2</v>
      </c>
      <c r="F66" s="36">
        <f>IF($B$66="","",COUNTIFS(tblCapas[In view],1,tblCapas[Opened],"&lt;="&amp;MIN(EOMONTH($B$66,0),AsOf))-COUNTIFS(tblCapas[In view],1,tblCapas[Closed],"&lt;="&amp;MIN(EOMONTH($B$66,0),AsOf)))</f>
        <v>6</v>
      </c>
      <c r="G66" s="59"/>
      <c r="H66" s="59" t="s">
        <v>255</v>
      </c>
      <c r="I66" s="59"/>
      <c r="J66" s="60">
        <f>SUMIF($AP$61:$AP$65,"&gt;0")</f>
        <v>44</v>
      </c>
      <c r="K66" s="59"/>
      <c r="L66" s="59"/>
    </row>
    <row r="67" spans="2:43" x14ac:dyDescent="0.25">
      <c r="B67" s="54">
        <f>IF($B$66="","",EDATE($B$66,1))</f>
        <v>46174</v>
      </c>
      <c r="C67" s="36">
        <f>IF($B$67="","",COUNTIFS(tblCapas[In view],1,tblCapas[Opened],"&gt;="&amp;$B$67,tblCapas[Opened],"&lt;="&amp;EOMONTH($B$67,0)))</f>
        <v>5</v>
      </c>
      <c r="D67" s="36">
        <f>IF($B$67="","",COUNTIFS(tblCapas[In view],1,tblCapas[Closed],"&gt;="&amp;$B$67,tblCapas[Closed],"&lt;="&amp;EOMONTH($B$67,0)))</f>
        <v>4</v>
      </c>
      <c r="E67" s="36">
        <f>IF($B$67="","",COUNTIFS(tblCapas[In view],1,tblCapas[Closed],"&gt;="&amp;$B$67,tblCapas[Closed],"&lt;="&amp;EOMONTH($B$67,0),tblCapas[On time],"Yes"))</f>
        <v>3</v>
      </c>
      <c r="F67" s="36">
        <f>IF($B$67="","",COUNTIFS(tblCapas[In view],1,tblCapas[Opened],"&lt;="&amp;MIN(EOMONTH($B$67,0),AsOf))-COUNTIFS(tblCapas[In view],1,tblCapas[Closed],"&lt;="&amp;MIN(EOMONTH($B$67,0),AsOf)))</f>
        <v>7</v>
      </c>
    </row>
    <row r="68" spans="2:43" x14ac:dyDescent="0.25">
      <c r="B68" s="54">
        <f>IF($B$67="","",EDATE($B$67,1))</f>
        <v>46204</v>
      </c>
      <c r="C68" s="36">
        <f>IF($B$68="","",COUNTIFS(tblCapas[In view],1,tblCapas[Opened],"&gt;="&amp;$B$68,tblCapas[Opened],"&lt;="&amp;EOMONTH($B$68,0)))</f>
        <v>4</v>
      </c>
      <c r="D68" s="36">
        <f>IF($B$68="","",COUNTIFS(tblCapas[In view],1,tblCapas[Closed],"&gt;="&amp;$B$68,tblCapas[Closed],"&lt;="&amp;EOMONTH($B$68,0)))</f>
        <v>3</v>
      </c>
      <c r="E68" s="36">
        <f>IF($B$68="","",COUNTIFS(tblCapas[In view],1,tblCapas[Closed],"&gt;="&amp;$B$68,tblCapas[Closed],"&lt;="&amp;EOMONTH($B$68,0),tblCapas[On time],"Yes"))</f>
        <v>3</v>
      </c>
      <c r="F68" s="36">
        <f>IF($B$68="","",COUNTIFS(tblCapas[In view],1,tblCapas[Opened],"&lt;="&amp;MIN(EOMONTH($B$68,0),AsOf))-COUNTIFS(tblCapas[In view],1,tblCapas[Closed],"&lt;="&amp;MIN(EOMONTH($B$68,0),AsOf)))</f>
        <v>8</v>
      </c>
    </row>
    <row r="69" spans="2:43" x14ac:dyDescent="0.25">
      <c r="B69" s="54">
        <f>IF($B$68="","",EDATE($B$68,1))</f>
        <v>46235</v>
      </c>
      <c r="C69" s="36">
        <f>IF($B$69="","",COUNTIFS(tblCapas[In view],1,tblCapas[Opened],"&gt;="&amp;$B$69,tblCapas[Opened],"&lt;="&amp;EOMONTH($B$69,0)))</f>
        <v>4</v>
      </c>
      <c r="D69" s="36">
        <f>IF($B$69="","",COUNTIFS(tblCapas[In view],1,tblCapas[Closed],"&gt;="&amp;$B$69,tblCapas[Closed],"&lt;="&amp;EOMONTH($B$69,0)))</f>
        <v>2</v>
      </c>
      <c r="E69" s="36">
        <f>IF($B$69="","",COUNTIFS(tblCapas[In view],1,tblCapas[Closed],"&gt;="&amp;$B$69,tblCapas[Closed],"&lt;="&amp;EOMONTH($B$69,0),tblCapas[On time],"Yes"))</f>
        <v>2</v>
      </c>
      <c r="F69" s="36">
        <f>IF($B$69="","",COUNTIFS(tblCapas[In view],1,tblCapas[Opened],"&lt;="&amp;MIN(EOMONTH($B$69,0),AsOf))-COUNTIFS(tblCapas[In view],1,tblCapas[Closed],"&lt;="&amp;MIN(EOMONTH($B$69,0),AsOf)))</f>
        <v>10</v>
      </c>
    </row>
    <row r="70" spans="2:43" x14ac:dyDescent="0.25">
      <c r="B70" s="54">
        <f>IF($B$69="","",EDATE($B$69,1))</f>
        <v>46266</v>
      </c>
      <c r="C70" s="36">
        <f>IF($B$70="","",COUNTIFS(tblCapas[In view],1,tblCapas[Opened],"&gt;="&amp;$B$70,tblCapas[Opened],"&lt;="&amp;EOMONTH($B$70,0)))</f>
        <v>4</v>
      </c>
      <c r="D70" s="36">
        <f>IF($B$70="","",COUNTIFS(tblCapas[In view],1,tblCapas[Closed],"&gt;="&amp;$B$70,tblCapas[Closed],"&lt;="&amp;EOMONTH($B$70,0)))</f>
        <v>3</v>
      </c>
      <c r="E70" s="36">
        <f>IF($B$70="","",COUNTIFS(tblCapas[In view],1,tblCapas[Closed],"&gt;="&amp;$B$70,tblCapas[Closed],"&lt;="&amp;EOMONTH($B$70,0),tblCapas[On time],"Yes"))</f>
        <v>3</v>
      </c>
      <c r="F70" s="36">
        <f>IF($B$70="","",COUNTIFS(tblCapas[In view],1,tblCapas[Opened],"&lt;="&amp;MIN(EOMONTH($B$70,0),AsOf))-COUNTIFS(tblCapas[In view],1,tblCapas[Closed],"&lt;="&amp;MIN(EOMONTH($B$70,0),AsOf)))</f>
        <v>11</v>
      </c>
    </row>
    <row r="71" spans="2:43" x14ac:dyDescent="0.25">
      <c r="B71" s="54">
        <f>IF($B$70="","",EDATE($B$70,1))</f>
        <v>46296</v>
      </c>
      <c r="C71" s="36">
        <f>IF($B$71="","",COUNTIFS(tblCapas[In view],1,tblCapas[Opened],"&gt;="&amp;$B$71,tblCapas[Opened],"&lt;="&amp;EOMONTH($B$71,0)))</f>
        <v>0</v>
      </c>
      <c r="D71" s="36">
        <f>IF($B$71="","",COUNTIFS(tblCapas[In view],1,tblCapas[Closed],"&gt;="&amp;$B$71,tblCapas[Closed],"&lt;="&amp;EOMONTH($B$71,0)))</f>
        <v>0</v>
      </c>
      <c r="E71" s="36">
        <f>IF($B$71="","",COUNTIFS(tblCapas[In view],1,tblCapas[Closed],"&gt;="&amp;$B$71,tblCapas[Closed],"&lt;="&amp;EOMONTH($B$71,0),tblCapas[On time],"Yes"))</f>
        <v>0</v>
      </c>
      <c r="F71" s="36">
        <f>IF($B$71="","",COUNTIFS(tblCapas[In view],1,tblCapas[Opened],"&lt;="&amp;MIN(EOMONTH($B$71,0),AsOf))-COUNTIFS(tblCapas[In view],1,tblCapas[Closed],"&lt;="&amp;MIN(EOMONTH($B$71,0),AsOf)))</f>
        <v>11</v>
      </c>
    </row>
    <row r="72" spans="2:43" ht="8" customHeight="1" x14ac:dyDescent="0.25"/>
    <row r="73" spans="2:43" x14ac:dyDescent="0.25">
      <c r="B73" s="21" t="s">
        <v>256</v>
      </c>
      <c r="C73" s="21"/>
      <c r="D73" s="21"/>
      <c r="E73" s="21"/>
      <c r="F73" s="21"/>
      <c r="G73" s="21"/>
      <c r="H73" s="21"/>
      <c r="I73" s="21"/>
      <c r="J73" s="21"/>
      <c r="K73" s="21"/>
      <c r="L73" s="21"/>
    </row>
    <row r="74" spans="2:43" x14ac:dyDescent="0.25">
      <c r="B74" s="61">
        <f>IF(OR(COUNTA(tblOwners[Owner])&gt;5,COUNTA(tblSources[Source])&gt;5),"Setup lists are longer than the Dashboard blocks: some owners or sources are not shown.","")</f>
        <v/>
      </c>
      <c r="C74" s="61"/>
      <c r="D74" s="61"/>
      <c r="E74" s="61"/>
      <c r="F74" s="61"/>
      <c r="G74" s="61"/>
      <c r="H74" s="61"/>
      <c r="I74" s="61"/>
      <c r="J74" s="61"/>
      <c r="K74" s="61"/>
      <c r="L74" s="61"/>
    </row>
  </sheetData>
  <sheetProtection sheet="1" formatColumns="0" formatRows="0"/>
  <mergeCells count="52">
    <mergeCell ref="A1:L1"/>
    <mergeCell ref="B2:J2"/>
    <mergeCell ref="K2:L2"/>
    <mergeCell ref="C4:E4"/>
    <mergeCell ref="H4:J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G35"/>
    <mergeCell ref="B50:G50"/>
    <mergeCell ref="B58:F58"/>
    <mergeCell ref="G58:L58"/>
    <mergeCell ref="H59:I59"/>
    <mergeCell ref="H60:I60"/>
    <mergeCell ref="H61:I61"/>
    <mergeCell ref="H62:I62"/>
    <mergeCell ref="H63:I63"/>
    <mergeCell ref="H64:I64"/>
    <mergeCell ref="H65:I65"/>
    <mergeCell ref="H66:I66"/>
    <mergeCell ref="B73:L73"/>
    <mergeCell ref="B74:L74"/>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37:G41">
    <cfRule type="expression" dxfId="3" priority="61" stopIfTrue="1">
      <formula>AND(ISNUMBER(G37),G37&gt;=(TargetOnTime))</formula>
    </cfRule>
    <cfRule type="expression" dxfId="4" priority="62" stopIfTrue="1">
      <formula>AND(ISNUMBER(G37),G37&gt;=(TargetOnTime)*(1-0.05))</formula>
    </cfRule>
    <cfRule type="expression" dxfId="5" priority="63">
      <formula>ISNUMBER(G37)</formula>
    </cfRule>
  </conditionalFormatting>
  <conditionalFormatting sqref="J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61:J65">
    <cfRule type="dataBar" priority="64">
      <dataBar>
        <cfvo type="num" val="0"/>
        <cfvo type="max"/>
        <color rgb="FFA8BDF0"/>
      </dataBar>
      <extLst>
        <ext xmlns:x14="http://schemas.microsoft.com/office/spreadsheetml/2009/9/main" uri="{B025F937-C7B1-47D3-B67F-A62EFF666E3E}">
          <x14:id>{DA7ABA51-AAAA-BBBB-0004-000000000001}</x14:id>
        </ext>
      </extLst>
    </cfRule>
  </conditionalFormatting>
  <dataValidations count="2">
    <dataValidation type="list" allowBlank="1" showInputMessage="1" showErrorMessage="1" errorTitle="Check this entry" error="Pick from the list (edit the list on Setup: Sources)." promptTitle="Source" prompt="Leave blank for all sources. Pick from the list (edit the list on Setup: Sources)." sqref="C4">
      <formula1>Sources</formula1>
    </dataValidation>
    <dataValidation type="list" allowBlank="1" showInputMessage="1" showErrorMessage="1" errorTitle="Check this entry" error="Pick from the list (edit the list on Setup: Owners)." promptTitle="Owner" prompt="Leave blank for all owners. Pick from the list (edit the list on Setup: Owners)." sqref="H4">
      <formula1>Owners</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CAPA and 8D Tracker&amp;R&amp;8&amp;A</oddHeader>
    <oddFooter>&amp;L&amp;8mfgcalcs.com - free manufacturing templates&amp;R&amp;8Page &amp;P of &amp;N</oddFooter>
  </headerFooter>
  <rowBreaks count="2" manualBreakCount="2">
    <brk id="28" max="16383" man="1"/>
    <brk id="56"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J61:J65</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257</v>
      </c>
      <c r="C4" s="8"/>
      <c r="D4" s="8"/>
    </row>
    <row r="5" spans="1:4" ht="5" customHeight="1"/>
    <row r="6" spans="1:4" ht="42.6" customHeight="1">
      <c r="B6" s="10" t="s">
        <v>258</v>
      </c>
      <c r="C6" s="10"/>
      <c r="D6" s="10"/>
    </row>
    <row r="8" spans="1:4" ht="21" customHeight="1">
      <c r="B8" s="8" t="s">
        <v>259</v>
      </c>
      <c r="C8" s="8"/>
      <c r="D8" s="8"/>
    </row>
    <row r="9" spans="1:4" ht="5" customHeight="1"/>
    <row r="10" spans="1:4" ht="20" customHeight="1">
      <c r="B10" s="50" t="s">
        <v>260</v>
      </c>
      <c r="C10" s="50" t="s">
        <v>261</v>
      </c>
      <c r="D10" s="33" t="s">
        <v>262</v>
      </c>
    </row>
    <row r="11" spans="1:4" ht="17.2" customHeight="1">
      <c r="B11" s="62" t="s">
        <v>263</v>
      </c>
      <c r="C11" s="63" t="s">
        <v>264</v>
      </c>
      <c r="D11" s="64" t="s">
        <v>265</v>
      </c>
    </row>
    <row r="12" spans="1:4" ht="30.4" customHeight="1">
      <c r="B12" s="62" t="s">
        <v>123</v>
      </c>
      <c r="C12" s="63" t="s">
        <v>266</v>
      </c>
      <c r="D12" s="64" t="s">
        <v>267</v>
      </c>
    </row>
    <row r="13" spans="1:4" ht="17.2" customHeight="1">
      <c r="B13" s="62" t="s">
        <v>124</v>
      </c>
      <c r="C13" s="63" t="s">
        <v>268</v>
      </c>
      <c r="D13" s="64" t="s">
        <v>75</v>
      </c>
    </row>
    <row r="14" spans="1:4" ht="30.4" customHeight="1">
      <c r="B14" s="62" t="s">
        <v>125</v>
      </c>
      <c r="C14" s="63" t="s">
        <v>269</v>
      </c>
      <c r="D14" s="64" t="s">
        <v>270</v>
      </c>
    </row>
    <row r="15" spans="1:4" ht="30.4" customHeight="1">
      <c r="B15" s="62" t="s">
        <v>126</v>
      </c>
      <c r="C15" s="63" t="s">
        <v>271</v>
      </c>
      <c r="D15" s="64" t="s">
        <v>267</v>
      </c>
    </row>
    <row r="16" spans="1:4" ht="17.2" customHeight="1">
      <c r="B16" s="62" t="s">
        <v>127</v>
      </c>
      <c r="C16" s="63" t="s">
        <v>272</v>
      </c>
      <c r="D16" s="64" t="s">
        <v>270</v>
      </c>
    </row>
    <row r="17" spans="2:4" ht="17.2" customHeight="1">
      <c r="B17" s="62" t="s">
        <v>273</v>
      </c>
      <c r="C17" s="63" t="s">
        <v>274</v>
      </c>
      <c r="D17" s="64" t="s">
        <v>248</v>
      </c>
    </row>
    <row r="18" spans="2:4" ht="17.2" customHeight="1">
      <c r="B18" s="62" t="s">
        <v>232</v>
      </c>
      <c r="C18" s="63" t="s">
        <v>275</v>
      </c>
      <c r="D18" s="64" t="s">
        <v>254</v>
      </c>
    </row>
    <row r="19" spans="2:4" ht="30.4" customHeight="1">
      <c r="B19" s="62" t="s">
        <v>276</v>
      </c>
      <c r="C19" s="63" t="s">
        <v>277</v>
      </c>
      <c r="D19" s="64" t="s">
        <v>254</v>
      </c>
    </row>
    <row r="20" spans="2:4" ht="17.2" customHeight="1">
      <c r="B20" s="62" t="s">
        <v>231</v>
      </c>
      <c r="C20" s="63" t="s">
        <v>278</v>
      </c>
      <c r="D20" s="64" t="s">
        <v>75</v>
      </c>
    </row>
    <row r="21" spans="2:4" ht="17.2" customHeight="1">
      <c r="B21" s="62" t="s">
        <v>279</v>
      </c>
      <c r="C21" s="63" t="s">
        <v>280</v>
      </c>
      <c r="D21" s="64" t="s">
        <v>254</v>
      </c>
    </row>
    <row r="22" spans="2:4" ht="17.2" customHeight="1">
      <c r="B22" s="62" t="s">
        <v>246</v>
      </c>
      <c r="C22" s="63" t="s">
        <v>281</v>
      </c>
      <c r="D22" s="64" t="s">
        <v>248</v>
      </c>
    </row>
    <row r="23" spans="2:4" ht="30.4" customHeight="1">
      <c r="B23" s="62" t="s">
        <v>282</v>
      </c>
      <c r="C23" s="63" t="s">
        <v>283</v>
      </c>
      <c r="D23" s="64" t="s">
        <v>284</v>
      </c>
    </row>
    <row r="25" spans="2:4" ht="21" customHeight="1">
      <c r="B25" s="8" t="s">
        <v>285</v>
      </c>
      <c r="C25" s="8"/>
      <c r="D25" s="8"/>
    </row>
    <row r="26" spans="2:4" ht="5" customHeight="1"/>
    <row r="27" spans="2:4" ht="16.2" customHeight="1">
      <c r="B27" s="26" t="s">
        <v>55</v>
      </c>
      <c r="C27" s="10" t="s">
        <v>286</v>
      </c>
      <c r="D27" s="10"/>
    </row>
    <row r="28" spans="2:4" ht="29.4" customHeight="1">
      <c r="B28" s="26" t="s">
        <v>55</v>
      </c>
      <c r="C28" s="10" t="s">
        <v>287</v>
      </c>
      <c r="D28" s="10"/>
    </row>
    <row r="29" spans="2:4" ht="29.4" customHeight="1">
      <c r="B29" s="26" t="s">
        <v>55</v>
      </c>
      <c r="C29" s="10" t="s">
        <v>288</v>
      </c>
      <c r="D29" s="10"/>
    </row>
    <row r="30" spans="2:4" ht="29.4" customHeight="1">
      <c r="B30" s="26" t="s">
        <v>55</v>
      </c>
      <c r="C30" s="10" t="s">
        <v>289</v>
      </c>
      <c r="D30" s="10"/>
    </row>
    <row r="32" spans="2:4" ht="21" customHeight="1">
      <c r="B32" s="8" t="s">
        <v>290</v>
      </c>
      <c r="C32" s="8"/>
      <c r="D32" s="8"/>
    </row>
    <row r="33" spans="2:4" ht="5" customHeight="1"/>
    <row r="34" spans="2:4" ht="29.4" customHeight="1">
      <c r="B34" s="26" t="s">
        <v>55</v>
      </c>
      <c r="C34" s="10" t="s">
        <v>291</v>
      </c>
      <c r="D34" s="10"/>
    </row>
    <row r="35" spans="2:4" ht="29.4" customHeight="1">
      <c r="B35" s="26" t="s">
        <v>55</v>
      </c>
      <c r="C35" s="10" t="s">
        <v>292</v>
      </c>
      <c r="D35" s="10"/>
    </row>
    <row r="36" spans="2:4" ht="29.4" customHeight="1">
      <c r="B36" s="26" t="s">
        <v>55</v>
      </c>
      <c r="C36" s="10" t="s">
        <v>293</v>
      </c>
      <c r="D36" s="10"/>
    </row>
    <row r="37" spans="2:4" ht="29.4" customHeight="1">
      <c r="B37" s="26" t="s">
        <v>55</v>
      </c>
      <c r="C37" s="10" t="s">
        <v>294</v>
      </c>
      <c r="D37" s="10"/>
    </row>
    <row r="39" spans="2:4" ht="21" customHeight="1">
      <c r="B39" s="8" t="s">
        <v>295</v>
      </c>
      <c r="C39" s="8"/>
      <c r="D39" s="8"/>
    </row>
    <row r="40" spans="2:4" ht="5" customHeight="1"/>
    <row r="41" spans="2:4" ht="69" customHeight="1">
      <c r="B41" s="10" t="s">
        <v>296</v>
      </c>
      <c r="C41" s="10"/>
      <c r="D41" s="10"/>
    </row>
    <row r="42" spans="2:4">
      <c r="B42" s="24" t="s">
        <v>297</v>
      </c>
      <c r="C42" s="24"/>
      <c r="D42" s="24"/>
    </row>
    <row r="44" spans="2:4" ht="21" customHeight="1">
      <c r="B44" s="8" t="s">
        <v>42</v>
      </c>
      <c r="C44" s="8"/>
      <c r="D44" s="8"/>
    </row>
    <row r="45" spans="2:4" ht="5" customHeight="1"/>
    <row r="46" spans="2:4" ht="42.6" customHeight="1">
      <c r="B46" s="10" t="s">
        <v>298</v>
      </c>
      <c r="C46" s="10"/>
      <c r="D46" s="10"/>
    </row>
    <row r="48" spans="2:4" ht="21" customHeight="1">
      <c r="B48" s="8" t="s">
        <v>299</v>
      </c>
      <c r="C48" s="8"/>
      <c r="D48" s="8"/>
    </row>
    <row r="49" spans="2:4" ht="5" customHeight="1"/>
    <row r="50" spans="2:4" ht="16.2" customHeight="1">
      <c r="B50" s="26" t="s">
        <v>55</v>
      </c>
      <c r="C50" s="10" t="s">
        <v>300</v>
      </c>
      <c r="D50" s="10"/>
    </row>
    <row r="51" spans="2:4" ht="16.2" customHeight="1">
      <c r="B51" s="26" t="s">
        <v>55</v>
      </c>
      <c r="C51" s="10" t="s">
        <v>301</v>
      </c>
      <c r="D51" s="10"/>
    </row>
    <row r="52" spans="2:4" ht="29.4" customHeight="1">
      <c r="B52" s="26" t="s">
        <v>55</v>
      </c>
      <c r="C52" s="10" t="s">
        <v>302</v>
      </c>
      <c r="D52" s="10"/>
    </row>
    <row r="53" spans="2:4" ht="29.4" customHeight="1">
      <c r="B53" s="26" t="s">
        <v>55</v>
      </c>
      <c r="C53" s="10" t="s">
        <v>303</v>
      </c>
      <c r="D53" s="10"/>
    </row>
    <row r="54" spans="2:4">
      <c r="B54" s="21" t="s">
        <v>304</v>
      </c>
      <c r="C54" s="21"/>
      <c r="D54" s="21"/>
    </row>
    <row r="56" spans="2:4" ht="21" customHeight="1">
      <c r="B56" s="8" t="s">
        <v>305</v>
      </c>
      <c r="C56" s="8"/>
      <c r="D56" s="8"/>
    </row>
    <row r="57" spans="2:4" ht="5" customHeight="1"/>
    <row r="58" spans="2:4">
      <c r="B58" s="50" t="s">
        <v>50</v>
      </c>
      <c r="C58" s="50" t="s">
        <v>306</v>
      </c>
      <c r="D58" s="33" t="s">
        <v>307</v>
      </c>
    </row>
    <row r="59" spans="2:4" ht="16.2" customHeight="1">
      <c r="B59" s="65" t="s">
        <v>308</v>
      </c>
      <c r="C59" s="66" t="s">
        <v>309</v>
      </c>
      <c r="D59" s="67" t="s">
        <v>310</v>
      </c>
    </row>
    <row r="61" spans="2:4">
      <c r="B61" s="21" t="s">
        <v>61</v>
      </c>
      <c r="C61" s="21"/>
      <c r="D61" s="21"/>
    </row>
  </sheetData>
  <sheetProtection sheet="1" formatColumns="0" formatRows="0"/>
  <mergeCells count="28">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C53:D53"/>
    <mergeCell ref="B54:D54"/>
    <mergeCell ref="B56:D56"/>
    <mergeCell ref="B61:D61"/>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CAPA and 8D Tracker&amp;R&amp;8&amp;A</oddHeader>
    <oddFooter>&amp;L&amp;8mfgcalcs.com - free manufacturing templates&amp;R&amp;8Page &amp;P of &amp;N</oddFooter>
  </headerFooter>
  <rowBreaks count="1" manualBreakCount="1">
    <brk id="3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A62"/>
  <sheetViews>
    <sheetView showGridLines="0" workbookViewId="0"/>
  </sheetViews>
  <sheetFormatPr defaultRowHeight="15"/>
  <cols>
    <col min="1" max="1" width="2.7109375" customWidth="1"/>
    <col min="2" max="19" width="12.7109375" customWidth="1"/>
    <col min="20" max="20" width="19.7109375" customWidth="1"/>
    <col min="21" max="21" width="9.28515625" customWidth="1"/>
    <col min="22" max="22" width="11.28515625" customWidth="1"/>
    <col min="23" max="23" width="12.28515625" customWidth="1"/>
    <col min="24" max="24" width="8.7109375" customWidth="1"/>
    <col min="25" max="25" width="7.7109375" customWidth="1"/>
    <col min="26" max="26" width="26.7109375" customWidth="1"/>
    <col min="27" max="27" width="38.7109375" customWidth="1"/>
  </cols>
  <sheetData>
    <row r="1" spans="1:27" ht="3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21" customHeight="1">
      <c r="B2" s="2" t="s">
        <v>28</v>
      </c>
      <c r="C2" s="2"/>
      <c r="D2" s="2"/>
      <c r="E2" s="2"/>
      <c r="F2" s="2"/>
      <c r="G2" s="2"/>
      <c r="H2" s="2"/>
      <c r="I2" s="2"/>
      <c r="J2" s="2"/>
      <c r="K2" s="2"/>
      <c r="L2" s="2"/>
      <c r="M2" s="2"/>
      <c r="N2" s="2"/>
      <c r="O2" s="2"/>
      <c r="P2" s="2"/>
      <c r="Q2" s="2"/>
      <c r="R2" s="2"/>
      <c r="S2" s="2"/>
      <c r="T2" s="2"/>
      <c r="U2" s="2"/>
      <c r="V2" s="2"/>
      <c r="W2" s="2"/>
      <c r="X2" s="2"/>
      <c r="Y2" s="2"/>
      <c r="Z2" s="2"/>
      <c r="AA2" s="3" t="s">
        <v>2</v>
      </c>
    </row>
    <row r="3" spans="1:27" ht="6" customHeight="1"/>
    <row r="4" spans="1:27" ht="30" customHeight="1">
      <c r="B4" s="68" t="s">
        <v>311</v>
      </c>
      <c r="C4" s="68"/>
      <c r="D4" s="22" t="str">
        <f>IF(COUNTIF($K$11:$K$42,"PASS")=32,"PASS","FAIL")</f>
        <v>PASS</v>
      </c>
      <c r="E4" s="22"/>
      <c r="F4" s="23" t="str">
        <f>COUNTIF($K$11:$K$42,"PASS")&amp;" of 32 checks pass"</f>
        <v>32 of 32 checks pass</v>
      </c>
      <c r="G4" s="23"/>
      <c r="H4" s="23"/>
      <c r="I4" s="23"/>
      <c r="J4" s="23"/>
    </row>
    <row r="6" spans="1:27" ht="29.4" customHeight="1">
      <c r="B6" s="10" t="s">
        <v>312</v>
      </c>
      <c r="C6" s="10"/>
      <c r="D6" s="10"/>
      <c r="E6" s="10"/>
      <c r="F6" s="10"/>
      <c r="G6" s="10"/>
      <c r="H6" s="10"/>
      <c r="I6" s="10"/>
      <c r="J6" s="10"/>
      <c r="K6" s="10"/>
      <c r="L6" s="10"/>
    </row>
    <row r="8" spans="1:27" ht="21" customHeight="1">
      <c r="B8" s="8" t="s">
        <v>313</v>
      </c>
      <c r="C8" s="8"/>
      <c r="D8" s="8"/>
      <c r="E8" s="8"/>
      <c r="F8" s="8"/>
      <c r="G8" s="8"/>
      <c r="H8" s="8"/>
      <c r="I8" s="8"/>
      <c r="J8" s="8"/>
      <c r="K8" s="8"/>
      <c r="L8" s="8"/>
    </row>
    <row r="9" spans="1:27" ht="5" customHeight="1"/>
    <row r="10" spans="1:27" ht="30" customHeight="1">
      <c r="B10" s="33" t="s">
        <v>314</v>
      </c>
      <c r="C10" s="50" t="s">
        <v>129</v>
      </c>
      <c r="D10" s="50"/>
      <c r="E10" s="50"/>
      <c r="F10" s="50"/>
      <c r="G10" s="33" t="s">
        <v>315</v>
      </c>
      <c r="H10" s="33" t="s">
        <v>316</v>
      </c>
      <c r="I10" s="33" t="s">
        <v>317</v>
      </c>
      <c r="J10" s="33" t="s">
        <v>318</v>
      </c>
      <c r="K10" s="33" t="s">
        <v>319</v>
      </c>
    </row>
    <row r="11" spans="1:27" ht="16.2" customHeight="1">
      <c r="B11" s="56">
        <v>1</v>
      </c>
      <c r="C11" s="66" t="s">
        <v>320</v>
      </c>
      <c r="D11" s="66"/>
      <c r="E11" s="66"/>
      <c r="F11" s="66"/>
      <c r="G11" s="69">
        <v>46057</v>
      </c>
      <c r="H11" s="37">
        <f>$S$55</f>
        <v>46057</v>
      </c>
      <c r="I11" s="70">
        <f>IF(AND(ISNUMBER($G$11),ISNUMBER($H$11)),ABS($H$11-$G$11),"")</f>
        <v>0</v>
      </c>
      <c r="J11" s="71">
        <v>1E-09</v>
      </c>
      <c r="K11" s="39" t="str">
        <f>IF(AND(ISNUMBER($G$11),ISNUMBER($H$11)),IF(ABS($H$11-$G$11)&lt;=$J$11,"PASS","FAIL"),"FAIL")</f>
        <v>PASS</v>
      </c>
    </row>
    <row r="12" spans="1:27" ht="16.2" customHeight="1">
      <c r="B12" s="56">
        <v>2</v>
      </c>
      <c r="C12" s="66" t="s">
        <v>321</v>
      </c>
      <c r="D12" s="66"/>
      <c r="E12" s="66"/>
      <c r="F12" s="66"/>
      <c r="G12" s="65" t="s">
        <v>119</v>
      </c>
      <c r="H12" s="38" t="str">
        <f>$T$55</f>
        <v>Closed</v>
      </c>
      <c r="I12" s="38"/>
      <c r="J12" s="67" t="s">
        <v>322</v>
      </c>
      <c r="K12" s="39" t="str">
        <f>IF($H$12&amp;""=$G$12&amp;"","PASS","FAIL")</f>
        <v>PASS</v>
      </c>
    </row>
    <row r="13" spans="1:27" ht="16.2" customHeight="1">
      <c r="B13" s="56">
        <v>3</v>
      </c>
      <c r="C13" s="66" t="s">
        <v>323</v>
      </c>
      <c r="D13" s="66"/>
      <c r="E13" s="66"/>
      <c r="F13" s="66"/>
      <c r="G13" s="65" t="s">
        <v>324</v>
      </c>
      <c r="H13" s="38" t="str">
        <f>$W$55</f>
        <v>Complete</v>
      </c>
      <c r="I13" s="38"/>
      <c r="J13" s="67" t="s">
        <v>322</v>
      </c>
      <c r="K13" s="39" t="str">
        <f>IF($H$13&amp;""=$G$13&amp;"","PASS","FAIL")</f>
        <v>PASS</v>
      </c>
    </row>
    <row r="14" spans="1:27" ht="16.2" customHeight="1">
      <c r="B14" s="56">
        <v>4</v>
      </c>
      <c r="C14" s="66" t="s">
        <v>325</v>
      </c>
      <c r="D14" s="66"/>
      <c r="E14" s="66"/>
      <c r="F14" s="66"/>
      <c r="G14" s="69">
        <v>46085</v>
      </c>
      <c r="H14" s="37">
        <f>$S$56</f>
        <v>46085</v>
      </c>
      <c r="I14" s="70">
        <f>IF(AND(ISNUMBER($G$14),ISNUMBER($H$14)),ABS($H$14-$G$14),"")</f>
        <v>0</v>
      </c>
      <c r="J14" s="71">
        <v>1E-09</v>
      </c>
      <c r="K14" s="39" t="str">
        <f>IF(AND(ISNUMBER($G$14),ISNUMBER($H$14)),IF(ABS($H$14-$G$14)&lt;=$J$14,"PASS","FAIL"),"FAIL")</f>
        <v>PASS</v>
      </c>
    </row>
    <row r="15" spans="1:27" ht="16.2" customHeight="1">
      <c r="B15" s="56">
        <v>5</v>
      </c>
      <c r="C15" s="66" t="s">
        <v>326</v>
      </c>
      <c r="D15" s="66"/>
      <c r="E15" s="66"/>
      <c r="F15" s="66"/>
      <c r="G15" s="65" t="s">
        <v>119</v>
      </c>
      <c r="H15" s="38" t="str">
        <f>$T$56</f>
        <v>Closed</v>
      </c>
      <c r="I15" s="38"/>
      <c r="J15" s="67" t="s">
        <v>322</v>
      </c>
      <c r="K15" s="39" t="str">
        <f>IF($H$15&amp;""=$G$15&amp;"","PASS","FAIL")</f>
        <v>PASS</v>
      </c>
    </row>
    <row r="16" spans="1:27" ht="16.2" customHeight="1">
      <c r="B16" s="56">
        <v>6</v>
      </c>
      <c r="C16" s="66" t="s">
        <v>327</v>
      </c>
      <c r="D16" s="66"/>
      <c r="E16" s="66"/>
      <c r="F16" s="66"/>
      <c r="G16" s="65" t="s">
        <v>324</v>
      </c>
      <c r="H16" s="38" t="str">
        <f>$W$56</f>
        <v>Complete</v>
      </c>
      <c r="I16" s="38"/>
      <c r="J16" s="67" t="s">
        <v>322</v>
      </c>
      <c r="K16" s="39" t="str">
        <f>IF($H$16&amp;""=$G$16&amp;"","PASS","FAIL")</f>
        <v>PASS</v>
      </c>
    </row>
    <row r="17" spans="2:11" ht="16.2" customHeight="1">
      <c r="B17" s="56">
        <v>7</v>
      </c>
      <c r="C17" s="66" t="s">
        <v>328</v>
      </c>
      <c r="D17" s="66"/>
      <c r="E17" s="66"/>
      <c r="F17" s="66"/>
      <c r="G17" s="69">
        <v>46174</v>
      </c>
      <c r="H17" s="37">
        <f>$S$57</f>
        <v>46174</v>
      </c>
      <c r="I17" s="70">
        <f>IF(AND(ISNUMBER($G$17),ISNUMBER($H$17)),ABS($H$17-$G$17),"")</f>
        <v>0</v>
      </c>
      <c r="J17" s="71">
        <v>1E-09</v>
      </c>
      <c r="K17" s="39" t="str">
        <f>IF(AND(ISNUMBER($G$17),ISNUMBER($H$17)),IF(ABS($H$17-$G$17)&lt;=$J$17,"PASS","FAIL"),"FAIL")</f>
        <v>PASS</v>
      </c>
    </row>
    <row r="18" spans="2:11" ht="16.2" customHeight="1">
      <c r="B18" s="56">
        <v>8</v>
      </c>
      <c r="C18" s="66" t="s">
        <v>329</v>
      </c>
      <c r="D18" s="66"/>
      <c r="E18" s="66"/>
      <c r="F18" s="66"/>
      <c r="G18" s="65" t="s">
        <v>240</v>
      </c>
      <c r="H18" s="38" t="str">
        <f>$T$57</f>
        <v>D5-D6 Corrective action</v>
      </c>
      <c r="I18" s="38"/>
      <c r="J18" s="67" t="s">
        <v>322</v>
      </c>
      <c r="K18" s="39" t="str">
        <f>IF($H$18&amp;""=$G$18&amp;"","PASS","FAIL")</f>
        <v>PASS</v>
      </c>
    </row>
    <row r="19" spans="2:11" ht="16.2" customHeight="1">
      <c r="B19" s="56">
        <v>9</v>
      </c>
      <c r="C19" s="66" t="s">
        <v>330</v>
      </c>
      <c r="D19" s="66"/>
      <c r="E19" s="66"/>
      <c r="F19" s="66"/>
      <c r="G19" s="65" t="s">
        <v>229</v>
      </c>
      <c r="H19" s="38" t="str">
        <f>$W$57</f>
        <v>Overdue</v>
      </c>
      <c r="I19" s="38"/>
      <c r="J19" s="67" t="s">
        <v>322</v>
      </c>
      <c r="K19" s="39" t="str">
        <f>IF($H$19&amp;""=$G$19&amp;"","PASS","FAIL")</f>
        <v>PASS</v>
      </c>
    </row>
    <row r="20" spans="2:11" ht="16.2" customHeight="1">
      <c r="B20" s="56">
        <v>10</v>
      </c>
      <c r="C20" s="66" t="s">
        <v>331</v>
      </c>
      <c r="D20" s="66"/>
      <c r="E20" s="66"/>
      <c r="F20" s="66"/>
      <c r="G20" s="69">
        <v>46211</v>
      </c>
      <c r="H20" s="37">
        <f>$S$58</f>
        <v>46211</v>
      </c>
      <c r="I20" s="70">
        <f>IF(AND(ISNUMBER($G$20),ISNUMBER($H$20)),ABS($H$20-$G$20),"")</f>
        <v>0</v>
      </c>
      <c r="J20" s="71">
        <v>1E-09</v>
      </c>
      <c r="K20" s="39" t="str">
        <f>IF(AND(ISNUMBER($G$20),ISNUMBER($H$20)),IF(ABS($H$20-$G$20)&lt;=$J$20,"PASS","FAIL"),"FAIL")</f>
        <v>PASS</v>
      </c>
    </row>
    <row r="21" spans="2:11" ht="16.2" customHeight="1">
      <c r="B21" s="56">
        <v>11</v>
      </c>
      <c r="C21" s="66" t="s">
        <v>332</v>
      </c>
      <c r="D21" s="66"/>
      <c r="E21" s="66"/>
      <c r="F21" s="66"/>
      <c r="G21" s="65" t="s">
        <v>238</v>
      </c>
      <c r="H21" s="38" t="str">
        <f>$T$58</f>
        <v>D3 Containment</v>
      </c>
      <c r="I21" s="38"/>
      <c r="J21" s="67" t="s">
        <v>322</v>
      </c>
      <c r="K21" s="39" t="str">
        <f>IF($H$21&amp;""=$G$21&amp;"","PASS","FAIL")</f>
        <v>PASS</v>
      </c>
    </row>
    <row r="22" spans="2:11" ht="16.2" customHeight="1">
      <c r="B22" s="56">
        <v>12</v>
      </c>
      <c r="C22" s="66" t="s">
        <v>333</v>
      </c>
      <c r="D22" s="66"/>
      <c r="E22" s="66"/>
      <c r="F22" s="66"/>
      <c r="G22" s="65" t="s">
        <v>235</v>
      </c>
      <c r="H22" s="38" t="str">
        <f>$W$58</f>
        <v>Due soon</v>
      </c>
      <c r="I22" s="38"/>
      <c r="J22" s="67" t="s">
        <v>322</v>
      </c>
      <c r="K22" s="39" t="str">
        <f>IF($H$22&amp;""=$G$22&amp;"","PASS","FAIL")</f>
        <v>PASS</v>
      </c>
    </row>
    <row r="23" spans="2:11" ht="16.2" customHeight="1">
      <c r="B23" s="56">
        <v>13</v>
      </c>
      <c r="C23" s="66" t="s">
        <v>334</v>
      </c>
      <c r="D23" s="66"/>
      <c r="E23" s="66"/>
      <c r="F23" s="66"/>
      <c r="G23" s="69">
        <v>46262</v>
      </c>
      <c r="H23" s="37">
        <f>$S$59</f>
        <v>46262</v>
      </c>
      <c r="I23" s="70">
        <f>IF(AND(ISNUMBER($G$23),ISNUMBER($H$23)),ABS($H$23-$G$23),"")</f>
        <v>0</v>
      </c>
      <c r="J23" s="71">
        <v>1E-09</v>
      </c>
      <c r="K23" s="39" t="str">
        <f>IF(AND(ISNUMBER($G$23),ISNUMBER($H$23)),IF(ABS($H$23-$G$23)&lt;=$J$23,"PASS","FAIL"),"FAIL")</f>
        <v>PASS</v>
      </c>
    </row>
    <row r="24" spans="2:11" ht="16.2" customHeight="1">
      <c r="B24" s="56">
        <v>14</v>
      </c>
      <c r="C24" s="66" t="s">
        <v>335</v>
      </c>
      <c r="D24" s="66"/>
      <c r="E24" s="66"/>
      <c r="F24" s="66"/>
      <c r="G24" s="65" t="s">
        <v>238</v>
      </c>
      <c r="H24" s="38" t="str">
        <f>$T$59</f>
        <v>D3 Containment</v>
      </c>
      <c r="I24" s="38"/>
      <c r="J24" s="67" t="s">
        <v>322</v>
      </c>
      <c r="K24" s="39" t="str">
        <f>IF($H$24&amp;""=$G$24&amp;"","PASS","FAIL")</f>
        <v>PASS</v>
      </c>
    </row>
    <row r="25" spans="2:11" ht="16.2" customHeight="1">
      <c r="B25" s="56">
        <v>15</v>
      </c>
      <c r="C25" s="66" t="s">
        <v>336</v>
      </c>
      <c r="D25" s="66"/>
      <c r="E25" s="66"/>
      <c r="F25" s="66"/>
      <c r="G25" s="65" t="s">
        <v>236</v>
      </c>
      <c r="H25" s="38" t="str">
        <f>$W$59</f>
        <v>In progress</v>
      </c>
      <c r="I25" s="38"/>
      <c r="J25" s="67" t="s">
        <v>322</v>
      </c>
      <c r="K25" s="39" t="str">
        <f>IF($H$25&amp;""=$G$25&amp;"","PASS","FAIL")</f>
        <v>PASS</v>
      </c>
    </row>
    <row r="26" spans="2:11" ht="16.2" customHeight="1">
      <c r="B26" s="56">
        <v>16</v>
      </c>
      <c r="C26" s="66" t="s">
        <v>337</v>
      </c>
      <c r="D26" s="66"/>
      <c r="E26" s="66"/>
      <c r="F26" s="66"/>
      <c r="G26" s="69">
        <v>46173</v>
      </c>
      <c r="H26" s="37">
        <f>$S$60</f>
        <v>46173</v>
      </c>
      <c r="I26" s="70">
        <f>IF(AND(ISNUMBER($G$26),ISNUMBER($H$26)),ABS($H$26-$G$26),"")</f>
        <v>0</v>
      </c>
      <c r="J26" s="71">
        <v>1E-09</v>
      </c>
      <c r="K26" s="39" t="str">
        <f>IF(AND(ISNUMBER($G$26),ISNUMBER($H$26)),IF(ABS($H$26-$G$26)&lt;=$J$26,"PASS","FAIL"),"FAIL")</f>
        <v>PASS</v>
      </c>
    </row>
    <row r="27" spans="2:11" ht="16.2" customHeight="1">
      <c r="B27" s="56">
        <v>17</v>
      </c>
      <c r="C27" s="66" t="s">
        <v>338</v>
      </c>
      <c r="D27" s="66"/>
      <c r="E27" s="66"/>
      <c r="F27" s="66"/>
      <c r="G27" s="65" t="s">
        <v>119</v>
      </c>
      <c r="H27" s="38" t="str">
        <f>$T$60</f>
        <v>Closed</v>
      </c>
      <c r="I27" s="38"/>
      <c r="J27" s="67" t="s">
        <v>322</v>
      </c>
      <c r="K27" s="39" t="str">
        <f>IF($H$27&amp;""=$G$27&amp;"","PASS","FAIL")</f>
        <v>PASS</v>
      </c>
    </row>
    <row r="28" spans="2:11" ht="16.2" customHeight="1">
      <c r="B28" s="56">
        <v>18</v>
      </c>
      <c r="C28" s="66" t="s">
        <v>339</v>
      </c>
      <c r="D28" s="66"/>
      <c r="E28" s="66"/>
      <c r="F28" s="66"/>
      <c r="G28" s="65" t="s">
        <v>324</v>
      </c>
      <c r="H28" s="38" t="str">
        <f>$W$60</f>
        <v>Complete</v>
      </c>
      <c r="I28" s="38"/>
      <c r="J28" s="67" t="s">
        <v>322</v>
      </c>
      <c r="K28" s="39" t="str">
        <f>IF($H$28&amp;""=$G$28&amp;"","PASS","FAIL")</f>
        <v>PASS</v>
      </c>
    </row>
    <row r="29" spans="2:11" ht="16.2" customHeight="1">
      <c r="B29" s="56">
        <v>19</v>
      </c>
      <c r="C29" s="66" t="s">
        <v>340</v>
      </c>
      <c r="D29" s="66"/>
      <c r="E29" s="66"/>
      <c r="F29" s="66"/>
      <c r="G29" s="72">
        <v>28</v>
      </c>
      <c r="H29" s="36">
        <f>$U$55</f>
        <v>28</v>
      </c>
      <c r="I29" s="70">
        <f>IF(AND(ISNUMBER($G$29),ISNUMBER($H$29)),ABS($H$29-$G$29),"")</f>
        <v>0</v>
      </c>
      <c r="J29" s="71">
        <v>1E-09</v>
      </c>
      <c r="K29" s="39" t="str">
        <f>IF(AND(ISNUMBER($G$29),ISNUMBER($H$29)),IF(ABS($H$29-$G$29)&lt;=$J$29,"PASS","FAIL"),"FAIL")</f>
        <v>PASS</v>
      </c>
    </row>
    <row r="30" spans="2:11" ht="16.2" customHeight="1">
      <c r="B30" s="56">
        <v>20</v>
      </c>
      <c r="C30" s="66" t="s">
        <v>341</v>
      </c>
      <c r="D30" s="66"/>
      <c r="E30" s="66"/>
      <c r="F30" s="66"/>
      <c r="G30" s="72">
        <v>89</v>
      </c>
      <c r="H30" s="36">
        <f>$U$57</f>
        <v>89</v>
      </c>
      <c r="I30" s="70">
        <f>IF(AND(ISNUMBER($G$30),ISNUMBER($H$30)),ABS($H$30-$G$30),"")</f>
        <v>0</v>
      </c>
      <c r="J30" s="71">
        <v>1E-09</v>
      </c>
      <c r="K30" s="39" t="str">
        <f>IF(AND(ISNUMBER($G$30),ISNUMBER($H$30)),IF(ABS($H$30-$G$30)&lt;=$J$30,"PASS","FAIL"),"FAIL")</f>
        <v>PASS</v>
      </c>
    </row>
    <row r="31" spans="2:11" ht="16.2" customHeight="1">
      <c r="B31" s="56">
        <v>21</v>
      </c>
      <c r="C31" s="66" t="s">
        <v>342</v>
      </c>
      <c r="D31" s="66"/>
      <c r="E31" s="66"/>
      <c r="F31" s="66"/>
      <c r="G31" s="65" t="s">
        <v>343</v>
      </c>
      <c r="H31" s="38" t="str">
        <f>$X$56</f>
        <v>No</v>
      </c>
      <c r="I31" s="38"/>
      <c r="J31" s="67" t="s">
        <v>322</v>
      </c>
      <c r="K31" s="39" t="str">
        <f>IF($H$31&amp;""=$G$31&amp;"","PASS","FAIL")</f>
        <v>PASS</v>
      </c>
    </row>
    <row r="32" spans="2:11" ht="16.2" customHeight="1">
      <c r="B32" s="56">
        <v>22</v>
      </c>
      <c r="C32" s="66" t="s">
        <v>344</v>
      </c>
      <c r="D32" s="66"/>
      <c r="E32" s="66"/>
      <c r="F32" s="66"/>
      <c r="G32" s="65" t="s">
        <v>343</v>
      </c>
      <c r="H32" s="38" t="str">
        <f>$V$56</f>
        <v>No</v>
      </c>
      <c r="I32" s="38"/>
      <c r="J32" s="67" t="s">
        <v>322</v>
      </c>
      <c r="K32" s="39" t="str">
        <f>IF($H$32&amp;""=$G$32&amp;"","PASS","FAIL")</f>
        <v>PASS</v>
      </c>
    </row>
    <row r="33" spans="2:12" ht="16.2" customHeight="1">
      <c r="B33" s="56">
        <v>23</v>
      </c>
      <c r="C33" s="66" t="s">
        <v>345</v>
      </c>
      <c r="D33" s="66"/>
      <c r="E33" s="66"/>
      <c r="F33" s="66"/>
      <c r="G33" s="65" t="s">
        <v>343</v>
      </c>
      <c r="H33" s="38" t="str">
        <f>$V$58</f>
        <v>No</v>
      </c>
      <c r="I33" s="38"/>
      <c r="J33" s="67" t="s">
        <v>322</v>
      </c>
      <c r="K33" s="39" t="str">
        <f>IF($H$33&amp;""=$G$33&amp;"","PASS","FAIL")</f>
        <v>PASS</v>
      </c>
    </row>
    <row r="34" spans="2:12" ht="16.2" customHeight="1">
      <c r="B34" s="56">
        <v>24</v>
      </c>
      <c r="C34" s="66" t="s">
        <v>346</v>
      </c>
      <c r="D34" s="66"/>
      <c r="E34" s="66"/>
      <c r="F34" s="66"/>
      <c r="G34" s="65" t="s">
        <v>347</v>
      </c>
      <c r="H34" s="38">
        <f>$V$59</f>
        <v/>
      </c>
      <c r="I34" s="38"/>
      <c r="J34" s="67" t="s">
        <v>322</v>
      </c>
      <c r="K34" s="39" t="str">
        <f>IF($H$34&amp;""=$G$34&amp;"","PASS","FAIL")</f>
        <v>PASS</v>
      </c>
    </row>
    <row r="35" spans="2:12" ht="16.2" customHeight="1">
      <c r="B35" s="56">
        <v>25</v>
      </c>
      <c r="C35" s="66" t="s">
        <v>348</v>
      </c>
      <c r="D35" s="66"/>
      <c r="E35" s="66"/>
      <c r="F35" s="66"/>
      <c r="G35" s="65" t="s">
        <v>349</v>
      </c>
      <c r="H35" s="38" t="str">
        <f>$Z$61</f>
        <v>Date before opened</v>
      </c>
      <c r="I35" s="38"/>
      <c r="J35" s="67" t="s">
        <v>322</v>
      </c>
      <c r="K35" s="39" t="str">
        <f>IF($H$35&amp;""=$G$35&amp;"","PASS","FAIL")</f>
        <v>PASS</v>
      </c>
    </row>
    <row r="36" spans="2:12" ht="16.2" customHeight="1">
      <c r="B36" s="56">
        <v>26</v>
      </c>
      <c r="C36" s="66" t="s">
        <v>350</v>
      </c>
      <c r="D36" s="66"/>
      <c r="E36" s="66"/>
      <c r="F36" s="66"/>
      <c r="G36" s="65" t="s">
        <v>351</v>
      </c>
      <c r="H36" s="38" t="str">
        <f>$Z$62</f>
        <v>Duplicate CAPA number</v>
      </c>
      <c r="I36" s="38"/>
      <c r="J36" s="67" t="s">
        <v>322</v>
      </c>
      <c r="K36" s="39" t="str">
        <f>IF($H$36&amp;""=$G$36&amp;"","PASS","FAIL")</f>
        <v>PASS</v>
      </c>
    </row>
    <row r="37" spans="2:12" ht="16.2" customHeight="1">
      <c r="B37" s="56">
        <v>27</v>
      </c>
      <c r="C37" s="66" t="s">
        <v>352</v>
      </c>
      <c r="D37" s="66"/>
      <c r="E37" s="66"/>
      <c r="F37" s="66"/>
      <c r="G37" s="72">
        <v>4</v>
      </c>
      <c r="H37" s="36">
        <f>COUNTIFS(tblVerifyCapas[In view],1,tblVerifyCapas[Opened],"&lt;="&amp;$E$48,tblVerifyCapas[Closed],"")</f>
        <v>4</v>
      </c>
      <c r="I37" s="70">
        <f>IF(AND(ISNUMBER($G$37),ISNUMBER($H$37)),ABS($H$37-$G$37),"")</f>
        <v>0</v>
      </c>
      <c r="J37" s="71">
        <v>1E-09</v>
      </c>
      <c r="K37" s="39" t="str">
        <f>IF(AND(ISNUMBER($G$37),ISNUMBER($H$37)),IF(ABS($H$37-$G$37)&lt;=$J$37,"PASS","FAIL"),"FAIL")</f>
        <v>PASS</v>
      </c>
    </row>
    <row r="38" spans="2:12" ht="16.2" customHeight="1">
      <c r="B38" s="56">
        <v>28</v>
      </c>
      <c r="C38" s="66" t="s">
        <v>353</v>
      </c>
      <c r="D38" s="66"/>
      <c r="E38" s="66"/>
      <c r="F38" s="66"/>
      <c r="G38" s="72">
        <v>1</v>
      </c>
      <c r="H38" s="36">
        <f>COUNTIFS(tblVerifyCapas[In view],1,tblVerifyCapas[Status],"Overdue")</f>
        <v>1</v>
      </c>
      <c r="I38" s="70">
        <f>IF(AND(ISNUMBER($G$38),ISNUMBER($H$38)),ABS($H$38-$G$38),"")</f>
        <v>0</v>
      </c>
      <c r="J38" s="71">
        <v>1E-09</v>
      </c>
      <c r="K38" s="39" t="str">
        <f>IF(AND(ISNUMBER($G$38),ISNUMBER($H$38)),IF(ABS($H$38-$G$38)&lt;=$J$38,"PASS","FAIL"),"FAIL")</f>
        <v>PASS</v>
      </c>
    </row>
    <row r="39" spans="2:12" ht="16.2" customHeight="1">
      <c r="B39" s="56">
        <v>29</v>
      </c>
      <c r="C39" s="66" t="s">
        <v>354</v>
      </c>
      <c r="D39" s="66"/>
      <c r="E39" s="66"/>
      <c r="F39" s="66"/>
      <c r="G39" s="73">
        <v>0.75</v>
      </c>
      <c r="H39" s="57">
        <f>IF((COUNTIFS(tblVerifyCapas[In view],1,tblVerifyCapas[Closed],"&gt;="&amp;EDATE(DATE(YEAR($E$48),MONTH($E$48),1),-11),tblVerifyCapas[Closed],"&lt;="&amp;$E$48))=0,"",(COUNTIFS(tblVerifyCapas[In view],1,tblVerifyCapas[Closed],"&gt;="&amp;EDATE(DATE(YEAR($E$48),MONTH($E$48),1),-11),tblVerifyCapas[Closed],"&lt;="&amp;$E$48,tblVerifyCapas[On time],"Yes"))/(COUNTIFS(tblVerifyCapas[In view],1,tblVerifyCapas[Closed],"&gt;="&amp;EDATE(DATE(YEAR($E$48),MONTH($E$48),1),-11),tblVerifyCapas[Closed],"&lt;="&amp;$E$48)))</f>
        <v>0.75</v>
      </c>
      <c r="I39" s="70">
        <f>IF(AND(ISNUMBER($G$39),ISNUMBER($H$39)),ABS($H$39-$G$39),"")</f>
        <v>0</v>
      </c>
      <c r="J39" s="71">
        <v>1E-09</v>
      </c>
      <c r="K39" s="39" t="str">
        <f>IF(AND(ISNUMBER($G$39),ISNUMBER($H$39)),IF(ABS($H$39-$G$39)&lt;=$J$39,"PASS","FAIL"),"FAIL")</f>
        <v>PASS</v>
      </c>
    </row>
    <row r="40" spans="2:12" ht="16.2" customHeight="1">
      <c r="B40" s="56">
        <v>30</v>
      </c>
      <c r="C40" s="66" t="s">
        <v>355</v>
      </c>
      <c r="D40" s="66"/>
      <c r="E40" s="66"/>
      <c r="F40" s="66"/>
      <c r="G40" s="73">
        <v>0.5</v>
      </c>
      <c r="H40" s="57">
        <f>IF((COUNTIFS(tblVerifyCapas[In view],1,tblVerifyCapas[Verified],"&gt;="&amp;EDATE(DATE(YEAR($E$48),MONTH($E$48),1),-11),tblVerifyCapas[Verified],"&lt;="&amp;$E$48,tblVerifyCapas[Effectiveness],"Effective")+COUNTIFS(tblVerifyCapas[In view],1,tblVerifyCapas[Verified],"&gt;="&amp;EDATE(DATE(YEAR($E$48),MONTH($E$48),1),-11),tblVerifyCapas[Verified],"&lt;="&amp;$E$48,tblVerifyCapas[Effectiveness],"Not effective"))=0,"",(COUNTIFS(tblVerifyCapas[In view],1,tblVerifyCapas[Verified],"&gt;="&amp;EDATE(DATE(YEAR($E$48),MONTH($E$48),1),-11),tblVerifyCapas[Verified],"&lt;="&amp;$E$48,tblVerifyCapas[Effectiveness],"Effective"))/(COUNTIFS(tblVerifyCapas[In view],1,tblVerifyCapas[Verified],"&gt;="&amp;EDATE(DATE(YEAR($E$48),MONTH($E$48),1),-11),tblVerifyCapas[Verified],"&lt;="&amp;$E$48,tblVerifyCapas[Effectiveness],"Effective")+COUNTIFS(tblVerifyCapas[In view],1,tblVerifyCapas[Verified],"&gt;="&amp;EDATE(DATE(YEAR($E$48),MONTH($E$48),1),-11),tblVerifyCapas[Verified],"&lt;="&amp;$E$48,tblVerifyCapas[Effectiveness],"Not effective")))</f>
        <v>0.5</v>
      </c>
      <c r="I40" s="70">
        <f>IF(AND(ISNUMBER($G$40),ISNUMBER($H$40)),ABS($H$40-$G$40),"")</f>
        <v>0</v>
      </c>
      <c r="J40" s="71">
        <v>1E-09</v>
      </c>
      <c r="K40" s="39" t="str">
        <f>IF(AND(ISNUMBER($G$40),ISNUMBER($H$40)),IF(ABS($H$40-$G$40)&lt;=$J$40,"PASS","FAIL"),"FAIL")</f>
        <v>PASS</v>
      </c>
    </row>
    <row r="41" spans="2:12" ht="16.2" customHeight="1">
      <c r="B41" s="56">
        <v>31</v>
      </c>
      <c r="C41" s="66" t="s">
        <v>356</v>
      </c>
      <c r="D41" s="66"/>
      <c r="E41" s="66"/>
      <c r="F41" s="66"/>
      <c r="G41" s="74">
        <v>37.5</v>
      </c>
      <c r="H41" s="75">
        <f>IF((COUNTIFS(tblVerifyCapas[In view],1,tblVerifyCapas[Closed],"&gt;="&amp;EDATE(DATE(YEAR($E$48),MONTH($E$48),1),-11),tblVerifyCapas[Closed],"&lt;="&amp;$E$48))=0,"",(SUMIFS(tblVerifyCapas[Days open],tblVerifyCapas[In view],1,tblVerifyCapas[Closed],"&gt;="&amp;EDATE(DATE(YEAR($E$48),MONTH($E$48),1),-11),tblVerifyCapas[Closed],"&lt;="&amp;$E$48))/(COUNTIFS(tblVerifyCapas[In view],1,tblVerifyCapas[Closed],"&gt;="&amp;EDATE(DATE(YEAR($E$48),MONTH($E$48),1),-11),tblVerifyCapas[Closed],"&lt;="&amp;$E$48)))</f>
        <v>37.5</v>
      </c>
      <c r="I41" s="70">
        <f>IF(AND(ISNUMBER($G$41),ISNUMBER($H$41)),ABS($H$41-$G$41),"")</f>
        <v>0</v>
      </c>
      <c r="J41" s="71">
        <v>1E-09</v>
      </c>
      <c r="K41" s="39" t="str">
        <f>IF(AND(ISNUMBER($G$41),ISNUMBER($H$41)),IF(ABS($H$41-$G$41)&lt;=$J$41,"PASS","FAIL"),"FAIL")</f>
        <v>PASS</v>
      </c>
    </row>
    <row r="42" spans="2:12" ht="16.2" customHeight="1">
      <c r="B42" s="56">
        <v>32</v>
      </c>
      <c r="C42" s="66" t="s">
        <v>357</v>
      </c>
      <c r="D42" s="66"/>
      <c r="E42" s="66"/>
      <c r="F42" s="66"/>
      <c r="G42" s="72">
        <v>89</v>
      </c>
      <c r="H42" s="36">
        <f>IF(COUNTIFS(tblVerifyCapas[In view],1,tblVerifyCapas[Opened],"&lt;="&amp;$E$48,tblVerifyCapas[Closed],"")=0,"",SUMPRODUCT(MAX((tblVerifyCapas[In view]=1)*(tblVerifyCapas[Opened]&gt;0)*(tblVerifyCapas[Opened]&lt;=$E$48)*(tblVerifyCapas[Closed]="")*($E$48-tblVerifyCapas[Opened]))))</f>
        <v>89</v>
      </c>
      <c r="I42" s="70">
        <f>IF(AND(ISNUMBER($G$42),ISNUMBER($H$42)),ABS($H$42-$G$42),"")</f>
        <v>0</v>
      </c>
      <c r="J42" s="71">
        <v>1E-09</v>
      </c>
      <c r="K42" s="39" t="str">
        <f>IF(AND(ISNUMBER($G$42),ISNUMBER($H$42)),IF(ABS($H$42-$G$42)&lt;=$J$42,"PASS","FAIL"),"FAIL")</f>
        <v>PASS</v>
      </c>
    </row>
    <row r="44" spans="2:12" ht="21" customHeight="1">
      <c r="B44" s="8" t="s">
        <v>358</v>
      </c>
      <c r="C44" s="8"/>
      <c r="D44" s="8"/>
      <c r="E44" s="8"/>
      <c r="F44" s="8"/>
      <c r="G44" s="8"/>
      <c r="H44" s="8"/>
      <c r="I44" s="8"/>
      <c r="J44" s="8"/>
      <c r="K44" s="8"/>
      <c r="L44" s="8"/>
    </row>
    <row r="45" spans="2:12" ht="5" customHeight="1"/>
    <row r="46" spans="2:12">
      <c r="B46" s="21" t="s">
        <v>359</v>
      </c>
      <c r="C46" s="21"/>
      <c r="D46" s="21"/>
      <c r="E46" s="21"/>
      <c r="F46" s="21"/>
      <c r="G46" s="21"/>
      <c r="H46" s="21"/>
      <c r="I46" s="21"/>
      <c r="J46" s="21"/>
      <c r="K46" s="21"/>
      <c r="L46" s="21"/>
    </row>
    <row r="47" spans="2:12">
      <c r="B47" s="32" t="s">
        <v>360</v>
      </c>
      <c r="C47" s="32"/>
      <c r="D47" s="32"/>
      <c r="E47" s="32"/>
      <c r="F47" s="32"/>
    </row>
    <row r="48" spans="2:12">
      <c r="B48" s="27" t="s">
        <v>73</v>
      </c>
      <c r="C48" s="27"/>
      <c r="D48" s="27"/>
      <c r="E48" s="69">
        <v>46203</v>
      </c>
      <c r="F48" s="7"/>
    </row>
    <row r="49" spans="2:27">
      <c r="B49" s="27" t="s">
        <v>361</v>
      </c>
      <c r="C49" s="27"/>
      <c r="D49" s="27"/>
      <c r="E49" s="72">
        <v>14</v>
      </c>
      <c r="F49" s="7"/>
    </row>
    <row r="50" spans="2:27">
      <c r="B50" s="27" t="s">
        <v>362</v>
      </c>
      <c r="C50" s="27"/>
      <c r="D50" s="27"/>
      <c r="E50" s="65" t="s">
        <v>347</v>
      </c>
      <c r="F50" s="65"/>
    </row>
    <row r="51" spans="2:27">
      <c r="B51" s="27" t="s">
        <v>363</v>
      </c>
      <c r="C51" s="27"/>
      <c r="D51" s="27"/>
      <c r="E51" s="65" t="s">
        <v>347</v>
      </c>
      <c r="F51" s="65"/>
    </row>
    <row r="53" spans="2:27">
      <c r="B53" s="32" t="s">
        <v>364</v>
      </c>
      <c r="C53" s="32"/>
      <c r="D53" s="32"/>
      <c r="E53" s="32"/>
      <c r="F53" s="32"/>
      <c r="G53" s="32"/>
      <c r="H53" s="32"/>
      <c r="I53" s="32"/>
      <c r="J53" s="32"/>
      <c r="K53" s="32"/>
      <c r="L53" s="32"/>
    </row>
    <row r="54" spans="2:27" ht="32" customHeight="1">
      <c r="B54" s="33" t="s">
        <v>110</v>
      </c>
      <c r="C54" s="33" t="s">
        <v>111</v>
      </c>
      <c r="D54" s="33" t="s">
        <v>66</v>
      </c>
      <c r="E54" s="33" t="s">
        <v>112</v>
      </c>
      <c r="F54" s="33" t="s">
        <v>62</v>
      </c>
      <c r="G54" s="33" t="s">
        <v>113</v>
      </c>
      <c r="H54" s="33" t="s">
        <v>114</v>
      </c>
      <c r="I54" s="33" t="s">
        <v>68</v>
      </c>
      <c r="J54" s="33" t="s">
        <v>115</v>
      </c>
      <c r="K54" s="33" t="s">
        <v>116</v>
      </c>
      <c r="L54" s="33" t="s">
        <v>117</v>
      </c>
      <c r="M54" s="33" t="s">
        <v>118</v>
      </c>
      <c r="N54" s="33" t="s">
        <v>119</v>
      </c>
      <c r="O54" s="33" t="s">
        <v>120</v>
      </c>
      <c r="P54" s="33" t="s">
        <v>121</v>
      </c>
      <c r="Q54" s="33" t="s">
        <v>63</v>
      </c>
      <c r="R54" s="33" t="s">
        <v>64</v>
      </c>
      <c r="S54" s="33" t="s">
        <v>122</v>
      </c>
      <c r="T54" s="33" t="s">
        <v>123</v>
      </c>
      <c r="U54" s="33" t="s">
        <v>124</v>
      </c>
      <c r="V54" s="33" t="s">
        <v>125</v>
      </c>
      <c r="W54" s="33" t="s">
        <v>126</v>
      </c>
      <c r="X54" s="33" t="s">
        <v>127</v>
      </c>
      <c r="Y54" s="33" t="s">
        <v>128</v>
      </c>
      <c r="Z54" s="33" t="s">
        <v>129</v>
      </c>
      <c r="AA54" s="33" t="s">
        <v>130</v>
      </c>
    </row>
    <row r="55" spans="2:27">
      <c r="B55" s="65" t="s">
        <v>365</v>
      </c>
      <c r="C55" s="69">
        <v>46027</v>
      </c>
      <c r="D55" s="65" t="s">
        <v>89</v>
      </c>
      <c r="E55" s="65" t="s">
        <v>133</v>
      </c>
      <c r="F55" s="65" t="s">
        <v>82</v>
      </c>
      <c r="G55" s="65" t="s">
        <v>366</v>
      </c>
      <c r="H55" s="65" t="s">
        <v>367</v>
      </c>
      <c r="I55" s="65" t="s">
        <v>368</v>
      </c>
      <c r="J55" s="69">
        <v>46027</v>
      </c>
      <c r="K55" s="69">
        <v>46034</v>
      </c>
      <c r="L55" s="69">
        <v>46048</v>
      </c>
      <c r="M55" s="69">
        <v>46052</v>
      </c>
      <c r="N55" s="69">
        <v>46055</v>
      </c>
      <c r="O55" s="65" t="s">
        <v>140</v>
      </c>
      <c r="P55" s="69">
        <v>46097</v>
      </c>
      <c r="Q55" s="72">
        <v>1</v>
      </c>
      <c r="R55" s="72">
        <v>30</v>
      </c>
      <c r="S55" s="37">
        <f>IF(tblVerifyCapas[[#This Row],[Opened]]="","",IF(tblVerifyCapas[[#This Row],[Close within (days)]]="","",tblVerifyCapas[[#This Row],[Opened]]+tblVerifyCapas[[#This Row],[Close within (days)]]))</f>
        <v>46057</v>
      </c>
      <c r="T55"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Closed</v>
      </c>
      <c r="U55" s="36">
        <f>IF(tblVerifyCapas[[#This Row],[Opened]]="","",IF(N(tblVerifyCapas[[#This Row],[Closed]])&gt;0,tblVerifyCapas[[#This Row],[Closed]],$E$48)-tblVerifyCapas[[#This Row],[Opened]])</f>
        <v>28</v>
      </c>
      <c r="V55"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Yes</v>
      </c>
      <c r="W55" s="39" t="str">
        <f>IF(tblVerifyCapas[[#This Row],[Opened]]="","",IF(N(tblVerifyCapas[[#This Row],[Closed]])&gt;0,"Complete",IF(tblVerifyCapas[[#This Row],[Due]]="","Check",IF(tblVerifyCapas[[#This Row],[Due]]&lt;$E$48,"Overdue",IF(tblVerifyCapas[[#This Row],[Due]]-$E$48&lt;=$E$49,"Due soon","In progress")))))</f>
        <v>Complete</v>
      </c>
      <c r="X55" s="39" t="str">
        <f>IF(tblVerifyCapas[[#This Row],[Opened]]="","",IF(N(tblVerifyCapas[[#This Row],[Closed]])=0,"",IF(tblVerifyCapas[[#This Row],[Due]]="","",IF(tblVerifyCapas[[#This Row],[Closed]]&lt;=tblVerifyCapas[[#This Row],[Due]],"Yes","No"))))</f>
        <v>Yes</v>
      </c>
      <c r="Y55" s="36">
        <f>IF(tblVerifyCapas[[#This Row],[Opened]]="","",IF(AND(OR($E$50="",tblVerifyCapas[[#This Row],[Source]]=$E$50),OR($E$51="",tblVerifyCapas[[#This Row],[Owner]]=$E$51)),1,0))</f>
        <v>1</v>
      </c>
      <c r="Z55"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Duplicate CAPA number</v>
      </c>
      <c r="AA55" s="65"/>
    </row>
    <row r="56" spans="2:27">
      <c r="B56" s="65" t="s">
        <v>369</v>
      </c>
      <c r="C56" s="69">
        <v>46055</v>
      </c>
      <c r="D56" s="65" t="s">
        <v>89</v>
      </c>
      <c r="E56" s="65" t="s">
        <v>133</v>
      </c>
      <c r="F56" s="65" t="s">
        <v>82</v>
      </c>
      <c r="G56" s="65" t="s">
        <v>366</v>
      </c>
      <c r="H56" s="65" t="s">
        <v>367</v>
      </c>
      <c r="I56" s="65" t="s">
        <v>368</v>
      </c>
      <c r="J56" s="69">
        <v>46058</v>
      </c>
      <c r="K56" s="69">
        <v>46073</v>
      </c>
      <c r="L56" s="69">
        <v>46091</v>
      </c>
      <c r="M56" s="69">
        <v>46093</v>
      </c>
      <c r="N56" s="69">
        <v>46094</v>
      </c>
      <c r="O56" s="65" t="s">
        <v>136</v>
      </c>
      <c r="P56" s="69">
        <v>46146</v>
      </c>
      <c r="Q56" s="72">
        <v>1</v>
      </c>
      <c r="R56" s="72">
        <v>30</v>
      </c>
      <c r="S56" s="37">
        <f>IF(tblVerifyCapas[[#This Row],[Opened]]="","",IF(tblVerifyCapas[[#This Row],[Close within (days)]]="","",tblVerifyCapas[[#This Row],[Opened]]+tblVerifyCapas[[#This Row],[Close within (days)]]))</f>
        <v>46085</v>
      </c>
      <c r="T56"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Closed</v>
      </c>
      <c r="U56" s="36">
        <f>IF(tblVerifyCapas[[#This Row],[Opened]]="","",IF(N(tblVerifyCapas[[#This Row],[Closed]])&gt;0,tblVerifyCapas[[#This Row],[Closed]],$E$48)-tblVerifyCapas[[#This Row],[Opened]])</f>
        <v>39</v>
      </c>
      <c r="V56"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No</v>
      </c>
      <c r="W56" s="39" t="str">
        <f>IF(tblVerifyCapas[[#This Row],[Opened]]="","",IF(N(tblVerifyCapas[[#This Row],[Closed]])&gt;0,"Complete",IF(tblVerifyCapas[[#This Row],[Due]]="","Check",IF(tblVerifyCapas[[#This Row],[Due]]&lt;$E$48,"Overdue",IF(tblVerifyCapas[[#This Row],[Due]]-$E$48&lt;=$E$49,"Due soon","In progress")))))</f>
        <v>Complete</v>
      </c>
      <c r="X56" s="39" t="str">
        <f>IF(tblVerifyCapas[[#This Row],[Opened]]="","",IF(N(tblVerifyCapas[[#This Row],[Closed]])=0,"",IF(tblVerifyCapas[[#This Row],[Due]]="","",IF(tblVerifyCapas[[#This Row],[Closed]]&lt;=tblVerifyCapas[[#This Row],[Due]],"Yes","No"))))</f>
        <v>No</v>
      </c>
      <c r="Y56" s="36">
        <f>IF(tblVerifyCapas[[#This Row],[Opened]]="","",IF(AND(OR($E$50="",tblVerifyCapas[[#This Row],[Source]]=$E$50),OR($E$51="",tblVerifyCapas[[#This Row],[Owner]]=$E$51)),1,0))</f>
        <v>1</v>
      </c>
      <c r="Z56"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OK</v>
      </c>
      <c r="AA56" s="65"/>
    </row>
    <row r="57" spans="2:27">
      <c r="B57" s="65" t="s">
        <v>370</v>
      </c>
      <c r="C57" s="69">
        <v>46114</v>
      </c>
      <c r="D57" s="65" t="s">
        <v>89</v>
      </c>
      <c r="E57" s="65" t="s">
        <v>133</v>
      </c>
      <c r="F57" s="65" t="s">
        <v>84</v>
      </c>
      <c r="G57" s="65" t="s">
        <v>366</v>
      </c>
      <c r="H57" s="65" t="s">
        <v>367</v>
      </c>
      <c r="I57" s="65" t="s">
        <v>368</v>
      </c>
      <c r="J57" s="69">
        <v>46115</v>
      </c>
      <c r="K57" s="69">
        <v>46132</v>
      </c>
      <c r="L57" s="69"/>
      <c r="M57" s="69"/>
      <c r="N57" s="69"/>
      <c r="O57" s="65"/>
      <c r="P57" s="69"/>
      <c r="Q57" s="72">
        <v>3</v>
      </c>
      <c r="R57" s="72">
        <v>60</v>
      </c>
      <c r="S57" s="37">
        <f>IF(tblVerifyCapas[[#This Row],[Opened]]="","",IF(tblVerifyCapas[[#This Row],[Close within (days)]]="","",tblVerifyCapas[[#This Row],[Opened]]+tblVerifyCapas[[#This Row],[Close within (days)]]))</f>
        <v>46174</v>
      </c>
      <c r="T57"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D5-D6 Corrective action</v>
      </c>
      <c r="U57" s="36">
        <f>IF(tblVerifyCapas[[#This Row],[Opened]]="","",IF(N(tblVerifyCapas[[#This Row],[Closed]])&gt;0,tblVerifyCapas[[#This Row],[Closed]],$E$48)-tblVerifyCapas[[#This Row],[Opened]])</f>
        <v>89</v>
      </c>
      <c r="V57"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Yes</v>
      </c>
      <c r="W57" s="39" t="str">
        <f>IF(tblVerifyCapas[[#This Row],[Opened]]="","",IF(N(tblVerifyCapas[[#This Row],[Closed]])&gt;0,"Complete",IF(tblVerifyCapas[[#This Row],[Due]]="","Check",IF(tblVerifyCapas[[#This Row],[Due]]&lt;$E$48,"Overdue",IF(tblVerifyCapas[[#This Row],[Due]]-$E$48&lt;=$E$49,"Due soon","In progress")))))</f>
        <v>Overdue</v>
      </c>
      <c r="X57" s="39">
        <f>IF(tblVerifyCapas[[#This Row],[Opened]]="","",IF(N(tblVerifyCapas[[#This Row],[Closed]])=0,"",IF(tblVerifyCapas[[#This Row],[Due]]="","",IF(tblVerifyCapas[[#This Row],[Closed]]&lt;=tblVerifyCapas[[#This Row],[Due]],"Yes","No"))))</f>
        <v/>
      </c>
      <c r="Y57" s="36">
        <f>IF(tblVerifyCapas[[#This Row],[Opened]]="","",IF(AND(OR($E$50="",tblVerifyCapas[[#This Row],[Source]]=$E$50),OR($E$51="",tblVerifyCapas[[#This Row],[Owner]]=$E$51)),1,0))</f>
        <v>1</v>
      </c>
      <c r="Z57"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OK</v>
      </c>
      <c r="AA57" s="65"/>
    </row>
    <row r="58" spans="2:27">
      <c r="B58" s="65" t="s">
        <v>371</v>
      </c>
      <c r="C58" s="69">
        <v>46121</v>
      </c>
      <c r="D58" s="65" t="s">
        <v>89</v>
      </c>
      <c r="E58" s="65" t="s">
        <v>133</v>
      </c>
      <c r="F58" s="65" t="s">
        <v>86</v>
      </c>
      <c r="G58" s="65" t="s">
        <v>366</v>
      </c>
      <c r="H58" s="65" t="s">
        <v>367</v>
      </c>
      <c r="I58" s="65" t="s">
        <v>368</v>
      </c>
      <c r="J58" s="69"/>
      <c r="K58" s="69"/>
      <c r="L58" s="69"/>
      <c r="M58" s="69"/>
      <c r="N58" s="69"/>
      <c r="O58" s="65"/>
      <c r="P58" s="69"/>
      <c r="Q58" s="72">
        <v>7</v>
      </c>
      <c r="R58" s="72">
        <v>90</v>
      </c>
      <c r="S58" s="37">
        <f>IF(tblVerifyCapas[[#This Row],[Opened]]="","",IF(tblVerifyCapas[[#This Row],[Close within (days)]]="","",tblVerifyCapas[[#This Row],[Opened]]+tblVerifyCapas[[#This Row],[Close within (days)]]))</f>
        <v>46211</v>
      </c>
      <c r="T58"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D3 Containment</v>
      </c>
      <c r="U58" s="36">
        <f>IF(tblVerifyCapas[[#This Row],[Opened]]="","",IF(N(tblVerifyCapas[[#This Row],[Closed]])&gt;0,tblVerifyCapas[[#This Row],[Closed]],$E$48)-tblVerifyCapas[[#This Row],[Opened]])</f>
        <v>82</v>
      </c>
      <c r="V58"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No</v>
      </c>
      <c r="W58" s="39" t="str">
        <f>IF(tblVerifyCapas[[#This Row],[Opened]]="","",IF(N(tblVerifyCapas[[#This Row],[Closed]])&gt;0,"Complete",IF(tblVerifyCapas[[#This Row],[Due]]="","Check",IF(tblVerifyCapas[[#This Row],[Due]]&lt;$E$48,"Overdue",IF(tblVerifyCapas[[#This Row],[Due]]-$E$48&lt;=$E$49,"Due soon","In progress")))))</f>
        <v>Due soon</v>
      </c>
      <c r="X58" s="39">
        <f>IF(tblVerifyCapas[[#This Row],[Opened]]="","",IF(N(tblVerifyCapas[[#This Row],[Closed]])=0,"",IF(tblVerifyCapas[[#This Row],[Due]]="","",IF(tblVerifyCapas[[#This Row],[Closed]]&lt;=tblVerifyCapas[[#This Row],[Due]],"Yes","No"))))</f>
        <v/>
      </c>
      <c r="Y58" s="36">
        <f>IF(tblVerifyCapas[[#This Row],[Opened]]="","",IF(AND(OR($E$50="",tblVerifyCapas[[#This Row],[Source]]=$E$50),OR($E$51="",tblVerifyCapas[[#This Row],[Owner]]=$E$51)),1,0))</f>
        <v>1</v>
      </c>
      <c r="Z58"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OK</v>
      </c>
      <c r="AA58" s="65"/>
    </row>
    <row r="59" spans="2:27">
      <c r="B59" s="65" t="s">
        <v>372</v>
      </c>
      <c r="C59" s="69">
        <v>46202</v>
      </c>
      <c r="D59" s="65" t="s">
        <v>89</v>
      </c>
      <c r="E59" s="65" t="s">
        <v>133</v>
      </c>
      <c r="F59" s="65" t="s">
        <v>84</v>
      </c>
      <c r="G59" s="65" t="s">
        <v>366</v>
      </c>
      <c r="H59" s="65" t="s">
        <v>367</v>
      </c>
      <c r="I59" s="65" t="s">
        <v>368</v>
      </c>
      <c r="J59" s="69"/>
      <c r="K59" s="69"/>
      <c r="L59" s="69"/>
      <c r="M59" s="69"/>
      <c r="N59" s="69"/>
      <c r="O59" s="65"/>
      <c r="P59" s="69"/>
      <c r="Q59" s="72">
        <v>3</v>
      </c>
      <c r="R59" s="72">
        <v>60</v>
      </c>
      <c r="S59" s="37">
        <f>IF(tblVerifyCapas[[#This Row],[Opened]]="","",IF(tblVerifyCapas[[#This Row],[Close within (days)]]="","",tblVerifyCapas[[#This Row],[Opened]]+tblVerifyCapas[[#This Row],[Close within (days)]]))</f>
        <v>46262</v>
      </c>
      <c r="T59"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D3 Containment</v>
      </c>
      <c r="U59" s="36">
        <f>IF(tblVerifyCapas[[#This Row],[Opened]]="","",IF(N(tblVerifyCapas[[#This Row],[Closed]])&gt;0,tblVerifyCapas[[#This Row],[Closed]],$E$48)-tblVerifyCapas[[#This Row],[Opened]])</f>
        <v>1</v>
      </c>
      <c r="V59" s="39">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
      </c>
      <c r="W59" s="39" t="str">
        <f>IF(tblVerifyCapas[[#This Row],[Opened]]="","",IF(N(tblVerifyCapas[[#This Row],[Closed]])&gt;0,"Complete",IF(tblVerifyCapas[[#This Row],[Due]]="","Check",IF(tblVerifyCapas[[#This Row],[Due]]&lt;$E$48,"Overdue",IF(tblVerifyCapas[[#This Row],[Due]]-$E$48&lt;=$E$49,"Due soon","In progress")))))</f>
        <v>In progress</v>
      </c>
      <c r="X59" s="39">
        <f>IF(tblVerifyCapas[[#This Row],[Opened]]="","",IF(N(tblVerifyCapas[[#This Row],[Closed]])=0,"",IF(tblVerifyCapas[[#This Row],[Due]]="","",IF(tblVerifyCapas[[#This Row],[Closed]]&lt;=tblVerifyCapas[[#This Row],[Due]],"Yes","No"))))</f>
        <v/>
      </c>
      <c r="Y59" s="36">
        <f>IF(tblVerifyCapas[[#This Row],[Opened]]="","",IF(AND(OR($E$50="",tblVerifyCapas[[#This Row],[Source]]=$E$50),OR($E$51="",tblVerifyCapas[[#This Row],[Owner]]=$E$51)),1,0))</f>
        <v>1</v>
      </c>
      <c r="Z59"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OK</v>
      </c>
      <c r="AA59" s="65"/>
    </row>
    <row r="60" spans="2:27">
      <c r="B60" s="65" t="s">
        <v>373</v>
      </c>
      <c r="C60" s="69">
        <v>46083</v>
      </c>
      <c r="D60" s="65" t="s">
        <v>89</v>
      </c>
      <c r="E60" s="65" t="s">
        <v>133</v>
      </c>
      <c r="F60" s="65" t="s">
        <v>86</v>
      </c>
      <c r="G60" s="65" t="s">
        <v>366</v>
      </c>
      <c r="H60" s="65" t="s">
        <v>367</v>
      </c>
      <c r="I60" s="65" t="s">
        <v>368</v>
      </c>
      <c r="J60" s="69">
        <v>46087</v>
      </c>
      <c r="K60" s="69">
        <v>46101</v>
      </c>
      <c r="L60" s="69">
        <v>46127</v>
      </c>
      <c r="M60" s="69">
        <v>46142</v>
      </c>
      <c r="N60" s="69">
        <v>46148</v>
      </c>
      <c r="O60" s="65" t="s">
        <v>200</v>
      </c>
      <c r="P60" s="69"/>
      <c r="Q60" s="72">
        <v>7</v>
      </c>
      <c r="R60" s="72">
        <v>90</v>
      </c>
      <c r="S60" s="37">
        <f>IF(tblVerifyCapas[[#This Row],[Opened]]="","",IF(tblVerifyCapas[[#This Row],[Close within (days)]]="","",tblVerifyCapas[[#This Row],[Opened]]+tblVerifyCapas[[#This Row],[Close within (days)]]))</f>
        <v>46173</v>
      </c>
      <c r="T60"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Closed</v>
      </c>
      <c r="U60" s="36">
        <f>IF(tblVerifyCapas[[#This Row],[Opened]]="","",IF(N(tblVerifyCapas[[#This Row],[Closed]])&gt;0,tblVerifyCapas[[#This Row],[Closed]],$E$48)-tblVerifyCapas[[#This Row],[Opened]])</f>
        <v>65</v>
      </c>
      <c r="V60"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Yes</v>
      </c>
      <c r="W60" s="39" t="str">
        <f>IF(tblVerifyCapas[[#This Row],[Opened]]="","",IF(N(tblVerifyCapas[[#This Row],[Closed]])&gt;0,"Complete",IF(tblVerifyCapas[[#This Row],[Due]]="","Check",IF(tblVerifyCapas[[#This Row],[Due]]&lt;$E$48,"Overdue",IF(tblVerifyCapas[[#This Row],[Due]]-$E$48&lt;=$E$49,"Due soon","In progress")))))</f>
        <v>Complete</v>
      </c>
      <c r="X60" s="39" t="str">
        <f>IF(tblVerifyCapas[[#This Row],[Opened]]="","",IF(N(tblVerifyCapas[[#This Row],[Closed]])=0,"",IF(tblVerifyCapas[[#This Row],[Due]]="","",IF(tblVerifyCapas[[#This Row],[Closed]]&lt;=tblVerifyCapas[[#This Row],[Due]],"Yes","No"))))</f>
        <v>Yes</v>
      </c>
      <c r="Y60" s="36">
        <f>IF(tblVerifyCapas[[#This Row],[Opened]]="","",IF(AND(OR($E$50="",tblVerifyCapas[[#This Row],[Source]]=$E$50),OR($E$51="",tblVerifyCapas[[#This Row],[Owner]]=$E$51)),1,0))</f>
        <v>1</v>
      </c>
      <c r="Z60"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OK</v>
      </c>
      <c r="AA60" s="65"/>
    </row>
    <row r="61" spans="2:27">
      <c r="B61" s="65" t="s">
        <v>374</v>
      </c>
      <c r="C61" s="69">
        <v>46146</v>
      </c>
      <c r="D61" s="65" t="s">
        <v>89</v>
      </c>
      <c r="E61" s="65" t="s">
        <v>133</v>
      </c>
      <c r="F61" s="65" t="s">
        <v>86</v>
      </c>
      <c r="G61" s="65" t="s">
        <v>366</v>
      </c>
      <c r="H61" s="65" t="s">
        <v>367</v>
      </c>
      <c r="I61" s="65" t="s">
        <v>368</v>
      </c>
      <c r="J61" s="69">
        <v>46143</v>
      </c>
      <c r="K61" s="69"/>
      <c r="L61" s="69">
        <v>46162</v>
      </c>
      <c r="M61" s="69"/>
      <c r="N61" s="69">
        <v>46164</v>
      </c>
      <c r="O61" s="65"/>
      <c r="P61" s="69"/>
      <c r="Q61" s="72">
        <v>7</v>
      </c>
      <c r="R61" s="72">
        <v>90</v>
      </c>
      <c r="S61" s="37">
        <f>IF(tblVerifyCapas[[#This Row],[Opened]]="","",IF(tblVerifyCapas[[#This Row],[Close within (days)]]="","",tblVerifyCapas[[#This Row],[Opened]]+tblVerifyCapas[[#This Row],[Close within (days)]]))</f>
        <v>46236</v>
      </c>
      <c r="T61"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Closed</v>
      </c>
      <c r="U61" s="36">
        <f>IF(tblVerifyCapas[[#This Row],[Opened]]="","",IF(N(tblVerifyCapas[[#This Row],[Closed]])&gt;0,tblVerifyCapas[[#This Row],[Closed]],$E$48)-tblVerifyCapas[[#This Row],[Opened]])</f>
        <v>18</v>
      </c>
      <c r="V61"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Yes</v>
      </c>
      <c r="W61" s="39" t="str">
        <f>IF(tblVerifyCapas[[#This Row],[Opened]]="","",IF(N(tblVerifyCapas[[#This Row],[Closed]])&gt;0,"Complete",IF(tblVerifyCapas[[#This Row],[Due]]="","Check",IF(tblVerifyCapas[[#This Row],[Due]]&lt;$E$48,"Overdue",IF(tblVerifyCapas[[#This Row],[Due]]-$E$48&lt;=$E$49,"Due soon","In progress")))))</f>
        <v>Complete</v>
      </c>
      <c r="X61" s="39" t="str">
        <f>IF(tblVerifyCapas[[#This Row],[Opened]]="","",IF(N(tblVerifyCapas[[#This Row],[Closed]])=0,"",IF(tblVerifyCapas[[#This Row],[Due]]="","",IF(tblVerifyCapas[[#This Row],[Closed]]&lt;=tblVerifyCapas[[#This Row],[Due]],"Yes","No"))))</f>
        <v>Yes</v>
      </c>
      <c r="Y61" s="36">
        <f>IF(tblVerifyCapas[[#This Row],[Opened]]="","",IF(AND(OR($E$50="",tblVerifyCapas[[#This Row],[Source]]=$E$50),OR($E$51="",tblVerifyCapas[[#This Row],[Owner]]=$E$51)),1,0))</f>
        <v>1</v>
      </c>
      <c r="Z61"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Date before opened</v>
      </c>
      <c r="AA61" s="65"/>
    </row>
    <row r="62" spans="2:27">
      <c r="B62" s="65" t="s">
        <v>365</v>
      </c>
      <c r="C62" s="69">
        <v>46153</v>
      </c>
      <c r="D62" s="65" t="s">
        <v>89</v>
      </c>
      <c r="E62" s="65" t="s">
        <v>133</v>
      </c>
      <c r="F62" s="65" t="s">
        <v>86</v>
      </c>
      <c r="G62" s="65" t="s">
        <v>366</v>
      </c>
      <c r="H62" s="65" t="s">
        <v>367</v>
      </c>
      <c r="I62" s="65" t="s">
        <v>368</v>
      </c>
      <c r="J62" s="69"/>
      <c r="K62" s="69"/>
      <c r="L62" s="69"/>
      <c r="M62" s="69"/>
      <c r="N62" s="69"/>
      <c r="O62" s="65"/>
      <c r="P62" s="69"/>
      <c r="Q62" s="72">
        <v>7</v>
      </c>
      <c r="R62" s="72">
        <v>90</v>
      </c>
      <c r="S62" s="37">
        <f>IF(tblVerifyCapas[[#This Row],[Opened]]="","",IF(tblVerifyCapas[[#This Row],[Close within (days)]]="","",tblVerifyCapas[[#This Row],[Opened]]+tblVerifyCapas[[#This Row],[Close within (days)]]))</f>
        <v>46243</v>
      </c>
      <c r="T62" s="38" t="str">
        <f>IF(tblVerifyCapas[[#This Row],[Opened]]="","",IF(N(tblVerifyCapas[[#This Row],[Closed]])&gt;0,"Closed",IF(N(tblVerifyCapas[[#This Row],[Recurrence prevented]])&gt;0,"D8 Close-out",IF(N(tblVerifyCapas[[#This Row],[Actions implemented]])&gt;0,"D7 Prevent recurrence",IF(N(tblVerifyCapas[[#This Row],[Root cause found]])&gt;0,"D5-D6 Corrective action",IF(N(tblVerifyCapas[[#This Row],[Contained]])&gt;0,"D4 Root cause","D3 Containment"))))))</f>
        <v>D3 Containment</v>
      </c>
      <c r="U62" s="36">
        <f>IF(tblVerifyCapas[[#This Row],[Opened]]="","",IF(N(tblVerifyCapas[[#This Row],[Closed]])&gt;0,tblVerifyCapas[[#This Row],[Closed]],$E$48)-tblVerifyCapas[[#This Row],[Opened]])</f>
        <v>50</v>
      </c>
      <c r="V62" s="39" t="str">
        <f>IF(tblVerifyCapas[[#This Row],[Opened]]="","",IF(tblVerifyCapas[[#This Row],[Contain within (days)]]="","",IF(N(tblVerifyCapas[[#This Row],[Contained]])&gt;0,IF(tblVerifyCapas[[#This Row],[Contained]]-tblVerifyCapas[[#This Row],[Opened]]&lt;=tblVerifyCapas[[#This Row],[Contain within (days)]],"Yes","No"),IF($E$48-tblVerifyCapas[[#This Row],[Opened]]&gt;tblVerifyCapas[[#This Row],[Contain within (days)]],"No",""))))</f>
        <v>No</v>
      </c>
      <c r="W62" s="39" t="str">
        <f>IF(tblVerifyCapas[[#This Row],[Opened]]="","",IF(N(tblVerifyCapas[[#This Row],[Closed]])&gt;0,"Complete",IF(tblVerifyCapas[[#This Row],[Due]]="","Check",IF(tblVerifyCapas[[#This Row],[Due]]&lt;$E$48,"Overdue",IF(tblVerifyCapas[[#This Row],[Due]]-$E$48&lt;=$E$49,"Due soon","In progress")))))</f>
        <v>In progress</v>
      </c>
      <c r="X62" s="39">
        <f>IF(tblVerifyCapas[[#This Row],[Opened]]="","",IF(N(tblVerifyCapas[[#This Row],[Closed]])=0,"",IF(tblVerifyCapas[[#This Row],[Due]]="","",IF(tblVerifyCapas[[#This Row],[Closed]]&lt;=tblVerifyCapas[[#This Row],[Due]],"Yes","No"))))</f>
        <v/>
      </c>
      <c r="Y62" s="36">
        <f>IF(tblVerifyCapas[[#This Row],[Opened]]="","",IF(AND(OR($E$50="",tblVerifyCapas[[#This Row],[Source]]=$E$50),OR($E$51="",tblVerifyCapas[[#This Row],[Owner]]=$E$51)),1,0))</f>
        <v>1</v>
      </c>
      <c r="Z62" s="40" t="str">
        <f>IF(tblVerifyCapas[[#This Row],[Opened]]="","",IF(tblVerifyCapas[[#This Row],[CAPA no.]]="","Missing capa no.",IF(tblVerifyCapas[[#This Row],[Source]]="","Missing source",IF(tblVerifyCapas[[#This Row],[Owner]]="","Missing owner",IF(COUNTIFS(tblVerifyCapas[CAPA no.],tblVerifyCapas[[#This Row],[CAPA no.]])&gt;1,"Duplicate CAPA number",IF(tblVerifyCapas[[#This Row],[Due]]="","Priority not on Setup list",IF(OR(AND(N(tblVerifyCapas[[#This Row],[Contained]])&gt;0,tblVerifyCapas[[#This Row],[Contained]]&lt;tblVerifyCapas[[#This Row],[Opened]]),AND(N(tblVerifyCapas[[#This Row],[Root cause found]])&gt;0,tblVerifyCapas[[#This Row],[Root cause found]]&lt;tblVerifyCapas[[#This Row],[Opened]]),AND(N(tblVerifyCapas[[#This Row],[Actions implemented]])&gt;0,tblVerifyCapas[[#This Row],[Actions implemented]]&lt;tblVerifyCapas[[#This Row],[Opened]]),AND(N(tblVerifyCapas[[#This Row],[Closed]])&gt;0,tblVerifyCapas[[#This Row],[Closed]]&lt;tblVerifyCapas[[#This Row],[Opened]])),"Date before opened",IF(MAX(tblVerifyCapas[[#This Row],[Opened]],tblVerifyCapas[[#This Row],[Contained]],tblVerifyCapas[[#This Row],[Root cause found]],tblVerifyCapas[[#This Row],[Actions implemented]],tblVerifyCapas[[#This Row],[Recurrence prevented]],tblVerifyCapas[[#This Row],[Closed]],tblVerifyCapas[[#This Row],[Verified]])&gt;$E$48,"Date after the status date",IF(AND(N(tblVerifyCapas[[#This Row],[Closed]])&gt;0,N(tblVerifyCapas[[#This Row],[Actions implemented]])=0),"Closed without actions implemented",IF(AND(OR(tblVerifyCapas[[#This Row],[Effectiveness]]="Effective",tblVerifyCapas[[#This Row],[Effectiveness]]="Not effective"),N(tblVerifyCapas[[#This Row],[Verified]])=0),"Missing verified date",IF(AND(N(tblVerifyCapas[[#This Row],[Verified]])&gt;0,N(tblVerifyCapas[[#This Row],[Closed]])=0),"Verified before closure","OK")))))))))))</f>
        <v>Duplicate CAPA number</v>
      </c>
      <c r="AA62" s="65"/>
    </row>
  </sheetData>
  <sheetProtection sheet="1" formatColumns="0" formatRows="0"/>
  <mergeCells count="50">
    <mergeCell ref="A1:AA1"/>
    <mergeCell ref="B2:Z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B44:L44"/>
    <mergeCell ref="B46:L46"/>
    <mergeCell ref="B47:F47"/>
    <mergeCell ref="B48:D48"/>
    <mergeCell ref="B49:D49"/>
    <mergeCell ref="B50:D50"/>
    <mergeCell ref="E50:F50"/>
    <mergeCell ref="B51:D51"/>
    <mergeCell ref="E51:F51"/>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4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Z55:Z62">
    <cfRule type="expression" dxfId="3" priority="41">
      <formula>$Z55="OK"</formula>
    </cfRule>
    <cfRule type="expression" dxfId="1" priority="42">
      <formula>AND($Z55&lt;&gt;"",$Z55&lt;&gt;"OK")</formula>
    </cfRule>
  </conditionalFormatting>
  <hyperlinks>
    <hyperlink ref="AA2" r:id="rId1" tooltip="Free manufacturing calculators and templates"/>
  </hyperlinks>
  <printOptions horizontalCentered="1"/>
  <pageMargins left="0.4" right="0.4" top="0.7" bottom="0.65" header="0.3" footer="0.3"/>
  <pageSetup fitToHeight="0" orientation="landscape"/>
  <headerFooter>
    <oddHeader>&amp;L&amp;8MFG Calcs - CAPA and 8D Tracker&amp;R&amp;8&amp;A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Start Here</vt:lpstr>
      <vt:lpstr>Setup</vt:lpstr>
      <vt:lpstr>CAPA Log</vt:lpstr>
      <vt:lpstr>Dashboard</vt:lpstr>
      <vt:lpstr>Method</vt:lpstr>
      <vt:lpstr>Verify</vt:lpstr>
      <vt:lpstr>AsOf</vt:lpstr>
      <vt:lpstr>DashOwner</vt:lpstr>
      <vt:lpstr>DashSource</vt:lpstr>
      <vt:lpstr>DueSoonDays</vt:lpstr>
      <vt:lpstr>KpiAvgClose</vt:lpstr>
      <vt:lpstr>KpiContain</vt:lpstr>
      <vt:lpstr>KpiEffective</vt:lpstr>
      <vt:lpstr>KpiOldest</vt:lpstr>
      <vt:lpstr>KpiOnTime</vt:lpstr>
      <vt:lpstr>KpiOpen</vt:lpstr>
      <vt:lpstr>KpiOpened</vt:lpstr>
      <vt:lpstr>KpiOverdue</vt:lpstr>
      <vt:lpstr>'CAPA Log'!Print_Area</vt:lpstr>
      <vt:lpstr>Dashboard!Print_Area</vt:lpstr>
      <vt:lpstr>Method!Print_Area</vt:lpstr>
      <vt:lpstr>Setup!Print_Area</vt:lpstr>
      <vt:lpstr>'Start Here'!Print_Area</vt:lpstr>
      <vt:lpstr>Verify!Print_Area</vt:lpstr>
      <vt:lpstr>'CAPA Log'!Print_Titles</vt:lpstr>
      <vt:lpstr>Method!Print_Titles</vt:lpstr>
      <vt:lpstr>SelfCheck</vt:lpstr>
      <vt:lpstr>SelfCheckSummary</vt:lpstr>
      <vt:lpstr>SiteName</vt:lpstr>
      <vt:lpstr>TargetEffective</vt:lpstr>
      <vt:lpstr>TargetOnTime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CAPA and 8D Tracker - free Excel template from MFG Calcs</dc:title>
  <dc:subject>Track every corrective and preventive action through the 8D disciplines, see what is overdue and stuck, and measure whether closed CAPAs actually worked.</dc:subject>
  <dc:creator>MFG Calcs</dc:creator>
  <cp:keywords>CAPA, 8D, corrective action, preventive action, effectiveness check, root cause, ISO 9001, IATF 16949, ISO 13485</cp:keywords>
  <dc:description>https://www.mfgcalcs.com/templates/capa-8d-tracker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capa-8d-tracker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https://www.mfgcalcs.com/templates/capa-8d-tracker</vt:lpwstr>
  </property>
  <property fmtid="{D5CDD505-2E9C-101B-9397-08002B2CF9AE}" pid="7" name="Template sheet roles">
    <vt:lpwstr>Start Here=start;Setup=setup;CAPA Log=work;Dashboard=dashboard;Method=method;Verify=verify</vt:lpwstr>
  </property>
</Properties>
</file>