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Demand Plan" sheetId="3" r:id="rId3"/>
    <sheet name="Routing" sheetId="4" r:id="rId4"/>
    <sheet name="Dashboard" sheetId="5" r:id="rId5"/>
    <sheet name="Method" sheetId="6" r:id="rId6"/>
    <sheet name="Verify" sheetId="7" r:id="rId7"/>
  </sheets>
  <definedNames>
    <definedName name="KpiAdd">Dashboard!$L$5</definedName>
    <definedName name="KpiBottleneck">Dashboard!$B$5</definedName>
    <definedName name="KpiPeak">Dashboard!$D$5</definedName>
    <definedName name="KpiShort">Dashboard!$H$5</definedName>
    <definedName name="NearAt">Setup!$D$8</definedName>
    <definedName name="OverAt">Setup!$D$9</definedName>
    <definedName name="Parts">tblDemand[Part]</definedName>
    <definedName name="PlanStart">Setup!$D$7</definedName>
    <definedName name="PlantName">Setup!$D$6</definedName>
    <definedName name="_xlnm.Print_Area" localSheetId="4">Dashboard!$A$1:$O$83</definedName>
    <definedName name="_xlnm.Print_Area" localSheetId="2">'Demand Plan'!$A$1:$Q$14</definedName>
    <definedName name="_xlnm.Print_Area" localSheetId="5">Method!$A$1:$D$61</definedName>
    <definedName name="_xlnm.Print_Area" localSheetId="3">Routing!$A$1:$S$25</definedName>
    <definedName name="_xlnm.Print_Area" localSheetId="1">Setup!$A$1:$J$21</definedName>
    <definedName name="_xlnm.Print_Area" localSheetId="0">'Start Here'!$A$1:$F$56</definedName>
    <definedName name="_xlnm.Print_Area" localSheetId="6">Verify!$A$1:$S$88</definedName>
    <definedName name="_xlnm.Print_Titles" localSheetId="2">'Demand Plan'!$1:$8</definedName>
    <definedName name="_xlnm.Print_Titles" localSheetId="5">Method!$1:$2</definedName>
    <definedName name="_xlnm.Print_Titles" localSheetId="3">Routing!$1:$5</definedName>
    <definedName name="SelfCheck">Verify!$D$4</definedName>
    <definedName name="SelfCheckSummary">Verify!$F$4</definedName>
    <definedName name="WorkCentres">tblWorkCentres[Work centre]</definedName>
  </definedNames>
  <calcPr calcId="124519" fullCalcOnLoad="1"/>
</workbook>
</file>

<file path=xl/sharedStrings.xml><?xml version="1.0" encoding="utf-8"?>
<sst xmlns="http://schemas.openxmlformats.org/spreadsheetml/2006/main" count="551" uniqueCount="262">
  <si>
    <t>Capacity Planning</t>
  </si>
  <si>
    <t>Read this first: what the workbook does and how to use it.</t>
  </si>
  <si>
    <t>mfgcalcs.com</t>
  </si>
  <si>
    <t>See, week by week, whether each work centre can make the demand plan, where the bottleneck is and how many machines it would take.</t>
  </si>
  <si>
    <t>For: Production planners, operations and plant managers, and S&amp;OP teams in discrete manufacturing.</t>
  </si>
  <si>
    <t>Version 1.0.0  ·  updated 15 October 2026</t>
  </si>
  <si>
    <t>Quick start</t>
  </si>
  <si>
    <t>1.</t>
  </si>
  <si>
    <t>On Setup, set the plan start date (a Monday) and your thresholds, then list your work centres with machines, shifts, hours per shift, uptime and yield.</t>
  </si>
  <si>
    <t>2.</t>
  </si>
  <si>
    <t>On Demand Plan, set the working days of each week (holidays) and type each part's weekly demand in good units.</t>
  </si>
  <si>
    <t>3.</t>
  </si>
  <si>
    <t>On Routing, give each part one row per work centre it visits, with the minutes per unit.</t>
  </si>
  <si>
    <t>4.</t>
  </si>
  <si>
    <t>Open the Dashboard: utilisation by work centre and week, the bottleneck, hours short and machines to add.</t>
  </si>
  <si>
    <t>What is in this workbook</t>
  </si>
  <si>
    <t>Start Here</t>
  </si>
  <si>
    <t>Setup</t>
  </si>
  <si>
    <t>Plan start, thresholds and the work centres with their machines, shifts, hours, uptime and yield.</t>
  </si>
  <si>
    <t>Demand Plan</t>
  </si>
  <si>
    <t>Working days per week, and the good units each part must ship each week.</t>
  </si>
  <si>
    <t>Routing</t>
  </si>
  <si>
    <t>Each part's operations: work centre and minutes per unit. Hours per week follow from the demand plan.</t>
  </si>
  <si>
    <t>Dashboard</t>
  </si>
  <si>
    <t>Utilisation by work centre and week, the bottleneck, hours short and machines to add.</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</si>
  <si>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</si>
  <si>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</si>
  <si>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</si>
  <si>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</si>
  <si>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</si>
  <si>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</si>
  <si>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</si>
  <si>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</si>
  <si>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</si>
  <si>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</si>
  <si>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</si>
  <si>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</si>
  <si>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</si>
  <si>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</si>
  <si>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</si>
  <si>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</si>
  <si>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</si>
  <si>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</si>
  <si>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</si>
  <si>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</si>
  <si>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Capacity Planning Calculator on mfgcalcs.com</t>
  </si>
  <si>
    <t>Latest version</t>
  </si>
  <si>
    <t>mfgcalcs.com/templates/capacity-planning</t>
  </si>
  <si>
    <t>More free templates</t>
  </si>
  <si>
    <t>mfgcalcs.com/templates</t>
  </si>
  <si>
    <t>Version</t>
  </si>
  <si>
    <t>1.0.0 (updated 15 October 2026)</t>
  </si>
  <si>
    <t>About the example data</t>
  </si>
  <si>
    <t>Every number already in this workbook is example data for Calder Engineering, a fictional business invented for this template, so the dashboard and charts show something meaningful on day one. It plans six parts across six work centres for 12 weeks from 19 October 2026, with a product launch that loads the CNC mills from week 6 and a four-day week 10.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</si>
  <si>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</si>
  <si>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</si>
  <si>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</si>
  <si>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</si>
  <si>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</si>
  <si>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</si>
  <si>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</si>
  <si>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</si>
  <si>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Work centre</t>
  </si>
  <si>
    <t>Machines</t>
  </si>
  <si>
    <t>Shifts per day</t>
  </si>
  <si>
    <t>Hours per shift</t>
  </si>
  <si>
    <t>Uptime</t>
  </si>
  <si>
    <t>Yield</t>
  </si>
  <si>
    <t>Scheduled h/day</t>
  </si>
  <si>
    <t>Effective h/day</t>
  </si>
  <si>
    <t>Notes</t>
  </si>
  <si>
    <t>Plan</t>
  </si>
  <si>
    <t>Plant name</t>
  </si>
  <si>
    <t>Calder Engineering (example)</t>
  </si>
  <si>
    <t>Plan starts (week 1, a Monday)</t>
  </si>
  <si>
    <t>Near capacity from</t>
  </si>
  <si>
    <t>Over capacity above</t>
  </si>
  <si>
    <t>Work centres</t>
  </si>
  <si>
    <t>Effective hours per day = machines x shifts per day x hours per shift x uptime. Uptime covers breakdowns, changeovers and minor stops (do not subtract them again); yield is good output / output at this work centre.</t>
  </si>
  <si>
    <t>Work centres (example)</t>
  </si>
  <si>
    <t>Saw</t>
  </si>
  <si>
    <t>Bandsaw</t>
  </si>
  <si>
    <t>CNC lathe</t>
  </si>
  <si>
    <t>2-axis lathes</t>
  </si>
  <si>
    <t>CNC mill</t>
  </si>
  <si>
    <t>Vertical machining centres</t>
  </si>
  <si>
    <t>Grinder</t>
  </si>
  <si>
    <t>Cylindrical grinder</t>
  </si>
  <si>
    <t>Deburr</t>
  </si>
  <si>
    <t>Two benches</t>
  </si>
  <si>
    <t>Inspection</t>
  </si>
  <si>
    <t>CMM</t>
  </si>
  <si>
    <t>Part</t>
  </si>
  <si>
    <t>Family</t>
  </si>
  <si>
    <t>Wk 1</t>
  </si>
  <si>
    <t>Wk 2</t>
  </si>
  <si>
    <t>Wk 3</t>
  </si>
  <si>
    <t>Wk 4</t>
  </si>
  <si>
    <t>Wk 5</t>
  </si>
  <si>
    <t>Wk 6</t>
  </si>
  <si>
    <t>Wk 7</t>
  </si>
  <si>
    <t>Wk 8</t>
  </si>
  <si>
    <t>Wk 9</t>
  </si>
  <si>
    <t>Wk 10</t>
  </si>
  <si>
    <t>Wk 11</t>
  </si>
  <si>
    <t>Wk 12</t>
  </si>
  <si>
    <t>Total</t>
  </si>
  <si>
    <t>Check</t>
  </si>
  <si>
    <t>Week starting</t>
  </si>
  <si>
    <t>Working days</t>
  </si>
  <si>
    <t>Example data for Calder Engineering (fictional). Replace it with your own: select the example rows, right-click, Delete &gt; Table Rows.</t>
  </si>
  <si>
    <t>Shaft S-100</t>
  </si>
  <si>
    <t>Pumps</t>
  </si>
  <si>
    <t>Flange F-220</t>
  </si>
  <si>
    <t>Housing H-310</t>
  </si>
  <si>
    <t>Gearboxes</t>
  </si>
  <si>
    <t>Bracket B-410</t>
  </si>
  <si>
    <t>Spacer P-505</t>
  </si>
  <si>
    <t>General</t>
  </si>
  <si>
    <t>Cover C-610</t>
  </si>
  <si>
    <t>Minutes per unit</t>
  </si>
  <si>
    <t>Wk 1 (h)</t>
  </si>
  <si>
    <t>Wk 2 (h)</t>
  </si>
  <si>
    <t>Wk 3 (h)</t>
  </si>
  <si>
    <t>Wk 4 (h)</t>
  </si>
  <si>
    <t>Wk 5 (h)</t>
  </si>
  <si>
    <t>Wk 6 (h)</t>
  </si>
  <si>
    <t>Wk 7 (h)</t>
  </si>
  <si>
    <t>Wk 8 (h)</t>
  </si>
  <si>
    <t>Wk 9 (h)</t>
  </si>
  <si>
    <t>Wk 10 (h)</t>
  </si>
  <si>
    <t>Wk 11 (h)</t>
  </si>
  <si>
    <t>Wk 12 (h)</t>
  </si>
  <si>
    <t>Example data (fictional). One row per part per work centre it visits. Hours = weekly demand x minutes per unit / 60 / yield.</t>
  </si>
  <si>
    <t/>
  </si>
  <si>
    <t>BOTTLENECK WORK CENTRE</t>
  </si>
  <si>
    <t>PEAK WEEKLY UTILISATION</t>
  </si>
  <si>
    <t>HOURS SHORT OVER THE PLAN</t>
  </si>
  <si>
    <t>MACHINES TO ADD</t>
  </si>
  <si>
    <t>Highest average utilisation</t>
  </si>
  <si>
    <t>Overloaded weeks only</t>
  </si>
  <si>
    <t>To cover each peak week</t>
  </si>
  <si>
    <t>Work-centre summary over the plan</t>
  </si>
  <si>
    <t>Required h (plan)</t>
  </si>
  <si>
    <t>Available h (plan)</t>
  </si>
  <si>
    <t>Average utilisation</t>
  </si>
  <si>
    <t>Peak week utilisation</t>
  </si>
  <si>
    <t>Peak week</t>
  </si>
  <si>
    <t>Hours short</t>
  </si>
  <si>
    <t>Machines needed at peak</t>
  </si>
  <si>
    <t>Machines to add</t>
  </si>
  <si>
    <t>Status at peak</t>
  </si>
  <si>
    <t>Recommended action</t>
  </si>
  <si>
    <t>Utilisation = required / available hours (amber from Near capacity, red above Over capacity)</t>
  </si>
  <si>
    <t>Utilisation</t>
  </si>
  <si>
    <t>Chart data: the bottleneck's utilisation and the two thresholds</t>
  </si>
  <si>
    <t>Bottleneck by week</t>
  </si>
  <si>
    <t>Bottleneck utilisation</t>
  </si>
  <si>
    <t>Near capacity</t>
  </si>
  <si>
    <t>Over capacity</t>
  </si>
  <si>
    <t>Required hours by work centre and week (from the Routing sheet)</t>
  </si>
  <si>
    <t>Required hours</t>
  </si>
  <si>
    <t>Available hours (effective hours per day x working days)</t>
  </si>
  <si>
    <t>Available hours</t>
  </si>
  <si>
    <t>The Dashboard covers 6 work centres and 12 weeks. If you add work centres on Setup, extend the blocks (see Method); a warning appears here when the Setup list is longer than the Dashboard.</t>
  </si>
  <si>
    <t>What this workbook calculates</t>
  </si>
  <si>
    <t>Rough-cut capacity planning: for every work centre and week, the hours the demand plan requires are compared with the hours the work centre can deliver. Required hours come from demand and the routing; available hours from machines, shifts, hours, uptime and the week's working days. Their ratio is utilisation. Weeks above 100% cannot be made as planned without overtime, extra shifts, outsourcing or moving work.</t>
  </si>
  <si>
    <t>Calculations</t>
  </si>
  <si>
    <t>Quantity</t>
  </si>
  <si>
    <t>How it is calculated</t>
  </si>
  <si>
    <t>Units</t>
  </si>
  <si>
    <t>Scheduled hours per day</t>
  </si>
  <si>
    <t>Machines x shifts per day x hours per shift (Setup).</t>
  </si>
  <si>
    <t>h/day</t>
  </si>
  <si>
    <t>Effective hours per day</t>
  </si>
  <si>
    <t>Scheduled hours per day x uptime.</t>
  </si>
  <si>
    <t>Typed per week on Demand Plan (5 normally, fewer in holiday weeks).</t>
  </si>
  <si>
    <t>days</t>
  </si>
  <si>
    <t>Effective hours per day x working days of the week.</t>
  </si>
  <si>
    <t>h</t>
  </si>
  <si>
    <t>Routing hours</t>
  </si>
  <si>
    <t>For each routing row and week: the part's demand that week x minutes per unit / 60 / the work centre's yield (good output needs more starts).
Excel: =INDEX(tblDemand[Wk k], MATCH([@Part], tblDemand[Part], 0)) x [@[Minutes per unit]] / 60 / [@Yield]</t>
  </si>
  <si>
    <t>SUMIFS of the routing hours for the work centre and week.</t>
  </si>
  <si>
    <t>Required hours / available hours (blank when nothing is available).</t>
  </si>
  <si>
    <t>%</t>
  </si>
  <si>
    <t>Plan total required hours / plan total available hours for the work centre.</t>
  </si>
  <si>
    <t>The highest weekly utilisation of the work centre, and the week it occurs.</t>
  </si>
  <si>
    <t>Sum over weeks of (required - available) where required exceeds available.</t>
  </si>
  <si>
    <t>Peak utilisation x machines = required hours / available hours per machine in the peak week (the live calculator's 'required machines').</t>
  </si>
  <si>
    <t>machines</t>
  </si>
  <si>
    <t>MAX(0, CEILING(machines needed at peak) - machines), as in the live calculator.</t>
  </si>
  <si>
    <t>Status and action</t>
  </si>
  <si>
    <t>Status at the peak week: Under capacity below the Near-capacity threshold, Near capacity up to the Over-capacity threshold, Over capacity above it. Action: 'None needed' under the threshold; 'Watch: little slack' when near; 'Overtime or level peak' when only peak weeks are over and the plan average is not (overtime, outsourcing or moving work between weeks); 'Add shift or machines' when the plan average is over too.</t>
  </si>
  <si>
    <t>-</t>
  </si>
  <si>
    <t>Bottleneck</t>
  </si>
  <si>
    <t>The work centre with the highest average utilisation over the plan.</t>
  </si>
  <si>
    <t>Assumptions</t>
  </si>
  <si>
    <t>All machines in a work centre are interchangeable and share the load evenly.</t>
  </si>
  <si>
    <t>Minutes per unit include setup spread per unit; setups that depend on batch size are not modelled separately.</t>
  </si>
  <si>
    <t>Uptime and yield hold at their Setup values every week.</t>
  </si>
  <si>
    <t>Demand in a week is produced in that week at every work centre on its routing (no lead-time offset between operations).</t>
  </si>
  <si>
    <t>Limitations</t>
  </si>
  <si>
    <t>This is rough-cut capacity: it does not sequence jobs, so a week under 100% can still miss dates if work arrives late in the week.</t>
  </si>
  <si>
    <t>Work in progress and inventory buffers are ignored: early or late production between weeks is not modelled.</t>
  </si>
  <si>
    <t>Labour is assumed available whenever machines are; check operators separately if they, not machines, are the constraint.</t>
  </si>
  <si>
    <t>The Dashboard has fixed blocks for 6 work centres and 12 weeks; longer lists need the blocks extended (the Dashboard warns).</t>
  </si>
  <si>
    <t>Agreement with the live calculator</t>
  </si>
  <si>
    <t>The live Capacity Planning calculator sizes one machine type running one part: daily good-unit capacity = hours per day x 3600 / cycle seconds x uptime x yield per machine, required machines = demand / capacity per machine, machines to add = MAX(0, CEILING(required machines) - machines). This workbook does the same per work centre in hours: utilisation x machines equals the calculator's required machines for the same inputs, and machines to add uses the same rule at each work centre's peak week. The build checks this against the calculator's engine for its default example (40 s cycle, 85% uptime, 16 h/day, 1 machine, 96% yield, 1,150 units/day).</t>
  </si>
  <si>
    <t>Open the Capacity Planning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</si>
  <si>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</si>
  <si>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</si>
  <si>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APICS/ASCM Dictionary: rough-cut capacity planning (RCCP), capacity requirements planning and utilisation, by definition.</t>
  </si>
  <si>
    <t>Vollmann, Berry, Whybark and Jacobs, Manufacturing Planning and Control for Supply Chain Management (capacity planning chapter).</t>
  </si>
  <si>
    <t>MFG Calcs Capacity Planning calculator (capacity-planning): capacity per machine, required machines and machines to add.</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</si>
  <si>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</si>
  <si>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</si>
  <si>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</si>
  <si>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</si>
  <si>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</si>
  <si>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</si>
  <si>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</si>
  <si>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</si>
  <si>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</si>
  <si>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</si>
  <si>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</si>
  <si>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</si>
  <si>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</si>
  <si>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</si>
  <si>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</si>
  <si>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</si>
  <si>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Routing: Part X week 1 hours</t>
  </si>
  <si>
    <t>Cell A week 1 utilisation (= calculator required machines)</t>
  </si>
  <si>
    <t>Cell A week 2 utilisation</t>
  </si>
  <si>
    <t>Cell B week 3 utilisation (4-day week)</t>
  </si>
  <si>
    <t>Cell A plan average utilisation</t>
  </si>
  <si>
    <t>Cell A peak utilisation</t>
  </si>
  <si>
    <t>Cell A hours short</t>
  </si>
  <si>
    <t>Cell A machines needed at peak</t>
  </si>
  <si>
    <t>Cell A machines to add (calculator rule)</t>
  </si>
  <si>
    <t>Cell B machines to add</t>
  </si>
  <si>
    <t>Cell A status at peak</t>
  </si>
  <si>
    <t>exact</t>
  </si>
  <si>
    <t>Cell B status at peak</t>
  </si>
  <si>
    <t>Under capacity</t>
  </si>
  <si>
    <t>Fixed test inputs</t>
  </si>
  <si>
    <t>White cells are fixed test inputs; blue cells are the workbook's formulas evaluated on them.</t>
  </si>
  <si>
    <t>Parameters</t>
  </si>
  <si>
    <t>Plan start</t>
  </si>
  <si>
    <t>Test table: WorkCentres</t>
  </si>
  <si>
    <t>Cell A</t>
  </si>
  <si>
    <t>Calculator example</t>
  </si>
  <si>
    <t>Cell B</t>
  </si>
  <si>
    <t>Test calendar (week 3 has 4 working days)</t>
  </si>
  <si>
    <t>Test table: Demand</t>
  </si>
  <si>
    <t>Part X</t>
  </si>
  <si>
    <t>Test</t>
  </si>
  <si>
    <t>Part Y</t>
  </si>
  <si>
    <t>Test table: Routing</t>
  </si>
  <si>
    <t>Test required hours</t>
  </si>
  <si>
    <t>Test available hours</t>
  </si>
  <si>
    <t>Test utilisation</t>
  </si>
  <si>
    <t>Test work-centre summary</t>
  </si>
</sst>
</file>

<file path=xl/styles.xml><?xml version="1.0" encoding="utf-8"?>
<styleSheet xmlns="http://schemas.openxmlformats.org/spreadsheetml/2006/main">
  <numFmts count="10">
    <numFmt numFmtId="164" formatCode="d mmm yyyy"/>
    <numFmt numFmtId="165" formatCode="0.0%"/>
    <numFmt numFmtId="166" formatCode="#,##0"/>
    <numFmt numFmtId="167" formatCode="#,##0.0"/>
    <numFmt numFmtId="168" formatCode="d mmm"/>
    <numFmt numFmtId="169" formatCode="#,##0.00"/>
    <numFmt numFmtId="170" formatCode="0%"/>
    <numFmt numFmtId="171" formatCode="&quot;Limit &quot;0%"/>
    <numFmt numFmtId="172" formatCode="0.0E+00"/>
    <numFmt numFmtId="173" formatCode="0.0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thin">
        <color rgb="FFD6DBE3"/>
      </top>
      <bottom style="thin">
        <color rgb="FFD6DBE3"/>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s>
  <cellStyleXfs count="1">
    <xf numFmtId="0" fontId="0" fillId="0" borderId="0"/>
  </cellStyleXfs>
  <cellXfs count="80">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0" fontId="18" fillId="2" borderId="5" xfId="0" applyFont="1" applyFill="1" applyBorder="1" applyAlignment="1">
      <alignment horizontal="left" vertical="center" wrapText="1"/>
    </xf>
    <xf numFmtId="168" fontId="9" fillId="0" borderId="6" xfId="0" applyNumberFormat="1" applyFont="1" applyBorder="1" applyAlignment="1">
      <alignment horizontal="center" vertical="center"/>
    </xf>
    <xf numFmtId="0" fontId="19" fillId="7" borderId="2" xfId="0" applyFont="1" applyFill="1" applyBorder="1" applyAlignment="1">
      <alignment vertical="center" wrapText="1"/>
    </xf>
    <xf numFmtId="166" fontId="10" fillId="4" borderId="3" xfId="0" applyNumberFormat="1" applyFont="1" applyFill="1" applyBorder="1" applyAlignment="1">
      <alignment vertical="center"/>
    </xf>
    <xf numFmtId="0" fontId="20" fillId="4" borderId="3" xfId="0" applyFont="1" applyFill="1" applyBorder="1" applyAlignment="1">
      <alignment vertical="center"/>
    </xf>
    <xf numFmtId="169"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0" fontId="21" fillId="9" borderId="7" xfId="0" applyFont="1" applyFill="1" applyBorder="1" applyAlignment="1">
      <alignment vertical="center" wrapText="1"/>
    </xf>
    <xf numFmtId="0" fontId="22" fillId="9" borderId="8" xfId="0" applyFont="1" applyFill="1" applyBorder="1" applyAlignment="1">
      <alignment horizontal="left" vertical="center"/>
    </xf>
    <xf numFmtId="170" fontId="4" fillId="9" borderId="8" xfId="0" applyNumberFormat="1" applyFont="1" applyFill="1" applyBorder="1" applyAlignment="1">
      <alignment horizontal="left" vertical="center"/>
    </xf>
    <xf numFmtId="167" fontId="4" fillId="9" borderId="8" xfId="0" applyNumberFormat="1" applyFont="1" applyFill="1" applyBorder="1" applyAlignment="1">
      <alignment horizontal="left" vertical="center"/>
    </xf>
    <xf numFmtId="166" fontId="4" fillId="9" borderId="8" xfId="0" applyNumberFormat="1" applyFont="1" applyFill="1" applyBorder="1" applyAlignment="1">
      <alignment horizontal="left" vertical="center"/>
    </xf>
    <xf numFmtId="0" fontId="23" fillId="9" borderId="8" xfId="0" applyFont="1" applyFill="1" applyBorder="1" applyAlignment="1">
      <alignment vertical="center"/>
    </xf>
    <xf numFmtId="171" fontId="23" fillId="9" borderId="8" xfId="0" applyNumberFormat="1" applyFont="1" applyFill="1" applyBorder="1" applyAlignment="1">
      <alignment horizontal="left" vertical="center"/>
    </xf>
    <xf numFmtId="0" fontId="21" fillId="9" borderId="9" xfId="0" applyFont="1" applyFill="1" applyBorder="1" applyAlignment="1">
      <alignment vertical="center"/>
    </xf>
    <xf numFmtId="0" fontId="9" fillId="0" borderId="6" xfId="0" applyFont="1" applyBorder="1" applyAlignment="1">
      <alignment vertical="center"/>
    </xf>
    <xf numFmtId="170"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10" fillId="4" borderId="3" xfId="0" applyFont="1" applyFill="1" applyBorder="1" applyAlignment="1">
      <alignment vertical="center"/>
    </xf>
    <xf numFmtId="168" fontId="18" fillId="2" borderId="5" xfId="0" applyNumberFormat="1" applyFont="1" applyFill="1" applyBorder="1" applyAlignment="1">
      <alignment horizontal="center" vertical="center" wrapText="1"/>
    </xf>
    <xf numFmtId="170" fontId="10" fillId="4" borderId="3" xfId="0" applyNumberFormat="1" applyFont="1" applyFill="1" applyBorder="1" applyAlignment="1">
      <alignment horizontal="center" vertical="center"/>
    </xf>
    <xf numFmtId="170" fontId="10" fillId="0" borderId="6" xfId="0" applyNumberFormat="1" applyFont="1" applyBorder="1" applyAlignment="1">
      <alignment vertical="center"/>
    </xf>
    <xf numFmtId="167" fontId="10" fillId="4" borderId="3" xfId="0" applyNumberFormat="1" applyFont="1" applyFill="1" applyBorder="1" applyAlignment="1">
      <alignment horizontal="center" vertical="center"/>
    </xf>
    <xf numFmtId="167" fontId="9" fillId="4" borderId="3" xfId="0" applyNumberFormat="1" applyFont="1" applyFill="1" applyBorder="1" applyAlignment="1">
      <alignment vertical="center"/>
    </xf>
    <xf numFmtId="0" fontId="13" fillId="0" borderId="0" xfId="0" applyFont="1" applyAlignment="1">
      <alignment vertical="center"/>
    </xf>
    <xf numFmtId="0" fontId="9" fillId="0" borderId="6" xfId="0" applyFont="1" applyBorder="1" applyAlignment="1">
      <alignment vertical="top" wrapText="1"/>
    </xf>
    <xf numFmtId="0" fontId="10" fillId="0" borderId="6" xfId="0" applyFont="1" applyBorder="1" applyAlignment="1">
      <alignment vertical="top" wrapText="1"/>
    </xf>
    <xf numFmtId="0" fontId="10" fillId="0" borderId="6" xfId="0" applyFont="1" applyBorder="1" applyAlignment="1">
      <alignment horizontal="center" vertical="top"/>
    </xf>
    <xf numFmtId="0" fontId="10" fillId="0" borderId="6" xfId="0" applyFont="1" applyBorder="1" applyAlignment="1">
      <alignment vertical="center"/>
    </xf>
    <xf numFmtId="0" fontId="10" fillId="0" borderId="6" xfId="0" applyFont="1" applyBorder="1" applyAlignment="1">
      <alignment vertical="center" wrapText="1"/>
    </xf>
    <xf numFmtId="0" fontId="10" fillId="0" borderId="6" xfId="0" applyFont="1" applyBorder="1" applyAlignment="1">
      <alignment horizontal="center" vertical="center"/>
    </xf>
    <xf numFmtId="0" fontId="8" fillId="0" borderId="0" xfId="0" applyFont="1" applyAlignment="1">
      <alignment vertical="center"/>
    </xf>
    <xf numFmtId="166" fontId="9" fillId="0" borderId="6" xfId="0" applyNumberFormat="1" applyFont="1" applyBorder="1" applyAlignment="1">
      <alignment horizontal="center" vertical="center"/>
    </xf>
    <xf numFmtId="169" fontId="10" fillId="0" borderId="6"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6" xfId="0" applyNumberFormat="1" applyFont="1" applyBorder="1" applyAlignment="1">
      <alignment vertical="center"/>
    </xf>
    <xf numFmtId="173" fontId="10" fillId="0" borderId="6" xfId="0" applyNumberFormat="1" applyFont="1" applyBorder="1" applyAlignment="1">
      <alignment vertical="center"/>
    </xf>
    <xf numFmtId="173" fontId="10" fillId="4" borderId="3" xfId="0" applyNumberFormat="1" applyFont="1" applyFill="1" applyBorder="1" applyAlignment="1">
      <alignment vertical="center"/>
    </xf>
    <xf numFmtId="166" fontId="10" fillId="0" borderId="6" xfId="0" applyNumberFormat="1" applyFont="1" applyBorder="1" applyAlignment="1">
      <alignment vertical="center"/>
    </xf>
    <xf numFmtId="164" fontId="10" fillId="0" borderId="6" xfId="0" applyNumberFormat="1" applyFont="1" applyBorder="1" applyAlignment="1">
      <alignment vertical="center"/>
    </xf>
    <xf numFmtId="165" fontId="10" fillId="0" borderId="6" xfId="0" applyNumberFormat="1" applyFont="1" applyBorder="1" applyAlignment="1">
      <alignment vertical="center"/>
    </xf>
    <xf numFmtId="167" fontId="10" fillId="0" borderId="6"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Bottleneck utilisation by week</a:t>
            </a:r>
          </a:p>
        </c:rich>
      </c:tx>
      <c:layout/>
    </c:title>
    <c:plotArea>
      <c:layout/>
      <c:barChart>
        <c:barDir val="col"/>
        <c:grouping val="clustered"/>
        <c:ser>
          <c:idx val="0"/>
          <c:order val="0"/>
          <c:tx>
            <c:v>Utilisation</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Dashboard!$C$45:$N$45</c:f>
              <c:numCache>
                <c:formatCode>General</c:formatCode>
                <c:ptCount val="12"/>
                <c:pt idx="0">
                  <c:v>46314</c:v>
                </c:pt>
                <c:pt idx="1">
                  <c:v>46321</c:v>
                </c:pt>
                <c:pt idx="2">
                  <c:v>46328</c:v>
                </c:pt>
                <c:pt idx="3">
                  <c:v>46335</c:v>
                </c:pt>
                <c:pt idx="4">
                  <c:v>46342</c:v>
                </c:pt>
                <c:pt idx="5">
                  <c:v>46349</c:v>
                </c:pt>
                <c:pt idx="6">
                  <c:v>46356</c:v>
                </c:pt>
                <c:pt idx="7">
                  <c:v>46363</c:v>
                </c:pt>
                <c:pt idx="8">
                  <c:v>46370</c:v>
                </c:pt>
                <c:pt idx="9">
                  <c:v>46377</c:v>
                </c:pt>
                <c:pt idx="10">
                  <c:v>46384</c:v>
                </c:pt>
                <c:pt idx="11">
                  <c:v>46391</c:v>
                </c:pt>
              </c:numCache>
            </c:numRef>
          </c:cat>
          <c:val>
            <c:numRef>
              <c:f>Dashboard!$C$46:$N$46</c:f>
              <c:numCache>
                <c:formatCode>General</c:formatCode>
                <c:ptCount val="12"/>
                <c:pt idx="0">
                  <c:v>0.707420532646048</c:v>
                </c:pt>
                <c:pt idx="1">
                  <c:v>0.720844072164948</c:v>
                </c:pt>
                <c:pt idx="2">
                  <c:v>0.758429982817869</c:v>
                </c:pt>
                <c:pt idx="3">
                  <c:v>0.698024054982818</c:v>
                </c:pt>
                <c:pt idx="4">
                  <c:v>0.726213487972509</c:v>
                </c:pt>
                <c:pt idx="5">
                  <c:v>0.874319873997709</c:v>
                </c:pt>
                <c:pt idx="6">
                  <c:v>0.927566580756014</c:v>
                </c:pt>
                <c:pt idx="7">
                  <c:v>0.90519401489118</c:v>
                </c:pt>
                <c:pt idx="8">
                  <c:v>0.9025093069874</c:v>
                </c:pt>
                <c:pt idx="9">
                  <c:v>1.20811855670103</c:v>
                </c:pt>
                <c:pt idx="10">
                  <c:v>0.906088917525773</c:v>
                </c:pt>
                <c:pt idx="11">
                  <c:v>0.89713989117984</c:v>
                </c:pt>
              </c:numCache>
            </c:numRef>
          </c:val>
        </c:ser>
        <c:gapWidth val="60"/>
        <c:overlap val="-10"/>
        <c:axId val="50010001"/>
        <c:axId val="50010002"/>
      </c:barChart>
      <c:lineChart>
        <c:grouping val="standard"/>
        <c:ser>
          <c:idx val="1"/>
          <c:order val="1"/>
          <c:tx>
            <c:v>Near capacity</c:v>
          </c:tx>
          <c:spPr>
            <a:ln w="19050">
              <a:solidFill>
                <a:srgbClr val="4A5361"/>
              </a:solidFill>
              <a:prstDash val="dash"/>
            </a:ln>
          </c:spPr>
          <c:marker>
            <c:symbol val="none"/>
          </c:marker>
          <c:cat>
            <c:numRef>
              <c:f>Dashboard!$C$45:$N$45</c:f>
              <c:numCache>
                <c:formatCode>General</c:formatCode>
                <c:ptCount val="12"/>
                <c:pt idx="0">
                  <c:v>46314</c:v>
                </c:pt>
                <c:pt idx="1">
                  <c:v>46321</c:v>
                </c:pt>
                <c:pt idx="2">
                  <c:v>46328</c:v>
                </c:pt>
                <c:pt idx="3">
                  <c:v>46335</c:v>
                </c:pt>
                <c:pt idx="4">
                  <c:v>46342</c:v>
                </c:pt>
                <c:pt idx="5">
                  <c:v>46349</c:v>
                </c:pt>
                <c:pt idx="6">
                  <c:v>46356</c:v>
                </c:pt>
                <c:pt idx="7">
                  <c:v>46363</c:v>
                </c:pt>
                <c:pt idx="8">
                  <c:v>46370</c:v>
                </c:pt>
                <c:pt idx="9">
                  <c:v>46377</c:v>
                </c:pt>
                <c:pt idx="10">
                  <c:v>46384</c:v>
                </c:pt>
                <c:pt idx="11">
                  <c:v>46391</c:v>
                </c:pt>
              </c:numCache>
            </c:numRef>
          </c:cat>
          <c:val>
            <c:numRef>
              <c:f>Dashboard!$C$47:$N$47</c:f>
              <c:numCache>
                <c:formatCode>General</c:formatCode>
                <c:ptCount val="12"/>
                <c:pt idx="0">
                  <c:v>0.85</c:v>
                </c:pt>
                <c:pt idx="1">
                  <c:v>0.85</c:v>
                </c:pt>
                <c:pt idx="2">
                  <c:v>0.85</c:v>
                </c:pt>
                <c:pt idx="3">
                  <c:v>0.85</c:v>
                </c:pt>
                <c:pt idx="4">
                  <c:v>0.85</c:v>
                </c:pt>
                <c:pt idx="5">
                  <c:v>0.85</c:v>
                </c:pt>
                <c:pt idx="6">
                  <c:v>0.85</c:v>
                </c:pt>
                <c:pt idx="7">
                  <c:v>0.85</c:v>
                </c:pt>
                <c:pt idx="8">
                  <c:v>0.85</c:v>
                </c:pt>
                <c:pt idx="9">
                  <c:v>0.85</c:v>
                </c:pt>
                <c:pt idx="10">
                  <c:v>0.85</c:v>
                </c:pt>
                <c:pt idx="11">
                  <c:v>0.85</c:v>
                </c:pt>
              </c:numCache>
            </c:numRef>
          </c:val>
        </c:ser>
        <c:ser>
          <c:idx val="2"/>
          <c:order val="2"/>
          <c:tx>
            <c:v>Over capacity</c:v>
          </c:tx>
          <c:spPr>
            <a:ln w="19050">
              <a:solidFill>
                <a:srgbClr val="B3000C"/>
              </a:solidFill>
              <a:prstDash val="dash"/>
            </a:ln>
          </c:spPr>
          <c:marker>
            <c:symbol val="none"/>
          </c:marker>
          <c:cat>
            <c:numRef>
              <c:f>Dashboard!$C$45:$N$45</c:f>
              <c:numCache>
                <c:formatCode>General</c:formatCode>
                <c:ptCount val="12"/>
                <c:pt idx="0">
                  <c:v>46314</c:v>
                </c:pt>
                <c:pt idx="1">
                  <c:v>46321</c:v>
                </c:pt>
                <c:pt idx="2">
                  <c:v>46328</c:v>
                </c:pt>
                <c:pt idx="3">
                  <c:v>46335</c:v>
                </c:pt>
                <c:pt idx="4">
                  <c:v>46342</c:v>
                </c:pt>
                <c:pt idx="5">
                  <c:v>46349</c:v>
                </c:pt>
                <c:pt idx="6">
                  <c:v>46356</c:v>
                </c:pt>
                <c:pt idx="7">
                  <c:v>46363</c:v>
                </c:pt>
                <c:pt idx="8">
                  <c:v>46370</c:v>
                </c:pt>
                <c:pt idx="9">
                  <c:v>46377</c:v>
                </c:pt>
                <c:pt idx="10">
                  <c:v>46384</c:v>
                </c:pt>
                <c:pt idx="11">
                  <c:v>46391</c:v>
                </c:pt>
              </c:numCache>
            </c:numRef>
          </c:cat>
          <c:val>
            <c:numRef>
              <c:f>Dashboard!$C$48:$N$48</c:f>
              <c:numCache>
                <c:formatCode>General</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Required vs available hours over the plan</a:t>
            </a:r>
          </a:p>
        </c:rich>
      </c:tx>
      <c:layout/>
    </c:title>
    <c:plotArea>
      <c:layout/>
      <c:barChart>
        <c:barDir val="col"/>
        <c:grouping val="clustered"/>
        <c:ser>
          <c:idx val="0"/>
          <c:order val="0"/>
          <c:tx>
            <c:v>Available hours</c:v>
          </c:tx>
          <c:spPr>
            <a:solidFill>
              <a:srgbClr val="3B64D8"/>
            </a:solidFill>
            <a:ln w="9525">
              <a:solidFill>
                <a:srgbClr val="FFFFFF"/>
              </a:solidFill>
            </a:ln>
          </c:spPr>
          <c:cat>
            <c:strRef>
              <c:f>Dashboard!$B$28:$B$33</c:f>
              <c:strCache>
                <c:ptCount val="6"/>
                <c:pt idx="0">
                  <c:v>Saw</c:v>
                </c:pt>
                <c:pt idx="1">
                  <c:v>CNC lathe</c:v>
                </c:pt>
                <c:pt idx="2">
                  <c:v>CNC mill</c:v>
                </c:pt>
                <c:pt idx="3">
                  <c:v>Grinder</c:v>
                </c:pt>
                <c:pt idx="4">
                  <c:v>Deburr</c:v>
                </c:pt>
                <c:pt idx="5">
                  <c:v>Inspection</c:v>
                </c:pt>
              </c:strCache>
            </c:strRef>
          </c:cat>
          <c:val>
            <c:numRef>
              <c:f>Dashboard!$E$28:$E$33</c:f>
              <c:numCache>
                <c:formatCode>General</c:formatCode>
                <c:ptCount val="6"/>
                <c:pt idx="0">
                  <c:v>424.8</c:v>
                </c:pt>
                <c:pt idx="1">
                  <c:v>1548.16</c:v>
                </c:pt>
                <c:pt idx="2">
                  <c:v>2265.6</c:v>
                </c:pt>
                <c:pt idx="3">
                  <c:v>802.4</c:v>
                </c:pt>
                <c:pt idx="4">
                  <c:v>896.8</c:v>
                </c:pt>
                <c:pt idx="5">
                  <c:v>849.6</c:v>
                </c:pt>
              </c:numCache>
            </c:numRef>
          </c:val>
        </c:ser>
        <c:ser>
          <c:idx val="1"/>
          <c:order val="1"/>
          <c:tx>
            <c:v>Required hours</c:v>
          </c:tx>
          <c:spPr>
            <a:solidFill>
              <a:srgbClr val="E8702A"/>
            </a:solidFill>
            <a:ln w="9525">
              <a:solidFill>
                <a:srgbClr val="FFFFFF"/>
              </a:solidFill>
            </a:ln>
          </c:spPr>
          <c:cat>
            <c:strRef>
              <c:f>Dashboard!$B$28:$B$33</c:f>
              <c:strCache>
                <c:ptCount val="6"/>
                <c:pt idx="0">
                  <c:v>Saw</c:v>
                </c:pt>
                <c:pt idx="1">
                  <c:v>CNC lathe</c:v>
                </c:pt>
                <c:pt idx="2">
                  <c:v>CNC mill</c:v>
                </c:pt>
                <c:pt idx="3">
                  <c:v>Grinder</c:v>
                </c:pt>
                <c:pt idx="4">
                  <c:v>Deburr</c:v>
                </c:pt>
                <c:pt idx="5">
                  <c:v>Inspection</c:v>
                </c:pt>
              </c:strCache>
            </c:strRef>
          </c:cat>
          <c:val>
            <c:numRef>
              <c:f>Dashboard!$D$28:$D$33</c:f>
              <c:numCache>
                <c:formatCode>General</c:formatCode>
                <c:ptCount val="6"/>
                <c:pt idx="0">
                  <c:v>122.964824120603</c:v>
                </c:pt>
                <c:pt idx="1">
                  <c:v>1115.44673539519</c:v>
                </c:pt>
                <c:pt idx="2">
                  <c:v>1918.12714776632</c:v>
                </c:pt>
                <c:pt idx="3">
                  <c:v>486.734693877551</c:v>
                </c:pt>
                <c:pt idx="4">
                  <c:v>432.613065326633</c:v>
                </c:pt>
                <c:pt idx="5">
                  <c:v>353.416666666667</c:v>
                </c:pt>
              </c:numCache>
            </c:numRef>
          </c:val>
        </c:ser>
        <c:gapWidth val="80"/>
        <c:overlap val="-1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Required hours by week, stacked by work centre</a:t>
            </a:r>
          </a:p>
        </c:rich>
      </c:tx>
      <c:layout/>
    </c:title>
    <c:plotArea>
      <c:layout/>
      <c:barChart>
        <c:barDir val="col"/>
        <c:grouping val="stacked"/>
        <c:ser>
          <c:idx val="0"/>
          <c:order val="0"/>
          <c:tx>
            <c:strRef>
              <c:f>Dashboard!$B$66</c:f>
              <c:strCache>
                <c:ptCount val="1"/>
                <c:pt idx="0">
                  <c:v>Saw</c:v>
                </c:pt>
              </c:strCache>
            </c:strRef>
          </c:tx>
          <c:spPr>
            <a:solidFill>
              <a:srgbClr val="3B64D8"/>
            </a:solidFill>
            <a:ln w="9525">
              <a:solidFill>
                <a:srgbClr val="FFFFFF"/>
              </a:solidFill>
            </a:ln>
          </c:spPr>
          <c:cat>
            <c:numRef>
              <c:f>Dashboard!$C$65:$N$65</c:f>
              <c:numCache>
                <c:formatCode>General</c:formatCode>
                <c:ptCount val="12"/>
                <c:pt idx="0">
                  <c:v>46314</c:v>
                </c:pt>
                <c:pt idx="1">
                  <c:v>46321</c:v>
                </c:pt>
                <c:pt idx="2">
                  <c:v>46328</c:v>
                </c:pt>
                <c:pt idx="3">
                  <c:v>46335</c:v>
                </c:pt>
                <c:pt idx="4">
                  <c:v>46342</c:v>
                </c:pt>
                <c:pt idx="5">
                  <c:v>46349</c:v>
                </c:pt>
                <c:pt idx="6">
                  <c:v>46356</c:v>
                </c:pt>
                <c:pt idx="7">
                  <c:v>46363</c:v>
                </c:pt>
                <c:pt idx="8">
                  <c:v>46370</c:v>
                </c:pt>
                <c:pt idx="9">
                  <c:v>46377</c:v>
                </c:pt>
                <c:pt idx="10">
                  <c:v>46384</c:v>
                </c:pt>
                <c:pt idx="11">
                  <c:v>46391</c:v>
                </c:pt>
              </c:numCache>
            </c:numRef>
          </c:cat>
          <c:val>
            <c:numRef>
              <c:f>Dashboard!$C$66:$N$66</c:f>
              <c:numCache>
                <c:formatCode>General</c:formatCode>
                <c:ptCount val="12"/>
                <c:pt idx="0">
                  <c:v>9.76549413735343</c:v>
                </c:pt>
                <c:pt idx="1">
                  <c:v>9.76549413735343</c:v>
                </c:pt>
                <c:pt idx="2">
                  <c:v>10.5025125628141</c:v>
                </c:pt>
                <c:pt idx="3">
                  <c:v>9.5142378559464</c:v>
                </c:pt>
                <c:pt idx="4">
                  <c:v>9.63149078726968</c:v>
                </c:pt>
                <c:pt idx="5">
                  <c:v>10.3182579564489</c:v>
                </c:pt>
                <c:pt idx="6">
                  <c:v>10.3685092127303</c:v>
                </c:pt>
                <c:pt idx="7">
                  <c:v>9.83249581239531</c:v>
                </c:pt>
                <c:pt idx="8">
                  <c:v>10.8710217755444</c:v>
                </c:pt>
                <c:pt idx="9">
                  <c:v>11.0217755443886</c:v>
                </c:pt>
                <c:pt idx="10">
                  <c:v>10.8040201005025</c:v>
                </c:pt>
                <c:pt idx="11">
                  <c:v>10.5695142378559</c:v>
                </c:pt>
              </c:numCache>
            </c:numRef>
          </c:val>
        </c:ser>
        <c:ser>
          <c:idx val="1"/>
          <c:order val="1"/>
          <c:tx>
            <c:strRef>
              <c:f>Dashboard!$B$67</c:f>
              <c:strCache>
                <c:ptCount val="1"/>
                <c:pt idx="0">
                  <c:v>CNC lathe</c:v>
                </c:pt>
              </c:strCache>
            </c:strRef>
          </c:tx>
          <c:spPr>
            <a:solidFill>
              <a:srgbClr val="E8702A"/>
            </a:solidFill>
            <a:ln w="9525">
              <a:solidFill>
                <a:srgbClr val="FFFFFF"/>
              </a:solidFill>
            </a:ln>
          </c:spPr>
          <c:cat>
            <c:numRef>
              <c:f>Dashboard!$C$65:$N$65</c:f>
              <c:numCache>
                <c:formatCode>General</c:formatCode>
                <c:ptCount val="12"/>
                <c:pt idx="0">
                  <c:v>46314</c:v>
                </c:pt>
                <c:pt idx="1">
                  <c:v>46321</c:v>
                </c:pt>
                <c:pt idx="2">
                  <c:v>46328</c:v>
                </c:pt>
                <c:pt idx="3">
                  <c:v>46335</c:v>
                </c:pt>
                <c:pt idx="4">
                  <c:v>46342</c:v>
                </c:pt>
                <c:pt idx="5">
                  <c:v>46349</c:v>
                </c:pt>
                <c:pt idx="6">
                  <c:v>46356</c:v>
                </c:pt>
                <c:pt idx="7">
                  <c:v>46363</c:v>
                </c:pt>
                <c:pt idx="8">
                  <c:v>46370</c:v>
                </c:pt>
                <c:pt idx="9">
                  <c:v>46377</c:v>
                </c:pt>
                <c:pt idx="10">
                  <c:v>46384</c:v>
                </c:pt>
                <c:pt idx="11">
                  <c:v>46391</c:v>
                </c:pt>
              </c:numCache>
            </c:numRef>
          </c:cat>
          <c:val>
            <c:numRef>
              <c:f>Dashboard!$C$67:$N$67</c:f>
              <c:numCache>
                <c:formatCode>General</c:formatCode>
                <c:ptCount val="12"/>
                <c:pt idx="0">
                  <c:v>89.2955326460481</c:v>
                </c:pt>
                <c:pt idx="1">
                  <c:v>91.5120274914089</c:v>
                </c:pt>
                <c:pt idx="2">
                  <c:v>95.7731958762887</c:v>
                </c:pt>
                <c:pt idx="3">
                  <c:v>84.639175257732</c:v>
                </c:pt>
                <c:pt idx="4">
                  <c:v>88.1099656357388</c:v>
                </c:pt>
                <c:pt idx="5">
                  <c:v>92.1305841924399</c:v>
                </c:pt>
                <c:pt idx="6">
                  <c:v>92.680412371134</c:v>
                </c:pt>
                <c:pt idx="7">
                  <c:v>90.6357388316151</c:v>
                </c:pt>
                <c:pt idx="8">
                  <c:v>99.2439862542955</c:v>
                </c:pt>
                <c:pt idx="9">
                  <c:v>96.9072164948454</c:v>
                </c:pt>
                <c:pt idx="10">
                  <c:v>96.1683848797251</c:v>
                </c:pt>
                <c:pt idx="11">
                  <c:v>98.3505154639175</c:v>
                </c:pt>
              </c:numCache>
            </c:numRef>
          </c:val>
        </c:ser>
        <c:ser>
          <c:idx val="2"/>
          <c:order val="2"/>
          <c:tx>
            <c:strRef>
              <c:f>Dashboard!$B$68</c:f>
              <c:strCache>
                <c:ptCount val="1"/>
                <c:pt idx="0">
                  <c:v>CNC mill</c:v>
                </c:pt>
              </c:strCache>
            </c:strRef>
          </c:tx>
          <c:spPr>
            <a:solidFill>
              <a:srgbClr val="1BA37A"/>
            </a:solidFill>
            <a:ln w="9525">
              <a:solidFill>
                <a:srgbClr val="FFFFFF"/>
              </a:solidFill>
            </a:ln>
          </c:spPr>
          <c:cat>
            <c:numRef>
              <c:f>Dashboard!$C$65:$N$65</c:f>
              <c:numCache>
                <c:formatCode>General</c:formatCode>
                <c:ptCount val="12"/>
                <c:pt idx="0">
                  <c:v>46314</c:v>
                </c:pt>
                <c:pt idx="1">
                  <c:v>46321</c:v>
                </c:pt>
                <c:pt idx="2">
                  <c:v>46328</c:v>
                </c:pt>
                <c:pt idx="3">
                  <c:v>46335</c:v>
                </c:pt>
                <c:pt idx="4">
                  <c:v>46342</c:v>
                </c:pt>
                <c:pt idx="5">
                  <c:v>46349</c:v>
                </c:pt>
                <c:pt idx="6">
                  <c:v>46356</c:v>
                </c:pt>
                <c:pt idx="7">
                  <c:v>46363</c:v>
                </c:pt>
                <c:pt idx="8">
                  <c:v>46370</c:v>
                </c:pt>
                <c:pt idx="9">
                  <c:v>46377</c:v>
                </c:pt>
                <c:pt idx="10">
                  <c:v>46384</c:v>
                </c:pt>
                <c:pt idx="11">
                  <c:v>46391</c:v>
                </c:pt>
              </c:numCache>
            </c:numRef>
          </c:cat>
          <c:val>
            <c:numRef>
              <c:f>Dashboard!$C$68:$N$68</c:f>
              <c:numCache>
                <c:formatCode>General</c:formatCode>
                <c:ptCount val="12"/>
                <c:pt idx="0">
                  <c:v>135.824742268041</c:v>
                </c:pt>
                <c:pt idx="1">
                  <c:v>138.40206185567</c:v>
                </c:pt>
                <c:pt idx="2">
                  <c:v>145.618556701031</c:v>
                </c:pt>
                <c:pt idx="3">
                  <c:v>134.020618556701</c:v>
                </c:pt>
                <c:pt idx="4">
                  <c:v>139.432989690722</c:v>
                </c:pt>
                <c:pt idx="5">
                  <c:v>167.86941580756</c:v>
                </c:pt>
                <c:pt idx="6">
                  <c:v>178.092783505155</c:v>
                </c:pt>
                <c:pt idx="7">
                  <c:v>173.797250859107</c:v>
                </c:pt>
                <c:pt idx="8">
                  <c:v>173.281786941581</c:v>
                </c:pt>
                <c:pt idx="9">
                  <c:v>185.567010309278</c:v>
                </c:pt>
                <c:pt idx="10">
                  <c:v>173.969072164948</c:v>
                </c:pt>
                <c:pt idx="11">
                  <c:v>172.250859106529</c:v>
                </c:pt>
              </c:numCache>
            </c:numRef>
          </c:val>
        </c:ser>
        <c:ser>
          <c:idx val="3"/>
          <c:order val="3"/>
          <c:tx>
            <c:strRef>
              <c:f>Dashboard!$B$69</c:f>
              <c:strCache>
                <c:ptCount val="1"/>
                <c:pt idx="0">
                  <c:v>Grinder</c:v>
                </c:pt>
              </c:strCache>
            </c:strRef>
          </c:tx>
          <c:spPr>
            <a:solidFill>
              <a:srgbClr val="E0A100"/>
            </a:solidFill>
            <a:ln w="9525">
              <a:solidFill>
                <a:srgbClr val="FFFFFF"/>
              </a:solidFill>
            </a:ln>
          </c:spPr>
          <c:cat>
            <c:numRef>
              <c:f>Dashboard!$C$65:$N$65</c:f>
              <c:numCache>
                <c:formatCode>General</c:formatCode>
                <c:ptCount val="12"/>
                <c:pt idx="0">
                  <c:v>46314</c:v>
                </c:pt>
                <c:pt idx="1">
                  <c:v>46321</c:v>
                </c:pt>
                <c:pt idx="2">
                  <c:v>46328</c:v>
                </c:pt>
                <c:pt idx="3">
                  <c:v>46335</c:v>
                </c:pt>
                <c:pt idx="4">
                  <c:v>46342</c:v>
                </c:pt>
                <c:pt idx="5">
                  <c:v>46349</c:v>
                </c:pt>
                <c:pt idx="6">
                  <c:v>46356</c:v>
                </c:pt>
                <c:pt idx="7">
                  <c:v>46363</c:v>
                </c:pt>
                <c:pt idx="8">
                  <c:v>46370</c:v>
                </c:pt>
                <c:pt idx="9">
                  <c:v>46377</c:v>
                </c:pt>
                <c:pt idx="10">
                  <c:v>46384</c:v>
                </c:pt>
                <c:pt idx="11">
                  <c:v>46391</c:v>
                </c:pt>
              </c:numCache>
            </c:numRef>
          </c:cat>
          <c:val>
            <c:numRef>
              <c:f>Dashboard!$C$69:$N$69</c:f>
              <c:numCache>
                <c:formatCode>General</c:formatCode>
                <c:ptCount val="12"/>
                <c:pt idx="0">
                  <c:v>41.8367346938776</c:v>
                </c:pt>
                <c:pt idx="1">
                  <c:v>44.8979591836735</c:v>
                </c:pt>
                <c:pt idx="2">
                  <c:v>44.8979591836735</c:v>
                </c:pt>
                <c:pt idx="3">
                  <c:v>38.7755102040816</c:v>
                </c:pt>
                <c:pt idx="4">
                  <c:v>40.8163265306122</c:v>
                </c:pt>
                <c:pt idx="5">
                  <c:v>38.7755102040816</c:v>
                </c:pt>
                <c:pt idx="6">
                  <c:v>36.734693877551</c:v>
                </c:pt>
                <c:pt idx="7">
                  <c:v>37.7551020408163</c:v>
                </c:pt>
                <c:pt idx="8">
                  <c:v>42.8571428571429</c:v>
                </c:pt>
                <c:pt idx="9">
                  <c:v>38.7755102040816</c:v>
                </c:pt>
                <c:pt idx="10">
                  <c:v>41.8367346938776</c:v>
                </c:pt>
                <c:pt idx="11">
                  <c:v>38.7755102040816</c:v>
                </c:pt>
              </c:numCache>
            </c:numRef>
          </c:val>
        </c:ser>
        <c:ser>
          <c:idx val="4"/>
          <c:order val="4"/>
          <c:tx>
            <c:strRef>
              <c:f>Dashboard!$B$70</c:f>
              <c:strCache>
                <c:ptCount val="1"/>
                <c:pt idx="0">
                  <c:v>Deburr</c:v>
                </c:pt>
              </c:strCache>
            </c:strRef>
          </c:tx>
          <c:spPr>
            <a:solidFill>
              <a:srgbClr val="D0558A"/>
            </a:solidFill>
            <a:ln w="9525">
              <a:solidFill>
                <a:srgbClr val="FFFFFF"/>
              </a:solidFill>
            </a:ln>
          </c:spPr>
          <c:cat>
            <c:numRef>
              <c:f>Dashboard!$C$65:$N$65</c:f>
              <c:numCache>
                <c:formatCode>General</c:formatCode>
                <c:ptCount val="12"/>
                <c:pt idx="0">
                  <c:v>46314</c:v>
                </c:pt>
                <c:pt idx="1">
                  <c:v>46321</c:v>
                </c:pt>
                <c:pt idx="2">
                  <c:v>46328</c:v>
                </c:pt>
                <c:pt idx="3">
                  <c:v>46335</c:v>
                </c:pt>
                <c:pt idx="4">
                  <c:v>46342</c:v>
                </c:pt>
                <c:pt idx="5">
                  <c:v>46349</c:v>
                </c:pt>
                <c:pt idx="6">
                  <c:v>46356</c:v>
                </c:pt>
                <c:pt idx="7">
                  <c:v>46363</c:v>
                </c:pt>
                <c:pt idx="8">
                  <c:v>46370</c:v>
                </c:pt>
                <c:pt idx="9">
                  <c:v>46377</c:v>
                </c:pt>
                <c:pt idx="10">
                  <c:v>46384</c:v>
                </c:pt>
                <c:pt idx="11">
                  <c:v>46391</c:v>
                </c:pt>
              </c:numCache>
            </c:numRef>
          </c:cat>
          <c:val>
            <c:numRef>
              <c:f>Dashboard!$C$70:$N$70</c:f>
              <c:numCache>
                <c:formatCode>General</c:formatCode>
                <c:ptCount val="12"/>
                <c:pt idx="0">
                  <c:v>30.8375209380235</c:v>
                </c:pt>
                <c:pt idx="1">
                  <c:v>31.4405360134003</c:v>
                </c:pt>
                <c:pt idx="2">
                  <c:v>33.1490787269682</c:v>
                </c:pt>
                <c:pt idx="3">
                  <c:v>30.4857621440536</c:v>
                </c:pt>
                <c:pt idx="4">
                  <c:v>31.7420435510888</c:v>
                </c:pt>
                <c:pt idx="5">
                  <c:v>37.7554438860972</c:v>
                </c:pt>
                <c:pt idx="6">
                  <c:v>39.8492462311558</c:v>
                </c:pt>
                <c:pt idx="7">
                  <c:v>38.9447236180905</c:v>
                </c:pt>
                <c:pt idx="8">
                  <c:v>38.8777219430486</c:v>
                </c:pt>
                <c:pt idx="9">
                  <c:v>41.7085427135678</c:v>
                </c:pt>
                <c:pt idx="10">
                  <c:v>39.1457286432161</c:v>
                </c:pt>
                <c:pt idx="11">
                  <c:v>38.6767169179229</c:v>
                </c:pt>
              </c:numCache>
            </c:numRef>
          </c:val>
        </c:ser>
        <c:ser>
          <c:idx val="5"/>
          <c:order val="5"/>
          <c:tx>
            <c:strRef>
              <c:f>Dashboard!$B$71</c:f>
              <c:strCache>
                <c:ptCount val="1"/>
                <c:pt idx="0">
                  <c:v>Inspection</c:v>
                </c:pt>
              </c:strCache>
            </c:strRef>
          </c:tx>
          <c:spPr>
            <a:solidFill>
              <a:srgbClr val="6250D6"/>
            </a:solidFill>
            <a:ln w="9525">
              <a:solidFill>
                <a:srgbClr val="FFFFFF"/>
              </a:solidFill>
            </a:ln>
          </c:spPr>
          <c:cat>
            <c:numRef>
              <c:f>Dashboard!$C$65:$N$65</c:f>
              <c:numCache>
                <c:formatCode>General</c:formatCode>
                <c:ptCount val="12"/>
                <c:pt idx="0">
                  <c:v>46314</c:v>
                </c:pt>
                <c:pt idx="1">
                  <c:v>46321</c:v>
                </c:pt>
                <c:pt idx="2">
                  <c:v>46328</c:v>
                </c:pt>
                <c:pt idx="3">
                  <c:v>46335</c:v>
                </c:pt>
                <c:pt idx="4">
                  <c:v>46342</c:v>
                </c:pt>
                <c:pt idx="5">
                  <c:v>46349</c:v>
                </c:pt>
                <c:pt idx="6">
                  <c:v>46356</c:v>
                </c:pt>
                <c:pt idx="7">
                  <c:v>46363</c:v>
                </c:pt>
                <c:pt idx="8">
                  <c:v>46370</c:v>
                </c:pt>
                <c:pt idx="9">
                  <c:v>46377</c:v>
                </c:pt>
                <c:pt idx="10">
                  <c:v>46384</c:v>
                </c:pt>
                <c:pt idx="11">
                  <c:v>46391</c:v>
                </c:pt>
              </c:numCache>
            </c:numRef>
          </c:cat>
          <c:val>
            <c:numRef>
              <c:f>Dashboard!$C$71:$N$71</c:f>
              <c:numCache>
                <c:formatCode>General</c:formatCode>
                <c:ptCount val="12"/>
                <c:pt idx="0">
                  <c:v>25.75</c:v>
                </c:pt>
                <c:pt idx="1">
                  <c:v>26.9666666666667</c:v>
                </c:pt>
                <c:pt idx="2">
                  <c:v>27.4833333333333</c:v>
                </c:pt>
                <c:pt idx="3">
                  <c:v>24.5666666666667</c:v>
                </c:pt>
                <c:pt idx="4">
                  <c:v>26.0833333333333</c:v>
                </c:pt>
                <c:pt idx="5">
                  <c:v>30.3833333333333</c:v>
                </c:pt>
                <c:pt idx="6">
                  <c:v>31.95</c:v>
                </c:pt>
                <c:pt idx="7">
                  <c:v>31.8833333333333</c:v>
                </c:pt>
                <c:pt idx="8">
                  <c:v>32.1833333333333</c:v>
                </c:pt>
                <c:pt idx="9">
                  <c:v>32.7666666666667</c:v>
                </c:pt>
                <c:pt idx="10">
                  <c:v>31.5666666666667</c:v>
                </c:pt>
                <c:pt idx="11">
                  <c:v>31.8333333333333</c:v>
                </c:pt>
              </c:numCache>
            </c:numRef>
          </c:val>
        </c:ser>
        <c:gapWidth val="60"/>
        <c:overlap val="100"/>
        <c:axId val="50030001"/>
        <c:axId val="50030002"/>
      </c:barChart>
      <c:catAx>
        <c:axId val="5003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9</xdr:row>
      <xdr:rowOff>38100</xdr:rowOff>
    </xdr:from>
    <xdr:to>
      <xdr:col>6</xdr:col>
      <xdr:colOff>581025</xdr:colOff>
      <xdr:row>23</xdr:row>
      <xdr:rowOff>152400</xdr:rowOff>
    </xdr:to>
    <xdr:graphicFrame macro="">
      <xdr:nvGraphicFramePr>
        <xdr:cNvPr id="2" name="Chart 1" descr="Column chart of the bottleneck work centre's weekly utilisation with dashed lines at the near-capacity and over-capacity threshold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38100</xdr:colOff>
      <xdr:row>9</xdr:row>
      <xdr:rowOff>38100</xdr:rowOff>
    </xdr:from>
    <xdr:to>
      <xdr:col>14</xdr:col>
      <xdr:colOff>581025</xdr:colOff>
      <xdr:row>23</xdr:row>
      <xdr:rowOff>152400</xdr:rowOff>
    </xdr:to>
    <xdr:graphicFrame macro="">
      <xdr:nvGraphicFramePr>
        <xdr:cNvPr id="3" name="Chart 2" descr="Clustered column chart comparing required and available hours over the whole plan for each work centr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49</xdr:row>
      <xdr:rowOff>38100</xdr:rowOff>
    </xdr:from>
    <xdr:to>
      <xdr:col>14</xdr:col>
      <xdr:colOff>581025</xdr:colOff>
      <xdr:row>61</xdr:row>
      <xdr:rowOff>152400</xdr:rowOff>
    </xdr:to>
    <xdr:graphicFrame macro="">
      <xdr:nvGraphicFramePr>
        <xdr:cNvPr id="4" name="Chart 3" descr="Stacked column chart of required hours per week split by work centre, showing how the load builds over the plan."/>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WorkCentres" displayName="tblWorkCentres" ref="B15:J21" totalsRowShown="0">
  <autoFilter ref="B15:J21"/>
  <tableColumns count="9">
    <tableColumn id="1" name="Work centre"/>
    <tableColumn id="2" name="Machines"/>
    <tableColumn id="3" name="Shifts per day"/>
    <tableColumn id="4" name="Hours per shift"/>
    <tableColumn id="5" name="Uptime"/>
    <tableColumn id="6" name="Yield"/>
    <tableColumn id="7" name="Scheduled h/day">
      <calculatedColumnFormula>tblWorkCentres[[#This Row],[Machines]]*tblWorkCentres[[#This Row],[Shifts per day]]*tblWorkCentres[[#This Row],[Hours per shift]]</calculatedColumnFormula>
    </tableColumn>
    <tableColumn id="8" name="Effective h/day">
      <calculatedColumnFormula>tblWorkCentres[[#This Row],[Scheduled h/day]]*tblWorkCentres[[#This Row],[Uptime]]</calculatedColumnFormula>
    </tableColumn>
    <tableColumn id="9" name="Notes"/>
  </tableColumns>
  <tableStyleInfo name="TableStyleLight1" showFirstColumn="0" showLastColumn="0" showRowStripes="0" showColumnStripes="0"/>
</table>
</file>

<file path=xl/tables/table2.xml><?xml version="1.0" encoding="utf-8"?>
<table xmlns="http://schemas.openxmlformats.org/spreadsheetml/2006/main" id="2" name="tblDemand" displayName="tblDemand" ref="B8:Q14" totalsRowShown="0">
  <autoFilter ref="B8:Q14"/>
  <tableColumns count="16">
    <tableColumn id="1" name="Part"/>
    <tableColumn id="2" name="Family"/>
    <tableColumn id="3" name="Wk 1"/>
    <tableColumn id="4" name="Wk 2"/>
    <tableColumn id="5" name="Wk 3"/>
    <tableColumn id="6" name="Wk 4"/>
    <tableColumn id="7" name="Wk 5"/>
    <tableColumn id="8" name="Wk 6"/>
    <tableColumn id="9" name="Wk 7"/>
    <tableColumn id="10" name="Wk 8"/>
    <tableColumn id="11" name="Wk 9"/>
    <tableColumn id="12" name="Wk 10"/>
    <tableColumn id="13" name="Wk 11"/>
    <tableColumn id="14" name="Wk 12"/>
    <tableColumn id="15" name="Total">
      <calculatedColumnFormula>IF(tblDemand[[#This Row],[Part]]="","",SUM(tblDemand[[#This Row],[Wk 1]],tblDemand[[#This Row],[Wk 2]],tblDemand[[#This Row],[Wk 3]],tblDemand[[#This Row],[Wk 4]],tblDemand[[#This Row],[Wk 5]],tblDemand[[#This Row],[Wk 6]],tblDemand[[#This Row],[Wk 7]],tblDemand[[#This Row],[Wk 8]],tblDemand[[#This Row],[Wk 9]],tblDemand[[#This Row],[Wk 10]],tblDemand[[#This Row],[Wk 11]],tblDemand[[#This Row],[Wk 12]]))</calculatedColumnFormula>
    </tableColumn>
    <tableColumn id="16" name="Check">
      <calculatedColumnFormula>IF(tblDemand[[#This Row],[Part]]="","",IF(COUNTIF(tblRouting[Part],tblDemand[[#This Row],[Part]])=0,"No routing for this part","OK"))</calculatedColumnFormula>
    </tableColumn>
  </tableColumns>
  <tableStyleInfo name="TableStyleLight1" showFirstColumn="0" showLastColumn="0" showRowStripes="0" showColumnStripes="0"/>
</table>
</file>

<file path=xl/tables/table3.xml><?xml version="1.0" encoding="utf-8"?>
<table xmlns="http://schemas.openxmlformats.org/spreadsheetml/2006/main" id="3" name="tblRouting" displayName="tblRouting" ref="B5:S25" totalsRowShown="0">
  <autoFilter ref="B5:S25"/>
  <tableColumns count="18">
    <tableColumn id="1" name="Part"/>
    <tableColumn id="2" name="Work centre"/>
    <tableColumn id="3" name="Minutes per unit"/>
    <tableColumn id="4" name="Yield">
      <calculatedColumnFormula>IF(tblRouting[[#This Row],[Part]]="","",IFERROR(INDEX(tblWorkCentres[Yield],MATCH(tblRouting[[#This Row],[Work centre]],tblWorkCentres[Work centre],0)),""))</calculatedColumnFormula>
    </tableColumn>
    <tableColumn id="5" name="Wk 1 (h)">
      <calculatedColumnFormula>IF(tblRouting[[#This Row],[Part]]="","",IF(OR(tblRouting[[#This Row],[Yield]]="",COUNTIF(tblDemand[Part],tblRouting[[#This Row],[Part]])=0),0,INDEX(tblDemand[Wk 1],MATCH(tblRouting[[#This Row],[Part]],tblDemand[Part],0))*tblRouting[[#This Row],[Minutes per unit]]/60/tblRouting[[#This Row],[Yield]]))</calculatedColumnFormula>
    </tableColumn>
    <tableColumn id="6" name="Wk 2 (h)">
      <calculatedColumnFormula>IF(tblRouting[[#This Row],[Part]]="","",IF(OR(tblRouting[[#This Row],[Yield]]="",COUNTIF(tblDemand[Part],tblRouting[[#This Row],[Part]])=0),0,INDEX(tblDemand[Wk 2],MATCH(tblRouting[[#This Row],[Part]],tblDemand[Part],0))*tblRouting[[#This Row],[Minutes per unit]]/60/tblRouting[[#This Row],[Yield]]))</calculatedColumnFormula>
    </tableColumn>
    <tableColumn id="7" name="Wk 3 (h)">
      <calculatedColumnFormula>IF(tblRouting[[#This Row],[Part]]="","",IF(OR(tblRouting[[#This Row],[Yield]]="",COUNTIF(tblDemand[Part],tblRouting[[#This Row],[Part]])=0),0,INDEX(tblDemand[Wk 3],MATCH(tblRouting[[#This Row],[Part]],tblDemand[Part],0))*tblRouting[[#This Row],[Minutes per unit]]/60/tblRouting[[#This Row],[Yield]]))</calculatedColumnFormula>
    </tableColumn>
    <tableColumn id="8" name="Wk 4 (h)">
      <calculatedColumnFormula>IF(tblRouting[[#This Row],[Part]]="","",IF(OR(tblRouting[[#This Row],[Yield]]="",COUNTIF(tblDemand[Part],tblRouting[[#This Row],[Part]])=0),0,INDEX(tblDemand[Wk 4],MATCH(tblRouting[[#This Row],[Part]],tblDemand[Part],0))*tblRouting[[#This Row],[Minutes per unit]]/60/tblRouting[[#This Row],[Yield]]))</calculatedColumnFormula>
    </tableColumn>
    <tableColumn id="9" name="Wk 5 (h)">
      <calculatedColumnFormula>IF(tblRouting[[#This Row],[Part]]="","",IF(OR(tblRouting[[#This Row],[Yield]]="",COUNTIF(tblDemand[Part],tblRouting[[#This Row],[Part]])=0),0,INDEX(tblDemand[Wk 5],MATCH(tblRouting[[#This Row],[Part]],tblDemand[Part],0))*tblRouting[[#This Row],[Minutes per unit]]/60/tblRouting[[#This Row],[Yield]]))</calculatedColumnFormula>
    </tableColumn>
    <tableColumn id="10" name="Wk 6 (h)">
      <calculatedColumnFormula>IF(tblRouting[[#This Row],[Part]]="","",IF(OR(tblRouting[[#This Row],[Yield]]="",COUNTIF(tblDemand[Part],tblRouting[[#This Row],[Part]])=0),0,INDEX(tblDemand[Wk 6],MATCH(tblRouting[[#This Row],[Part]],tblDemand[Part],0))*tblRouting[[#This Row],[Minutes per unit]]/60/tblRouting[[#This Row],[Yield]]))</calculatedColumnFormula>
    </tableColumn>
    <tableColumn id="11" name="Wk 7 (h)">
      <calculatedColumnFormula>IF(tblRouting[[#This Row],[Part]]="","",IF(OR(tblRouting[[#This Row],[Yield]]="",COUNTIF(tblDemand[Part],tblRouting[[#This Row],[Part]])=0),0,INDEX(tblDemand[Wk 7],MATCH(tblRouting[[#This Row],[Part]],tblDemand[Part],0))*tblRouting[[#This Row],[Minutes per unit]]/60/tblRouting[[#This Row],[Yield]]))</calculatedColumnFormula>
    </tableColumn>
    <tableColumn id="12" name="Wk 8 (h)">
      <calculatedColumnFormula>IF(tblRouting[[#This Row],[Part]]="","",IF(OR(tblRouting[[#This Row],[Yield]]="",COUNTIF(tblDemand[Part],tblRouting[[#This Row],[Part]])=0),0,INDEX(tblDemand[Wk 8],MATCH(tblRouting[[#This Row],[Part]],tblDemand[Part],0))*tblRouting[[#This Row],[Minutes per unit]]/60/tblRouting[[#This Row],[Yield]]))</calculatedColumnFormula>
    </tableColumn>
    <tableColumn id="13" name="Wk 9 (h)">
      <calculatedColumnFormula>IF(tblRouting[[#This Row],[Part]]="","",IF(OR(tblRouting[[#This Row],[Yield]]="",COUNTIF(tblDemand[Part],tblRouting[[#This Row],[Part]])=0),0,INDEX(tblDemand[Wk 9],MATCH(tblRouting[[#This Row],[Part]],tblDemand[Part],0))*tblRouting[[#This Row],[Minutes per unit]]/60/tblRouting[[#This Row],[Yield]]))</calculatedColumnFormula>
    </tableColumn>
    <tableColumn id="14" name="Wk 10 (h)">
      <calculatedColumnFormula>IF(tblRouting[[#This Row],[Part]]="","",IF(OR(tblRouting[[#This Row],[Yield]]="",COUNTIF(tblDemand[Part],tblRouting[[#This Row],[Part]])=0),0,INDEX(tblDemand[Wk 10],MATCH(tblRouting[[#This Row],[Part]],tblDemand[Part],0))*tblRouting[[#This Row],[Minutes per unit]]/60/tblRouting[[#This Row],[Yield]]))</calculatedColumnFormula>
    </tableColumn>
    <tableColumn id="15" name="Wk 11 (h)">
      <calculatedColumnFormula>IF(tblRouting[[#This Row],[Part]]="","",IF(OR(tblRouting[[#This Row],[Yield]]="",COUNTIF(tblDemand[Part],tblRouting[[#This Row],[Part]])=0),0,INDEX(tblDemand[Wk 11],MATCH(tblRouting[[#This Row],[Part]],tblDemand[Part],0))*tblRouting[[#This Row],[Minutes per unit]]/60/tblRouting[[#This Row],[Yield]]))</calculatedColumnFormula>
    </tableColumn>
    <tableColumn id="16" name="Wk 12 (h)">
      <calculatedColumnFormula>IF(tblRouting[[#This Row],[Part]]="","",IF(OR(tblRouting[[#This Row],[Yield]]="",COUNTIF(tblDemand[Part],tblRouting[[#This Row],[Part]])=0),0,INDEX(tblDemand[Wk 12],MATCH(tblRouting[[#This Row],[Part]],tblDemand[Part],0))*tblRouting[[#This Row],[Minutes per unit]]/60/tblRouting[[#This Row],[Yield]]))</calculatedColumnFormula>
    </tableColumn>
    <tableColumn id="17" name="Check">
      <calculatedColumnFormula>IF(tblRouting[[#This Row],[Part]]="","",IF(tblRouting[[#This Row],[Minutes per unit]]="","Missing minutes per unit",IF(tblRouting[[#This Row],[Yield]]="","Work centre not on Setup",IF(COUNTIF(tblDemand[Part],tblRouting[[#This Row],[Part]])=0,"Part not on Demand Plan","OK"))))</calculatedColumnFormula>
    </tableColumn>
    <tableColumn id="18" name="Notes"/>
  </tableColumns>
  <tableStyleInfo name="TableStyleLight1" showFirstColumn="0" showLastColumn="0" showRowStripes="0" showColumnStripes="0"/>
</table>
</file>

<file path=xl/tables/table4.xml><?xml version="1.0" encoding="utf-8"?>
<table xmlns="http://schemas.openxmlformats.org/spreadsheetml/2006/main" id="4" name="tblVerifyWorkCentres" displayName="tblVerifyWorkCentres" ref="B33:J35" totalsRowShown="0">
  <tableColumns count="9">
    <tableColumn id="1" name="Work centre"/>
    <tableColumn id="2" name="Machines"/>
    <tableColumn id="3" name="Shifts per day"/>
    <tableColumn id="4" name="Hours per shift"/>
    <tableColumn id="5" name="Uptime"/>
    <tableColumn id="6" name="Yield"/>
    <tableColumn id="7" name="Scheduled h/day">
      <calculatedColumnFormula>tblVerifyWorkCentres[[#This Row],[Machines]]*tblVerifyWorkCentres[[#This Row],[Shifts per day]]*tblVerifyWorkCentres[[#This Row],[Hours per shift]]</calculatedColumnFormula>
    </tableColumn>
    <tableColumn id="8" name="Effective h/day">
      <calculatedColumnFormula>tblVerifyWorkCentres[[#This Row],[Scheduled h/day]]*tblVerifyWorkCentres[[#This Row],[Uptime]]</calculatedColumnFormula>
    </tableColumn>
    <tableColumn id="9" name="Notes"/>
  </tableColumns>
  <tableStyleInfo name="TableStyleLight1" showFirstColumn="0" showLastColumn="0" showRowStripes="0" showColumnStripes="0"/>
</table>
</file>

<file path=xl/tables/table5.xml><?xml version="1.0" encoding="utf-8"?>
<table xmlns="http://schemas.openxmlformats.org/spreadsheetml/2006/main" id="5" name="tblVerifyDemand" displayName="tblVerifyDemand" ref="B42:Q44" totalsRowShown="0">
  <tableColumns count="16">
    <tableColumn id="1" name="Part"/>
    <tableColumn id="2" name="Family"/>
    <tableColumn id="3" name="Wk 1"/>
    <tableColumn id="4" name="Wk 2"/>
    <tableColumn id="5" name="Wk 3"/>
    <tableColumn id="6" name="Wk 4"/>
    <tableColumn id="7" name="Wk 5"/>
    <tableColumn id="8" name="Wk 6"/>
    <tableColumn id="9" name="Wk 7"/>
    <tableColumn id="10" name="Wk 8"/>
    <tableColumn id="11" name="Wk 9"/>
    <tableColumn id="12" name="Wk 10"/>
    <tableColumn id="13" name="Wk 11"/>
    <tableColumn id="14" name="Wk 12"/>
    <tableColumn id="15" name="Total">
      <calculatedColumnFormula>IF(tblVerifyDemand[[#This Row],[Part]]="","",SUM(tblVerifyDemand[[#This Row],[Wk 1]],tblVerifyDemand[[#This Row],[Wk 2]],tblVerifyDemand[[#This Row],[Wk 3]],tblVerifyDemand[[#This Row],[Wk 4]],tblVerifyDemand[[#This Row],[Wk 5]],tblVerifyDemand[[#This Row],[Wk 6]],tblVerifyDemand[[#This Row],[Wk 7]],tblVerifyDemand[[#This Row],[Wk 8]],tblVerifyDemand[[#This Row],[Wk 9]],tblVerifyDemand[[#This Row],[Wk 10]],tblVerifyDemand[[#This Row],[Wk 11]],tblVerifyDemand[[#This Row],[Wk 12]]))</calculatedColumnFormula>
    </tableColumn>
    <tableColumn id="16" name="Check">
      <calculatedColumnFormula>IF(tblVerifyDemand[[#This Row],[Part]]="","",IF(COUNTIF(tblVerifyRouting[Part],tblVerifyDemand[[#This Row],[Part]])=0,"No routing for this part","OK"))</calculatedColumnFormula>
    </tableColumn>
  </tableColumns>
  <tableStyleInfo name="TableStyleLight1" showFirstColumn="0" showLastColumn="0" showRowStripes="0" showColumnStripes="0"/>
</table>
</file>

<file path=xl/tables/table6.xml><?xml version="1.0" encoding="utf-8"?>
<table xmlns="http://schemas.openxmlformats.org/spreadsheetml/2006/main" id="6" name="tblVerifyRouting" displayName="tblVerifyRouting" ref="B47:S49" totalsRowShown="0">
  <tableColumns count="18">
    <tableColumn id="1" name="Part"/>
    <tableColumn id="2" name="Work centre"/>
    <tableColumn id="3" name="Minutes per unit"/>
    <tableColumn id="4" name="Yield"/>
    <tableColumn id="5" name="Wk 1 (h)">
      <calculatedColumnFormula>IF(tblVerifyRouting[[#This Row],[Part]]="","",IF(OR(tblVerifyRouting[[#This Row],[Yield]]="",COUNTIF(tblVerifyDemand[Part],tblVerifyRouting[[#This Row],[Part]])=0),0,INDEX(tblVerifyDemand[Wk 1],MATCH(tblVerifyRouting[[#This Row],[Part]],tblVerifyDemand[Part],0))*tblVerifyRouting[[#This Row],[Minutes per unit]]/60/tblVerifyRouting[[#This Row],[Yield]]))</calculatedColumnFormula>
    </tableColumn>
    <tableColumn id="6" name="Wk 2 (h)">
      <calculatedColumnFormula>IF(tblVerifyRouting[[#This Row],[Part]]="","",IF(OR(tblVerifyRouting[[#This Row],[Yield]]="",COUNTIF(tblVerifyDemand[Part],tblVerifyRouting[[#This Row],[Part]])=0),0,INDEX(tblVerifyDemand[Wk 2],MATCH(tblVerifyRouting[[#This Row],[Part]],tblVerifyDemand[Part],0))*tblVerifyRouting[[#This Row],[Minutes per unit]]/60/tblVerifyRouting[[#This Row],[Yield]]))</calculatedColumnFormula>
    </tableColumn>
    <tableColumn id="7" name="Wk 3 (h)">
      <calculatedColumnFormula>IF(tblVerifyRouting[[#This Row],[Part]]="","",IF(OR(tblVerifyRouting[[#This Row],[Yield]]="",COUNTIF(tblVerifyDemand[Part],tblVerifyRouting[[#This Row],[Part]])=0),0,INDEX(tblVerifyDemand[Wk 3],MATCH(tblVerifyRouting[[#This Row],[Part]],tblVerifyDemand[Part],0))*tblVerifyRouting[[#This Row],[Minutes per unit]]/60/tblVerifyRouting[[#This Row],[Yield]]))</calculatedColumnFormula>
    </tableColumn>
    <tableColumn id="8" name="Wk 4 (h)">
      <calculatedColumnFormula>IF(tblVerifyRouting[[#This Row],[Part]]="","",IF(OR(tblVerifyRouting[[#This Row],[Yield]]="",COUNTIF(tblVerifyDemand[Part],tblVerifyRouting[[#This Row],[Part]])=0),0,INDEX(tblVerifyDemand[Wk 4],MATCH(tblVerifyRouting[[#This Row],[Part]],tblVerifyDemand[Part],0))*tblVerifyRouting[[#This Row],[Minutes per unit]]/60/tblVerifyRouting[[#This Row],[Yield]]))</calculatedColumnFormula>
    </tableColumn>
    <tableColumn id="9" name="Wk 5 (h)">
      <calculatedColumnFormula>IF(tblVerifyRouting[[#This Row],[Part]]="","",IF(OR(tblVerifyRouting[[#This Row],[Yield]]="",COUNTIF(tblVerifyDemand[Part],tblVerifyRouting[[#This Row],[Part]])=0),0,INDEX(tblVerifyDemand[Wk 5],MATCH(tblVerifyRouting[[#This Row],[Part]],tblVerifyDemand[Part],0))*tblVerifyRouting[[#This Row],[Minutes per unit]]/60/tblVerifyRouting[[#This Row],[Yield]]))</calculatedColumnFormula>
    </tableColumn>
    <tableColumn id="10" name="Wk 6 (h)">
      <calculatedColumnFormula>IF(tblVerifyRouting[[#This Row],[Part]]="","",IF(OR(tblVerifyRouting[[#This Row],[Yield]]="",COUNTIF(tblVerifyDemand[Part],tblVerifyRouting[[#This Row],[Part]])=0),0,INDEX(tblVerifyDemand[Wk 6],MATCH(tblVerifyRouting[[#This Row],[Part]],tblVerifyDemand[Part],0))*tblVerifyRouting[[#This Row],[Minutes per unit]]/60/tblVerifyRouting[[#This Row],[Yield]]))</calculatedColumnFormula>
    </tableColumn>
    <tableColumn id="11" name="Wk 7 (h)">
      <calculatedColumnFormula>IF(tblVerifyRouting[[#This Row],[Part]]="","",IF(OR(tblVerifyRouting[[#This Row],[Yield]]="",COUNTIF(tblVerifyDemand[Part],tblVerifyRouting[[#This Row],[Part]])=0),0,INDEX(tblVerifyDemand[Wk 7],MATCH(tblVerifyRouting[[#This Row],[Part]],tblVerifyDemand[Part],0))*tblVerifyRouting[[#This Row],[Minutes per unit]]/60/tblVerifyRouting[[#This Row],[Yield]]))</calculatedColumnFormula>
    </tableColumn>
    <tableColumn id="12" name="Wk 8 (h)">
      <calculatedColumnFormula>IF(tblVerifyRouting[[#This Row],[Part]]="","",IF(OR(tblVerifyRouting[[#This Row],[Yield]]="",COUNTIF(tblVerifyDemand[Part],tblVerifyRouting[[#This Row],[Part]])=0),0,INDEX(tblVerifyDemand[Wk 8],MATCH(tblVerifyRouting[[#This Row],[Part]],tblVerifyDemand[Part],0))*tblVerifyRouting[[#This Row],[Minutes per unit]]/60/tblVerifyRouting[[#This Row],[Yield]]))</calculatedColumnFormula>
    </tableColumn>
    <tableColumn id="13" name="Wk 9 (h)">
      <calculatedColumnFormula>IF(tblVerifyRouting[[#This Row],[Part]]="","",IF(OR(tblVerifyRouting[[#This Row],[Yield]]="",COUNTIF(tblVerifyDemand[Part],tblVerifyRouting[[#This Row],[Part]])=0),0,INDEX(tblVerifyDemand[Wk 9],MATCH(tblVerifyRouting[[#This Row],[Part]],tblVerifyDemand[Part],0))*tblVerifyRouting[[#This Row],[Minutes per unit]]/60/tblVerifyRouting[[#This Row],[Yield]]))</calculatedColumnFormula>
    </tableColumn>
    <tableColumn id="14" name="Wk 10 (h)">
      <calculatedColumnFormula>IF(tblVerifyRouting[[#This Row],[Part]]="","",IF(OR(tblVerifyRouting[[#This Row],[Yield]]="",COUNTIF(tblVerifyDemand[Part],tblVerifyRouting[[#This Row],[Part]])=0),0,INDEX(tblVerifyDemand[Wk 10],MATCH(tblVerifyRouting[[#This Row],[Part]],tblVerifyDemand[Part],0))*tblVerifyRouting[[#This Row],[Minutes per unit]]/60/tblVerifyRouting[[#This Row],[Yield]]))</calculatedColumnFormula>
    </tableColumn>
    <tableColumn id="15" name="Wk 11 (h)">
      <calculatedColumnFormula>IF(tblVerifyRouting[[#This Row],[Part]]="","",IF(OR(tblVerifyRouting[[#This Row],[Yield]]="",COUNTIF(tblVerifyDemand[Part],tblVerifyRouting[[#This Row],[Part]])=0),0,INDEX(tblVerifyDemand[Wk 11],MATCH(tblVerifyRouting[[#This Row],[Part]],tblVerifyDemand[Part],0))*tblVerifyRouting[[#This Row],[Minutes per unit]]/60/tblVerifyRouting[[#This Row],[Yield]]))</calculatedColumnFormula>
    </tableColumn>
    <tableColumn id="16" name="Wk 12 (h)">
      <calculatedColumnFormula>IF(tblVerifyRouting[[#This Row],[Part]]="","",IF(OR(tblVerifyRouting[[#This Row],[Yield]]="",COUNTIF(tblVerifyDemand[Part],tblVerifyRouting[[#This Row],[Part]])=0),0,INDEX(tblVerifyDemand[Wk 12],MATCH(tblVerifyRouting[[#This Row],[Part]],tblVerifyDemand[Part],0))*tblVerifyRouting[[#This Row],[Minutes per unit]]/60/tblVerifyRouting[[#This Row],[Yield]]))</calculatedColumnFormula>
    </tableColumn>
    <tableColumn id="17" name="Check">
      <calculatedColumnFormula>IF(tblVerifyRouting[[#This Row],[Part]]="","",IF(tblVerifyRouting[[#This Row],[Minutes per unit]]="","Missing minutes per unit",IF(tblVerifyRouting[[#This Row],[Yield]]="","Work centre not on Setup",IF(COUNTIF(tblVerifyDemand[Part],tblVerifyRouting[[#This Row],[Part]])=0,"Part not on Demand Plan","OK"))))</calculatedColumnFormula>
    </tableColumn>
    <tableColumn id="1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city-planning" TargetMode="External"/><Relationship Id="rId2" Type="http://schemas.openxmlformats.org/officeDocument/2006/relationships/hyperlink" Target="https://www.mfgcalcs.com/calculators/lean-manufacturing-operations/capacity-planning?utm_source=mfgcalcs-template&amp;utm_medium=xlsx&amp;utm_campaign=capacity-planning" TargetMode="External"/><Relationship Id="rId3" Type="http://schemas.openxmlformats.org/officeDocument/2006/relationships/hyperlink" Target="https://www.mfgcalcs.com/templates/capacity-planning?utm_source=mfgcalcs-template&amp;utm_medium=xlsx&amp;utm_campaign=capacity-planning" TargetMode="External"/><Relationship Id="rId4" Type="http://schemas.openxmlformats.org/officeDocument/2006/relationships/hyperlink" Target="https://www.mfgcalcs.com/templates?utm_source=mfgcalcs-template&amp;utm_medium=xlsx&amp;utm_campaign=capacity-planning"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city-planning"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city-planning"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city-planning" TargetMode="External"/><Relationship Id="rId2"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city-planning"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city-planning" TargetMode="External"/><Relationship Id="rId2" Type="http://schemas.openxmlformats.org/officeDocument/2006/relationships/hyperlink" Target="https://www.mfgcalcs.com/calculators/lean-manufacturing-operations/capacity-planning?utm_source=mfgcalcs-template&amp;utm_medium=xlsx&amp;utm_campaign=capacity-plann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pacity-planning" TargetMode="External"/><Relationship Id="rId2" Type="http://schemas.openxmlformats.org/officeDocument/2006/relationships/table" Target="../tables/table4.xml"/><Relationship Id="rId3" Type="http://schemas.openxmlformats.org/officeDocument/2006/relationships/table" Target="../tables/table5.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16.2"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12 of 12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Demand Plan'!A1" tooltip="Go to Demand Plan" display="Demand Plan"/>
    <hyperlink ref="C22" location="Routing!A1" tooltip="Go to Routing" display="Routing"/>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Capacity Planning&amp;R&amp;8&amp;A</oddHeader>
    <oddFooter>&amp;L&amp;8mfgcalcs.com - free manufacturing templates&amp;R&amp;8Page &amp;P of &amp;N</oddFooter>
  </headerFooter>
  <rowBreaks count="1" manualBreakCount="1">
    <brk id="34"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J21"/>
  <sheetViews>
    <sheetView showGridLines="0" workbookViewId="0"/>
  </sheetViews>
  <sheetFormatPr defaultRowHeight="15"/>
  <cols>
    <col min="1" max="1" width="2.7109375" customWidth="1"/>
    <col min="2" max="2" width="22.7109375" customWidth="1"/>
    <col min="3" max="8" width="12.7109375" customWidth="1"/>
    <col min="9" max="9" width="14.7109375" customWidth="1"/>
    <col min="10" max="10" width="26.7109375" customWidth="1"/>
  </cols>
  <sheetData>
    <row r="1" spans="1:10" ht="30" customHeight="1">
      <c r="A1" s="1" t="s">
        <v>0</v>
      </c>
      <c r="B1" s="1"/>
      <c r="C1" s="1"/>
      <c r="D1" s="1"/>
      <c r="E1" s="1"/>
      <c r="F1" s="1"/>
      <c r="G1" s="1"/>
      <c r="H1" s="1"/>
      <c r="I1" s="1"/>
      <c r="J1" s="1"/>
    </row>
    <row r="2" spans="1:10" ht="21" customHeight="1">
      <c r="B2" s="2" t="s">
        <v>18</v>
      </c>
      <c r="C2" s="2"/>
      <c r="D2" s="2"/>
      <c r="E2" s="2"/>
      <c r="F2" s="2"/>
      <c r="G2" s="2"/>
      <c r="H2" s="2"/>
      <c r="I2" s="2"/>
      <c r="J2" s="3" t="s">
        <v>2</v>
      </c>
    </row>
    <row r="3" spans="1:10" ht="6" customHeight="1"/>
    <row r="4" spans="1:10" ht="21" customHeight="1">
      <c r="B4" s="8" t="s">
        <v>71</v>
      </c>
      <c r="C4" s="8"/>
      <c r="D4" s="8"/>
      <c r="E4" s="8"/>
      <c r="F4" s="8"/>
      <c r="G4" s="8"/>
      <c r="H4" s="8"/>
      <c r="I4" s="8"/>
      <c r="J4" s="8"/>
    </row>
    <row r="5" spans="1:10" ht="5" customHeight="1"/>
    <row r="6" spans="1:10">
      <c r="B6" s="27" t="s">
        <v>72</v>
      </c>
      <c r="C6" s="27"/>
      <c r="D6" s="28" t="s">
        <v>73</v>
      </c>
      <c r="E6" s="28"/>
    </row>
    <row r="7" spans="1:10">
      <c r="B7" s="27" t="s">
        <v>74</v>
      </c>
      <c r="C7" s="27"/>
      <c r="D7" s="29">
        <v>46314</v>
      </c>
      <c r="E7" s="7"/>
    </row>
    <row r="8" spans="1:10">
      <c r="B8" s="27" t="s">
        <v>75</v>
      </c>
      <c r="C8" s="27"/>
      <c r="D8" s="30">
        <v>0.85</v>
      </c>
      <c r="E8" s="7"/>
    </row>
    <row r="9" spans="1:10">
      <c r="B9" s="27" t="s">
        <v>76</v>
      </c>
      <c r="C9" s="27"/>
      <c r="D9" s="30">
        <v>1</v>
      </c>
      <c r="E9" s="7"/>
    </row>
    <row r="11" spans="1:10" ht="21" customHeight="1">
      <c r="B11" s="8" t="s">
        <v>77</v>
      </c>
      <c r="C11" s="8"/>
      <c r="D11" s="8"/>
      <c r="E11" s="8"/>
      <c r="F11" s="8"/>
      <c r="G11" s="8"/>
      <c r="H11" s="8"/>
      <c r="I11" s="8"/>
      <c r="J11" s="8"/>
    </row>
    <row r="12" spans="1:10" ht="5" customHeight="1"/>
    <row r="13" spans="1:10" ht="26.76" customHeight="1">
      <c r="B13" s="21" t="s">
        <v>78</v>
      </c>
      <c r="C13" s="21"/>
      <c r="D13" s="21"/>
      <c r="E13" s="21"/>
      <c r="F13" s="21"/>
      <c r="G13" s="21"/>
      <c r="H13" s="21"/>
      <c r="I13" s="21"/>
      <c r="J13" s="21"/>
    </row>
    <row r="14" spans="1:10">
      <c r="B14" s="31" t="s">
        <v>79</v>
      </c>
      <c r="C14" s="31"/>
      <c r="D14" s="31"/>
      <c r="E14" s="31"/>
      <c r="F14" s="31"/>
      <c r="G14" s="31"/>
      <c r="H14" s="31"/>
      <c r="I14" s="31"/>
      <c r="J14" s="31"/>
    </row>
    <row r="15" spans="1:10" ht="32" customHeight="1">
      <c r="B15" s="32" t="s">
        <v>62</v>
      </c>
      <c r="C15" s="32" t="s">
        <v>63</v>
      </c>
      <c r="D15" s="32" t="s">
        <v>64</v>
      </c>
      <c r="E15" s="32" t="s">
        <v>65</v>
      </c>
      <c r="F15" s="32" t="s">
        <v>66</v>
      </c>
      <c r="G15" s="32" t="s">
        <v>67</v>
      </c>
      <c r="H15" s="32" t="s">
        <v>68</v>
      </c>
      <c r="I15" s="32" t="s">
        <v>69</v>
      </c>
      <c r="J15" s="32" t="s">
        <v>70</v>
      </c>
    </row>
    <row r="16" spans="1:10">
      <c r="B16" s="28" t="s">
        <v>80</v>
      </c>
      <c r="C16" s="33">
        <v>1</v>
      </c>
      <c r="D16" s="34">
        <v>1</v>
      </c>
      <c r="E16" s="34">
        <v>8</v>
      </c>
      <c r="F16" s="30">
        <v>0.9</v>
      </c>
      <c r="G16" s="30">
        <v>0.995</v>
      </c>
      <c r="H16" s="35">
        <f>tblWorkCentres[[#This Row],[Machines]]*tblWorkCentres[[#This Row],[Shifts per day]]*tblWorkCentres[[#This Row],[Hours per shift]]</f>
        <v>8</v>
      </c>
      <c r="I16" s="35">
        <f>tblWorkCentres[[#This Row],[Scheduled h/day]]*tblWorkCentres[[#This Row],[Uptime]]</f>
        <v>7.2</v>
      </c>
      <c r="J16" s="28" t="s">
        <v>81</v>
      </c>
    </row>
    <row r="17" spans="2:10">
      <c r="B17" s="28" t="s">
        <v>82</v>
      </c>
      <c r="C17" s="33">
        <v>2</v>
      </c>
      <c r="D17" s="34">
        <v>2</v>
      </c>
      <c r="E17" s="34">
        <v>8</v>
      </c>
      <c r="F17" s="30">
        <v>0.82</v>
      </c>
      <c r="G17" s="30">
        <v>0.97</v>
      </c>
      <c r="H17" s="35">
        <f>tblWorkCentres[[#This Row],[Machines]]*tblWorkCentres[[#This Row],[Shifts per day]]*tblWorkCentres[[#This Row],[Hours per shift]]</f>
        <v>32</v>
      </c>
      <c r="I17" s="35">
        <f>tblWorkCentres[[#This Row],[Scheduled h/day]]*tblWorkCentres[[#This Row],[Uptime]]</f>
        <v>26.24</v>
      </c>
      <c r="J17" s="28" t="s">
        <v>83</v>
      </c>
    </row>
    <row r="18" spans="2:10">
      <c r="B18" s="28" t="s">
        <v>84</v>
      </c>
      <c r="C18" s="33">
        <v>3</v>
      </c>
      <c r="D18" s="34">
        <v>2</v>
      </c>
      <c r="E18" s="34">
        <v>8</v>
      </c>
      <c r="F18" s="30">
        <v>0.8</v>
      </c>
      <c r="G18" s="30">
        <v>0.97</v>
      </c>
      <c r="H18" s="35">
        <f>tblWorkCentres[[#This Row],[Machines]]*tblWorkCentres[[#This Row],[Shifts per day]]*tblWorkCentres[[#This Row],[Hours per shift]]</f>
        <v>48</v>
      </c>
      <c r="I18" s="35">
        <f>tblWorkCentres[[#This Row],[Scheduled h/day]]*tblWorkCentres[[#This Row],[Uptime]]</f>
        <v>38.4</v>
      </c>
      <c r="J18" s="28" t="s">
        <v>85</v>
      </c>
    </row>
    <row r="19" spans="2:10">
      <c r="B19" s="28" t="s">
        <v>86</v>
      </c>
      <c r="C19" s="33">
        <v>1</v>
      </c>
      <c r="D19" s="34">
        <v>2</v>
      </c>
      <c r="E19" s="34">
        <v>8</v>
      </c>
      <c r="F19" s="30">
        <v>0.85</v>
      </c>
      <c r="G19" s="30">
        <v>0.98</v>
      </c>
      <c r="H19" s="35">
        <f>tblWorkCentres[[#This Row],[Machines]]*tblWorkCentres[[#This Row],[Shifts per day]]*tblWorkCentres[[#This Row],[Hours per shift]]</f>
        <v>16</v>
      </c>
      <c r="I19" s="35">
        <f>tblWorkCentres[[#This Row],[Scheduled h/day]]*tblWorkCentres[[#This Row],[Uptime]]</f>
        <v>13.6</v>
      </c>
      <c r="J19" s="28" t="s">
        <v>87</v>
      </c>
    </row>
    <row r="20" spans="2:10">
      <c r="B20" s="28" t="s">
        <v>88</v>
      </c>
      <c r="C20" s="33">
        <v>2</v>
      </c>
      <c r="D20" s="34">
        <v>1</v>
      </c>
      <c r="E20" s="34">
        <v>8</v>
      </c>
      <c r="F20" s="30">
        <v>0.95</v>
      </c>
      <c r="G20" s="30">
        <v>0.995</v>
      </c>
      <c r="H20" s="35">
        <f>tblWorkCentres[[#This Row],[Machines]]*tblWorkCentres[[#This Row],[Shifts per day]]*tblWorkCentres[[#This Row],[Hours per shift]]</f>
        <v>16</v>
      </c>
      <c r="I20" s="35">
        <f>tblWorkCentres[[#This Row],[Scheduled h/day]]*tblWorkCentres[[#This Row],[Uptime]]</f>
        <v>15.2</v>
      </c>
      <c r="J20" s="28" t="s">
        <v>89</v>
      </c>
    </row>
    <row r="21" spans="2:10">
      <c r="B21" s="28" t="s">
        <v>90</v>
      </c>
      <c r="C21" s="33">
        <v>1</v>
      </c>
      <c r="D21" s="34">
        <v>2</v>
      </c>
      <c r="E21" s="34">
        <v>8</v>
      </c>
      <c r="F21" s="30">
        <v>0.9</v>
      </c>
      <c r="G21" s="30">
        <v>1</v>
      </c>
      <c r="H21" s="35">
        <f>tblWorkCentres[[#This Row],[Machines]]*tblWorkCentres[[#This Row],[Shifts per day]]*tblWorkCentres[[#This Row],[Hours per shift]]</f>
        <v>16</v>
      </c>
      <c r="I21" s="35">
        <f>tblWorkCentres[[#This Row],[Scheduled h/day]]*tblWorkCentres[[#This Row],[Uptime]]</f>
        <v>14.4</v>
      </c>
      <c r="J21" s="28" t="s">
        <v>91</v>
      </c>
    </row>
  </sheetData>
  <mergeCells count="11">
    <mergeCell ref="A1:J1"/>
    <mergeCell ref="B2:I2"/>
    <mergeCell ref="B4:J4"/>
    <mergeCell ref="B6:C6"/>
    <mergeCell ref="D6:E6"/>
    <mergeCell ref="B7:C7"/>
    <mergeCell ref="B8:C8"/>
    <mergeCell ref="B9:C9"/>
    <mergeCell ref="B11:J11"/>
    <mergeCell ref="B13:J13"/>
    <mergeCell ref="B14:J14"/>
  </mergeCells>
  <dataValidations count="11">
    <dataValidation type="textLength" allowBlank="1" showInputMessage="1" showErrorMessage="1" errorTitle="Check this entry" error="Text up to 80 characters." promptTitle="Plant name" prompt="Text up to 80 characters." sqref="D6">
      <formula1>0</formula1>
      <formula2>80</formula2>
    </dataValidation>
    <dataValidation type="date" allowBlank="1" showInputMessage="1" showErrorMessage="1" errorTitle="Check this entry" error="Enter a date between 01 Jan 2000 and 31 Dec 2100." promptTitle="Plan starts (week 1, a Monday)" prompt="Monday of the first week. Week k starts 7 x (k - 1) days later. Enter a date between 01 Jan 2000 and 31 Dec 2100." sqref="D7">
      <formula1>36526</formula1>
      <formula2>73415</formula2>
    </dataValidation>
    <dataValidation type="decimal" allowBlank="1" showInputMessage="1" showErrorMessage="1" errorTitle="Check this entry" error="Enter a percentage from 0% to 200% (type 85% or 0.85)." promptTitle="Near capacity from" prompt="Utilisation from which a week is flagged 'Near capacity'. Planning above roughly 85% leaves little room for variation; set your own. Enter a percentage from 0% to 200% (type 85% or 0.85)." sqref="D8">
      <formula1>0</formula1>
      <formula2>2</formula2>
    </dataValidation>
    <dataValidation type="decimal" allowBlank="1" showInputMessage="1" showErrorMessage="1" errorTitle="Check this entry" error="Enter a percentage from 0% to 300% (type 85% or 0.85)." promptTitle="Over capacity above" prompt="Utilisation above which a week is 'Over capacity'. 100% means required hours exceed effective available hours. Enter a percentage from 0% to 300% (type 85% or 0.85)." sqref="D9">
      <formula1>0</formula1>
      <formula2>3</formula2>
    </dataValidation>
    <dataValidation type="textLength" allowBlank="1" showInputMessage="1" showErrorMessage="1" errorTitle="Check this entry" error="Text up to 40 characters." promptTitle="Work centre" prompt="Text up to 40 characters." sqref="B16:B121">
      <formula1>0</formula1>
      <formula2>40</formula2>
    </dataValidation>
    <dataValidation type="whole" allowBlank="1" showInputMessage="1" showErrorMessage="1" errorTitle="Check this entry" error="Enter a whole number from 1 to 1,000." promptTitle="Machines" prompt="Identical machines or stations that share the work. Enter a whole number from 1 to 1,000." sqref="C16:C121">
      <formula1>1</formula1>
      <formula2>1000</formula2>
    </dataValidation>
    <dataValidation type="decimal" allowBlank="1" showInputMessage="1" showErrorMessage="1" errorTitle="Check this entry" error="Enter a number from 0.5 to 4." promptTitle="Shifts per day" prompt="Enter a number from 0.5 to 4." sqref="D16:D121">
      <formula1>0.5</formula1>
      <formula2>4</formula2>
    </dataValidation>
    <dataValidation type="decimal" allowBlank="1" showInputMessage="1" showErrorMessage="1" errorTitle="Check this entry" error="Enter a number from 1 to 24." promptTitle="Hours per shift" prompt="Paid hours minus breaks: the hours the machine can be scheduled. Enter a number from 1 to 24." sqref="E16:E121">
      <formula1>1</formula1>
      <formula2>24</formula2>
    </dataValidation>
    <dataValidation type="decimal" allowBlank="1" showInputMessage="1" showErrorMessage="1" errorTitle="Check this entry" error="Enter a percentage from 1% to 100% (type 85% or 0.85)." promptTitle="Uptime" prompt="Share of scheduled hours the machine actually runs, setups included. Enter a percentage from 1% to 100% (type 85% or 0.85)." sqref="F16:F121">
      <formula1>0.01</formula1>
      <formula2>1</formula2>
    </dataValidation>
    <dataValidation type="decimal" allowBlank="1" showInputMessage="1" showErrorMessage="1" errorTitle="Check this entry" error="Enter a percentage from 1% to 100% (type 85% or 0.85)." promptTitle="Yield" prompt="Good units / units started at this work centre. Enter a percentage from 1% to 100% (type 85% or 0.85)." sqref="G16:G121">
      <formula1>0.01</formula1>
      <formula2>1</formula2>
    </dataValidation>
    <dataValidation type="textLength" allowBlank="1" showInputMessage="1" showErrorMessage="1" errorTitle="Check this entry" error="Text up to 120 characters." promptTitle="Notes" prompt="Text up to 120 characters." sqref="J16:J121">
      <formula1>0</formula1>
      <formula2>120</formula2>
    </dataValidation>
  </dataValidations>
  <hyperlinks>
    <hyperlink ref="J2" r:id="rId1" tooltip="Free manufacturing calculators and templates"/>
  </hyperlinks>
  <pageMargins left="0.4" right="0.4" top="0.7" bottom="0.65" header="0.3" footer="0.3"/>
  <pageSetup fitToHeight="0" orientation="landscape"/>
  <headerFooter>
    <oddHeader>&amp;L&amp;8MFG Calcs - Capacity Planning&amp;R&amp;8&amp;A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Q14"/>
  <sheetViews>
    <sheetView workbookViewId="0">
      <pane xSplit="2" ySplit="8" topLeftCell="C9" activePane="bottomRight" state="frozen"/>
      <selection pane="topRight" activeCell="C1" sqref="C1"/>
      <selection pane="bottomLeft" activeCell="A9" sqref="A9"/>
      <selection pane="bottomRight"/>
    </sheetView>
  </sheetViews>
  <sheetFormatPr defaultRowHeight="15"/>
  <cols>
    <col min="1" max="1" width="2.7109375" customWidth="1"/>
    <col min="2" max="2" width="18.7109375" customWidth="1"/>
    <col min="3" max="3" width="12.7109375" customWidth="1"/>
    <col min="4" max="15" width="9.28515625" customWidth="1"/>
    <col min="16" max="16" width="10.7109375" customWidth="1"/>
    <col min="17" max="17" width="22.7109375" customWidth="1"/>
  </cols>
  <sheetData>
    <row r="1" spans="1:17" ht="30" customHeight="1">
      <c r="A1" s="1" t="s">
        <v>0</v>
      </c>
      <c r="B1" s="1"/>
      <c r="C1" s="1"/>
      <c r="D1" s="1"/>
      <c r="E1" s="1"/>
      <c r="F1" s="1"/>
      <c r="G1" s="1"/>
      <c r="H1" s="1"/>
      <c r="I1" s="1"/>
      <c r="J1" s="1"/>
      <c r="K1" s="1"/>
      <c r="L1" s="1"/>
      <c r="M1" s="1"/>
      <c r="N1" s="1"/>
      <c r="O1" s="1"/>
      <c r="P1" s="1"/>
      <c r="Q1" s="1"/>
    </row>
    <row r="2" spans="1:17" ht="21" customHeight="1">
      <c r="B2" s="2" t="s">
        <v>20</v>
      </c>
      <c r="C2" s="2"/>
      <c r="D2" s="2"/>
      <c r="E2" s="2"/>
      <c r="F2" s="2"/>
      <c r="G2" s="2"/>
      <c r="H2" s="2"/>
      <c r="I2" s="2"/>
      <c r="J2" s="2"/>
      <c r="K2" s="2"/>
      <c r="L2" s="2"/>
      <c r="M2" s="2"/>
      <c r="N2" s="2"/>
      <c r="O2" s="2"/>
      <c r="P2" s="2"/>
      <c r="Q2" s="3" t="s">
        <v>2</v>
      </c>
    </row>
    <row r="3" spans="1:17" ht="6" customHeight="1"/>
    <row r="4" spans="1:17">
      <c r="B4" s="36" t="s">
        <v>108</v>
      </c>
      <c r="C4" s="36"/>
      <c r="D4" s="37">
        <f>PlanStart</f>
        <v>46314</v>
      </c>
      <c r="E4" s="37">
        <f>$D$4+7</f>
        <v>46321</v>
      </c>
      <c r="F4" s="37">
        <f>$E$4+7</f>
        <v>46328</v>
      </c>
      <c r="G4" s="37">
        <f>$F$4+7</f>
        <v>46335</v>
      </c>
      <c r="H4" s="37">
        <f>$G$4+7</f>
        <v>46342</v>
      </c>
      <c r="I4" s="37">
        <f>$H$4+7</f>
        <v>46349</v>
      </c>
      <c r="J4" s="37">
        <f>$I$4+7</f>
        <v>46356</v>
      </c>
      <c r="K4" s="37">
        <f>$J$4+7</f>
        <v>46363</v>
      </c>
      <c r="L4" s="37">
        <f>$K$4+7</f>
        <v>46370</v>
      </c>
      <c r="M4" s="37">
        <f>$L$4+7</f>
        <v>46377</v>
      </c>
      <c r="N4" s="37">
        <f>$M$4+7</f>
        <v>46384</v>
      </c>
      <c r="O4" s="37">
        <f>$N$4+7</f>
        <v>46391</v>
      </c>
    </row>
    <row r="5" spans="1:17">
      <c r="B5" s="27" t="s">
        <v>109</v>
      </c>
      <c r="C5" s="27"/>
      <c r="D5" s="34">
        <v>5</v>
      </c>
      <c r="E5" s="34">
        <v>5</v>
      </c>
      <c r="F5" s="34">
        <v>5</v>
      </c>
      <c r="G5" s="34">
        <v>5</v>
      </c>
      <c r="H5" s="34">
        <v>5</v>
      </c>
      <c r="I5" s="34">
        <v>5</v>
      </c>
      <c r="J5" s="34">
        <v>5</v>
      </c>
      <c r="K5" s="34">
        <v>5</v>
      </c>
      <c r="L5" s="34">
        <v>5</v>
      </c>
      <c r="M5" s="34">
        <v>4</v>
      </c>
      <c r="N5" s="34">
        <v>5</v>
      </c>
      <c r="O5" s="34">
        <v>5</v>
      </c>
    </row>
    <row r="7" spans="1:17" ht="18" customHeight="1">
      <c r="B7" s="38" t="s">
        <v>110</v>
      </c>
      <c r="C7" s="38"/>
      <c r="D7" s="38"/>
      <c r="E7" s="38"/>
      <c r="F7" s="38"/>
      <c r="G7" s="38"/>
      <c r="H7" s="38"/>
      <c r="I7" s="38"/>
      <c r="J7" s="38"/>
      <c r="K7" s="38"/>
      <c r="L7" s="38"/>
      <c r="M7" s="38"/>
      <c r="N7" s="38"/>
      <c r="O7" s="38"/>
      <c r="P7" s="38"/>
      <c r="Q7" s="38"/>
    </row>
    <row r="8" spans="1:17" ht="20" customHeight="1">
      <c r="B8" s="32" t="s">
        <v>92</v>
      </c>
      <c r="C8" s="32" t="s">
        <v>93</v>
      </c>
      <c r="D8" s="32" t="s">
        <v>94</v>
      </c>
      <c r="E8" s="32" t="s">
        <v>95</v>
      </c>
      <c r="F8" s="32" t="s">
        <v>96</v>
      </c>
      <c r="G8" s="32" t="s">
        <v>97</v>
      </c>
      <c r="H8" s="32" t="s">
        <v>98</v>
      </c>
      <c r="I8" s="32" t="s">
        <v>99</v>
      </c>
      <c r="J8" s="32" t="s">
        <v>100</v>
      </c>
      <c r="K8" s="32" t="s">
        <v>101</v>
      </c>
      <c r="L8" s="32" t="s">
        <v>102</v>
      </c>
      <c r="M8" s="32" t="s">
        <v>103</v>
      </c>
      <c r="N8" s="32" t="s">
        <v>104</v>
      </c>
      <c r="O8" s="32" t="s">
        <v>105</v>
      </c>
      <c r="P8" s="32" t="s">
        <v>106</v>
      </c>
      <c r="Q8" s="32" t="s">
        <v>107</v>
      </c>
    </row>
    <row r="9" spans="1:17">
      <c r="B9" s="28" t="s">
        <v>111</v>
      </c>
      <c r="C9" s="28" t="s">
        <v>112</v>
      </c>
      <c r="D9" s="33">
        <v>410</v>
      </c>
      <c r="E9" s="33">
        <v>440</v>
      </c>
      <c r="F9" s="33">
        <v>440</v>
      </c>
      <c r="G9" s="33">
        <v>380</v>
      </c>
      <c r="H9" s="33">
        <v>400</v>
      </c>
      <c r="I9" s="33">
        <v>380</v>
      </c>
      <c r="J9" s="33">
        <v>360</v>
      </c>
      <c r="K9" s="33">
        <v>370</v>
      </c>
      <c r="L9" s="33">
        <v>420</v>
      </c>
      <c r="M9" s="33">
        <v>380</v>
      </c>
      <c r="N9" s="33">
        <v>410</v>
      </c>
      <c r="O9" s="33">
        <v>380</v>
      </c>
      <c r="P9" s="39">
        <f>IF(tblDemand[[#This Row],[Part]]="","",SUM(tblDemand[[#This Row],[Wk 1]],tblDemand[[#This Row],[Wk 2]],tblDemand[[#This Row],[Wk 3]],tblDemand[[#This Row],[Wk 4]],tblDemand[[#This Row],[Wk 5]],tblDemand[[#This Row],[Wk 6]],tblDemand[[#This Row],[Wk 7]],tblDemand[[#This Row],[Wk 8]],tblDemand[[#This Row],[Wk 9]],tblDemand[[#This Row],[Wk 10]],tblDemand[[#This Row],[Wk 11]],tblDemand[[#This Row],[Wk 12]]))</f>
        <v>4770</v>
      </c>
      <c r="Q9" s="40" t="str">
        <f>IF(tblDemand[[#This Row],[Part]]="","",IF(COUNTIF(tblRouting[Part],tblDemand[[#This Row],[Part]])=0,"No routing for this part","OK"))</f>
        <v>OK</v>
      </c>
    </row>
    <row r="10" spans="1:17">
      <c r="B10" s="28" t="s">
        <v>113</v>
      </c>
      <c r="C10" s="28" t="s">
        <v>112</v>
      </c>
      <c r="D10" s="33">
        <v>290</v>
      </c>
      <c r="E10" s="33">
        <v>270</v>
      </c>
      <c r="F10" s="33">
        <v>310</v>
      </c>
      <c r="G10" s="33">
        <v>280</v>
      </c>
      <c r="H10" s="33">
        <v>270</v>
      </c>
      <c r="I10" s="33">
        <v>400</v>
      </c>
      <c r="J10" s="33">
        <v>430</v>
      </c>
      <c r="K10" s="33">
        <v>370</v>
      </c>
      <c r="L10" s="33">
        <v>410</v>
      </c>
      <c r="M10" s="33">
        <v>420</v>
      </c>
      <c r="N10" s="33">
        <v>390</v>
      </c>
      <c r="O10" s="33">
        <v>430</v>
      </c>
      <c r="P10" s="39">
        <f>IF(tblDemand[[#This Row],[Part]]="","",SUM(tblDemand[[#This Row],[Wk 1]],tblDemand[[#This Row],[Wk 2]],tblDemand[[#This Row],[Wk 3]],tblDemand[[#This Row],[Wk 4]],tblDemand[[#This Row],[Wk 5]],tblDemand[[#This Row],[Wk 6]],tblDemand[[#This Row],[Wk 7]],tblDemand[[#This Row],[Wk 8]],tblDemand[[#This Row],[Wk 9]],tblDemand[[#This Row],[Wk 10]],tblDemand[[#This Row],[Wk 11]],tblDemand[[#This Row],[Wk 12]]))</f>
        <v>4270</v>
      </c>
      <c r="Q10" s="40" t="str">
        <f>IF(tblDemand[[#This Row],[Part]]="","",IF(COUNTIF(tblRouting[Part],tblDemand[[#This Row],[Part]])=0,"No routing for this part","OK"))</f>
        <v>OK</v>
      </c>
    </row>
    <row r="11" spans="1:17">
      <c r="B11" s="28" t="s">
        <v>114</v>
      </c>
      <c r="C11" s="28" t="s">
        <v>115</v>
      </c>
      <c r="D11" s="33">
        <v>150</v>
      </c>
      <c r="E11" s="33">
        <v>160</v>
      </c>
      <c r="F11" s="33">
        <v>150</v>
      </c>
      <c r="G11" s="33">
        <v>140</v>
      </c>
      <c r="H11" s="33">
        <v>150</v>
      </c>
      <c r="I11" s="33">
        <v>230</v>
      </c>
      <c r="J11" s="33">
        <v>270</v>
      </c>
      <c r="K11" s="33">
        <v>270</v>
      </c>
      <c r="L11" s="33">
        <v>250</v>
      </c>
      <c r="M11" s="33">
        <v>260</v>
      </c>
      <c r="N11" s="33">
        <v>240</v>
      </c>
      <c r="O11" s="33">
        <v>240</v>
      </c>
      <c r="P11" s="39">
        <f>IF(tblDemand[[#This Row],[Part]]="","",SUM(tblDemand[[#This Row],[Wk 1]],tblDemand[[#This Row],[Wk 2]],tblDemand[[#This Row],[Wk 3]],tblDemand[[#This Row],[Wk 4]],tblDemand[[#This Row],[Wk 5]],tblDemand[[#This Row],[Wk 6]],tblDemand[[#This Row],[Wk 7]],tblDemand[[#This Row],[Wk 8]],tblDemand[[#This Row],[Wk 9]],tblDemand[[#This Row],[Wk 10]],tblDemand[[#This Row],[Wk 11]],tblDemand[[#This Row],[Wk 12]]))</f>
        <v>2510</v>
      </c>
      <c r="Q11" s="40" t="str">
        <f>IF(tblDemand[[#This Row],[Part]]="","",IF(COUNTIF(tblRouting[Part],tblDemand[[#This Row],[Part]])=0,"No routing for this part","OK"))</f>
        <v>OK</v>
      </c>
    </row>
    <row r="12" spans="1:17">
      <c r="B12" s="28" t="s">
        <v>116</v>
      </c>
      <c r="C12" s="28" t="s">
        <v>115</v>
      </c>
      <c r="D12" s="33">
        <v>480</v>
      </c>
      <c r="E12" s="33">
        <v>460</v>
      </c>
      <c r="F12" s="33">
        <v>520</v>
      </c>
      <c r="G12" s="33">
        <v>500</v>
      </c>
      <c r="H12" s="33">
        <v>500</v>
      </c>
      <c r="I12" s="33">
        <v>470</v>
      </c>
      <c r="J12" s="33">
        <v>470</v>
      </c>
      <c r="K12" s="33">
        <v>450</v>
      </c>
      <c r="L12" s="33">
        <v>480</v>
      </c>
      <c r="M12" s="33">
        <v>550</v>
      </c>
      <c r="N12" s="33">
        <v>510</v>
      </c>
      <c r="O12" s="33">
        <v>470</v>
      </c>
      <c r="P12" s="39">
        <f>IF(tblDemand[[#This Row],[Part]]="","",SUM(tblDemand[[#This Row],[Wk 1]],tblDemand[[#This Row],[Wk 2]],tblDemand[[#This Row],[Wk 3]],tblDemand[[#This Row],[Wk 4]],tblDemand[[#This Row],[Wk 5]],tblDemand[[#This Row],[Wk 6]],tblDemand[[#This Row],[Wk 7]],tblDemand[[#This Row],[Wk 8]],tblDemand[[#This Row],[Wk 9]],tblDemand[[#This Row],[Wk 10]],tblDemand[[#This Row],[Wk 11]],tblDemand[[#This Row],[Wk 12]]))</f>
        <v>5860</v>
      </c>
      <c r="Q12" s="40" t="str">
        <f>IF(tblDemand[[#This Row],[Part]]="","",IF(COUNTIF(tblRouting[Part],tblDemand[[#This Row],[Part]])=0,"No routing for this part","OK"))</f>
        <v>OK</v>
      </c>
    </row>
    <row r="13" spans="1:17">
      <c r="B13" s="28" t="s">
        <v>117</v>
      </c>
      <c r="C13" s="28" t="s">
        <v>118</v>
      </c>
      <c r="D13" s="33">
        <v>810</v>
      </c>
      <c r="E13" s="33">
        <v>830</v>
      </c>
      <c r="F13" s="33">
        <v>870</v>
      </c>
      <c r="G13" s="33">
        <v>780</v>
      </c>
      <c r="H13" s="33">
        <v>840</v>
      </c>
      <c r="I13" s="33">
        <v>760</v>
      </c>
      <c r="J13" s="33">
        <v>770</v>
      </c>
      <c r="K13" s="33">
        <v>800</v>
      </c>
      <c r="L13" s="33">
        <v>830</v>
      </c>
      <c r="M13" s="33">
        <v>850</v>
      </c>
      <c r="N13" s="33">
        <v>810</v>
      </c>
      <c r="O13" s="33">
        <v>870</v>
      </c>
      <c r="P13" s="39">
        <f>IF(tblDemand[[#This Row],[Part]]="","",SUM(tblDemand[[#This Row],[Wk 1]],tblDemand[[#This Row],[Wk 2]],tblDemand[[#This Row],[Wk 3]],tblDemand[[#This Row],[Wk 4]],tblDemand[[#This Row],[Wk 5]],tblDemand[[#This Row],[Wk 6]],tblDemand[[#This Row],[Wk 7]],tblDemand[[#This Row],[Wk 8]],tblDemand[[#This Row],[Wk 9]],tblDemand[[#This Row],[Wk 10]],tblDemand[[#This Row],[Wk 11]],tblDemand[[#This Row],[Wk 12]]))</f>
        <v>9820</v>
      </c>
      <c r="Q13" s="40" t="str">
        <f>IF(tblDemand[[#This Row],[Part]]="","",IF(COUNTIF(tblRouting[Part],tblDemand[[#This Row],[Part]])=0,"No routing for this part","OK"))</f>
        <v>OK</v>
      </c>
    </row>
    <row r="14" spans="1:17">
      <c r="B14" s="28" t="s">
        <v>119</v>
      </c>
      <c r="C14" s="28" t="s">
        <v>115</v>
      </c>
      <c r="D14" s="33">
        <v>190</v>
      </c>
      <c r="E14" s="33">
        <v>220</v>
      </c>
      <c r="F14" s="33">
        <v>220</v>
      </c>
      <c r="G14" s="33">
        <v>190</v>
      </c>
      <c r="H14" s="33">
        <v>220</v>
      </c>
      <c r="I14" s="33">
        <v>200</v>
      </c>
      <c r="J14" s="33">
        <v>180</v>
      </c>
      <c r="K14" s="33">
        <v>210</v>
      </c>
      <c r="L14" s="33">
        <v>190</v>
      </c>
      <c r="M14" s="33">
        <v>210</v>
      </c>
      <c r="N14" s="33">
        <v>210</v>
      </c>
      <c r="O14" s="33">
        <v>190</v>
      </c>
      <c r="P14" s="39">
        <f>IF(tblDemand[[#This Row],[Part]]="","",SUM(tblDemand[[#This Row],[Wk 1]],tblDemand[[#This Row],[Wk 2]],tblDemand[[#This Row],[Wk 3]],tblDemand[[#This Row],[Wk 4]],tblDemand[[#This Row],[Wk 5]],tblDemand[[#This Row],[Wk 6]],tblDemand[[#This Row],[Wk 7]],tblDemand[[#This Row],[Wk 8]],tblDemand[[#This Row],[Wk 9]],tblDemand[[#This Row],[Wk 10]],tblDemand[[#This Row],[Wk 11]],tblDemand[[#This Row],[Wk 12]]))</f>
        <v>2430</v>
      </c>
      <c r="Q14" s="40" t="str">
        <f>IF(tblDemand[[#This Row],[Part]]="","",IF(COUNTIF(tblRouting[Part],tblDemand[[#This Row],[Part]])=0,"No routing for this part","OK"))</f>
        <v>OK</v>
      </c>
    </row>
  </sheetData>
  <mergeCells count="5">
    <mergeCell ref="A1:Q1"/>
    <mergeCell ref="B2:P2"/>
    <mergeCell ref="B4:C4"/>
    <mergeCell ref="B5:C5"/>
    <mergeCell ref="B7:Q7"/>
  </mergeCells>
  <conditionalFormatting sqref="Q9:Q514">
    <cfRule type="expression" dxfId="3" priority="1">
      <formula>$Q9="OK"</formula>
    </cfRule>
    <cfRule type="expression" dxfId="1" priority="2">
      <formula>AND($Q9&lt;&gt;"",$Q9&lt;&gt;"OK")</formula>
    </cfRule>
  </conditionalFormatting>
  <dataValidations count="26">
    <dataValidation type="decimal" allowBlank="1" showInputMessage="1" showErrorMessage="1" errorTitle="Check this entry" error="Enter a number from 0 to 7." promptTitle="Working days" prompt="Days the plant works this week (5 = normal, 4 = one holiday). Enter a number from 0 to 7." sqref="D5">
      <formula1>0</formula1>
      <formula2>7</formula2>
    </dataValidation>
    <dataValidation type="decimal" allowBlank="1" showInputMessage="1" showErrorMessage="1" errorTitle="Check this entry" error="Enter a number from 0 to 7." promptTitle="Working days" prompt="Days the plant works this week (5 = normal, 4 = one holiday). Enter a number from 0 to 7." sqref="E5">
      <formula1>0</formula1>
      <formula2>7</formula2>
    </dataValidation>
    <dataValidation type="decimal" allowBlank="1" showInputMessage="1" showErrorMessage="1" errorTitle="Check this entry" error="Enter a number from 0 to 7." promptTitle="Working days" prompt="Days the plant works this week (5 = normal, 4 = one holiday). Enter a number from 0 to 7." sqref="F5">
      <formula1>0</formula1>
      <formula2>7</formula2>
    </dataValidation>
    <dataValidation type="decimal" allowBlank="1" showInputMessage="1" showErrorMessage="1" errorTitle="Check this entry" error="Enter a number from 0 to 7." promptTitle="Working days" prompt="Days the plant works this week (5 = normal, 4 = one holiday). Enter a number from 0 to 7." sqref="G5">
      <formula1>0</formula1>
      <formula2>7</formula2>
    </dataValidation>
    <dataValidation type="decimal" allowBlank="1" showInputMessage="1" showErrorMessage="1" errorTitle="Check this entry" error="Enter a number from 0 to 7." promptTitle="Working days" prompt="Days the plant works this week (5 = normal, 4 = one holiday). Enter a number from 0 to 7." sqref="H5">
      <formula1>0</formula1>
      <formula2>7</formula2>
    </dataValidation>
    <dataValidation type="decimal" allowBlank="1" showInputMessage="1" showErrorMessage="1" errorTitle="Check this entry" error="Enter a number from 0 to 7." promptTitle="Working days" prompt="Days the plant works this week (5 = normal, 4 = one holiday). Enter a number from 0 to 7." sqref="I5">
      <formula1>0</formula1>
      <formula2>7</formula2>
    </dataValidation>
    <dataValidation type="decimal" allowBlank="1" showInputMessage="1" showErrorMessage="1" errorTitle="Check this entry" error="Enter a number from 0 to 7." promptTitle="Working days" prompt="Days the plant works this week (5 = normal, 4 = one holiday). Enter a number from 0 to 7." sqref="J5">
      <formula1>0</formula1>
      <formula2>7</formula2>
    </dataValidation>
    <dataValidation type="decimal" allowBlank="1" showInputMessage="1" showErrorMessage="1" errorTitle="Check this entry" error="Enter a number from 0 to 7." promptTitle="Working days" prompt="Days the plant works this week (5 = normal, 4 = one holiday). Enter a number from 0 to 7." sqref="K5">
      <formula1>0</formula1>
      <formula2>7</formula2>
    </dataValidation>
    <dataValidation type="decimal" allowBlank="1" showInputMessage="1" showErrorMessage="1" errorTitle="Check this entry" error="Enter a number from 0 to 7." promptTitle="Working days" prompt="Days the plant works this week (5 = normal, 4 = one holiday). Enter a number from 0 to 7." sqref="L5">
      <formula1>0</formula1>
      <formula2>7</formula2>
    </dataValidation>
    <dataValidation type="decimal" allowBlank="1" showInputMessage="1" showErrorMessage="1" errorTitle="Check this entry" error="Enter a number from 0 to 7." promptTitle="Working days" prompt="Days the plant works this week (5 = normal, 4 = one holiday). Enter a number from 0 to 7." sqref="M5">
      <formula1>0</formula1>
      <formula2>7</formula2>
    </dataValidation>
    <dataValidation type="decimal" allowBlank="1" showInputMessage="1" showErrorMessage="1" errorTitle="Check this entry" error="Enter a number from 0 to 7." promptTitle="Working days" prompt="Days the plant works this week (5 = normal, 4 = one holiday). Enter a number from 0 to 7." sqref="N5">
      <formula1>0</formula1>
      <formula2>7</formula2>
    </dataValidation>
    <dataValidation type="decimal" allowBlank="1" showInputMessage="1" showErrorMessage="1" errorTitle="Check this entry" error="Enter a number from 0 to 7." promptTitle="Working days" prompt="Days the plant works this week (5 = normal, 4 = one holiday). Enter a number from 0 to 7." sqref="O5">
      <formula1>0</formula1>
      <formula2>7</formula2>
    </dataValidation>
    <dataValidation type="textLength" allowBlank="1" showInputMessage="1" showErrorMessage="1" errorTitle="Check this entry" error="Text up to 60 characters." promptTitle="Part" prompt="Text up to 60 characters." sqref="B9:B514">
      <formula1>0</formula1>
      <formula2>60</formula2>
    </dataValidation>
    <dataValidation type="textLength" allowBlank="1" showInputMessage="1" showErrorMessage="1" errorTitle="Check this entry" error="Text up to 40 characters." promptTitle="Family" prompt="Text up to 40 characters." sqref="C9:C514">
      <formula1>0</formula1>
      <formula2>40</formula2>
    </dataValidation>
    <dataValidation type="whole" allowBlank="1" showInputMessage="1" showErrorMessage="1" errorTitle="Check this entry" error="Enter a whole number from 0 to 10,000,000." promptTitle="Wk 1" prompt="Good units needed in wk 1. Enter a whole number from 0 to 10,000,000." sqref="D9:D514">
      <formula1>0</formula1>
      <formula2>10000000</formula2>
    </dataValidation>
    <dataValidation type="whole" allowBlank="1" showInputMessage="1" showErrorMessage="1" errorTitle="Check this entry" error="Enter a whole number from 0 to 10,000,000." promptTitle="Wk 2" prompt="Good units needed in wk 2. Enter a whole number from 0 to 10,000,000." sqref="E9:E514">
      <formula1>0</formula1>
      <formula2>10000000</formula2>
    </dataValidation>
    <dataValidation type="whole" allowBlank="1" showInputMessage="1" showErrorMessage="1" errorTitle="Check this entry" error="Enter a whole number from 0 to 10,000,000." promptTitle="Wk 3" prompt="Good units needed in wk 3. Enter a whole number from 0 to 10,000,000." sqref="F9:F514">
      <formula1>0</formula1>
      <formula2>10000000</formula2>
    </dataValidation>
    <dataValidation type="whole" allowBlank="1" showInputMessage="1" showErrorMessage="1" errorTitle="Check this entry" error="Enter a whole number from 0 to 10,000,000." promptTitle="Wk 4" prompt="Good units needed in wk 4. Enter a whole number from 0 to 10,000,000." sqref="G9:G514">
      <formula1>0</formula1>
      <formula2>10000000</formula2>
    </dataValidation>
    <dataValidation type="whole" allowBlank="1" showInputMessage="1" showErrorMessage="1" errorTitle="Check this entry" error="Enter a whole number from 0 to 10,000,000." promptTitle="Wk 5" prompt="Good units needed in wk 5. Enter a whole number from 0 to 10,000,000." sqref="H9:H514">
      <formula1>0</formula1>
      <formula2>10000000</formula2>
    </dataValidation>
    <dataValidation type="whole" allowBlank="1" showInputMessage="1" showErrorMessage="1" errorTitle="Check this entry" error="Enter a whole number from 0 to 10,000,000." promptTitle="Wk 6" prompt="Good units needed in wk 6. Enter a whole number from 0 to 10,000,000." sqref="I9:I514">
      <formula1>0</formula1>
      <formula2>10000000</formula2>
    </dataValidation>
    <dataValidation type="whole" allowBlank="1" showInputMessage="1" showErrorMessage="1" errorTitle="Check this entry" error="Enter a whole number from 0 to 10,000,000." promptTitle="Wk 7" prompt="Good units needed in wk 7. Enter a whole number from 0 to 10,000,000." sqref="J9:J514">
      <formula1>0</formula1>
      <formula2>10000000</formula2>
    </dataValidation>
    <dataValidation type="whole" allowBlank="1" showInputMessage="1" showErrorMessage="1" errorTitle="Check this entry" error="Enter a whole number from 0 to 10,000,000." promptTitle="Wk 8" prompt="Good units needed in wk 8. Enter a whole number from 0 to 10,000,000." sqref="K9:K514">
      <formula1>0</formula1>
      <formula2>10000000</formula2>
    </dataValidation>
    <dataValidation type="whole" allowBlank="1" showInputMessage="1" showErrorMessage="1" errorTitle="Check this entry" error="Enter a whole number from 0 to 10,000,000." promptTitle="Wk 9" prompt="Good units needed in wk 9. Enter a whole number from 0 to 10,000,000." sqref="L9:L514">
      <formula1>0</formula1>
      <formula2>10000000</formula2>
    </dataValidation>
    <dataValidation type="whole" allowBlank="1" showInputMessage="1" showErrorMessage="1" errorTitle="Check this entry" error="Enter a whole number from 0 to 10,000,000." promptTitle="Wk 10" prompt="Good units needed in wk 10. Enter a whole number from 0 to 10,000,000." sqref="M9:M514">
      <formula1>0</formula1>
      <formula2>10000000</formula2>
    </dataValidation>
    <dataValidation type="whole" allowBlank="1" showInputMessage="1" showErrorMessage="1" errorTitle="Check this entry" error="Enter a whole number from 0 to 10,000,000." promptTitle="Wk 11" prompt="Good units needed in wk 11. Enter a whole number from 0 to 10,000,000." sqref="N9:N514">
      <formula1>0</formula1>
      <formula2>10000000</formula2>
    </dataValidation>
    <dataValidation type="whole" allowBlank="1" showInputMessage="1" showErrorMessage="1" errorTitle="Check this entry" error="Enter a whole number from 0 to 10,000,000." promptTitle="Wk 12" prompt="Good units needed in wk 12. Enter a whole number from 0 to 10,000,000." sqref="O9:O514">
      <formula1>0</formula1>
      <formula2>10000000</formula2>
    </dataValidation>
  </dataValidations>
  <hyperlinks>
    <hyperlink ref="Q2" r:id="rId1" tooltip="Free manufacturing calculators and templates"/>
  </hyperlinks>
  <pageMargins left="0.4" right="0.4" top="0.7" bottom="0.65" header="0.3" footer="0.3"/>
  <pageSetup fitToHeight="0" orientation="landscape"/>
  <headerFooter>
    <oddHeader>&amp;L&amp;8MFG Calcs - Capacity Planning&amp;R&amp;8&amp;A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S25"/>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6.7109375" customWidth="1"/>
    <col min="3" max="3" width="13.7109375" customWidth="1"/>
    <col min="4" max="4" width="10.7109375" customWidth="1"/>
    <col min="5" max="17" width="8.7109375" customWidth="1"/>
    <col min="18" max="18" width="22.7109375" customWidth="1"/>
    <col min="19" max="19" width="18.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22</v>
      </c>
      <c r="C2" s="2"/>
      <c r="D2" s="2"/>
      <c r="E2" s="2"/>
      <c r="F2" s="2"/>
      <c r="G2" s="2"/>
      <c r="H2" s="2"/>
      <c r="I2" s="2"/>
      <c r="J2" s="2"/>
      <c r="K2" s="2"/>
      <c r="L2" s="2"/>
      <c r="M2" s="2"/>
      <c r="N2" s="2"/>
      <c r="O2" s="2"/>
      <c r="P2" s="2"/>
      <c r="Q2" s="2"/>
      <c r="R2" s="2"/>
      <c r="S2" s="3" t="s">
        <v>2</v>
      </c>
    </row>
    <row r="3" spans="1:19" ht="6" customHeight="1"/>
    <row r="4" spans="1:19" ht="18" customHeight="1">
      <c r="B4" s="38" t="s">
        <v>133</v>
      </c>
      <c r="C4" s="38"/>
      <c r="D4" s="38"/>
      <c r="E4" s="38"/>
      <c r="F4" s="38"/>
      <c r="G4" s="38"/>
      <c r="H4" s="38"/>
      <c r="I4" s="38"/>
      <c r="J4" s="38"/>
      <c r="K4" s="38"/>
      <c r="L4" s="38"/>
      <c r="M4" s="38"/>
      <c r="N4" s="38"/>
      <c r="O4" s="38"/>
      <c r="P4" s="38"/>
      <c r="Q4" s="38"/>
      <c r="R4" s="38"/>
      <c r="S4" s="38"/>
    </row>
    <row r="5" spans="1:19" ht="32" customHeight="1">
      <c r="B5" s="32" t="s">
        <v>92</v>
      </c>
      <c r="C5" s="32" t="s">
        <v>62</v>
      </c>
      <c r="D5" s="32" t="s">
        <v>120</v>
      </c>
      <c r="E5" s="32" t="s">
        <v>67</v>
      </c>
      <c r="F5" s="32" t="s">
        <v>121</v>
      </c>
      <c r="G5" s="32" t="s">
        <v>122</v>
      </c>
      <c r="H5" s="32" t="s">
        <v>123</v>
      </c>
      <c r="I5" s="32" t="s">
        <v>124</v>
      </c>
      <c r="J5" s="32" t="s">
        <v>125</v>
      </c>
      <c r="K5" s="32" t="s">
        <v>126</v>
      </c>
      <c r="L5" s="32" t="s">
        <v>127</v>
      </c>
      <c r="M5" s="32" t="s">
        <v>128</v>
      </c>
      <c r="N5" s="32" t="s">
        <v>129</v>
      </c>
      <c r="O5" s="32" t="s">
        <v>130</v>
      </c>
      <c r="P5" s="32" t="s">
        <v>131</v>
      </c>
      <c r="Q5" s="32" t="s">
        <v>132</v>
      </c>
      <c r="R5" s="32" t="s">
        <v>107</v>
      </c>
      <c r="S5" s="32" t="s">
        <v>70</v>
      </c>
    </row>
    <row r="6" spans="1:19">
      <c r="B6" s="28" t="s">
        <v>111</v>
      </c>
      <c r="C6" s="28" t="s">
        <v>80</v>
      </c>
      <c r="D6" s="41">
        <v>0.6</v>
      </c>
      <c r="E6" s="42">
        <f>IF(tblRouting[[#This Row],[Part]]="","",IFERROR(INDEX(tblWorkCentres[Yield],MATCH(tblRouting[[#This Row],[Work centre]],tblWorkCentres[Work centre],0)),""))</f>
        <v>0.995</v>
      </c>
      <c r="F6" s="35">
        <f>IF(tblRouting[[#This Row],[Part]]="","",IF(OR(tblRouting[[#This Row],[Yield]]="",COUNTIF(tblDemand[Part],tblRouting[[#This Row],[Part]])=0),0,INDEX(tblDemand[Wk 1],MATCH(tblRouting[[#This Row],[Part]],tblDemand[Part],0))*tblRouting[[#This Row],[Minutes per unit]]/60/tblRouting[[#This Row],[Yield]]))</f>
        <v>4.12060301507538</v>
      </c>
      <c r="G6" s="35">
        <f>IF(tblRouting[[#This Row],[Part]]="","",IF(OR(tblRouting[[#This Row],[Yield]]="",COUNTIF(tblDemand[Part],tblRouting[[#This Row],[Part]])=0),0,INDEX(tblDemand[Wk 2],MATCH(tblRouting[[#This Row],[Part]],tblDemand[Part],0))*tblRouting[[#This Row],[Minutes per unit]]/60/tblRouting[[#This Row],[Yield]]))</f>
        <v>4.42211055276382</v>
      </c>
      <c r="H6" s="35">
        <f>IF(tblRouting[[#This Row],[Part]]="","",IF(OR(tblRouting[[#This Row],[Yield]]="",COUNTIF(tblDemand[Part],tblRouting[[#This Row],[Part]])=0),0,INDEX(tblDemand[Wk 3],MATCH(tblRouting[[#This Row],[Part]],tblDemand[Part],0))*tblRouting[[#This Row],[Minutes per unit]]/60/tblRouting[[#This Row],[Yield]]))</f>
        <v>4.42211055276382</v>
      </c>
      <c r="I6" s="35">
        <f>IF(tblRouting[[#This Row],[Part]]="","",IF(OR(tblRouting[[#This Row],[Yield]]="",COUNTIF(tblDemand[Part],tblRouting[[#This Row],[Part]])=0),0,INDEX(tblDemand[Wk 4],MATCH(tblRouting[[#This Row],[Part]],tblDemand[Part],0))*tblRouting[[#This Row],[Minutes per unit]]/60/tblRouting[[#This Row],[Yield]]))</f>
        <v>3.81909547738693</v>
      </c>
      <c r="J6" s="35">
        <f>IF(tblRouting[[#This Row],[Part]]="","",IF(OR(tblRouting[[#This Row],[Yield]]="",COUNTIF(tblDemand[Part],tblRouting[[#This Row],[Part]])=0),0,INDEX(tblDemand[Wk 5],MATCH(tblRouting[[#This Row],[Part]],tblDemand[Part],0))*tblRouting[[#This Row],[Minutes per unit]]/60/tblRouting[[#This Row],[Yield]]))</f>
        <v>4.02010050251256</v>
      </c>
      <c r="K6" s="35">
        <f>IF(tblRouting[[#This Row],[Part]]="","",IF(OR(tblRouting[[#This Row],[Yield]]="",COUNTIF(tblDemand[Part],tblRouting[[#This Row],[Part]])=0),0,INDEX(tblDemand[Wk 6],MATCH(tblRouting[[#This Row],[Part]],tblDemand[Part],0))*tblRouting[[#This Row],[Minutes per unit]]/60/tblRouting[[#This Row],[Yield]]))</f>
        <v>3.81909547738693</v>
      </c>
      <c r="L6" s="35">
        <f>IF(tblRouting[[#This Row],[Part]]="","",IF(OR(tblRouting[[#This Row],[Yield]]="",COUNTIF(tblDemand[Part],tblRouting[[#This Row],[Part]])=0),0,INDEX(tblDemand[Wk 7],MATCH(tblRouting[[#This Row],[Part]],tblDemand[Part],0))*tblRouting[[#This Row],[Minutes per unit]]/60/tblRouting[[#This Row],[Yield]]))</f>
        <v>3.61809045226131</v>
      </c>
      <c r="M6" s="35">
        <f>IF(tblRouting[[#This Row],[Part]]="","",IF(OR(tblRouting[[#This Row],[Yield]]="",COUNTIF(tblDemand[Part],tblRouting[[#This Row],[Part]])=0),0,INDEX(tblDemand[Wk 8],MATCH(tblRouting[[#This Row],[Part]],tblDemand[Part],0))*tblRouting[[#This Row],[Minutes per unit]]/60/tblRouting[[#This Row],[Yield]]))</f>
        <v>3.71859296482412</v>
      </c>
      <c r="N6" s="35">
        <f>IF(tblRouting[[#This Row],[Part]]="","",IF(OR(tblRouting[[#This Row],[Yield]]="",COUNTIF(tblDemand[Part],tblRouting[[#This Row],[Part]])=0),0,INDEX(tblDemand[Wk 9],MATCH(tblRouting[[#This Row],[Part]],tblDemand[Part],0))*tblRouting[[#This Row],[Minutes per unit]]/60/tblRouting[[#This Row],[Yield]]))</f>
        <v>4.22110552763819</v>
      </c>
      <c r="O6" s="35">
        <f>IF(tblRouting[[#This Row],[Part]]="","",IF(OR(tblRouting[[#This Row],[Yield]]="",COUNTIF(tblDemand[Part],tblRouting[[#This Row],[Part]])=0),0,INDEX(tblDemand[Wk 10],MATCH(tblRouting[[#This Row],[Part]],tblDemand[Part],0))*tblRouting[[#This Row],[Minutes per unit]]/60/tblRouting[[#This Row],[Yield]]))</f>
        <v>3.81909547738693</v>
      </c>
      <c r="P6" s="35">
        <f>IF(tblRouting[[#This Row],[Part]]="","",IF(OR(tblRouting[[#This Row],[Yield]]="",COUNTIF(tblDemand[Part],tblRouting[[#This Row],[Part]])=0),0,INDEX(tblDemand[Wk 11],MATCH(tblRouting[[#This Row],[Part]],tblDemand[Part],0))*tblRouting[[#This Row],[Minutes per unit]]/60/tblRouting[[#This Row],[Yield]]))</f>
        <v>4.12060301507538</v>
      </c>
      <c r="Q6" s="35">
        <f>IF(tblRouting[[#This Row],[Part]]="","",IF(OR(tblRouting[[#This Row],[Yield]]="",COUNTIF(tblDemand[Part],tblRouting[[#This Row],[Part]])=0),0,INDEX(tblDemand[Wk 12],MATCH(tblRouting[[#This Row],[Part]],tblDemand[Part],0))*tblRouting[[#This Row],[Minutes per unit]]/60/tblRouting[[#This Row],[Yield]]))</f>
        <v>3.81909547738693</v>
      </c>
      <c r="R6" s="40" t="str">
        <f>IF(tblRouting[[#This Row],[Part]]="","",IF(tblRouting[[#This Row],[Minutes per unit]]="","Missing minutes per unit",IF(tblRouting[[#This Row],[Yield]]="","Work centre not on Setup",IF(COUNTIF(tblDemand[Part],tblRouting[[#This Row],[Part]])=0,"Part not on Demand Plan","OK"))))</f>
        <v>OK</v>
      </c>
      <c r="S6" s="28" t="s">
        <v>134</v>
      </c>
    </row>
    <row r="7" spans="1:19">
      <c r="B7" s="28" t="s">
        <v>111</v>
      </c>
      <c r="C7" s="28" t="s">
        <v>82</v>
      </c>
      <c r="D7" s="41">
        <v>5.5</v>
      </c>
      <c r="E7" s="42">
        <f>IF(tblRouting[[#This Row],[Part]]="","",IFERROR(INDEX(tblWorkCentres[Yield],MATCH(tblRouting[[#This Row],[Work centre]],tblWorkCentres[Work centre],0)),""))</f>
        <v>0.97</v>
      </c>
      <c r="F7" s="35">
        <f>IF(tblRouting[[#This Row],[Part]]="","",IF(OR(tblRouting[[#This Row],[Yield]]="",COUNTIF(tblDemand[Part],tblRouting[[#This Row],[Part]])=0),0,INDEX(tblDemand[Wk 1],MATCH(tblRouting[[#This Row],[Part]],tblDemand[Part],0))*tblRouting[[#This Row],[Minutes per unit]]/60/tblRouting[[#This Row],[Yield]]))</f>
        <v>38.745704467354</v>
      </c>
      <c r="G7" s="35">
        <f>IF(tblRouting[[#This Row],[Part]]="","",IF(OR(tblRouting[[#This Row],[Yield]]="",COUNTIF(tblDemand[Part],tblRouting[[#This Row],[Part]])=0),0,INDEX(tblDemand[Wk 2],MATCH(tblRouting[[#This Row],[Part]],tblDemand[Part],0))*tblRouting[[#This Row],[Minutes per unit]]/60/tblRouting[[#This Row],[Yield]]))</f>
        <v>41.5807560137457</v>
      </c>
      <c r="H7" s="35">
        <f>IF(tblRouting[[#This Row],[Part]]="","",IF(OR(tblRouting[[#This Row],[Yield]]="",COUNTIF(tblDemand[Part],tblRouting[[#This Row],[Part]])=0),0,INDEX(tblDemand[Wk 3],MATCH(tblRouting[[#This Row],[Part]],tblDemand[Part],0))*tblRouting[[#This Row],[Minutes per unit]]/60/tblRouting[[#This Row],[Yield]]))</f>
        <v>41.5807560137457</v>
      </c>
      <c r="I7" s="35">
        <f>IF(tblRouting[[#This Row],[Part]]="","",IF(OR(tblRouting[[#This Row],[Yield]]="",COUNTIF(tblDemand[Part],tblRouting[[#This Row],[Part]])=0),0,INDEX(tblDemand[Wk 4],MATCH(tblRouting[[#This Row],[Part]],tblDemand[Part],0))*tblRouting[[#This Row],[Minutes per unit]]/60/tblRouting[[#This Row],[Yield]]))</f>
        <v>35.9106529209622</v>
      </c>
      <c r="J7" s="35">
        <f>IF(tblRouting[[#This Row],[Part]]="","",IF(OR(tblRouting[[#This Row],[Yield]]="",COUNTIF(tblDemand[Part],tblRouting[[#This Row],[Part]])=0),0,INDEX(tblDemand[Wk 5],MATCH(tblRouting[[#This Row],[Part]],tblDemand[Part],0))*tblRouting[[#This Row],[Minutes per unit]]/60/tblRouting[[#This Row],[Yield]]))</f>
        <v>37.8006872852234</v>
      </c>
      <c r="K7" s="35">
        <f>IF(tblRouting[[#This Row],[Part]]="","",IF(OR(tblRouting[[#This Row],[Yield]]="",COUNTIF(tblDemand[Part],tblRouting[[#This Row],[Part]])=0),0,INDEX(tblDemand[Wk 6],MATCH(tblRouting[[#This Row],[Part]],tblDemand[Part],0))*tblRouting[[#This Row],[Minutes per unit]]/60/tblRouting[[#This Row],[Yield]]))</f>
        <v>35.9106529209622</v>
      </c>
      <c r="L7" s="35">
        <f>IF(tblRouting[[#This Row],[Part]]="","",IF(OR(tblRouting[[#This Row],[Yield]]="",COUNTIF(tblDemand[Part],tblRouting[[#This Row],[Part]])=0),0,INDEX(tblDemand[Wk 7],MATCH(tblRouting[[#This Row],[Part]],tblDemand[Part],0))*tblRouting[[#This Row],[Minutes per unit]]/60/tblRouting[[#This Row],[Yield]]))</f>
        <v>34.020618556701</v>
      </c>
      <c r="M7" s="35">
        <f>IF(tblRouting[[#This Row],[Part]]="","",IF(OR(tblRouting[[#This Row],[Yield]]="",COUNTIF(tblDemand[Part],tblRouting[[#This Row],[Part]])=0),0,INDEX(tblDemand[Wk 8],MATCH(tblRouting[[#This Row],[Part]],tblDemand[Part],0))*tblRouting[[#This Row],[Minutes per unit]]/60/tblRouting[[#This Row],[Yield]]))</f>
        <v>34.9656357388316</v>
      </c>
      <c r="N7" s="35">
        <f>IF(tblRouting[[#This Row],[Part]]="","",IF(OR(tblRouting[[#This Row],[Yield]]="",COUNTIF(tblDemand[Part],tblRouting[[#This Row],[Part]])=0),0,INDEX(tblDemand[Wk 9],MATCH(tblRouting[[#This Row],[Part]],tblDemand[Part],0))*tblRouting[[#This Row],[Minutes per unit]]/60/tblRouting[[#This Row],[Yield]]))</f>
        <v>39.6907216494845</v>
      </c>
      <c r="O7" s="35">
        <f>IF(tblRouting[[#This Row],[Part]]="","",IF(OR(tblRouting[[#This Row],[Yield]]="",COUNTIF(tblDemand[Part],tblRouting[[#This Row],[Part]])=0),0,INDEX(tblDemand[Wk 10],MATCH(tblRouting[[#This Row],[Part]],tblDemand[Part],0))*tblRouting[[#This Row],[Minutes per unit]]/60/tblRouting[[#This Row],[Yield]]))</f>
        <v>35.9106529209622</v>
      </c>
      <c r="P7" s="35">
        <f>IF(tblRouting[[#This Row],[Part]]="","",IF(OR(tblRouting[[#This Row],[Yield]]="",COUNTIF(tblDemand[Part],tblRouting[[#This Row],[Part]])=0),0,INDEX(tblDemand[Wk 11],MATCH(tblRouting[[#This Row],[Part]],tblDemand[Part],0))*tblRouting[[#This Row],[Minutes per unit]]/60/tblRouting[[#This Row],[Yield]]))</f>
        <v>38.745704467354</v>
      </c>
      <c r="Q7" s="35">
        <f>IF(tblRouting[[#This Row],[Part]]="","",IF(OR(tblRouting[[#This Row],[Yield]]="",COUNTIF(tblDemand[Part],tblRouting[[#This Row],[Part]])=0),0,INDEX(tblDemand[Wk 12],MATCH(tblRouting[[#This Row],[Part]],tblDemand[Part],0))*tblRouting[[#This Row],[Minutes per unit]]/60/tblRouting[[#This Row],[Yield]]))</f>
        <v>35.9106529209622</v>
      </c>
      <c r="R7" s="40" t="str">
        <f>IF(tblRouting[[#This Row],[Part]]="","",IF(tblRouting[[#This Row],[Minutes per unit]]="","Missing minutes per unit",IF(tblRouting[[#This Row],[Yield]]="","Work centre not on Setup",IF(COUNTIF(tblDemand[Part],tblRouting[[#This Row],[Part]])=0,"Part not on Demand Plan","OK"))))</f>
        <v>OK</v>
      </c>
      <c r="S7" s="28" t="s">
        <v>134</v>
      </c>
    </row>
    <row r="8" spans="1:19">
      <c r="B8" s="28" t="s">
        <v>111</v>
      </c>
      <c r="C8" s="28" t="s">
        <v>86</v>
      </c>
      <c r="D8" s="41">
        <v>6</v>
      </c>
      <c r="E8" s="42">
        <f>IF(tblRouting[[#This Row],[Part]]="","",IFERROR(INDEX(tblWorkCentres[Yield],MATCH(tblRouting[[#This Row],[Work centre]],tblWorkCentres[Work centre],0)),""))</f>
        <v>0.98</v>
      </c>
      <c r="F8" s="35">
        <f>IF(tblRouting[[#This Row],[Part]]="","",IF(OR(tblRouting[[#This Row],[Yield]]="",COUNTIF(tblDemand[Part],tblRouting[[#This Row],[Part]])=0),0,INDEX(tblDemand[Wk 1],MATCH(tblRouting[[#This Row],[Part]],tblDemand[Part],0))*tblRouting[[#This Row],[Minutes per unit]]/60/tblRouting[[#This Row],[Yield]]))</f>
        <v>41.8367346938776</v>
      </c>
      <c r="G8" s="35">
        <f>IF(tblRouting[[#This Row],[Part]]="","",IF(OR(tblRouting[[#This Row],[Yield]]="",COUNTIF(tblDemand[Part],tblRouting[[#This Row],[Part]])=0),0,INDEX(tblDemand[Wk 2],MATCH(tblRouting[[#This Row],[Part]],tblDemand[Part],0))*tblRouting[[#This Row],[Minutes per unit]]/60/tblRouting[[#This Row],[Yield]]))</f>
        <v>44.8979591836735</v>
      </c>
      <c r="H8" s="35">
        <f>IF(tblRouting[[#This Row],[Part]]="","",IF(OR(tblRouting[[#This Row],[Yield]]="",COUNTIF(tblDemand[Part],tblRouting[[#This Row],[Part]])=0),0,INDEX(tblDemand[Wk 3],MATCH(tblRouting[[#This Row],[Part]],tblDemand[Part],0))*tblRouting[[#This Row],[Minutes per unit]]/60/tblRouting[[#This Row],[Yield]]))</f>
        <v>44.8979591836735</v>
      </c>
      <c r="I8" s="35">
        <f>IF(tblRouting[[#This Row],[Part]]="","",IF(OR(tblRouting[[#This Row],[Yield]]="",COUNTIF(tblDemand[Part],tblRouting[[#This Row],[Part]])=0),0,INDEX(tblDemand[Wk 4],MATCH(tblRouting[[#This Row],[Part]],tblDemand[Part],0))*tblRouting[[#This Row],[Minutes per unit]]/60/tblRouting[[#This Row],[Yield]]))</f>
        <v>38.7755102040816</v>
      </c>
      <c r="J8" s="35">
        <f>IF(tblRouting[[#This Row],[Part]]="","",IF(OR(tblRouting[[#This Row],[Yield]]="",COUNTIF(tblDemand[Part],tblRouting[[#This Row],[Part]])=0),0,INDEX(tblDemand[Wk 5],MATCH(tblRouting[[#This Row],[Part]],tblDemand[Part],0))*tblRouting[[#This Row],[Minutes per unit]]/60/tblRouting[[#This Row],[Yield]]))</f>
        <v>40.8163265306122</v>
      </c>
      <c r="K8" s="35">
        <f>IF(tblRouting[[#This Row],[Part]]="","",IF(OR(tblRouting[[#This Row],[Yield]]="",COUNTIF(tblDemand[Part],tblRouting[[#This Row],[Part]])=0),0,INDEX(tblDemand[Wk 6],MATCH(tblRouting[[#This Row],[Part]],tblDemand[Part],0))*tblRouting[[#This Row],[Minutes per unit]]/60/tblRouting[[#This Row],[Yield]]))</f>
        <v>38.7755102040816</v>
      </c>
      <c r="L8" s="35">
        <f>IF(tblRouting[[#This Row],[Part]]="","",IF(OR(tblRouting[[#This Row],[Yield]]="",COUNTIF(tblDemand[Part],tblRouting[[#This Row],[Part]])=0),0,INDEX(tblDemand[Wk 7],MATCH(tblRouting[[#This Row],[Part]],tblDemand[Part],0))*tblRouting[[#This Row],[Minutes per unit]]/60/tblRouting[[#This Row],[Yield]]))</f>
        <v>36.734693877551</v>
      </c>
      <c r="M8" s="35">
        <f>IF(tblRouting[[#This Row],[Part]]="","",IF(OR(tblRouting[[#This Row],[Yield]]="",COUNTIF(tblDemand[Part],tblRouting[[#This Row],[Part]])=0),0,INDEX(tblDemand[Wk 8],MATCH(tblRouting[[#This Row],[Part]],tblDemand[Part],0))*tblRouting[[#This Row],[Minutes per unit]]/60/tblRouting[[#This Row],[Yield]]))</f>
        <v>37.7551020408163</v>
      </c>
      <c r="N8" s="35">
        <f>IF(tblRouting[[#This Row],[Part]]="","",IF(OR(tblRouting[[#This Row],[Yield]]="",COUNTIF(tblDemand[Part],tblRouting[[#This Row],[Part]])=0),0,INDEX(tblDemand[Wk 9],MATCH(tblRouting[[#This Row],[Part]],tblDemand[Part],0))*tblRouting[[#This Row],[Minutes per unit]]/60/tblRouting[[#This Row],[Yield]]))</f>
        <v>42.8571428571429</v>
      </c>
      <c r="O8" s="35">
        <f>IF(tblRouting[[#This Row],[Part]]="","",IF(OR(tblRouting[[#This Row],[Yield]]="",COUNTIF(tblDemand[Part],tblRouting[[#This Row],[Part]])=0),0,INDEX(tblDemand[Wk 10],MATCH(tblRouting[[#This Row],[Part]],tblDemand[Part],0))*tblRouting[[#This Row],[Minutes per unit]]/60/tblRouting[[#This Row],[Yield]]))</f>
        <v>38.7755102040816</v>
      </c>
      <c r="P8" s="35">
        <f>IF(tblRouting[[#This Row],[Part]]="","",IF(OR(tblRouting[[#This Row],[Yield]]="",COUNTIF(tblDemand[Part],tblRouting[[#This Row],[Part]])=0),0,INDEX(tblDemand[Wk 11],MATCH(tblRouting[[#This Row],[Part]],tblDemand[Part],0))*tblRouting[[#This Row],[Minutes per unit]]/60/tblRouting[[#This Row],[Yield]]))</f>
        <v>41.8367346938776</v>
      </c>
      <c r="Q8" s="35">
        <f>IF(tblRouting[[#This Row],[Part]]="","",IF(OR(tblRouting[[#This Row],[Yield]]="",COUNTIF(tblDemand[Part],tblRouting[[#This Row],[Part]])=0),0,INDEX(tblDemand[Wk 12],MATCH(tblRouting[[#This Row],[Part]],tblDemand[Part],0))*tblRouting[[#This Row],[Minutes per unit]]/60/tblRouting[[#This Row],[Yield]]))</f>
        <v>38.7755102040816</v>
      </c>
      <c r="R8" s="40" t="str">
        <f>IF(tblRouting[[#This Row],[Part]]="","",IF(tblRouting[[#This Row],[Minutes per unit]]="","Missing minutes per unit",IF(tblRouting[[#This Row],[Yield]]="","Work centre not on Setup",IF(COUNTIF(tblDemand[Part],tblRouting[[#This Row],[Part]])=0,"Part not on Demand Plan","OK"))))</f>
        <v>OK</v>
      </c>
      <c r="S8" s="28" t="s">
        <v>134</v>
      </c>
    </row>
    <row r="9" spans="1:19">
      <c r="B9" s="28" t="s">
        <v>111</v>
      </c>
      <c r="C9" s="28" t="s">
        <v>90</v>
      </c>
      <c r="D9" s="41">
        <v>0.8</v>
      </c>
      <c r="E9" s="42">
        <f>IF(tblRouting[[#This Row],[Part]]="","",IFERROR(INDEX(tblWorkCentres[Yield],MATCH(tblRouting[[#This Row],[Work centre]],tblWorkCentres[Work centre],0)),""))</f>
        <v>1</v>
      </c>
      <c r="F9" s="35">
        <f>IF(tblRouting[[#This Row],[Part]]="","",IF(OR(tblRouting[[#This Row],[Yield]]="",COUNTIF(tblDemand[Part],tblRouting[[#This Row],[Part]])=0),0,INDEX(tblDemand[Wk 1],MATCH(tblRouting[[#This Row],[Part]],tblDemand[Part],0))*tblRouting[[#This Row],[Minutes per unit]]/60/tblRouting[[#This Row],[Yield]]))</f>
        <v>5.46666666666667</v>
      </c>
      <c r="G9" s="35">
        <f>IF(tblRouting[[#This Row],[Part]]="","",IF(OR(tblRouting[[#This Row],[Yield]]="",COUNTIF(tblDemand[Part],tblRouting[[#This Row],[Part]])=0),0,INDEX(tblDemand[Wk 2],MATCH(tblRouting[[#This Row],[Part]],tblDemand[Part],0))*tblRouting[[#This Row],[Minutes per unit]]/60/tblRouting[[#This Row],[Yield]]))</f>
        <v>5.86666666666667</v>
      </c>
      <c r="H9" s="35">
        <f>IF(tblRouting[[#This Row],[Part]]="","",IF(OR(tblRouting[[#This Row],[Yield]]="",COUNTIF(tblDemand[Part],tblRouting[[#This Row],[Part]])=0),0,INDEX(tblDemand[Wk 3],MATCH(tblRouting[[#This Row],[Part]],tblDemand[Part],0))*tblRouting[[#This Row],[Minutes per unit]]/60/tblRouting[[#This Row],[Yield]]))</f>
        <v>5.86666666666667</v>
      </c>
      <c r="I9" s="35">
        <f>IF(tblRouting[[#This Row],[Part]]="","",IF(OR(tblRouting[[#This Row],[Yield]]="",COUNTIF(tblDemand[Part],tblRouting[[#This Row],[Part]])=0),0,INDEX(tblDemand[Wk 4],MATCH(tblRouting[[#This Row],[Part]],tblDemand[Part],0))*tblRouting[[#This Row],[Minutes per unit]]/60/tblRouting[[#This Row],[Yield]]))</f>
        <v>5.06666666666667</v>
      </c>
      <c r="J9" s="35">
        <f>IF(tblRouting[[#This Row],[Part]]="","",IF(OR(tblRouting[[#This Row],[Yield]]="",COUNTIF(tblDemand[Part],tblRouting[[#This Row],[Part]])=0),0,INDEX(tblDemand[Wk 5],MATCH(tblRouting[[#This Row],[Part]],tblDemand[Part],0))*tblRouting[[#This Row],[Minutes per unit]]/60/tblRouting[[#This Row],[Yield]]))</f>
        <v>5.33333333333333</v>
      </c>
      <c r="K9" s="35">
        <f>IF(tblRouting[[#This Row],[Part]]="","",IF(OR(tblRouting[[#This Row],[Yield]]="",COUNTIF(tblDemand[Part],tblRouting[[#This Row],[Part]])=0),0,INDEX(tblDemand[Wk 6],MATCH(tblRouting[[#This Row],[Part]],tblDemand[Part],0))*tblRouting[[#This Row],[Minutes per unit]]/60/tblRouting[[#This Row],[Yield]]))</f>
        <v>5.06666666666667</v>
      </c>
      <c r="L9" s="35">
        <f>IF(tblRouting[[#This Row],[Part]]="","",IF(OR(tblRouting[[#This Row],[Yield]]="",COUNTIF(tblDemand[Part],tblRouting[[#This Row],[Part]])=0),0,INDEX(tblDemand[Wk 7],MATCH(tblRouting[[#This Row],[Part]],tblDemand[Part],0))*tblRouting[[#This Row],[Minutes per unit]]/60/tblRouting[[#This Row],[Yield]]))</f>
        <v>4.8</v>
      </c>
      <c r="M9" s="35">
        <f>IF(tblRouting[[#This Row],[Part]]="","",IF(OR(tblRouting[[#This Row],[Yield]]="",COUNTIF(tblDemand[Part],tblRouting[[#This Row],[Part]])=0),0,INDEX(tblDemand[Wk 8],MATCH(tblRouting[[#This Row],[Part]],tblDemand[Part],0))*tblRouting[[#This Row],[Minutes per unit]]/60/tblRouting[[#This Row],[Yield]]))</f>
        <v>4.93333333333333</v>
      </c>
      <c r="N9" s="35">
        <f>IF(tblRouting[[#This Row],[Part]]="","",IF(OR(tblRouting[[#This Row],[Yield]]="",COUNTIF(tblDemand[Part],tblRouting[[#This Row],[Part]])=0),0,INDEX(tblDemand[Wk 9],MATCH(tblRouting[[#This Row],[Part]],tblDemand[Part],0))*tblRouting[[#This Row],[Minutes per unit]]/60/tblRouting[[#This Row],[Yield]]))</f>
        <v>5.6</v>
      </c>
      <c r="O9" s="35">
        <f>IF(tblRouting[[#This Row],[Part]]="","",IF(OR(tblRouting[[#This Row],[Yield]]="",COUNTIF(tblDemand[Part],tblRouting[[#This Row],[Part]])=0),0,INDEX(tblDemand[Wk 10],MATCH(tblRouting[[#This Row],[Part]],tblDemand[Part],0))*tblRouting[[#This Row],[Minutes per unit]]/60/tblRouting[[#This Row],[Yield]]))</f>
        <v>5.06666666666667</v>
      </c>
      <c r="P9" s="35">
        <f>IF(tblRouting[[#This Row],[Part]]="","",IF(OR(tblRouting[[#This Row],[Yield]]="",COUNTIF(tblDemand[Part],tblRouting[[#This Row],[Part]])=0),0,INDEX(tblDemand[Wk 11],MATCH(tblRouting[[#This Row],[Part]],tblDemand[Part],0))*tblRouting[[#This Row],[Minutes per unit]]/60/tblRouting[[#This Row],[Yield]]))</f>
        <v>5.46666666666667</v>
      </c>
      <c r="Q9" s="35">
        <f>IF(tblRouting[[#This Row],[Part]]="","",IF(OR(tblRouting[[#This Row],[Yield]]="",COUNTIF(tblDemand[Part],tblRouting[[#This Row],[Part]])=0),0,INDEX(tblDemand[Wk 12],MATCH(tblRouting[[#This Row],[Part]],tblDemand[Part],0))*tblRouting[[#This Row],[Minutes per unit]]/60/tblRouting[[#This Row],[Yield]]))</f>
        <v>5.06666666666667</v>
      </c>
      <c r="R9" s="40" t="str">
        <f>IF(tblRouting[[#This Row],[Part]]="","",IF(tblRouting[[#This Row],[Minutes per unit]]="","Missing minutes per unit",IF(tblRouting[[#This Row],[Yield]]="","Work centre not on Setup",IF(COUNTIF(tblDemand[Part],tblRouting[[#This Row],[Part]])=0,"Part not on Demand Plan","OK"))))</f>
        <v>OK</v>
      </c>
      <c r="S9" s="28" t="s">
        <v>134</v>
      </c>
    </row>
    <row r="10" spans="1:19">
      <c r="B10" s="28" t="s">
        <v>113</v>
      </c>
      <c r="C10" s="28" t="s">
        <v>80</v>
      </c>
      <c r="D10" s="41">
        <v>0.5</v>
      </c>
      <c r="E10" s="42">
        <f>IF(tblRouting[[#This Row],[Part]]="","",IFERROR(INDEX(tblWorkCentres[Yield],MATCH(tblRouting[[#This Row],[Work centre]],tblWorkCentres[Work centre],0)),""))</f>
        <v>0.995</v>
      </c>
      <c r="F10" s="35">
        <f>IF(tblRouting[[#This Row],[Part]]="","",IF(OR(tblRouting[[#This Row],[Yield]]="",COUNTIF(tblDemand[Part],tblRouting[[#This Row],[Part]])=0),0,INDEX(tblDemand[Wk 1],MATCH(tblRouting[[#This Row],[Part]],tblDemand[Part],0))*tblRouting[[#This Row],[Minutes per unit]]/60/tblRouting[[#This Row],[Yield]]))</f>
        <v>2.42881072026801</v>
      </c>
      <c r="G10" s="35">
        <f>IF(tblRouting[[#This Row],[Part]]="","",IF(OR(tblRouting[[#This Row],[Yield]]="",COUNTIF(tblDemand[Part],tblRouting[[#This Row],[Part]])=0),0,INDEX(tblDemand[Wk 2],MATCH(tblRouting[[#This Row],[Part]],tblDemand[Part],0))*tblRouting[[#This Row],[Minutes per unit]]/60/tblRouting[[#This Row],[Yield]]))</f>
        <v>2.26130653266332</v>
      </c>
      <c r="H10" s="35">
        <f>IF(tblRouting[[#This Row],[Part]]="","",IF(OR(tblRouting[[#This Row],[Yield]]="",COUNTIF(tblDemand[Part],tblRouting[[#This Row],[Part]])=0),0,INDEX(tblDemand[Wk 3],MATCH(tblRouting[[#This Row],[Part]],tblDemand[Part],0))*tblRouting[[#This Row],[Minutes per unit]]/60/tblRouting[[#This Row],[Yield]]))</f>
        <v>2.5963149078727</v>
      </c>
      <c r="I10" s="35">
        <f>IF(tblRouting[[#This Row],[Part]]="","",IF(OR(tblRouting[[#This Row],[Yield]]="",COUNTIF(tblDemand[Part],tblRouting[[#This Row],[Part]])=0),0,INDEX(tblDemand[Wk 4],MATCH(tblRouting[[#This Row],[Part]],tblDemand[Part],0))*tblRouting[[#This Row],[Minutes per unit]]/60/tblRouting[[#This Row],[Yield]]))</f>
        <v>2.34505862646566</v>
      </c>
      <c r="J10" s="35">
        <f>IF(tblRouting[[#This Row],[Part]]="","",IF(OR(tblRouting[[#This Row],[Yield]]="",COUNTIF(tblDemand[Part],tblRouting[[#This Row],[Part]])=0),0,INDEX(tblDemand[Wk 5],MATCH(tblRouting[[#This Row],[Part]],tblDemand[Part],0))*tblRouting[[#This Row],[Minutes per unit]]/60/tblRouting[[#This Row],[Yield]]))</f>
        <v>2.26130653266332</v>
      </c>
      <c r="K10" s="35">
        <f>IF(tblRouting[[#This Row],[Part]]="","",IF(OR(tblRouting[[#This Row],[Yield]]="",COUNTIF(tblDemand[Part],tblRouting[[#This Row],[Part]])=0),0,INDEX(tblDemand[Wk 6],MATCH(tblRouting[[#This Row],[Part]],tblDemand[Part],0))*tblRouting[[#This Row],[Minutes per unit]]/60/tblRouting[[#This Row],[Yield]]))</f>
        <v>3.3500837520938</v>
      </c>
      <c r="L10" s="35">
        <f>IF(tblRouting[[#This Row],[Part]]="","",IF(OR(tblRouting[[#This Row],[Yield]]="",COUNTIF(tblDemand[Part],tblRouting[[#This Row],[Part]])=0),0,INDEX(tblDemand[Wk 7],MATCH(tblRouting[[#This Row],[Part]],tblDemand[Part],0))*tblRouting[[#This Row],[Minutes per unit]]/60/tblRouting[[#This Row],[Yield]]))</f>
        <v>3.60134003350084</v>
      </c>
      <c r="M10" s="35">
        <f>IF(tblRouting[[#This Row],[Part]]="","",IF(OR(tblRouting[[#This Row],[Yield]]="",COUNTIF(tblDemand[Part],tblRouting[[#This Row],[Part]])=0),0,INDEX(tblDemand[Wk 8],MATCH(tblRouting[[#This Row],[Part]],tblDemand[Part],0))*tblRouting[[#This Row],[Minutes per unit]]/60/tblRouting[[#This Row],[Yield]]))</f>
        <v>3.09882747068677</v>
      </c>
      <c r="N10" s="35">
        <f>IF(tblRouting[[#This Row],[Part]]="","",IF(OR(tblRouting[[#This Row],[Yield]]="",COUNTIF(tblDemand[Part],tblRouting[[#This Row],[Part]])=0),0,INDEX(tblDemand[Wk 9],MATCH(tblRouting[[#This Row],[Part]],tblDemand[Part],0))*tblRouting[[#This Row],[Minutes per unit]]/60/tblRouting[[#This Row],[Yield]]))</f>
        <v>3.43383584589615</v>
      </c>
      <c r="O10" s="35">
        <f>IF(tblRouting[[#This Row],[Part]]="","",IF(OR(tblRouting[[#This Row],[Yield]]="",COUNTIF(tblDemand[Part],tblRouting[[#This Row],[Part]])=0),0,INDEX(tblDemand[Wk 10],MATCH(tblRouting[[#This Row],[Part]],tblDemand[Part],0))*tblRouting[[#This Row],[Minutes per unit]]/60/tblRouting[[#This Row],[Yield]]))</f>
        <v>3.51758793969849</v>
      </c>
      <c r="P10" s="35">
        <f>IF(tblRouting[[#This Row],[Part]]="","",IF(OR(tblRouting[[#This Row],[Yield]]="",COUNTIF(tblDemand[Part],tblRouting[[#This Row],[Part]])=0),0,INDEX(tblDemand[Wk 11],MATCH(tblRouting[[#This Row],[Part]],tblDemand[Part],0))*tblRouting[[#This Row],[Minutes per unit]]/60/tblRouting[[#This Row],[Yield]]))</f>
        <v>3.26633165829146</v>
      </c>
      <c r="Q10" s="35">
        <f>IF(tblRouting[[#This Row],[Part]]="","",IF(OR(tblRouting[[#This Row],[Yield]]="",COUNTIF(tblDemand[Part],tblRouting[[#This Row],[Part]])=0),0,INDEX(tblDemand[Wk 12],MATCH(tblRouting[[#This Row],[Part]],tblDemand[Part],0))*tblRouting[[#This Row],[Minutes per unit]]/60/tblRouting[[#This Row],[Yield]]))</f>
        <v>3.60134003350084</v>
      </c>
      <c r="R10" s="40" t="str">
        <f>IF(tblRouting[[#This Row],[Part]]="","",IF(tblRouting[[#This Row],[Minutes per unit]]="","Missing minutes per unit",IF(tblRouting[[#This Row],[Yield]]="","Work centre not on Setup",IF(COUNTIF(tblDemand[Part],tblRouting[[#This Row],[Part]])=0,"Part not on Demand Plan","OK"))))</f>
        <v>OK</v>
      </c>
      <c r="S10" s="28" t="s">
        <v>134</v>
      </c>
    </row>
    <row r="11" spans="1:19">
      <c r="B11" s="28" t="s">
        <v>113</v>
      </c>
      <c r="C11" s="28" t="s">
        <v>82</v>
      </c>
      <c r="D11" s="41">
        <v>4</v>
      </c>
      <c r="E11" s="42">
        <f>IF(tblRouting[[#This Row],[Part]]="","",IFERROR(INDEX(tblWorkCentres[Yield],MATCH(tblRouting[[#This Row],[Work centre]],tblWorkCentres[Work centre],0)),""))</f>
        <v>0.97</v>
      </c>
      <c r="F11" s="35">
        <f>IF(tblRouting[[#This Row],[Part]]="","",IF(OR(tblRouting[[#This Row],[Yield]]="",COUNTIF(tblDemand[Part],tblRouting[[#This Row],[Part]])=0),0,INDEX(tblDemand[Wk 1],MATCH(tblRouting[[#This Row],[Part]],tblDemand[Part],0))*tblRouting[[#This Row],[Minutes per unit]]/60/tblRouting[[#This Row],[Yield]]))</f>
        <v>19.9312714776632</v>
      </c>
      <c r="G11" s="35">
        <f>IF(tblRouting[[#This Row],[Part]]="","",IF(OR(tblRouting[[#This Row],[Yield]]="",COUNTIF(tblDemand[Part],tblRouting[[#This Row],[Part]])=0),0,INDEX(tblDemand[Wk 2],MATCH(tblRouting[[#This Row],[Part]],tblDemand[Part],0))*tblRouting[[#This Row],[Minutes per unit]]/60/tblRouting[[#This Row],[Yield]]))</f>
        <v>18.5567010309278</v>
      </c>
      <c r="H11" s="35">
        <f>IF(tblRouting[[#This Row],[Part]]="","",IF(OR(tblRouting[[#This Row],[Yield]]="",COUNTIF(tblDemand[Part],tblRouting[[#This Row],[Part]])=0),0,INDEX(tblDemand[Wk 3],MATCH(tblRouting[[#This Row],[Part]],tblDemand[Part],0))*tblRouting[[#This Row],[Minutes per unit]]/60/tblRouting[[#This Row],[Yield]]))</f>
        <v>21.3058419243986</v>
      </c>
      <c r="I11" s="35">
        <f>IF(tblRouting[[#This Row],[Part]]="","",IF(OR(tblRouting[[#This Row],[Yield]]="",COUNTIF(tblDemand[Part],tblRouting[[#This Row],[Part]])=0),0,INDEX(tblDemand[Wk 4],MATCH(tblRouting[[#This Row],[Part]],tblDemand[Part],0))*tblRouting[[#This Row],[Minutes per unit]]/60/tblRouting[[#This Row],[Yield]]))</f>
        <v>19.2439862542955</v>
      </c>
      <c r="J11" s="35">
        <f>IF(tblRouting[[#This Row],[Part]]="","",IF(OR(tblRouting[[#This Row],[Yield]]="",COUNTIF(tblDemand[Part],tblRouting[[#This Row],[Part]])=0),0,INDEX(tblDemand[Wk 5],MATCH(tblRouting[[#This Row],[Part]],tblDemand[Part],0))*tblRouting[[#This Row],[Minutes per unit]]/60/tblRouting[[#This Row],[Yield]]))</f>
        <v>18.5567010309278</v>
      </c>
      <c r="K11" s="35">
        <f>IF(tblRouting[[#This Row],[Part]]="","",IF(OR(tblRouting[[#This Row],[Yield]]="",COUNTIF(tblDemand[Part],tblRouting[[#This Row],[Part]])=0),0,INDEX(tblDemand[Wk 6],MATCH(tblRouting[[#This Row],[Part]],tblDemand[Part],0))*tblRouting[[#This Row],[Minutes per unit]]/60/tblRouting[[#This Row],[Yield]]))</f>
        <v>27.4914089347079</v>
      </c>
      <c r="L11" s="35">
        <f>IF(tblRouting[[#This Row],[Part]]="","",IF(OR(tblRouting[[#This Row],[Yield]]="",COUNTIF(tblDemand[Part],tblRouting[[#This Row],[Part]])=0),0,INDEX(tblDemand[Wk 7],MATCH(tblRouting[[#This Row],[Part]],tblDemand[Part],0))*tblRouting[[#This Row],[Minutes per unit]]/60/tblRouting[[#This Row],[Yield]]))</f>
        <v>29.553264604811</v>
      </c>
      <c r="M11" s="35">
        <f>IF(tblRouting[[#This Row],[Part]]="","",IF(OR(tblRouting[[#This Row],[Yield]]="",COUNTIF(tblDemand[Part],tblRouting[[#This Row],[Part]])=0),0,INDEX(tblDemand[Wk 8],MATCH(tblRouting[[#This Row],[Part]],tblDemand[Part],0))*tblRouting[[#This Row],[Minutes per unit]]/60/tblRouting[[#This Row],[Yield]]))</f>
        <v>25.4295532646048</v>
      </c>
      <c r="N11" s="35">
        <f>IF(tblRouting[[#This Row],[Part]]="","",IF(OR(tblRouting[[#This Row],[Yield]]="",COUNTIF(tblDemand[Part],tblRouting[[#This Row],[Part]])=0),0,INDEX(tblDemand[Wk 9],MATCH(tblRouting[[#This Row],[Part]],tblDemand[Part],0))*tblRouting[[#This Row],[Minutes per unit]]/60/tblRouting[[#This Row],[Yield]]))</f>
        <v>28.1786941580756</v>
      </c>
      <c r="O11" s="35">
        <f>IF(tblRouting[[#This Row],[Part]]="","",IF(OR(tblRouting[[#This Row],[Yield]]="",COUNTIF(tblDemand[Part],tblRouting[[#This Row],[Part]])=0),0,INDEX(tblDemand[Wk 10],MATCH(tblRouting[[#This Row],[Part]],tblDemand[Part],0))*tblRouting[[#This Row],[Minutes per unit]]/60/tblRouting[[#This Row],[Yield]]))</f>
        <v>28.8659793814433</v>
      </c>
      <c r="P11" s="35">
        <f>IF(tblRouting[[#This Row],[Part]]="","",IF(OR(tblRouting[[#This Row],[Yield]]="",COUNTIF(tblDemand[Part],tblRouting[[#This Row],[Part]])=0),0,INDEX(tblDemand[Wk 11],MATCH(tblRouting[[#This Row],[Part]],tblDemand[Part],0))*tblRouting[[#This Row],[Minutes per unit]]/60/tblRouting[[#This Row],[Yield]]))</f>
        <v>26.8041237113402</v>
      </c>
      <c r="Q11" s="35">
        <f>IF(tblRouting[[#This Row],[Part]]="","",IF(OR(tblRouting[[#This Row],[Yield]]="",COUNTIF(tblDemand[Part],tblRouting[[#This Row],[Part]])=0),0,INDEX(tblDemand[Wk 12],MATCH(tblRouting[[#This Row],[Part]],tblDemand[Part],0))*tblRouting[[#This Row],[Minutes per unit]]/60/tblRouting[[#This Row],[Yield]]))</f>
        <v>29.553264604811</v>
      </c>
      <c r="R11" s="40" t="str">
        <f>IF(tblRouting[[#This Row],[Part]]="","",IF(tblRouting[[#This Row],[Minutes per unit]]="","Missing minutes per unit",IF(tblRouting[[#This Row],[Yield]]="","Work centre not on Setup",IF(COUNTIF(tblDemand[Part],tblRouting[[#This Row],[Part]])=0,"Part not on Demand Plan","OK"))))</f>
        <v>OK</v>
      </c>
      <c r="S11" s="28" t="s">
        <v>134</v>
      </c>
    </row>
    <row r="12" spans="1:19">
      <c r="B12" s="28" t="s">
        <v>113</v>
      </c>
      <c r="C12" s="28" t="s">
        <v>84</v>
      </c>
      <c r="D12" s="41">
        <v>6.5</v>
      </c>
      <c r="E12" s="42">
        <f>IF(tblRouting[[#This Row],[Part]]="","",IFERROR(INDEX(tblWorkCentres[Yield],MATCH(tblRouting[[#This Row],[Work centre]],tblWorkCentres[Work centre],0)),""))</f>
        <v>0.97</v>
      </c>
      <c r="F12" s="35">
        <f>IF(tblRouting[[#This Row],[Part]]="","",IF(OR(tblRouting[[#This Row],[Yield]]="",COUNTIF(tblDemand[Part],tblRouting[[#This Row],[Part]])=0),0,INDEX(tblDemand[Wk 1],MATCH(tblRouting[[#This Row],[Part]],tblDemand[Part],0))*tblRouting[[#This Row],[Minutes per unit]]/60/tblRouting[[#This Row],[Yield]]))</f>
        <v>32.3883161512028</v>
      </c>
      <c r="G12" s="35">
        <f>IF(tblRouting[[#This Row],[Part]]="","",IF(OR(tblRouting[[#This Row],[Yield]]="",COUNTIF(tblDemand[Part],tblRouting[[#This Row],[Part]])=0),0,INDEX(tblDemand[Wk 2],MATCH(tblRouting[[#This Row],[Part]],tblDemand[Part],0))*tblRouting[[#This Row],[Minutes per unit]]/60/tblRouting[[#This Row],[Yield]]))</f>
        <v>30.1546391752577</v>
      </c>
      <c r="H12" s="35">
        <f>IF(tblRouting[[#This Row],[Part]]="","",IF(OR(tblRouting[[#This Row],[Yield]]="",COUNTIF(tblDemand[Part],tblRouting[[#This Row],[Part]])=0),0,INDEX(tblDemand[Wk 3],MATCH(tblRouting[[#This Row],[Part]],tblDemand[Part],0))*tblRouting[[#This Row],[Minutes per unit]]/60/tblRouting[[#This Row],[Yield]]))</f>
        <v>34.6219931271478</v>
      </c>
      <c r="I12" s="35">
        <f>IF(tblRouting[[#This Row],[Part]]="","",IF(OR(tblRouting[[#This Row],[Yield]]="",COUNTIF(tblDemand[Part],tblRouting[[#This Row],[Part]])=0),0,INDEX(tblDemand[Wk 4],MATCH(tblRouting[[#This Row],[Part]],tblDemand[Part],0))*tblRouting[[#This Row],[Minutes per unit]]/60/tblRouting[[#This Row],[Yield]]))</f>
        <v>31.2714776632302</v>
      </c>
      <c r="J12" s="35">
        <f>IF(tblRouting[[#This Row],[Part]]="","",IF(OR(tblRouting[[#This Row],[Yield]]="",COUNTIF(tblDemand[Part],tblRouting[[#This Row],[Part]])=0),0,INDEX(tblDemand[Wk 5],MATCH(tblRouting[[#This Row],[Part]],tblDemand[Part],0))*tblRouting[[#This Row],[Minutes per unit]]/60/tblRouting[[#This Row],[Yield]]))</f>
        <v>30.1546391752577</v>
      </c>
      <c r="K12" s="35">
        <f>IF(tblRouting[[#This Row],[Part]]="","",IF(OR(tblRouting[[#This Row],[Yield]]="",COUNTIF(tblDemand[Part],tblRouting[[#This Row],[Part]])=0),0,INDEX(tblDemand[Wk 6],MATCH(tblRouting[[#This Row],[Part]],tblDemand[Part],0))*tblRouting[[#This Row],[Minutes per unit]]/60/tblRouting[[#This Row],[Yield]]))</f>
        <v>44.6735395189004</v>
      </c>
      <c r="L12" s="35">
        <f>IF(tblRouting[[#This Row],[Part]]="","",IF(OR(tblRouting[[#This Row],[Yield]]="",COUNTIF(tblDemand[Part],tblRouting[[#This Row],[Part]])=0),0,INDEX(tblDemand[Wk 7],MATCH(tblRouting[[#This Row],[Part]],tblDemand[Part],0))*tblRouting[[#This Row],[Minutes per unit]]/60/tblRouting[[#This Row],[Yield]]))</f>
        <v>48.0240549828179</v>
      </c>
      <c r="M12" s="35">
        <f>IF(tblRouting[[#This Row],[Part]]="","",IF(OR(tblRouting[[#This Row],[Yield]]="",COUNTIF(tblDemand[Part],tblRouting[[#This Row],[Part]])=0),0,INDEX(tblDemand[Wk 8],MATCH(tblRouting[[#This Row],[Part]],tblDemand[Part],0))*tblRouting[[#This Row],[Minutes per unit]]/60/tblRouting[[#This Row],[Yield]]))</f>
        <v>41.3230240549828</v>
      </c>
      <c r="N12" s="35">
        <f>IF(tblRouting[[#This Row],[Part]]="","",IF(OR(tblRouting[[#This Row],[Yield]]="",COUNTIF(tblDemand[Part],tblRouting[[#This Row],[Part]])=0),0,INDEX(tblDemand[Wk 9],MATCH(tblRouting[[#This Row],[Part]],tblDemand[Part],0))*tblRouting[[#This Row],[Minutes per unit]]/60/tblRouting[[#This Row],[Yield]]))</f>
        <v>45.7903780068729</v>
      </c>
      <c r="O12" s="35">
        <f>IF(tblRouting[[#This Row],[Part]]="","",IF(OR(tblRouting[[#This Row],[Yield]]="",COUNTIF(tblDemand[Part],tblRouting[[#This Row],[Part]])=0),0,INDEX(tblDemand[Wk 10],MATCH(tblRouting[[#This Row],[Part]],tblDemand[Part],0))*tblRouting[[#This Row],[Minutes per unit]]/60/tblRouting[[#This Row],[Yield]]))</f>
        <v>46.9072164948454</v>
      </c>
      <c r="P12" s="35">
        <f>IF(tblRouting[[#This Row],[Part]]="","",IF(OR(tblRouting[[#This Row],[Yield]]="",COUNTIF(tblDemand[Part],tblRouting[[#This Row],[Part]])=0),0,INDEX(tblDemand[Wk 11],MATCH(tblRouting[[#This Row],[Part]],tblDemand[Part],0))*tblRouting[[#This Row],[Minutes per unit]]/60/tblRouting[[#This Row],[Yield]]))</f>
        <v>43.5567010309278</v>
      </c>
      <c r="Q12" s="35">
        <f>IF(tblRouting[[#This Row],[Part]]="","",IF(OR(tblRouting[[#This Row],[Yield]]="",COUNTIF(tblDemand[Part],tblRouting[[#This Row],[Part]])=0),0,INDEX(tblDemand[Wk 12],MATCH(tblRouting[[#This Row],[Part]],tblDemand[Part],0))*tblRouting[[#This Row],[Minutes per unit]]/60/tblRouting[[#This Row],[Yield]]))</f>
        <v>48.0240549828179</v>
      </c>
      <c r="R12" s="40" t="str">
        <f>IF(tblRouting[[#This Row],[Part]]="","",IF(tblRouting[[#This Row],[Minutes per unit]]="","Missing minutes per unit",IF(tblRouting[[#This Row],[Yield]]="","Work centre not on Setup",IF(COUNTIF(tblDemand[Part],tblRouting[[#This Row],[Part]])=0,"Part not on Demand Plan","OK"))))</f>
        <v>OK</v>
      </c>
      <c r="S12" s="28" t="s">
        <v>134</v>
      </c>
    </row>
    <row r="13" spans="1:19">
      <c r="B13" s="28" t="s">
        <v>113</v>
      </c>
      <c r="C13" s="28" t="s">
        <v>88</v>
      </c>
      <c r="D13" s="41">
        <v>1.5</v>
      </c>
      <c r="E13" s="42">
        <f>IF(tblRouting[[#This Row],[Part]]="","",IFERROR(INDEX(tblWorkCentres[Yield],MATCH(tblRouting[[#This Row],[Work centre]],tblWorkCentres[Work centre],0)),""))</f>
        <v>0.995</v>
      </c>
      <c r="F13" s="35">
        <f>IF(tblRouting[[#This Row],[Part]]="","",IF(OR(tblRouting[[#This Row],[Yield]]="",COUNTIF(tblDemand[Part],tblRouting[[#This Row],[Part]])=0),0,INDEX(tblDemand[Wk 1],MATCH(tblRouting[[#This Row],[Part]],tblDemand[Part],0))*tblRouting[[#This Row],[Minutes per unit]]/60/tblRouting[[#This Row],[Yield]]))</f>
        <v>7.28643216080402</v>
      </c>
      <c r="G13" s="35">
        <f>IF(tblRouting[[#This Row],[Part]]="","",IF(OR(tblRouting[[#This Row],[Yield]]="",COUNTIF(tblDemand[Part],tblRouting[[#This Row],[Part]])=0),0,INDEX(tblDemand[Wk 2],MATCH(tblRouting[[#This Row],[Part]],tblDemand[Part],0))*tblRouting[[#This Row],[Minutes per unit]]/60/tblRouting[[#This Row],[Yield]]))</f>
        <v>6.78391959798995</v>
      </c>
      <c r="H13" s="35">
        <f>IF(tblRouting[[#This Row],[Part]]="","",IF(OR(tblRouting[[#This Row],[Yield]]="",COUNTIF(tblDemand[Part],tblRouting[[#This Row],[Part]])=0),0,INDEX(tblDemand[Wk 3],MATCH(tblRouting[[#This Row],[Part]],tblDemand[Part],0))*tblRouting[[#This Row],[Minutes per unit]]/60/tblRouting[[#This Row],[Yield]]))</f>
        <v>7.78894472361809</v>
      </c>
      <c r="I13" s="35">
        <f>IF(tblRouting[[#This Row],[Part]]="","",IF(OR(tblRouting[[#This Row],[Yield]]="",COUNTIF(tblDemand[Part],tblRouting[[#This Row],[Part]])=0),0,INDEX(tblDemand[Wk 4],MATCH(tblRouting[[#This Row],[Part]],tblDemand[Part],0))*tblRouting[[#This Row],[Minutes per unit]]/60/tblRouting[[#This Row],[Yield]]))</f>
        <v>7.03517587939699</v>
      </c>
      <c r="J13" s="35">
        <f>IF(tblRouting[[#This Row],[Part]]="","",IF(OR(tblRouting[[#This Row],[Yield]]="",COUNTIF(tblDemand[Part],tblRouting[[#This Row],[Part]])=0),0,INDEX(tblDemand[Wk 5],MATCH(tblRouting[[#This Row],[Part]],tblDemand[Part],0))*tblRouting[[#This Row],[Minutes per unit]]/60/tblRouting[[#This Row],[Yield]]))</f>
        <v>6.78391959798995</v>
      </c>
      <c r="K13" s="35">
        <f>IF(tblRouting[[#This Row],[Part]]="","",IF(OR(tblRouting[[#This Row],[Yield]]="",COUNTIF(tblDemand[Part],tblRouting[[#This Row],[Part]])=0),0,INDEX(tblDemand[Wk 6],MATCH(tblRouting[[#This Row],[Part]],tblDemand[Part],0))*tblRouting[[#This Row],[Minutes per unit]]/60/tblRouting[[#This Row],[Yield]]))</f>
        <v>10.0502512562814</v>
      </c>
      <c r="L13" s="35">
        <f>IF(tblRouting[[#This Row],[Part]]="","",IF(OR(tblRouting[[#This Row],[Yield]]="",COUNTIF(tblDemand[Part],tblRouting[[#This Row],[Part]])=0),0,INDEX(tblDemand[Wk 7],MATCH(tblRouting[[#This Row],[Part]],tblDemand[Part],0))*tblRouting[[#This Row],[Minutes per unit]]/60/tblRouting[[#This Row],[Yield]]))</f>
        <v>10.8040201005025</v>
      </c>
      <c r="M13" s="35">
        <f>IF(tblRouting[[#This Row],[Part]]="","",IF(OR(tblRouting[[#This Row],[Yield]]="",COUNTIF(tblDemand[Part],tblRouting[[#This Row],[Part]])=0),0,INDEX(tblDemand[Wk 8],MATCH(tblRouting[[#This Row],[Part]],tblDemand[Part],0))*tblRouting[[#This Row],[Minutes per unit]]/60/tblRouting[[#This Row],[Yield]]))</f>
        <v>9.2964824120603</v>
      </c>
      <c r="N13" s="35">
        <f>IF(tblRouting[[#This Row],[Part]]="","",IF(OR(tblRouting[[#This Row],[Yield]]="",COUNTIF(tblDemand[Part],tblRouting[[#This Row],[Part]])=0),0,INDEX(tblDemand[Wk 9],MATCH(tblRouting[[#This Row],[Part]],tblDemand[Part],0))*tblRouting[[#This Row],[Minutes per unit]]/60/tblRouting[[#This Row],[Yield]]))</f>
        <v>10.3015075376884</v>
      </c>
      <c r="O13" s="35">
        <f>IF(tblRouting[[#This Row],[Part]]="","",IF(OR(tblRouting[[#This Row],[Yield]]="",COUNTIF(tblDemand[Part],tblRouting[[#This Row],[Part]])=0),0,INDEX(tblDemand[Wk 10],MATCH(tblRouting[[#This Row],[Part]],tblDemand[Part],0))*tblRouting[[#This Row],[Minutes per unit]]/60/tblRouting[[#This Row],[Yield]]))</f>
        <v>10.5527638190955</v>
      </c>
      <c r="P13" s="35">
        <f>IF(tblRouting[[#This Row],[Part]]="","",IF(OR(tblRouting[[#This Row],[Yield]]="",COUNTIF(tblDemand[Part],tblRouting[[#This Row],[Part]])=0),0,INDEX(tblDemand[Wk 11],MATCH(tblRouting[[#This Row],[Part]],tblDemand[Part],0))*tblRouting[[#This Row],[Minutes per unit]]/60/tblRouting[[#This Row],[Yield]]))</f>
        <v>9.79899497487437</v>
      </c>
      <c r="Q13" s="35">
        <f>IF(tblRouting[[#This Row],[Part]]="","",IF(OR(tblRouting[[#This Row],[Yield]]="",COUNTIF(tblDemand[Part],tblRouting[[#This Row],[Part]])=0),0,INDEX(tblDemand[Wk 12],MATCH(tblRouting[[#This Row],[Part]],tblDemand[Part],0))*tblRouting[[#This Row],[Minutes per unit]]/60/tblRouting[[#This Row],[Yield]]))</f>
        <v>10.8040201005025</v>
      </c>
      <c r="R13" s="40" t="str">
        <f>IF(tblRouting[[#This Row],[Part]]="","",IF(tblRouting[[#This Row],[Minutes per unit]]="","Missing minutes per unit",IF(tblRouting[[#This Row],[Yield]]="","Work centre not on Setup",IF(COUNTIF(tblDemand[Part],tblRouting[[#This Row],[Part]])=0,"Part not on Demand Plan","OK"))))</f>
        <v>OK</v>
      </c>
      <c r="S13" s="28" t="s">
        <v>134</v>
      </c>
    </row>
    <row r="14" spans="1:19">
      <c r="B14" s="28" t="s">
        <v>113</v>
      </c>
      <c r="C14" s="28" t="s">
        <v>90</v>
      </c>
      <c r="D14" s="41">
        <v>1</v>
      </c>
      <c r="E14" s="42">
        <f>IF(tblRouting[[#This Row],[Part]]="","",IFERROR(INDEX(tblWorkCentres[Yield],MATCH(tblRouting[[#This Row],[Work centre]],tblWorkCentres[Work centre],0)),""))</f>
        <v>1</v>
      </c>
      <c r="F14" s="35">
        <f>IF(tblRouting[[#This Row],[Part]]="","",IF(OR(tblRouting[[#This Row],[Yield]]="",COUNTIF(tblDemand[Part],tblRouting[[#This Row],[Part]])=0),0,INDEX(tblDemand[Wk 1],MATCH(tblRouting[[#This Row],[Part]],tblDemand[Part],0))*tblRouting[[#This Row],[Minutes per unit]]/60/tblRouting[[#This Row],[Yield]]))</f>
        <v>4.83333333333333</v>
      </c>
      <c r="G14" s="35">
        <f>IF(tblRouting[[#This Row],[Part]]="","",IF(OR(tblRouting[[#This Row],[Yield]]="",COUNTIF(tblDemand[Part],tblRouting[[#This Row],[Part]])=0),0,INDEX(tblDemand[Wk 2],MATCH(tblRouting[[#This Row],[Part]],tblDemand[Part],0))*tblRouting[[#This Row],[Minutes per unit]]/60/tblRouting[[#This Row],[Yield]]))</f>
        <v>4.5</v>
      </c>
      <c r="H14" s="35">
        <f>IF(tblRouting[[#This Row],[Part]]="","",IF(OR(tblRouting[[#This Row],[Yield]]="",COUNTIF(tblDemand[Part],tblRouting[[#This Row],[Part]])=0),0,INDEX(tblDemand[Wk 3],MATCH(tblRouting[[#This Row],[Part]],tblDemand[Part],0))*tblRouting[[#This Row],[Minutes per unit]]/60/tblRouting[[#This Row],[Yield]]))</f>
        <v>5.16666666666667</v>
      </c>
      <c r="I14" s="35">
        <f>IF(tblRouting[[#This Row],[Part]]="","",IF(OR(tblRouting[[#This Row],[Yield]]="",COUNTIF(tblDemand[Part],tblRouting[[#This Row],[Part]])=0),0,INDEX(tblDemand[Wk 4],MATCH(tblRouting[[#This Row],[Part]],tblDemand[Part],0))*tblRouting[[#This Row],[Minutes per unit]]/60/tblRouting[[#This Row],[Yield]]))</f>
        <v>4.66666666666667</v>
      </c>
      <c r="J14" s="35">
        <f>IF(tblRouting[[#This Row],[Part]]="","",IF(OR(tblRouting[[#This Row],[Yield]]="",COUNTIF(tblDemand[Part],tblRouting[[#This Row],[Part]])=0),0,INDEX(tblDemand[Wk 5],MATCH(tblRouting[[#This Row],[Part]],tblDemand[Part],0))*tblRouting[[#This Row],[Minutes per unit]]/60/tblRouting[[#This Row],[Yield]]))</f>
        <v>4.5</v>
      </c>
      <c r="K14" s="35">
        <f>IF(tblRouting[[#This Row],[Part]]="","",IF(OR(tblRouting[[#This Row],[Yield]]="",COUNTIF(tblDemand[Part],tblRouting[[#This Row],[Part]])=0),0,INDEX(tblDemand[Wk 6],MATCH(tblRouting[[#This Row],[Part]],tblDemand[Part],0))*tblRouting[[#This Row],[Minutes per unit]]/60/tblRouting[[#This Row],[Yield]]))</f>
        <v>6.66666666666667</v>
      </c>
      <c r="L14" s="35">
        <f>IF(tblRouting[[#This Row],[Part]]="","",IF(OR(tblRouting[[#This Row],[Yield]]="",COUNTIF(tblDemand[Part],tblRouting[[#This Row],[Part]])=0),0,INDEX(tblDemand[Wk 7],MATCH(tblRouting[[#This Row],[Part]],tblDemand[Part],0))*tblRouting[[#This Row],[Minutes per unit]]/60/tblRouting[[#This Row],[Yield]]))</f>
        <v>7.16666666666667</v>
      </c>
      <c r="M14" s="35">
        <f>IF(tblRouting[[#This Row],[Part]]="","",IF(OR(tblRouting[[#This Row],[Yield]]="",COUNTIF(tblDemand[Part],tblRouting[[#This Row],[Part]])=0),0,INDEX(tblDemand[Wk 8],MATCH(tblRouting[[#This Row],[Part]],tblDemand[Part],0))*tblRouting[[#This Row],[Minutes per unit]]/60/tblRouting[[#This Row],[Yield]]))</f>
        <v>6.16666666666667</v>
      </c>
      <c r="N14" s="35">
        <f>IF(tblRouting[[#This Row],[Part]]="","",IF(OR(tblRouting[[#This Row],[Yield]]="",COUNTIF(tblDemand[Part],tblRouting[[#This Row],[Part]])=0),0,INDEX(tblDemand[Wk 9],MATCH(tblRouting[[#This Row],[Part]],tblDemand[Part],0))*tblRouting[[#This Row],[Minutes per unit]]/60/tblRouting[[#This Row],[Yield]]))</f>
        <v>6.83333333333333</v>
      </c>
      <c r="O14" s="35">
        <f>IF(tblRouting[[#This Row],[Part]]="","",IF(OR(tblRouting[[#This Row],[Yield]]="",COUNTIF(tblDemand[Part],tblRouting[[#This Row],[Part]])=0),0,INDEX(tblDemand[Wk 10],MATCH(tblRouting[[#This Row],[Part]],tblDemand[Part],0))*tblRouting[[#This Row],[Minutes per unit]]/60/tblRouting[[#This Row],[Yield]]))</f>
        <v>7</v>
      </c>
      <c r="P14" s="35">
        <f>IF(tblRouting[[#This Row],[Part]]="","",IF(OR(tblRouting[[#This Row],[Yield]]="",COUNTIF(tblDemand[Part],tblRouting[[#This Row],[Part]])=0),0,INDEX(tblDemand[Wk 11],MATCH(tblRouting[[#This Row],[Part]],tblDemand[Part],0))*tblRouting[[#This Row],[Minutes per unit]]/60/tblRouting[[#This Row],[Yield]]))</f>
        <v>6.5</v>
      </c>
      <c r="Q14" s="35">
        <f>IF(tblRouting[[#This Row],[Part]]="","",IF(OR(tblRouting[[#This Row],[Yield]]="",COUNTIF(tblDemand[Part],tblRouting[[#This Row],[Part]])=0),0,INDEX(tblDemand[Wk 12],MATCH(tblRouting[[#This Row],[Part]],tblDemand[Part],0))*tblRouting[[#This Row],[Minutes per unit]]/60/tblRouting[[#This Row],[Yield]]))</f>
        <v>7.16666666666667</v>
      </c>
      <c r="R14" s="40" t="str">
        <f>IF(tblRouting[[#This Row],[Part]]="","",IF(tblRouting[[#This Row],[Minutes per unit]]="","Missing minutes per unit",IF(tblRouting[[#This Row],[Yield]]="","Work centre not on Setup",IF(COUNTIF(tblDemand[Part],tblRouting[[#This Row],[Part]])=0,"Part not on Demand Plan","OK"))))</f>
        <v>OK</v>
      </c>
      <c r="S14" s="28" t="s">
        <v>134</v>
      </c>
    </row>
    <row r="15" spans="1:19">
      <c r="B15" s="28" t="s">
        <v>114</v>
      </c>
      <c r="C15" s="28" t="s">
        <v>84</v>
      </c>
      <c r="D15" s="41">
        <v>14</v>
      </c>
      <c r="E15" s="42">
        <f>IF(tblRouting[[#This Row],[Part]]="","",IFERROR(INDEX(tblWorkCentres[Yield],MATCH(tblRouting[[#This Row],[Work centre]],tblWorkCentres[Work centre],0)),""))</f>
        <v>0.97</v>
      </c>
      <c r="F15" s="35">
        <f>IF(tblRouting[[#This Row],[Part]]="","",IF(OR(tblRouting[[#This Row],[Yield]]="",COUNTIF(tblDemand[Part],tblRouting[[#This Row],[Part]])=0),0,INDEX(tblDemand[Wk 1],MATCH(tblRouting[[#This Row],[Part]],tblDemand[Part],0))*tblRouting[[#This Row],[Minutes per unit]]/60/tblRouting[[#This Row],[Yield]]))</f>
        <v>36.0824742268041</v>
      </c>
      <c r="G15" s="35">
        <f>IF(tblRouting[[#This Row],[Part]]="","",IF(OR(tblRouting[[#This Row],[Yield]]="",COUNTIF(tblDemand[Part],tblRouting[[#This Row],[Part]])=0),0,INDEX(tblDemand[Wk 2],MATCH(tblRouting[[#This Row],[Part]],tblDemand[Part],0))*tblRouting[[#This Row],[Minutes per unit]]/60/tblRouting[[#This Row],[Yield]]))</f>
        <v>38.4879725085911</v>
      </c>
      <c r="H15" s="35">
        <f>IF(tblRouting[[#This Row],[Part]]="","",IF(OR(tblRouting[[#This Row],[Yield]]="",COUNTIF(tblDemand[Part],tblRouting[[#This Row],[Part]])=0),0,INDEX(tblDemand[Wk 3],MATCH(tblRouting[[#This Row],[Part]],tblDemand[Part],0))*tblRouting[[#This Row],[Minutes per unit]]/60/tblRouting[[#This Row],[Yield]]))</f>
        <v>36.0824742268041</v>
      </c>
      <c r="I15" s="35">
        <f>IF(tblRouting[[#This Row],[Part]]="","",IF(OR(tblRouting[[#This Row],[Yield]]="",COUNTIF(tblDemand[Part],tblRouting[[#This Row],[Part]])=0),0,INDEX(tblDemand[Wk 4],MATCH(tblRouting[[#This Row],[Part]],tblDemand[Part],0))*tblRouting[[#This Row],[Minutes per unit]]/60/tblRouting[[#This Row],[Yield]]))</f>
        <v>33.6769759450172</v>
      </c>
      <c r="J15" s="35">
        <f>IF(tblRouting[[#This Row],[Part]]="","",IF(OR(tblRouting[[#This Row],[Yield]]="",COUNTIF(tblDemand[Part],tblRouting[[#This Row],[Part]])=0),0,INDEX(tblDemand[Wk 5],MATCH(tblRouting[[#This Row],[Part]],tblDemand[Part],0))*tblRouting[[#This Row],[Minutes per unit]]/60/tblRouting[[#This Row],[Yield]]))</f>
        <v>36.0824742268041</v>
      </c>
      <c r="K15" s="35">
        <f>IF(tblRouting[[#This Row],[Part]]="","",IF(OR(tblRouting[[#This Row],[Yield]]="",COUNTIF(tblDemand[Part],tblRouting[[#This Row],[Part]])=0),0,INDEX(tblDemand[Wk 6],MATCH(tblRouting[[#This Row],[Part]],tblDemand[Part],0))*tblRouting[[#This Row],[Minutes per unit]]/60/tblRouting[[#This Row],[Yield]]))</f>
        <v>55.3264604810997</v>
      </c>
      <c r="L15" s="35">
        <f>IF(tblRouting[[#This Row],[Part]]="","",IF(OR(tblRouting[[#This Row],[Yield]]="",COUNTIF(tblDemand[Part],tblRouting[[#This Row],[Part]])=0),0,INDEX(tblDemand[Wk 7],MATCH(tblRouting[[#This Row],[Part]],tblDemand[Part],0))*tblRouting[[#This Row],[Minutes per unit]]/60/tblRouting[[#This Row],[Yield]]))</f>
        <v>64.9484536082474</v>
      </c>
      <c r="M15" s="35">
        <f>IF(tblRouting[[#This Row],[Part]]="","",IF(OR(tblRouting[[#This Row],[Yield]]="",COUNTIF(tblDemand[Part],tblRouting[[#This Row],[Part]])=0),0,INDEX(tblDemand[Wk 8],MATCH(tblRouting[[#This Row],[Part]],tblDemand[Part],0))*tblRouting[[#This Row],[Minutes per unit]]/60/tblRouting[[#This Row],[Yield]]))</f>
        <v>64.9484536082474</v>
      </c>
      <c r="N15" s="35">
        <f>IF(tblRouting[[#This Row],[Part]]="","",IF(OR(tblRouting[[#This Row],[Yield]]="",COUNTIF(tblDemand[Part],tblRouting[[#This Row],[Part]])=0),0,INDEX(tblDemand[Wk 9],MATCH(tblRouting[[#This Row],[Part]],tblDemand[Part],0))*tblRouting[[#This Row],[Minutes per unit]]/60/tblRouting[[#This Row],[Yield]]))</f>
        <v>60.1374570446735</v>
      </c>
      <c r="O15" s="35">
        <f>IF(tblRouting[[#This Row],[Part]]="","",IF(OR(tblRouting[[#This Row],[Yield]]="",COUNTIF(tblDemand[Part],tblRouting[[#This Row],[Part]])=0),0,INDEX(tblDemand[Wk 10],MATCH(tblRouting[[#This Row],[Part]],tblDemand[Part],0))*tblRouting[[#This Row],[Minutes per unit]]/60/tblRouting[[#This Row],[Yield]]))</f>
        <v>62.5429553264605</v>
      </c>
      <c r="P15" s="35">
        <f>IF(tblRouting[[#This Row],[Part]]="","",IF(OR(tblRouting[[#This Row],[Yield]]="",COUNTIF(tblDemand[Part],tblRouting[[#This Row],[Part]])=0),0,INDEX(tblDemand[Wk 11],MATCH(tblRouting[[#This Row],[Part]],tblDemand[Part],0))*tblRouting[[#This Row],[Minutes per unit]]/60/tblRouting[[#This Row],[Yield]]))</f>
        <v>57.7319587628866</v>
      </c>
      <c r="Q15" s="35">
        <f>IF(tblRouting[[#This Row],[Part]]="","",IF(OR(tblRouting[[#This Row],[Yield]]="",COUNTIF(tblDemand[Part],tblRouting[[#This Row],[Part]])=0),0,INDEX(tblDemand[Wk 12],MATCH(tblRouting[[#This Row],[Part]],tblDemand[Part],0))*tblRouting[[#This Row],[Minutes per unit]]/60/tblRouting[[#This Row],[Yield]]))</f>
        <v>57.7319587628866</v>
      </c>
      <c r="R15" s="40" t="str">
        <f>IF(tblRouting[[#This Row],[Part]]="","",IF(tblRouting[[#This Row],[Minutes per unit]]="","Missing minutes per unit",IF(tblRouting[[#This Row],[Yield]]="","Work centre not on Setup",IF(COUNTIF(tblDemand[Part],tblRouting[[#This Row],[Part]])=0,"Part not on Demand Plan","OK"))))</f>
        <v>OK</v>
      </c>
      <c r="S15" s="28" t="s">
        <v>134</v>
      </c>
    </row>
    <row r="16" spans="1:19">
      <c r="B16" s="28" t="s">
        <v>114</v>
      </c>
      <c r="C16" s="28" t="s">
        <v>88</v>
      </c>
      <c r="D16" s="41">
        <v>3</v>
      </c>
      <c r="E16" s="42">
        <f>IF(tblRouting[[#This Row],[Part]]="","",IFERROR(INDEX(tblWorkCentres[Yield],MATCH(tblRouting[[#This Row],[Work centre]],tblWorkCentres[Work centre],0)),""))</f>
        <v>0.995</v>
      </c>
      <c r="F16" s="35">
        <f>IF(tblRouting[[#This Row],[Part]]="","",IF(OR(tblRouting[[#This Row],[Yield]]="",COUNTIF(tblDemand[Part],tblRouting[[#This Row],[Part]])=0),0,INDEX(tblDemand[Wk 1],MATCH(tblRouting[[#This Row],[Part]],tblDemand[Part],0))*tblRouting[[#This Row],[Minutes per unit]]/60/tblRouting[[#This Row],[Yield]]))</f>
        <v>7.53768844221106</v>
      </c>
      <c r="G16" s="35">
        <f>IF(tblRouting[[#This Row],[Part]]="","",IF(OR(tblRouting[[#This Row],[Yield]]="",COUNTIF(tblDemand[Part],tblRouting[[#This Row],[Part]])=0),0,INDEX(tblDemand[Wk 2],MATCH(tblRouting[[#This Row],[Part]],tblDemand[Part],0))*tblRouting[[#This Row],[Minutes per unit]]/60/tblRouting[[#This Row],[Yield]]))</f>
        <v>8.04020100502513</v>
      </c>
      <c r="H16" s="35">
        <f>IF(tblRouting[[#This Row],[Part]]="","",IF(OR(tblRouting[[#This Row],[Yield]]="",COUNTIF(tblDemand[Part],tblRouting[[#This Row],[Part]])=0),0,INDEX(tblDemand[Wk 3],MATCH(tblRouting[[#This Row],[Part]],tblDemand[Part],0))*tblRouting[[#This Row],[Minutes per unit]]/60/tblRouting[[#This Row],[Yield]]))</f>
        <v>7.53768844221106</v>
      </c>
      <c r="I16" s="35">
        <f>IF(tblRouting[[#This Row],[Part]]="","",IF(OR(tblRouting[[#This Row],[Yield]]="",COUNTIF(tblDemand[Part],tblRouting[[#This Row],[Part]])=0),0,INDEX(tblDemand[Wk 4],MATCH(tblRouting[[#This Row],[Part]],tblDemand[Part],0))*tblRouting[[#This Row],[Minutes per unit]]/60/tblRouting[[#This Row],[Yield]]))</f>
        <v>7.03517587939699</v>
      </c>
      <c r="J16" s="35">
        <f>IF(tblRouting[[#This Row],[Part]]="","",IF(OR(tblRouting[[#This Row],[Yield]]="",COUNTIF(tblDemand[Part],tblRouting[[#This Row],[Part]])=0),0,INDEX(tblDemand[Wk 5],MATCH(tblRouting[[#This Row],[Part]],tblDemand[Part],0))*tblRouting[[#This Row],[Minutes per unit]]/60/tblRouting[[#This Row],[Yield]]))</f>
        <v>7.53768844221106</v>
      </c>
      <c r="K16" s="35">
        <f>IF(tblRouting[[#This Row],[Part]]="","",IF(OR(tblRouting[[#This Row],[Yield]]="",COUNTIF(tblDemand[Part],tblRouting[[#This Row],[Part]])=0),0,INDEX(tblDemand[Wk 6],MATCH(tblRouting[[#This Row],[Part]],tblDemand[Part],0))*tblRouting[[#This Row],[Minutes per unit]]/60/tblRouting[[#This Row],[Yield]]))</f>
        <v>11.5577889447236</v>
      </c>
      <c r="L16" s="35">
        <f>IF(tblRouting[[#This Row],[Part]]="","",IF(OR(tblRouting[[#This Row],[Yield]]="",COUNTIF(tblDemand[Part],tblRouting[[#This Row],[Part]])=0),0,INDEX(tblDemand[Wk 7],MATCH(tblRouting[[#This Row],[Part]],tblDemand[Part],0))*tblRouting[[#This Row],[Minutes per unit]]/60/tblRouting[[#This Row],[Yield]]))</f>
        <v>13.5678391959799</v>
      </c>
      <c r="M16" s="35">
        <f>IF(tblRouting[[#This Row],[Part]]="","",IF(OR(tblRouting[[#This Row],[Yield]]="",COUNTIF(tblDemand[Part],tblRouting[[#This Row],[Part]])=0),0,INDEX(tblDemand[Wk 8],MATCH(tblRouting[[#This Row],[Part]],tblDemand[Part],0))*tblRouting[[#This Row],[Minutes per unit]]/60/tblRouting[[#This Row],[Yield]]))</f>
        <v>13.5678391959799</v>
      </c>
      <c r="N16" s="35">
        <f>IF(tblRouting[[#This Row],[Part]]="","",IF(OR(tblRouting[[#This Row],[Yield]]="",COUNTIF(tblDemand[Part],tblRouting[[#This Row],[Part]])=0),0,INDEX(tblDemand[Wk 9],MATCH(tblRouting[[#This Row],[Part]],tblDemand[Part],0))*tblRouting[[#This Row],[Minutes per unit]]/60/tblRouting[[#This Row],[Yield]]))</f>
        <v>12.5628140703518</v>
      </c>
      <c r="O16" s="35">
        <f>IF(tblRouting[[#This Row],[Part]]="","",IF(OR(tblRouting[[#This Row],[Yield]]="",COUNTIF(tblDemand[Part],tblRouting[[#This Row],[Part]])=0),0,INDEX(tblDemand[Wk 10],MATCH(tblRouting[[#This Row],[Part]],tblDemand[Part],0))*tblRouting[[#This Row],[Minutes per unit]]/60/tblRouting[[#This Row],[Yield]]))</f>
        <v>13.0653266331658</v>
      </c>
      <c r="P16" s="35">
        <f>IF(tblRouting[[#This Row],[Part]]="","",IF(OR(tblRouting[[#This Row],[Yield]]="",COUNTIF(tblDemand[Part],tblRouting[[#This Row],[Part]])=0),0,INDEX(tblDemand[Wk 11],MATCH(tblRouting[[#This Row],[Part]],tblDemand[Part],0))*tblRouting[[#This Row],[Minutes per unit]]/60/tblRouting[[#This Row],[Yield]]))</f>
        <v>12.0603015075377</v>
      </c>
      <c r="Q16" s="35">
        <f>IF(tblRouting[[#This Row],[Part]]="","",IF(OR(tblRouting[[#This Row],[Yield]]="",COUNTIF(tblDemand[Part],tblRouting[[#This Row],[Part]])=0),0,INDEX(tblDemand[Wk 12],MATCH(tblRouting[[#This Row],[Part]],tblDemand[Part],0))*tblRouting[[#This Row],[Minutes per unit]]/60/tblRouting[[#This Row],[Yield]]))</f>
        <v>12.0603015075377</v>
      </c>
      <c r="R16" s="40" t="str">
        <f>IF(tblRouting[[#This Row],[Part]]="","",IF(tblRouting[[#This Row],[Minutes per unit]]="","Missing minutes per unit",IF(tblRouting[[#This Row],[Yield]]="","Work centre not on Setup",IF(COUNTIF(tblDemand[Part],tblRouting[[#This Row],[Part]])=0,"Part not on Demand Plan","OK"))))</f>
        <v>OK</v>
      </c>
      <c r="S16" s="28" t="s">
        <v>134</v>
      </c>
    </row>
    <row r="17" spans="2:19">
      <c r="B17" s="28" t="s">
        <v>114</v>
      </c>
      <c r="C17" s="28" t="s">
        <v>90</v>
      </c>
      <c r="D17" s="41">
        <v>2.5</v>
      </c>
      <c r="E17" s="42">
        <f>IF(tblRouting[[#This Row],[Part]]="","",IFERROR(INDEX(tblWorkCentres[Yield],MATCH(tblRouting[[#This Row],[Work centre]],tblWorkCentres[Work centre],0)),""))</f>
        <v>1</v>
      </c>
      <c r="F17" s="35">
        <f>IF(tblRouting[[#This Row],[Part]]="","",IF(OR(tblRouting[[#This Row],[Yield]]="",COUNTIF(tblDemand[Part],tblRouting[[#This Row],[Part]])=0),0,INDEX(tblDemand[Wk 1],MATCH(tblRouting[[#This Row],[Part]],tblDemand[Part],0))*tblRouting[[#This Row],[Minutes per unit]]/60/tblRouting[[#This Row],[Yield]]))</f>
        <v>6.25</v>
      </c>
      <c r="G17" s="35">
        <f>IF(tblRouting[[#This Row],[Part]]="","",IF(OR(tblRouting[[#This Row],[Yield]]="",COUNTIF(tblDemand[Part],tblRouting[[#This Row],[Part]])=0),0,INDEX(tblDemand[Wk 2],MATCH(tblRouting[[#This Row],[Part]],tblDemand[Part],0))*tblRouting[[#This Row],[Minutes per unit]]/60/tblRouting[[#This Row],[Yield]]))</f>
        <v>6.66666666666667</v>
      </c>
      <c r="H17" s="35">
        <f>IF(tblRouting[[#This Row],[Part]]="","",IF(OR(tblRouting[[#This Row],[Yield]]="",COUNTIF(tblDemand[Part],tblRouting[[#This Row],[Part]])=0),0,INDEX(tblDemand[Wk 3],MATCH(tblRouting[[#This Row],[Part]],tblDemand[Part],0))*tblRouting[[#This Row],[Minutes per unit]]/60/tblRouting[[#This Row],[Yield]]))</f>
        <v>6.25</v>
      </c>
      <c r="I17" s="35">
        <f>IF(tblRouting[[#This Row],[Part]]="","",IF(OR(tblRouting[[#This Row],[Yield]]="",COUNTIF(tblDemand[Part],tblRouting[[#This Row],[Part]])=0),0,INDEX(tblDemand[Wk 4],MATCH(tblRouting[[#This Row],[Part]],tblDemand[Part],0))*tblRouting[[#This Row],[Minutes per unit]]/60/tblRouting[[#This Row],[Yield]]))</f>
        <v>5.83333333333333</v>
      </c>
      <c r="J17" s="35">
        <f>IF(tblRouting[[#This Row],[Part]]="","",IF(OR(tblRouting[[#This Row],[Yield]]="",COUNTIF(tblDemand[Part],tblRouting[[#This Row],[Part]])=0),0,INDEX(tblDemand[Wk 5],MATCH(tblRouting[[#This Row],[Part]],tblDemand[Part],0))*tblRouting[[#This Row],[Minutes per unit]]/60/tblRouting[[#This Row],[Yield]]))</f>
        <v>6.25</v>
      </c>
      <c r="K17" s="35">
        <f>IF(tblRouting[[#This Row],[Part]]="","",IF(OR(tblRouting[[#This Row],[Yield]]="",COUNTIF(tblDemand[Part],tblRouting[[#This Row],[Part]])=0),0,INDEX(tblDemand[Wk 6],MATCH(tblRouting[[#This Row],[Part]],tblDemand[Part],0))*tblRouting[[#This Row],[Minutes per unit]]/60/tblRouting[[#This Row],[Yield]]))</f>
        <v>9.58333333333333</v>
      </c>
      <c r="L17" s="35">
        <f>IF(tblRouting[[#This Row],[Part]]="","",IF(OR(tblRouting[[#This Row],[Yield]]="",COUNTIF(tblDemand[Part],tblRouting[[#This Row],[Part]])=0),0,INDEX(tblDemand[Wk 7],MATCH(tblRouting[[#This Row],[Part]],tblDemand[Part],0))*tblRouting[[#This Row],[Minutes per unit]]/60/tblRouting[[#This Row],[Yield]]))</f>
        <v>11.25</v>
      </c>
      <c r="M17" s="35">
        <f>IF(tblRouting[[#This Row],[Part]]="","",IF(OR(tblRouting[[#This Row],[Yield]]="",COUNTIF(tblDemand[Part],tblRouting[[#This Row],[Part]])=0),0,INDEX(tblDemand[Wk 8],MATCH(tblRouting[[#This Row],[Part]],tblDemand[Part],0))*tblRouting[[#This Row],[Minutes per unit]]/60/tblRouting[[#This Row],[Yield]]))</f>
        <v>11.25</v>
      </c>
      <c r="N17" s="35">
        <f>IF(tblRouting[[#This Row],[Part]]="","",IF(OR(tblRouting[[#This Row],[Yield]]="",COUNTIF(tblDemand[Part],tblRouting[[#This Row],[Part]])=0),0,INDEX(tblDemand[Wk 9],MATCH(tblRouting[[#This Row],[Part]],tblDemand[Part],0))*tblRouting[[#This Row],[Minutes per unit]]/60/tblRouting[[#This Row],[Yield]]))</f>
        <v>10.4166666666667</v>
      </c>
      <c r="O17" s="35">
        <f>IF(tblRouting[[#This Row],[Part]]="","",IF(OR(tblRouting[[#This Row],[Yield]]="",COUNTIF(tblDemand[Part],tblRouting[[#This Row],[Part]])=0),0,INDEX(tblDemand[Wk 10],MATCH(tblRouting[[#This Row],[Part]],tblDemand[Part],0))*tblRouting[[#This Row],[Minutes per unit]]/60/tblRouting[[#This Row],[Yield]]))</f>
        <v>10.8333333333333</v>
      </c>
      <c r="P17" s="35">
        <f>IF(tblRouting[[#This Row],[Part]]="","",IF(OR(tblRouting[[#This Row],[Yield]]="",COUNTIF(tblDemand[Part],tblRouting[[#This Row],[Part]])=0),0,INDEX(tblDemand[Wk 11],MATCH(tblRouting[[#This Row],[Part]],tblDemand[Part],0))*tblRouting[[#This Row],[Minutes per unit]]/60/tblRouting[[#This Row],[Yield]]))</f>
        <v>10</v>
      </c>
      <c r="Q17" s="35">
        <f>IF(tblRouting[[#This Row],[Part]]="","",IF(OR(tblRouting[[#This Row],[Yield]]="",COUNTIF(tblDemand[Part],tblRouting[[#This Row],[Part]])=0),0,INDEX(tblDemand[Wk 12],MATCH(tblRouting[[#This Row],[Part]],tblDemand[Part],0))*tblRouting[[#This Row],[Minutes per unit]]/60/tblRouting[[#This Row],[Yield]]))</f>
        <v>10</v>
      </c>
      <c r="R17" s="40" t="str">
        <f>IF(tblRouting[[#This Row],[Part]]="","",IF(tblRouting[[#This Row],[Minutes per unit]]="","Missing minutes per unit",IF(tblRouting[[#This Row],[Yield]]="","Work centre not on Setup",IF(COUNTIF(tblDemand[Part],tblRouting[[#This Row],[Part]])=0,"Part not on Demand Plan","OK"))))</f>
        <v>OK</v>
      </c>
      <c r="S17" s="28" t="s">
        <v>134</v>
      </c>
    </row>
    <row r="18" spans="2:19">
      <c r="B18" s="28" t="s">
        <v>116</v>
      </c>
      <c r="C18" s="28" t="s">
        <v>80</v>
      </c>
      <c r="D18" s="41">
        <v>0.4</v>
      </c>
      <c r="E18" s="42">
        <f>IF(tblRouting[[#This Row],[Part]]="","",IFERROR(INDEX(tblWorkCentres[Yield],MATCH(tblRouting[[#This Row],[Work centre]],tblWorkCentres[Work centre],0)),""))</f>
        <v>0.995</v>
      </c>
      <c r="F18" s="35">
        <f>IF(tblRouting[[#This Row],[Part]]="","",IF(OR(tblRouting[[#This Row],[Yield]]="",COUNTIF(tblDemand[Part],tblRouting[[#This Row],[Part]])=0),0,INDEX(tblDemand[Wk 1],MATCH(tblRouting[[#This Row],[Part]],tblDemand[Part],0))*tblRouting[[#This Row],[Minutes per unit]]/60/tblRouting[[#This Row],[Yield]]))</f>
        <v>3.21608040201005</v>
      </c>
      <c r="G18" s="35">
        <f>IF(tblRouting[[#This Row],[Part]]="","",IF(OR(tblRouting[[#This Row],[Yield]]="",COUNTIF(tblDemand[Part],tblRouting[[#This Row],[Part]])=0),0,INDEX(tblDemand[Wk 2],MATCH(tblRouting[[#This Row],[Part]],tblDemand[Part],0))*tblRouting[[#This Row],[Minutes per unit]]/60/tblRouting[[#This Row],[Yield]]))</f>
        <v>3.0820770519263</v>
      </c>
      <c r="H18" s="35">
        <f>IF(tblRouting[[#This Row],[Part]]="","",IF(OR(tblRouting[[#This Row],[Yield]]="",COUNTIF(tblDemand[Part],tblRouting[[#This Row],[Part]])=0),0,INDEX(tblDemand[Wk 3],MATCH(tblRouting[[#This Row],[Part]],tblDemand[Part],0))*tblRouting[[#This Row],[Minutes per unit]]/60/tblRouting[[#This Row],[Yield]]))</f>
        <v>3.48408710217755</v>
      </c>
      <c r="I18" s="35">
        <f>IF(tblRouting[[#This Row],[Part]]="","",IF(OR(tblRouting[[#This Row],[Yield]]="",COUNTIF(tblDemand[Part],tblRouting[[#This Row],[Part]])=0),0,INDEX(tblDemand[Wk 4],MATCH(tblRouting[[#This Row],[Part]],tblDemand[Part],0))*tblRouting[[#This Row],[Minutes per unit]]/60/tblRouting[[#This Row],[Yield]]))</f>
        <v>3.3500837520938</v>
      </c>
      <c r="J18" s="35">
        <f>IF(tblRouting[[#This Row],[Part]]="","",IF(OR(tblRouting[[#This Row],[Yield]]="",COUNTIF(tblDemand[Part],tblRouting[[#This Row],[Part]])=0),0,INDEX(tblDemand[Wk 5],MATCH(tblRouting[[#This Row],[Part]],tblDemand[Part],0))*tblRouting[[#This Row],[Minutes per unit]]/60/tblRouting[[#This Row],[Yield]]))</f>
        <v>3.3500837520938</v>
      </c>
      <c r="K18" s="35">
        <f>IF(tblRouting[[#This Row],[Part]]="","",IF(OR(tblRouting[[#This Row],[Yield]]="",COUNTIF(tblDemand[Part],tblRouting[[#This Row],[Part]])=0),0,INDEX(tblDemand[Wk 6],MATCH(tblRouting[[#This Row],[Part]],tblDemand[Part],0))*tblRouting[[#This Row],[Minutes per unit]]/60/tblRouting[[#This Row],[Yield]]))</f>
        <v>3.14907872696817</v>
      </c>
      <c r="L18" s="35">
        <f>IF(tblRouting[[#This Row],[Part]]="","",IF(OR(tblRouting[[#This Row],[Yield]]="",COUNTIF(tblDemand[Part],tblRouting[[#This Row],[Part]])=0),0,INDEX(tblDemand[Wk 7],MATCH(tblRouting[[#This Row],[Part]],tblDemand[Part],0))*tblRouting[[#This Row],[Minutes per unit]]/60/tblRouting[[#This Row],[Yield]]))</f>
        <v>3.14907872696817</v>
      </c>
      <c r="M18" s="35">
        <f>IF(tblRouting[[#This Row],[Part]]="","",IF(OR(tblRouting[[#This Row],[Yield]]="",COUNTIF(tblDemand[Part],tblRouting[[#This Row],[Part]])=0),0,INDEX(tblDemand[Wk 8],MATCH(tblRouting[[#This Row],[Part]],tblDemand[Part],0))*tblRouting[[#This Row],[Minutes per unit]]/60/tblRouting[[#This Row],[Yield]]))</f>
        <v>3.01507537688442</v>
      </c>
      <c r="N18" s="35">
        <f>IF(tblRouting[[#This Row],[Part]]="","",IF(OR(tblRouting[[#This Row],[Yield]]="",COUNTIF(tblDemand[Part],tblRouting[[#This Row],[Part]])=0),0,INDEX(tblDemand[Wk 9],MATCH(tblRouting[[#This Row],[Part]],tblDemand[Part],0))*tblRouting[[#This Row],[Minutes per unit]]/60/tblRouting[[#This Row],[Yield]]))</f>
        <v>3.21608040201005</v>
      </c>
      <c r="O18" s="35">
        <f>IF(tblRouting[[#This Row],[Part]]="","",IF(OR(tblRouting[[#This Row],[Yield]]="",COUNTIF(tblDemand[Part],tblRouting[[#This Row],[Part]])=0),0,INDEX(tblDemand[Wk 10],MATCH(tblRouting[[#This Row],[Part]],tblDemand[Part],0))*tblRouting[[#This Row],[Minutes per unit]]/60/tblRouting[[#This Row],[Yield]]))</f>
        <v>3.68509212730318</v>
      </c>
      <c r="P18" s="35">
        <f>IF(tblRouting[[#This Row],[Part]]="","",IF(OR(tblRouting[[#This Row],[Yield]]="",COUNTIF(tblDemand[Part],tblRouting[[#This Row],[Part]])=0),0,INDEX(tblDemand[Wk 11],MATCH(tblRouting[[#This Row],[Part]],tblDemand[Part],0))*tblRouting[[#This Row],[Minutes per unit]]/60/tblRouting[[#This Row],[Yield]]))</f>
        <v>3.41708542713568</v>
      </c>
      <c r="Q18" s="35">
        <f>IF(tblRouting[[#This Row],[Part]]="","",IF(OR(tblRouting[[#This Row],[Yield]]="",COUNTIF(tblDemand[Part],tblRouting[[#This Row],[Part]])=0),0,INDEX(tblDemand[Wk 12],MATCH(tblRouting[[#This Row],[Part]],tblDemand[Part],0))*tblRouting[[#This Row],[Minutes per unit]]/60/tblRouting[[#This Row],[Yield]]))</f>
        <v>3.14907872696817</v>
      </c>
      <c r="R18" s="40" t="str">
        <f>IF(tblRouting[[#This Row],[Part]]="","",IF(tblRouting[[#This Row],[Minutes per unit]]="","Missing minutes per unit",IF(tblRouting[[#This Row],[Yield]]="","Work centre not on Setup",IF(COUNTIF(tblDemand[Part],tblRouting[[#This Row],[Part]])=0,"Part not on Demand Plan","OK"))))</f>
        <v>OK</v>
      </c>
      <c r="S18" s="28" t="s">
        <v>134</v>
      </c>
    </row>
    <row r="19" spans="2:19">
      <c r="B19" s="28" t="s">
        <v>116</v>
      </c>
      <c r="C19" s="28" t="s">
        <v>84</v>
      </c>
      <c r="D19" s="41">
        <v>5</v>
      </c>
      <c r="E19" s="42">
        <f>IF(tblRouting[[#This Row],[Part]]="","",IFERROR(INDEX(tblWorkCentres[Yield],MATCH(tblRouting[[#This Row],[Work centre]],tblWorkCentres[Work centre],0)),""))</f>
        <v>0.97</v>
      </c>
      <c r="F19" s="35">
        <f>IF(tblRouting[[#This Row],[Part]]="","",IF(OR(tblRouting[[#This Row],[Yield]]="",COUNTIF(tblDemand[Part],tblRouting[[#This Row],[Part]])=0),0,INDEX(tblDemand[Wk 1],MATCH(tblRouting[[#This Row],[Part]],tblDemand[Part],0))*tblRouting[[#This Row],[Minutes per unit]]/60/tblRouting[[#This Row],[Yield]]))</f>
        <v>41.2371134020619</v>
      </c>
      <c r="G19" s="35">
        <f>IF(tblRouting[[#This Row],[Part]]="","",IF(OR(tblRouting[[#This Row],[Yield]]="",COUNTIF(tblDemand[Part],tblRouting[[#This Row],[Part]])=0),0,INDEX(tblDemand[Wk 2],MATCH(tblRouting[[#This Row],[Part]],tblDemand[Part],0))*tblRouting[[#This Row],[Minutes per unit]]/60/tblRouting[[#This Row],[Yield]]))</f>
        <v>39.5189003436426</v>
      </c>
      <c r="H19" s="35">
        <f>IF(tblRouting[[#This Row],[Part]]="","",IF(OR(tblRouting[[#This Row],[Yield]]="",COUNTIF(tblDemand[Part],tblRouting[[#This Row],[Part]])=0),0,INDEX(tblDemand[Wk 3],MATCH(tblRouting[[#This Row],[Part]],tblDemand[Part],0))*tblRouting[[#This Row],[Minutes per unit]]/60/tblRouting[[#This Row],[Yield]]))</f>
        <v>44.6735395189004</v>
      </c>
      <c r="I19" s="35">
        <f>IF(tblRouting[[#This Row],[Part]]="","",IF(OR(tblRouting[[#This Row],[Yield]]="",COUNTIF(tblDemand[Part],tblRouting[[#This Row],[Part]])=0),0,INDEX(tblDemand[Wk 4],MATCH(tblRouting[[#This Row],[Part]],tblDemand[Part],0))*tblRouting[[#This Row],[Minutes per unit]]/60/tblRouting[[#This Row],[Yield]]))</f>
        <v>42.9553264604811</v>
      </c>
      <c r="J19" s="35">
        <f>IF(tblRouting[[#This Row],[Part]]="","",IF(OR(tblRouting[[#This Row],[Yield]]="",COUNTIF(tblDemand[Part],tblRouting[[#This Row],[Part]])=0),0,INDEX(tblDemand[Wk 5],MATCH(tblRouting[[#This Row],[Part]],tblDemand[Part],0))*tblRouting[[#This Row],[Minutes per unit]]/60/tblRouting[[#This Row],[Yield]]))</f>
        <v>42.9553264604811</v>
      </c>
      <c r="K19" s="35">
        <f>IF(tblRouting[[#This Row],[Part]]="","",IF(OR(tblRouting[[#This Row],[Yield]]="",COUNTIF(tblDemand[Part],tblRouting[[#This Row],[Part]])=0),0,INDEX(tblDemand[Wk 6],MATCH(tblRouting[[#This Row],[Part]],tblDemand[Part],0))*tblRouting[[#This Row],[Minutes per unit]]/60/tblRouting[[#This Row],[Yield]]))</f>
        <v>40.3780068728522</v>
      </c>
      <c r="L19" s="35">
        <f>IF(tblRouting[[#This Row],[Part]]="","",IF(OR(tblRouting[[#This Row],[Yield]]="",COUNTIF(tblDemand[Part],tblRouting[[#This Row],[Part]])=0),0,INDEX(tblDemand[Wk 7],MATCH(tblRouting[[#This Row],[Part]],tblDemand[Part],0))*tblRouting[[#This Row],[Minutes per unit]]/60/tblRouting[[#This Row],[Yield]]))</f>
        <v>40.3780068728522</v>
      </c>
      <c r="M19" s="35">
        <f>IF(tblRouting[[#This Row],[Part]]="","",IF(OR(tblRouting[[#This Row],[Yield]]="",COUNTIF(tblDemand[Part],tblRouting[[#This Row],[Part]])=0),0,INDEX(tblDemand[Wk 8],MATCH(tblRouting[[#This Row],[Part]],tblDemand[Part],0))*tblRouting[[#This Row],[Minutes per unit]]/60/tblRouting[[#This Row],[Yield]]))</f>
        <v>38.659793814433</v>
      </c>
      <c r="N19" s="35">
        <f>IF(tblRouting[[#This Row],[Part]]="","",IF(OR(tblRouting[[#This Row],[Yield]]="",COUNTIF(tblDemand[Part],tblRouting[[#This Row],[Part]])=0),0,INDEX(tblDemand[Wk 9],MATCH(tblRouting[[#This Row],[Part]],tblDemand[Part],0))*tblRouting[[#This Row],[Minutes per unit]]/60/tblRouting[[#This Row],[Yield]]))</f>
        <v>41.2371134020619</v>
      </c>
      <c r="O19" s="35">
        <f>IF(tblRouting[[#This Row],[Part]]="","",IF(OR(tblRouting[[#This Row],[Yield]]="",COUNTIF(tblDemand[Part],tblRouting[[#This Row],[Part]])=0),0,INDEX(tblDemand[Wk 10],MATCH(tblRouting[[#This Row],[Part]],tblDemand[Part],0))*tblRouting[[#This Row],[Minutes per unit]]/60/tblRouting[[#This Row],[Yield]]))</f>
        <v>47.2508591065292</v>
      </c>
      <c r="P19" s="35">
        <f>IF(tblRouting[[#This Row],[Part]]="","",IF(OR(tblRouting[[#This Row],[Yield]]="",COUNTIF(tblDemand[Part],tblRouting[[#This Row],[Part]])=0),0,INDEX(tblDemand[Wk 11],MATCH(tblRouting[[#This Row],[Part]],tblDemand[Part],0))*tblRouting[[#This Row],[Minutes per unit]]/60/tblRouting[[#This Row],[Yield]]))</f>
        <v>43.8144329896907</v>
      </c>
      <c r="Q19" s="35">
        <f>IF(tblRouting[[#This Row],[Part]]="","",IF(OR(tblRouting[[#This Row],[Yield]]="",COUNTIF(tblDemand[Part],tblRouting[[#This Row],[Part]])=0),0,INDEX(tblDemand[Wk 12],MATCH(tblRouting[[#This Row],[Part]],tblDemand[Part],0))*tblRouting[[#This Row],[Minutes per unit]]/60/tblRouting[[#This Row],[Yield]]))</f>
        <v>40.3780068728522</v>
      </c>
      <c r="R19" s="40" t="str">
        <f>IF(tblRouting[[#This Row],[Part]]="","",IF(tblRouting[[#This Row],[Minutes per unit]]="","Missing minutes per unit",IF(tblRouting[[#This Row],[Yield]]="","Work centre not on Setup",IF(COUNTIF(tblDemand[Part],tblRouting[[#This Row],[Part]])=0,"Part not on Demand Plan","OK"))))</f>
        <v>OK</v>
      </c>
      <c r="S19" s="28" t="s">
        <v>134</v>
      </c>
    </row>
    <row r="20" spans="2:19">
      <c r="B20" s="28" t="s">
        <v>116</v>
      </c>
      <c r="C20" s="28" t="s">
        <v>88</v>
      </c>
      <c r="D20" s="41">
        <v>1.2</v>
      </c>
      <c r="E20" s="42">
        <f>IF(tblRouting[[#This Row],[Part]]="","",IFERROR(INDEX(tblWorkCentres[Yield],MATCH(tblRouting[[#This Row],[Work centre]],tblWorkCentres[Work centre],0)),""))</f>
        <v>0.995</v>
      </c>
      <c r="F20" s="35">
        <f>IF(tblRouting[[#This Row],[Part]]="","",IF(OR(tblRouting[[#This Row],[Yield]]="",COUNTIF(tblDemand[Part],tblRouting[[#This Row],[Part]])=0),0,INDEX(tblDemand[Wk 1],MATCH(tblRouting[[#This Row],[Part]],tblDemand[Part],0))*tblRouting[[#This Row],[Minutes per unit]]/60/tblRouting[[#This Row],[Yield]]))</f>
        <v>9.64824120603015</v>
      </c>
      <c r="G20" s="35">
        <f>IF(tblRouting[[#This Row],[Part]]="","",IF(OR(tblRouting[[#This Row],[Yield]]="",COUNTIF(tblDemand[Part],tblRouting[[#This Row],[Part]])=0),0,INDEX(tblDemand[Wk 2],MATCH(tblRouting[[#This Row],[Part]],tblDemand[Part],0))*tblRouting[[#This Row],[Minutes per unit]]/60/tblRouting[[#This Row],[Yield]]))</f>
        <v>9.24623115577889</v>
      </c>
      <c r="H20" s="35">
        <f>IF(tblRouting[[#This Row],[Part]]="","",IF(OR(tblRouting[[#This Row],[Yield]]="",COUNTIF(tblDemand[Part],tblRouting[[#This Row],[Part]])=0),0,INDEX(tblDemand[Wk 3],MATCH(tblRouting[[#This Row],[Part]],tblDemand[Part],0))*tblRouting[[#This Row],[Minutes per unit]]/60/tblRouting[[#This Row],[Yield]]))</f>
        <v>10.4522613065327</v>
      </c>
      <c r="I20" s="35">
        <f>IF(tblRouting[[#This Row],[Part]]="","",IF(OR(tblRouting[[#This Row],[Yield]]="",COUNTIF(tblDemand[Part],tblRouting[[#This Row],[Part]])=0),0,INDEX(tblDemand[Wk 4],MATCH(tblRouting[[#This Row],[Part]],tblDemand[Part],0))*tblRouting[[#This Row],[Minutes per unit]]/60/tblRouting[[#This Row],[Yield]]))</f>
        <v>10.0502512562814</v>
      </c>
      <c r="J20" s="35">
        <f>IF(tblRouting[[#This Row],[Part]]="","",IF(OR(tblRouting[[#This Row],[Yield]]="",COUNTIF(tblDemand[Part],tblRouting[[#This Row],[Part]])=0),0,INDEX(tblDemand[Wk 5],MATCH(tblRouting[[#This Row],[Part]],tblDemand[Part],0))*tblRouting[[#This Row],[Minutes per unit]]/60/tblRouting[[#This Row],[Yield]]))</f>
        <v>10.0502512562814</v>
      </c>
      <c r="K20" s="35">
        <f>IF(tblRouting[[#This Row],[Part]]="","",IF(OR(tblRouting[[#This Row],[Yield]]="",COUNTIF(tblDemand[Part],tblRouting[[#This Row],[Part]])=0),0,INDEX(tblDemand[Wk 6],MATCH(tblRouting[[#This Row],[Part]],tblDemand[Part],0))*tblRouting[[#This Row],[Minutes per unit]]/60/tblRouting[[#This Row],[Yield]]))</f>
        <v>9.44723618090452</v>
      </c>
      <c r="L20" s="35">
        <f>IF(tblRouting[[#This Row],[Part]]="","",IF(OR(tblRouting[[#This Row],[Yield]]="",COUNTIF(tblDemand[Part],tblRouting[[#This Row],[Part]])=0),0,INDEX(tblDemand[Wk 7],MATCH(tblRouting[[#This Row],[Part]],tblDemand[Part],0))*tblRouting[[#This Row],[Minutes per unit]]/60/tblRouting[[#This Row],[Yield]]))</f>
        <v>9.44723618090452</v>
      </c>
      <c r="M20" s="35">
        <f>IF(tblRouting[[#This Row],[Part]]="","",IF(OR(tblRouting[[#This Row],[Yield]]="",COUNTIF(tblDemand[Part],tblRouting[[#This Row],[Part]])=0),0,INDEX(tblDemand[Wk 8],MATCH(tblRouting[[#This Row],[Part]],tblDemand[Part],0))*tblRouting[[#This Row],[Minutes per unit]]/60/tblRouting[[#This Row],[Yield]]))</f>
        <v>9.04522613065327</v>
      </c>
      <c r="N20" s="35">
        <f>IF(tblRouting[[#This Row],[Part]]="","",IF(OR(tblRouting[[#This Row],[Yield]]="",COUNTIF(tblDemand[Part],tblRouting[[#This Row],[Part]])=0),0,INDEX(tblDemand[Wk 9],MATCH(tblRouting[[#This Row],[Part]],tblDemand[Part],0))*tblRouting[[#This Row],[Minutes per unit]]/60/tblRouting[[#This Row],[Yield]]))</f>
        <v>9.64824120603015</v>
      </c>
      <c r="O20" s="35">
        <f>IF(tblRouting[[#This Row],[Part]]="","",IF(OR(tblRouting[[#This Row],[Yield]]="",COUNTIF(tblDemand[Part],tblRouting[[#This Row],[Part]])=0),0,INDEX(tblDemand[Wk 10],MATCH(tblRouting[[#This Row],[Part]],tblDemand[Part],0))*tblRouting[[#This Row],[Minutes per unit]]/60/tblRouting[[#This Row],[Yield]]))</f>
        <v>11.0552763819095</v>
      </c>
      <c r="P20" s="35">
        <f>IF(tblRouting[[#This Row],[Part]]="","",IF(OR(tblRouting[[#This Row],[Yield]]="",COUNTIF(tblDemand[Part],tblRouting[[#This Row],[Part]])=0),0,INDEX(tblDemand[Wk 11],MATCH(tblRouting[[#This Row],[Part]],tblDemand[Part],0))*tblRouting[[#This Row],[Minutes per unit]]/60/tblRouting[[#This Row],[Yield]]))</f>
        <v>10.251256281407</v>
      </c>
      <c r="Q20" s="35">
        <f>IF(tblRouting[[#This Row],[Part]]="","",IF(OR(tblRouting[[#This Row],[Yield]]="",COUNTIF(tblDemand[Part],tblRouting[[#This Row],[Part]])=0),0,INDEX(tblDemand[Wk 12],MATCH(tblRouting[[#This Row],[Part]],tblDemand[Part],0))*tblRouting[[#This Row],[Minutes per unit]]/60/tblRouting[[#This Row],[Yield]]))</f>
        <v>9.44723618090452</v>
      </c>
      <c r="R20" s="40" t="str">
        <f>IF(tblRouting[[#This Row],[Part]]="","",IF(tblRouting[[#This Row],[Minutes per unit]]="","Missing minutes per unit",IF(tblRouting[[#This Row],[Yield]]="","Work centre not on Setup",IF(COUNTIF(tblDemand[Part],tblRouting[[#This Row],[Part]])=0,"Part not on Demand Plan","OK"))))</f>
        <v>OK</v>
      </c>
      <c r="S20" s="28" t="s">
        <v>134</v>
      </c>
    </row>
    <row r="21" spans="2:19">
      <c r="B21" s="28" t="s">
        <v>117</v>
      </c>
      <c r="C21" s="28" t="s">
        <v>82</v>
      </c>
      <c r="D21" s="41">
        <v>2.2</v>
      </c>
      <c r="E21" s="42">
        <f>IF(tblRouting[[#This Row],[Part]]="","",IFERROR(INDEX(tblWorkCentres[Yield],MATCH(tblRouting[[#This Row],[Work centre]],tblWorkCentres[Work centre],0)),""))</f>
        <v>0.97</v>
      </c>
      <c r="F21" s="35">
        <f>IF(tblRouting[[#This Row],[Part]]="","",IF(OR(tblRouting[[#This Row],[Yield]]="",COUNTIF(tblDemand[Part],tblRouting[[#This Row],[Part]])=0),0,INDEX(tblDemand[Wk 1],MATCH(tblRouting[[#This Row],[Part]],tblDemand[Part],0))*tblRouting[[#This Row],[Minutes per unit]]/60/tblRouting[[#This Row],[Yield]]))</f>
        <v>30.6185567010309</v>
      </c>
      <c r="G21" s="35">
        <f>IF(tblRouting[[#This Row],[Part]]="","",IF(OR(tblRouting[[#This Row],[Yield]]="",COUNTIF(tblDemand[Part],tblRouting[[#This Row],[Part]])=0),0,INDEX(tblDemand[Wk 2],MATCH(tblRouting[[#This Row],[Part]],tblDemand[Part],0))*tblRouting[[#This Row],[Minutes per unit]]/60/tblRouting[[#This Row],[Yield]]))</f>
        <v>31.3745704467354</v>
      </c>
      <c r="H21" s="35">
        <f>IF(tblRouting[[#This Row],[Part]]="","",IF(OR(tblRouting[[#This Row],[Yield]]="",COUNTIF(tblDemand[Part],tblRouting[[#This Row],[Part]])=0),0,INDEX(tblDemand[Wk 3],MATCH(tblRouting[[#This Row],[Part]],tblDemand[Part],0))*tblRouting[[#This Row],[Minutes per unit]]/60/tblRouting[[#This Row],[Yield]]))</f>
        <v>32.8865979381443</v>
      </c>
      <c r="I21" s="35">
        <f>IF(tblRouting[[#This Row],[Part]]="","",IF(OR(tblRouting[[#This Row],[Yield]]="",COUNTIF(tblDemand[Part],tblRouting[[#This Row],[Part]])=0),0,INDEX(tblDemand[Wk 4],MATCH(tblRouting[[#This Row],[Part]],tblDemand[Part],0))*tblRouting[[#This Row],[Minutes per unit]]/60/tblRouting[[#This Row],[Yield]]))</f>
        <v>29.4845360824742</v>
      </c>
      <c r="J21" s="35">
        <f>IF(tblRouting[[#This Row],[Part]]="","",IF(OR(tblRouting[[#This Row],[Yield]]="",COUNTIF(tblDemand[Part],tblRouting[[#This Row],[Part]])=0),0,INDEX(tblDemand[Wk 5],MATCH(tblRouting[[#This Row],[Part]],tblDemand[Part],0))*tblRouting[[#This Row],[Minutes per unit]]/60/tblRouting[[#This Row],[Yield]]))</f>
        <v>31.7525773195876</v>
      </c>
      <c r="K21" s="35">
        <f>IF(tblRouting[[#This Row],[Part]]="","",IF(OR(tblRouting[[#This Row],[Yield]]="",COUNTIF(tblDemand[Part],tblRouting[[#This Row],[Part]])=0),0,INDEX(tblDemand[Wk 6],MATCH(tblRouting[[#This Row],[Part]],tblDemand[Part],0))*tblRouting[[#This Row],[Minutes per unit]]/60/tblRouting[[#This Row],[Yield]]))</f>
        <v>28.7285223367698</v>
      </c>
      <c r="L21" s="35">
        <f>IF(tblRouting[[#This Row],[Part]]="","",IF(OR(tblRouting[[#This Row],[Yield]]="",COUNTIF(tblDemand[Part],tblRouting[[#This Row],[Part]])=0),0,INDEX(tblDemand[Wk 7],MATCH(tblRouting[[#This Row],[Part]],tblDemand[Part],0))*tblRouting[[#This Row],[Minutes per unit]]/60/tblRouting[[#This Row],[Yield]]))</f>
        <v>29.106529209622</v>
      </c>
      <c r="M21" s="35">
        <f>IF(tblRouting[[#This Row],[Part]]="","",IF(OR(tblRouting[[#This Row],[Yield]]="",COUNTIF(tblDemand[Part],tblRouting[[#This Row],[Part]])=0),0,INDEX(tblDemand[Wk 8],MATCH(tblRouting[[#This Row],[Part]],tblDemand[Part],0))*tblRouting[[#This Row],[Minutes per unit]]/60/tblRouting[[#This Row],[Yield]]))</f>
        <v>30.2405498281787</v>
      </c>
      <c r="N21" s="35">
        <f>IF(tblRouting[[#This Row],[Part]]="","",IF(OR(tblRouting[[#This Row],[Yield]]="",COUNTIF(tblDemand[Part],tblRouting[[#This Row],[Part]])=0),0,INDEX(tblDemand[Wk 9],MATCH(tblRouting[[#This Row],[Part]],tblDemand[Part],0))*tblRouting[[#This Row],[Minutes per unit]]/60/tblRouting[[#This Row],[Yield]]))</f>
        <v>31.3745704467354</v>
      </c>
      <c r="O21" s="35">
        <f>IF(tblRouting[[#This Row],[Part]]="","",IF(OR(tblRouting[[#This Row],[Yield]]="",COUNTIF(tblDemand[Part],tblRouting[[#This Row],[Part]])=0),0,INDEX(tblDemand[Wk 10],MATCH(tblRouting[[#This Row],[Part]],tblDemand[Part],0))*tblRouting[[#This Row],[Minutes per unit]]/60/tblRouting[[#This Row],[Yield]]))</f>
        <v>32.1305841924399</v>
      </c>
      <c r="P21" s="35">
        <f>IF(tblRouting[[#This Row],[Part]]="","",IF(OR(tblRouting[[#This Row],[Yield]]="",COUNTIF(tblDemand[Part],tblRouting[[#This Row],[Part]])=0),0,INDEX(tblDemand[Wk 11],MATCH(tblRouting[[#This Row],[Part]],tblDemand[Part],0))*tblRouting[[#This Row],[Minutes per unit]]/60/tblRouting[[#This Row],[Yield]]))</f>
        <v>30.6185567010309</v>
      </c>
      <c r="Q21" s="35">
        <f>IF(tblRouting[[#This Row],[Part]]="","",IF(OR(tblRouting[[#This Row],[Yield]]="",COUNTIF(tblDemand[Part],tblRouting[[#This Row],[Part]])=0),0,INDEX(tblDemand[Wk 12],MATCH(tblRouting[[#This Row],[Part]],tblDemand[Part],0))*tblRouting[[#This Row],[Minutes per unit]]/60/tblRouting[[#This Row],[Yield]]))</f>
        <v>32.8865979381443</v>
      </c>
      <c r="R21" s="40" t="str">
        <f>IF(tblRouting[[#This Row],[Part]]="","",IF(tblRouting[[#This Row],[Minutes per unit]]="","Missing minutes per unit",IF(tblRouting[[#This Row],[Yield]]="","Work centre not on Setup",IF(COUNTIF(tblDemand[Part],tblRouting[[#This Row],[Part]])=0,"Part not on Demand Plan","OK"))))</f>
        <v>OK</v>
      </c>
      <c r="S21" s="28" t="s">
        <v>134</v>
      </c>
    </row>
    <row r="22" spans="2:19">
      <c r="B22" s="28" t="s">
        <v>117</v>
      </c>
      <c r="C22" s="28" t="s">
        <v>90</v>
      </c>
      <c r="D22" s="41">
        <v>0.4</v>
      </c>
      <c r="E22" s="42">
        <f>IF(tblRouting[[#This Row],[Part]]="","",IFERROR(INDEX(tblWorkCentres[Yield],MATCH(tblRouting[[#This Row],[Work centre]],tblWorkCentres[Work centre],0)),""))</f>
        <v>1</v>
      </c>
      <c r="F22" s="35">
        <f>IF(tblRouting[[#This Row],[Part]]="","",IF(OR(tblRouting[[#This Row],[Yield]]="",COUNTIF(tblDemand[Part],tblRouting[[#This Row],[Part]])=0),0,INDEX(tblDemand[Wk 1],MATCH(tblRouting[[#This Row],[Part]],tblDemand[Part],0))*tblRouting[[#This Row],[Minutes per unit]]/60/tblRouting[[#This Row],[Yield]]))</f>
        <v>5.4</v>
      </c>
      <c r="G22" s="35">
        <f>IF(tblRouting[[#This Row],[Part]]="","",IF(OR(tblRouting[[#This Row],[Yield]]="",COUNTIF(tblDemand[Part],tblRouting[[#This Row],[Part]])=0),0,INDEX(tblDemand[Wk 2],MATCH(tblRouting[[#This Row],[Part]],tblDemand[Part],0))*tblRouting[[#This Row],[Minutes per unit]]/60/tblRouting[[#This Row],[Yield]]))</f>
        <v>5.53333333333333</v>
      </c>
      <c r="H22" s="35">
        <f>IF(tblRouting[[#This Row],[Part]]="","",IF(OR(tblRouting[[#This Row],[Yield]]="",COUNTIF(tblDemand[Part],tblRouting[[#This Row],[Part]])=0),0,INDEX(tblDemand[Wk 3],MATCH(tblRouting[[#This Row],[Part]],tblDemand[Part],0))*tblRouting[[#This Row],[Minutes per unit]]/60/tblRouting[[#This Row],[Yield]]))</f>
        <v>5.8</v>
      </c>
      <c r="I22" s="35">
        <f>IF(tblRouting[[#This Row],[Part]]="","",IF(OR(tblRouting[[#This Row],[Yield]]="",COUNTIF(tblDemand[Part],tblRouting[[#This Row],[Part]])=0),0,INDEX(tblDemand[Wk 4],MATCH(tblRouting[[#This Row],[Part]],tblDemand[Part],0))*tblRouting[[#This Row],[Minutes per unit]]/60/tblRouting[[#This Row],[Yield]]))</f>
        <v>5.2</v>
      </c>
      <c r="J22" s="35">
        <f>IF(tblRouting[[#This Row],[Part]]="","",IF(OR(tblRouting[[#This Row],[Yield]]="",COUNTIF(tblDemand[Part],tblRouting[[#This Row],[Part]])=0),0,INDEX(tblDemand[Wk 5],MATCH(tblRouting[[#This Row],[Part]],tblDemand[Part],0))*tblRouting[[#This Row],[Minutes per unit]]/60/tblRouting[[#This Row],[Yield]]))</f>
        <v>5.6</v>
      </c>
      <c r="K22" s="35">
        <f>IF(tblRouting[[#This Row],[Part]]="","",IF(OR(tblRouting[[#This Row],[Yield]]="",COUNTIF(tblDemand[Part],tblRouting[[#This Row],[Part]])=0),0,INDEX(tblDemand[Wk 6],MATCH(tblRouting[[#This Row],[Part]],tblDemand[Part],0))*tblRouting[[#This Row],[Minutes per unit]]/60/tblRouting[[#This Row],[Yield]]))</f>
        <v>5.06666666666667</v>
      </c>
      <c r="L22" s="35">
        <f>IF(tblRouting[[#This Row],[Part]]="","",IF(OR(tblRouting[[#This Row],[Yield]]="",COUNTIF(tblDemand[Part],tblRouting[[#This Row],[Part]])=0),0,INDEX(tblDemand[Wk 7],MATCH(tblRouting[[#This Row],[Part]],tblDemand[Part],0))*tblRouting[[#This Row],[Minutes per unit]]/60/tblRouting[[#This Row],[Yield]]))</f>
        <v>5.13333333333333</v>
      </c>
      <c r="M22" s="35">
        <f>IF(tblRouting[[#This Row],[Part]]="","",IF(OR(tblRouting[[#This Row],[Yield]]="",COUNTIF(tblDemand[Part],tblRouting[[#This Row],[Part]])=0),0,INDEX(tblDemand[Wk 8],MATCH(tblRouting[[#This Row],[Part]],tblDemand[Part],0))*tblRouting[[#This Row],[Minutes per unit]]/60/tblRouting[[#This Row],[Yield]]))</f>
        <v>5.33333333333333</v>
      </c>
      <c r="N22" s="35">
        <f>IF(tblRouting[[#This Row],[Part]]="","",IF(OR(tblRouting[[#This Row],[Yield]]="",COUNTIF(tblDemand[Part],tblRouting[[#This Row],[Part]])=0),0,INDEX(tblDemand[Wk 9],MATCH(tblRouting[[#This Row],[Part]],tblDemand[Part],0))*tblRouting[[#This Row],[Minutes per unit]]/60/tblRouting[[#This Row],[Yield]]))</f>
        <v>5.53333333333333</v>
      </c>
      <c r="O22" s="35">
        <f>IF(tblRouting[[#This Row],[Part]]="","",IF(OR(tblRouting[[#This Row],[Yield]]="",COUNTIF(tblDemand[Part],tblRouting[[#This Row],[Part]])=0),0,INDEX(tblDemand[Wk 10],MATCH(tblRouting[[#This Row],[Part]],tblDemand[Part],0))*tblRouting[[#This Row],[Minutes per unit]]/60/tblRouting[[#This Row],[Yield]]))</f>
        <v>5.66666666666667</v>
      </c>
      <c r="P22" s="35">
        <f>IF(tblRouting[[#This Row],[Part]]="","",IF(OR(tblRouting[[#This Row],[Yield]]="",COUNTIF(tblDemand[Part],tblRouting[[#This Row],[Part]])=0),0,INDEX(tblDemand[Wk 11],MATCH(tblRouting[[#This Row],[Part]],tblDemand[Part],0))*tblRouting[[#This Row],[Minutes per unit]]/60/tblRouting[[#This Row],[Yield]]))</f>
        <v>5.4</v>
      </c>
      <c r="Q22" s="35">
        <f>IF(tblRouting[[#This Row],[Part]]="","",IF(OR(tblRouting[[#This Row],[Yield]]="",COUNTIF(tblDemand[Part],tblRouting[[#This Row],[Part]])=0),0,INDEX(tblDemand[Wk 12],MATCH(tblRouting[[#This Row],[Part]],tblDemand[Part],0))*tblRouting[[#This Row],[Minutes per unit]]/60/tblRouting[[#This Row],[Yield]]))</f>
        <v>5.8</v>
      </c>
      <c r="R22" s="40" t="str">
        <f>IF(tblRouting[[#This Row],[Part]]="","",IF(tblRouting[[#This Row],[Minutes per unit]]="","Missing minutes per unit",IF(tblRouting[[#This Row],[Yield]]="","Work centre not on Setup",IF(COUNTIF(tblDemand[Part],tblRouting[[#This Row],[Part]])=0,"Part not on Demand Plan","OK"))))</f>
        <v>OK</v>
      </c>
      <c r="S22" s="28" t="s">
        <v>134</v>
      </c>
    </row>
    <row r="23" spans="2:19">
      <c r="B23" s="28" t="s">
        <v>119</v>
      </c>
      <c r="C23" s="28" t="s">
        <v>84</v>
      </c>
      <c r="D23" s="41">
        <v>8</v>
      </c>
      <c r="E23" s="42">
        <f>IF(tblRouting[[#This Row],[Part]]="","",IFERROR(INDEX(tblWorkCentres[Yield],MATCH(tblRouting[[#This Row],[Work centre]],tblWorkCentres[Work centre],0)),""))</f>
        <v>0.97</v>
      </c>
      <c r="F23" s="35">
        <f>IF(tblRouting[[#This Row],[Part]]="","",IF(OR(tblRouting[[#This Row],[Yield]]="",COUNTIF(tblDemand[Part],tblRouting[[#This Row],[Part]])=0),0,INDEX(tblDemand[Wk 1],MATCH(tblRouting[[#This Row],[Part]],tblDemand[Part],0))*tblRouting[[#This Row],[Minutes per unit]]/60/tblRouting[[#This Row],[Yield]]))</f>
        <v>26.1168384879725</v>
      </c>
      <c r="G23" s="35">
        <f>IF(tblRouting[[#This Row],[Part]]="","",IF(OR(tblRouting[[#This Row],[Yield]]="",COUNTIF(tblDemand[Part],tblRouting[[#This Row],[Part]])=0),0,INDEX(tblDemand[Wk 2],MATCH(tblRouting[[#This Row],[Part]],tblDemand[Part],0))*tblRouting[[#This Row],[Minutes per unit]]/60/tblRouting[[#This Row],[Yield]]))</f>
        <v>30.2405498281787</v>
      </c>
      <c r="H23" s="35">
        <f>IF(tblRouting[[#This Row],[Part]]="","",IF(OR(tblRouting[[#This Row],[Yield]]="",COUNTIF(tblDemand[Part],tblRouting[[#This Row],[Part]])=0),0,INDEX(tblDemand[Wk 3],MATCH(tblRouting[[#This Row],[Part]],tblDemand[Part],0))*tblRouting[[#This Row],[Minutes per unit]]/60/tblRouting[[#This Row],[Yield]]))</f>
        <v>30.2405498281787</v>
      </c>
      <c r="I23" s="35">
        <f>IF(tblRouting[[#This Row],[Part]]="","",IF(OR(tblRouting[[#This Row],[Yield]]="",COUNTIF(tblDemand[Part],tblRouting[[#This Row],[Part]])=0),0,INDEX(tblDemand[Wk 4],MATCH(tblRouting[[#This Row],[Part]],tblDemand[Part],0))*tblRouting[[#This Row],[Minutes per unit]]/60/tblRouting[[#This Row],[Yield]]))</f>
        <v>26.1168384879725</v>
      </c>
      <c r="J23" s="35">
        <f>IF(tblRouting[[#This Row],[Part]]="","",IF(OR(tblRouting[[#This Row],[Yield]]="",COUNTIF(tblDemand[Part],tblRouting[[#This Row],[Part]])=0),0,INDEX(tblDemand[Wk 5],MATCH(tblRouting[[#This Row],[Part]],tblDemand[Part],0))*tblRouting[[#This Row],[Minutes per unit]]/60/tblRouting[[#This Row],[Yield]]))</f>
        <v>30.2405498281787</v>
      </c>
      <c r="K23" s="35">
        <f>IF(tblRouting[[#This Row],[Part]]="","",IF(OR(tblRouting[[#This Row],[Yield]]="",COUNTIF(tblDemand[Part],tblRouting[[#This Row],[Part]])=0),0,INDEX(tblDemand[Wk 6],MATCH(tblRouting[[#This Row],[Part]],tblDemand[Part],0))*tblRouting[[#This Row],[Minutes per unit]]/60/tblRouting[[#This Row],[Yield]]))</f>
        <v>27.4914089347079</v>
      </c>
      <c r="L23" s="35">
        <f>IF(tblRouting[[#This Row],[Part]]="","",IF(OR(tblRouting[[#This Row],[Yield]]="",COUNTIF(tblDemand[Part],tblRouting[[#This Row],[Part]])=0),0,INDEX(tblDemand[Wk 7],MATCH(tblRouting[[#This Row],[Part]],tblDemand[Part],0))*tblRouting[[#This Row],[Minutes per unit]]/60/tblRouting[[#This Row],[Yield]]))</f>
        <v>24.7422680412371</v>
      </c>
      <c r="M23" s="35">
        <f>IF(tblRouting[[#This Row],[Part]]="","",IF(OR(tblRouting[[#This Row],[Yield]]="",COUNTIF(tblDemand[Part],tblRouting[[#This Row],[Part]])=0),0,INDEX(tblDemand[Wk 8],MATCH(tblRouting[[#This Row],[Part]],tblDemand[Part],0))*tblRouting[[#This Row],[Minutes per unit]]/60/tblRouting[[#This Row],[Yield]]))</f>
        <v>28.8659793814433</v>
      </c>
      <c r="N23" s="35">
        <f>IF(tblRouting[[#This Row],[Part]]="","",IF(OR(tblRouting[[#This Row],[Yield]]="",COUNTIF(tblDemand[Part],tblRouting[[#This Row],[Part]])=0),0,INDEX(tblDemand[Wk 9],MATCH(tblRouting[[#This Row],[Part]],tblDemand[Part],0))*tblRouting[[#This Row],[Minutes per unit]]/60/tblRouting[[#This Row],[Yield]]))</f>
        <v>26.1168384879725</v>
      </c>
      <c r="O23" s="35">
        <f>IF(tblRouting[[#This Row],[Part]]="","",IF(OR(tblRouting[[#This Row],[Yield]]="",COUNTIF(tblDemand[Part],tblRouting[[#This Row],[Part]])=0),0,INDEX(tblDemand[Wk 10],MATCH(tblRouting[[#This Row],[Part]],tblDemand[Part],0))*tblRouting[[#This Row],[Minutes per unit]]/60/tblRouting[[#This Row],[Yield]]))</f>
        <v>28.8659793814433</v>
      </c>
      <c r="P23" s="35">
        <f>IF(tblRouting[[#This Row],[Part]]="","",IF(OR(tblRouting[[#This Row],[Yield]]="",COUNTIF(tblDemand[Part],tblRouting[[#This Row],[Part]])=0),0,INDEX(tblDemand[Wk 11],MATCH(tblRouting[[#This Row],[Part]],tblDemand[Part],0))*tblRouting[[#This Row],[Minutes per unit]]/60/tblRouting[[#This Row],[Yield]]))</f>
        <v>28.8659793814433</v>
      </c>
      <c r="Q23" s="35">
        <f>IF(tblRouting[[#This Row],[Part]]="","",IF(OR(tblRouting[[#This Row],[Yield]]="",COUNTIF(tblDemand[Part],tblRouting[[#This Row],[Part]])=0),0,INDEX(tblDemand[Wk 12],MATCH(tblRouting[[#This Row],[Part]],tblDemand[Part],0))*tblRouting[[#This Row],[Minutes per unit]]/60/tblRouting[[#This Row],[Yield]]))</f>
        <v>26.1168384879725</v>
      </c>
      <c r="R23" s="40" t="str">
        <f>IF(tblRouting[[#This Row],[Part]]="","",IF(tblRouting[[#This Row],[Minutes per unit]]="","Missing minutes per unit",IF(tblRouting[[#This Row],[Yield]]="","Work centre not on Setup",IF(COUNTIF(tblDemand[Part],tblRouting[[#This Row],[Part]])=0,"Part not on Demand Plan","OK"))))</f>
        <v>OK</v>
      </c>
      <c r="S23" s="28" t="s">
        <v>134</v>
      </c>
    </row>
    <row r="24" spans="2:19">
      <c r="B24" s="28" t="s">
        <v>119</v>
      </c>
      <c r="C24" s="28" t="s">
        <v>88</v>
      </c>
      <c r="D24" s="41">
        <v>2</v>
      </c>
      <c r="E24" s="42">
        <f>IF(tblRouting[[#This Row],[Part]]="","",IFERROR(INDEX(tblWorkCentres[Yield],MATCH(tblRouting[[#This Row],[Work centre]],tblWorkCentres[Work centre],0)),""))</f>
        <v>0.995</v>
      </c>
      <c r="F24" s="35">
        <f>IF(tblRouting[[#This Row],[Part]]="","",IF(OR(tblRouting[[#This Row],[Yield]]="",COUNTIF(tblDemand[Part],tblRouting[[#This Row],[Part]])=0),0,INDEX(tblDemand[Wk 1],MATCH(tblRouting[[#This Row],[Part]],tblDemand[Part],0))*tblRouting[[#This Row],[Minutes per unit]]/60/tblRouting[[#This Row],[Yield]]))</f>
        <v>6.36515912897822</v>
      </c>
      <c r="G24" s="35">
        <f>IF(tblRouting[[#This Row],[Part]]="","",IF(OR(tblRouting[[#This Row],[Yield]]="",COUNTIF(tblDemand[Part],tblRouting[[#This Row],[Part]])=0),0,INDEX(tblDemand[Wk 2],MATCH(tblRouting[[#This Row],[Part]],tblDemand[Part],0))*tblRouting[[#This Row],[Minutes per unit]]/60/tblRouting[[#This Row],[Yield]]))</f>
        <v>7.37018425460636</v>
      </c>
      <c r="H24" s="35">
        <f>IF(tblRouting[[#This Row],[Part]]="","",IF(OR(tblRouting[[#This Row],[Yield]]="",COUNTIF(tblDemand[Part],tblRouting[[#This Row],[Part]])=0),0,INDEX(tblDemand[Wk 3],MATCH(tblRouting[[#This Row],[Part]],tblDemand[Part],0))*tblRouting[[#This Row],[Minutes per unit]]/60/tblRouting[[#This Row],[Yield]]))</f>
        <v>7.37018425460636</v>
      </c>
      <c r="I24" s="35">
        <f>IF(tblRouting[[#This Row],[Part]]="","",IF(OR(tblRouting[[#This Row],[Yield]]="",COUNTIF(tblDemand[Part],tblRouting[[#This Row],[Part]])=0),0,INDEX(tblDemand[Wk 4],MATCH(tblRouting[[#This Row],[Part]],tblDemand[Part],0))*tblRouting[[#This Row],[Minutes per unit]]/60/tblRouting[[#This Row],[Yield]]))</f>
        <v>6.36515912897822</v>
      </c>
      <c r="J24" s="35">
        <f>IF(tblRouting[[#This Row],[Part]]="","",IF(OR(tblRouting[[#This Row],[Yield]]="",COUNTIF(tblDemand[Part],tblRouting[[#This Row],[Part]])=0),0,INDEX(tblDemand[Wk 5],MATCH(tblRouting[[#This Row],[Part]],tblDemand[Part],0))*tblRouting[[#This Row],[Minutes per unit]]/60/tblRouting[[#This Row],[Yield]]))</f>
        <v>7.37018425460636</v>
      </c>
      <c r="K24" s="35">
        <f>IF(tblRouting[[#This Row],[Part]]="","",IF(OR(tblRouting[[#This Row],[Yield]]="",COUNTIF(tblDemand[Part],tblRouting[[#This Row],[Part]])=0),0,INDEX(tblDemand[Wk 6],MATCH(tblRouting[[#This Row],[Part]],tblDemand[Part],0))*tblRouting[[#This Row],[Minutes per unit]]/60/tblRouting[[#This Row],[Yield]]))</f>
        <v>6.70016750418761</v>
      </c>
      <c r="L24" s="35">
        <f>IF(tblRouting[[#This Row],[Part]]="","",IF(OR(tblRouting[[#This Row],[Yield]]="",COUNTIF(tblDemand[Part],tblRouting[[#This Row],[Part]])=0),0,INDEX(tblDemand[Wk 7],MATCH(tblRouting[[#This Row],[Part]],tblDemand[Part],0))*tblRouting[[#This Row],[Minutes per unit]]/60/tblRouting[[#This Row],[Yield]]))</f>
        <v>6.03015075376885</v>
      </c>
      <c r="M24" s="35">
        <f>IF(tblRouting[[#This Row],[Part]]="","",IF(OR(tblRouting[[#This Row],[Yield]]="",COUNTIF(tblDemand[Part],tblRouting[[#This Row],[Part]])=0),0,INDEX(tblDemand[Wk 8],MATCH(tblRouting[[#This Row],[Part]],tblDemand[Part],0))*tblRouting[[#This Row],[Minutes per unit]]/60/tblRouting[[#This Row],[Yield]]))</f>
        <v>7.03517587939699</v>
      </c>
      <c r="N24" s="35">
        <f>IF(tblRouting[[#This Row],[Part]]="","",IF(OR(tblRouting[[#This Row],[Yield]]="",COUNTIF(tblDemand[Part],tblRouting[[#This Row],[Part]])=0),0,INDEX(tblDemand[Wk 9],MATCH(tblRouting[[#This Row],[Part]],tblDemand[Part],0))*tblRouting[[#This Row],[Minutes per unit]]/60/tblRouting[[#This Row],[Yield]]))</f>
        <v>6.36515912897822</v>
      </c>
      <c r="O24" s="35">
        <f>IF(tblRouting[[#This Row],[Part]]="","",IF(OR(tblRouting[[#This Row],[Yield]]="",COUNTIF(tblDemand[Part],tblRouting[[#This Row],[Part]])=0),0,INDEX(tblDemand[Wk 10],MATCH(tblRouting[[#This Row],[Part]],tblDemand[Part],0))*tblRouting[[#This Row],[Minutes per unit]]/60/tblRouting[[#This Row],[Yield]]))</f>
        <v>7.03517587939699</v>
      </c>
      <c r="P24" s="35">
        <f>IF(tblRouting[[#This Row],[Part]]="","",IF(OR(tblRouting[[#This Row],[Yield]]="",COUNTIF(tblDemand[Part],tblRouting[[#This Row],[Part]])=0),0,INDEX(tblDemand[Wk 11],MATCH(tblRouting[[#This Row],[Part]],tblDemand[Part],0))*tblRouting[[#This Row],[Minutes per unit]]/60/tblRouting[[#This Row],[Yield]]))</f>
        <v>7.03517587939699</v>
      </c>
      <c r="Q24" s="35">
        <f>IF(tblRouting[[#This Row],[Part]]="","",IF(OR(tblRouting[[#This Row],[Yield]]="",COUNTIF(tblDemand[Part],tblRouting[[#This Row],[Part]])=0),0,INDEX(tblDemand[Wk 12],MATCH(tblRouting[[#This Row],[Part]],tblDemand[Part],0))*tblRouting[[#This Row],[Minutes per unit]]/60/tblRouting[[#This Row],[Yield]]))</f>
        <v>6.36515912897822</v>
      </c>
      <c r="R24" s="40" t="str">
        <f>IF(tblRouting[[#This Row],[Part]]="","",IF(tblRouting[[#This Row],[Minutes per unit]]="","Missing minutes per unit",IF(tblRouting[[#This Row],[Yield]]="","Work centre not on Setup",IF(COUNTIF(tblDemand[Part],tblRouting[[#This Row],[Part]])=0,"Part not on Demand Plan","OK"))))</f>
        <v>OK</v>
      </c>
      <c r="S24" s="28" t="s">
        <v>134</v>
      </c>
    </row>
    <row r="25" spans="2:19">
      <c r="B25" s="28" t="s">
        <v>119</v>
      </c>
      <c r="C25" s="28" t="s">
        <v>90</v>
      </c>
      <c r="D25" s="41">
        <v>1.2</v>
      </c>
      <c r="E25" s="42">
        <f>IF(tblRouting[[#This Row],[Part]]="","",IFERROR(INDEX(tblWorkCentres[Yield],MATCH(tblRouting[[#This Row],[Work centre]],tblWorkCentres[Work centre],0)),""))</f>
        <v>1</v>
      </c>
      <c r="F25" s="35">
        <f>IF(tblRouting[[#This Row],[Part]]="","",IF(OR(tblRouting[[#This Row],[Yield]]="",COUNTIF(tblDemand[Part],tblRouting[[#This Row],[Part]])=0),0,INDEX(tblDemand[Wk 1],MATCH(tblRouting[[#This Row],[Part]],tblDemand[Part],0))*tblRouting[[#This Row],[Minutes per unit]]/60/tblRouting[[#This Row],[Yield]]))</f>
        <v>3.8</v>
      </c>
      <c r="G25" s="35">
        <f>IF(tblRouting[[#This Row],[Part]]="","",IF(OR(tblRouting[[#This Row],[Yield]]="",COUNTIF(tblDemand[Part],tblRouting[[#This Row],[Part]])=0),0,INDEX(tblDemand[Wk 2],MATCH(tblRouting[[#This Row],[Part]],tblDemand[Part],0))*tblRouting[[#This Row],[Minutes per unit]]/60/tblRouting[[#This Row],[Yield]]))</f>
        <v>4.4</v>
      </c>
      <c r="H25" s="35">
        <f>IF(tblRouting[[#This Row],[Part]]="","",IF(OR(tblRouting[[#This Row],[Yield]]="",COUNTIF(tblDemand[Part],tblRouting[[#This Row],[Part]])=0),0,INDEX(tblDemand[Wk 3],MATCH(tblRouting[[#This Row],[Part]],tblDemand[Part],0))*tblRouting[[#This Row],[Minutes per unit]]/60/tblRouting[[#This Row],[Yield]]))</f>
        <v>4.4</v>
      </c>
      <c r="I25" s="35">
        <f>IF(tblRouting[[#This Row],[Part]]="","",IF(OR(tblRouting[[#This Row],[Yield]]="",COUNTIF(tblDemand[Part],tblRouting[[#This Row],[Part]])=0),0,INDEX(tblDemand[Wk 4],MATCH(tblRouting[[#This Row],[Part]],tblDemand[Part],0))*tblRouting[[#This Row],[Minutes per unit]]/60/tblRouting[[#This Row],[Yield]]))</f>
        <v>3.8</v>
      </c>
      <c r="J25" s="35">
        <f>IF(tblRouting[[#This Row],[Part]]="","",IF(OR(tblRouting[[#This Row],[Yield]]="",COUNTIF(tblDemand[Part],tblRouting[[#This Row],[Part]])=0),0,INDEX(tblDemand[Wk 5],MATCH(tblRouting[[#This Row],[Part]],tblDemand[Part],0))*tblRouting[[#This Row],[Minutes per unit]]/60/tblRouting[[#This Row],[Yield]]))</f>
        <v>4.4</v>
      </c>
      <c r="K25" s="35">
        <f>IF(tblRouting[[#This Row],[Part]]="","",IF(OR(tblRouting[[#This Row],[Yield]]="",COUNTIF(tblDemand[Part],tblRouting[[#This Row],[Part]])=0),0,INDEX(tblDemand[Wk 6],MATCH(tblRouting[[#This Row],[Part]],tblDemand[Part],0))*tblRouting[[#This Row],[Minutes per unit]]/60/tblRouting[[#This Row],[Yield]]))</f>
        <v>4</v>
      </c>
      <c r="L25" s="35">
        <f>IF(tblRouting[[#This Row],[Part]]="","",IF(OR(tblRouting[[#This Row],[Yield]]="",COUNTIF(tblDemand[Part],tblRouting[[#This Row],[Part]])=0),0,INDEX(tblDemand[Wk 7],MATCH(tblRouting[[#This Row],[Part]],tblDemand[Part],0))*tblRouting[[#This Row],[Minutes per unit]]/60/tblRouting[[#This Row],[Yield]]))</f>
        <v>3.6</v>
      </c>
      <c r="M25" s="35">
        <f>IF(tblRouting[[#This Row],[Part]]="","",IF(OR(tblRouting[[#This Row],[Yield]]="",COUNTIF(tblDemand[Part],tblRouting[[#This Row],[Part]])=0),0,INDEX(tblDemand[Wk 8],MATCH(tblRouting[[#This Row],[Part]],tblDemand[Part],0))*tblRouting[[#This Row],[Minutes per unit]]/60/tblRouting[[#This Row],[Yield]]))</f>
        <v>4.2</v>
      </c>
      <c r="N25" s="35">
        <f>IF(tblRouting[[#This Row],[Part]]="","",IF(OR(tblRouting[[#This Row],[Yield]]="",COUNTIF(tblDemand[Part],tblRouting[[#This Row],[Part]])=0),0,INDEX(tblDemand[Wk 9],MATCH(tblRouting[[#This Row],[Part]],tblDemand[Part],0))*tblRouting[[#This Row],[Minutes per unit]]/60/tblRouting[[#This Row],[Yield]]))</f>
        <v>3.8</v>
      </c>
      <c r="O25" s="35">
        <f>IF(tblRouting[[#This Row],[Part]]="","",IF(OR(tblRouting[[#This Row],[Yield]]="",COUNTIF(tblDemand[Part],tblRouting[[#This Row],[Part]])=0),0,INDEX(tblDemand[Wk 10],MATCH(tblRouting[[#This Row],[Part]],tblDemand[Part],0))*tblRouting[[#This Row],[Minutes per unit]]/60/tblRouting[[#This Row],[Yield]]))</f>
        <v>4.2</v>
      </c>
      <c r="P25" s="35">
        <f>IF(tblRouting[[#This Row],[Part]]="","",IF(OR(tblRouting[[#This Row],[Yield]]="",COUNTIF(tblDemand[Part],tblRouting[[#This Row],[Part]])=0),0,INDEX(tblDemand[Wk 11],MATCH(tblRouting[[#This Row],[Part]],tblDemand[Part],0))*tblRouting[[#This Row],[Minutes per unit]]/60/tblRouting[[#This Row],[Yield]]))</f>
        <v>4.2</v>
      </c>
      <c r="Q25" s="35">
        <f>IF(tblRouting[[#This Row],[Part]]="","",IF(OR(tblRouting[[#This Row],[Yield]]="",COUNTIF(tblDemand[Part],tblRouting[[#This Row],[Part]])=0),0,INDEX(tblDemand[Wk 12],MATCH(tblRouting[[#This Row],[Part]],tblDemand[Part],0))*tblRouting[[#This Row],[Minutes per unit]]/60/tblRouting[[#This Row],[Yield]]))</f>
        <v>3.8</v>
      </c>
      <c r="R25" s="40" t="str">
        <f>IF(tblRouting[[#This Row],[Part]]="","",IF(tblRouting[[#This Row],[Minutes per unit]]="","Missing minutes per unit",IF(tblRouting[[#This Row],[Yield]]="","Work centre not on Setup",IF(COUNTIF(tblDemand[Part],tblRouting[[#This Row],[Part]])=0,"Part not on Demand Plan","OK"))))</f>
        <v>OK</v>
      </c>
      <c r="S25" s="28" t="s">
        <v>134</v>
      </c>
    </row>
  </sheetData>
  <mergeCells count="3">
    <mergeCell ref="A1:S1"/>
    <mergeCell ref="B2:R2"/>
    <mergeCell ref="B4:S4"/>
  </mergeCells>
  <conditionalFormatting sqref="R6:R525">
    <cfRule type="expression" dxfId="3" priority="1">
      <formula>$R6="OK"</formula>
    </cfRule>
    <cfRule type="expression" dxfId="1" priority="2">
      <formula>AND($R6&lt;&gt;"",$R6&lt;&gt;"OK")</formula>
    </cfRule>
  </conditionalFormatting>
  <dataValidations count="4">
    <dataValidation type="list" allowBlank="1" showInputMessage="1" showErrorMessage="1" errorTitle="Check this entry" error="Pick from the list (edit the list on Setup: Parts)." promptTitle="Part" prompt="Pick from the list (edit the list on Setup: Parts)." sqref="B6:B525">
      <formula1>Parts</formula1>
    </dataValidation>
    <dataValidation type="list" allowBlank="1" showInputMessage="1" showErrorMessage="1" errorTitle="Check this entry" error="Pick from the list (edit the list on Setup: WorkCentres)." promptTitle="Work centre" prompt="Pick from the list (edit the list on Setup: WorkCentres)." sqref="C6:C525">
      <formula1>WorkCentres</formula1>
    </dataValidation>
    <dataValidation type="decimal" allowBlank="1" showInputMessage="1" showErrorMessage="1" errorTitle="Check this entry" error="Enter a number from 0 to 100,000." promptTitle="Minutes per unit" prompt="Standard run time per unit at this work centre, setup spread per unit included. Enter a number from 0 to 100,000." sqref="D6:D525">
      <formula1>0</formula1>
      <formula2>100000</formula2>
    </dataValidation>
    <dataValidation type="textLength" allowBlank="1" showInputMessage="1" showErrorMessage="1" errorTitle="Check this entry" error="Text up to 120 characters." promptTitle="Notes" prompt="Text up to 120 characters." sqref="S6:S525">
      <formula1>0</formula1>
      <formula2>120</formula2>
    </dataValidation>
  </dataValidations>
  <hyperlinks>
    <hyperlink ref="S2" r:id="rId1" tooltip="Free manufacturing calculators and templates"/>
  </hyperlinks>
  <pageMargins left="0.4" right="0.4" top="0.7" bottom="0.65" header="0.3" footer="0.3"/>
  <pageSetup fitToHeight="0" orientation="landscape"/>
  <headerFooter>
    <oddHeader>&amp;L&amp;8MFG Calcs - Capacity Planning&amp;R&amp;8&amp;A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O83"/>
  <sheetViews>
    <sheetView showGridLines="0" zoomScale="90" zoomScaleNormal="90" workbookViewId="0"/>
  </sheetViews>
  <sheetFormatPr defaultRowHeight="15" x14ac:dyDescent="0.25"/>
  <cols>
    <col min="1" max="1" width="2.7109375" customWidth="1"/>
    <col min="2" max="2" width="26.5703125" customWidth="1"/>
    <col min="3" max="15" width="9.28515625" customWidth="1"/>
  </cols>
  <sheetData>
    <row r="1" spans="1:15" ht="30" customHeight="1" x14ac:dyDescent="0.25">
      <c r="A1" s="1" t="s">
        <v>0</v>
      </c>
      <c r="B1" s="1"/>
      <c r="C1" s="1"/>
      <c r="D1" s="1"/>
      <c r="E1" s="1"/>
      <c r="F1" s="1"/>
      <c r="G1" s="1"/>
      <c r="H1" s="1"/>
      <c r="I1" s="1"/>
      <c r="J1" s="1"/>
      <c r="K1" s="1"/>
      <c r="L1" s="1"/>
      <c r="M1" s="1"/>
      <c r="N1" s="1"/>
      <c r="O1" s="1"/>
    </row>
    <row r="2" spans="1:15" ht="21" customHeight="1" x14ac:dyDescent="0.25">
      <c r="B2" s="2" t="s">
        <v>24</v>
      </c>
      <c r="C2" s="2"/>
      <c r="D2" s="2"/>
      <c r="E2" s="2"/>
      <c r="F2" s="2"/>
      <c r="G2" s="2"/>
      <c r="H2" s="2"/>
      <c r="I2" s="2"/>
      <c r="J2" s="2"/>
      <c r="K2" s="2"/>
      <c r="L2" s="2"/>
      <c r="M2" s="2"/>
      <c r="N2" s="3" t="s">
        <v>2</v>
      </c>
      <c r="O2" s="3"/>
    </row>
    <row r="3" spans="1:15" ht="6" customHeight="1" x14ac:dyDescent="0.25"/>
    <row r="4" spans="1:15" ht="18" customHeight="1" x14ac:dyDescent="0.25">
      <c r="B4" s="43" t="s">
        <v>135</v>
      </c>
      <c r="C4" s="43"/>
      <c r="D4" s="43" t="s">
        <v>136</v>
      </c>
      <c r="E4" s="43"/>
      <c r="F4" s="43"/>
      <c r="G4" s="43"/>
      <c r="H4" s="43" t="s">
        <v>137</v>
      </c>
      <c r="I4" s="43"/>
      <c r="J4" s="43"/>
      <c r="K4" s="43"/>
      <c r="L4" s="43" t="s">
        <v>138</v>
      </c>
      <c r="M4" s="43"/>
      <c r="N4" s="43"/>
      <c r="O4" s="43"/>
    </row>
    <row r="5" spans="1:15" ht="21" customHeight="1" x14ac:dyDescent="0.25">
      <c r="B5" s="44" t="str">
        <f>INDEX($B$28:$B$33,MATCH(MAX($F$28:$F$33),$F$28:$F$33,0))</f>
        <v>CNC mill</v>
      </c>
      <c r="C5" s="44"/>
      <c r="D5" s="45">
        <f>MAX($C$37:$N$42)</f>
        <v>1.20811855670103</v>
      </c>
      <c r="E5" s="45"/>
      <c r="F5" s="45"/>
      <c r="G5" s="45"/>
      <c r="H5" s="46">
        <f>SUM($I$28:$I$33)</f>
        <v>31.9670103092783</v>
      </c>
      <c r="I5" s="46"/>
      <c r="J5" s="46"/>
      <c r="K5" s="46"/>
      <c r="L5" s="47">
        <f>SUM($K$28:$K$33)</f>
        <v>1</v>
      </c>
      <c r="M5" s="47"/>
      <c r="N5" s="47"/>
      <c r="O5" s="47"/>
    </row>
    <row r="6" spans="1:15" ht="21" customHeight="1" x14ac:dyDescent="0.25">
      <c r="B6" s="44"/>
      <c r="C6" s="44"/>
      <c r="D6" s="45"/>
      <c r="E6" s="45"/>
      <c r="F6" s="45"/>
      <c r="G6" s="45"/>
      <c r="H6" s="46"/>
      <c r="I6" s="46"/>
      <c r="J6" s="46"/>
      <c r="K6" s="46"/>
      <c r="L6" s="47"/>
      <c r="M6" s="47"/>
      <c r="N6" s="47"/>
      <c r="O6" s="47"/>
    </row>
    <row r="7" spans="1:15" x14ac:dyDescent="0.25">
      <c r="B7" s="48" t="s">
        <v>139</v>
      </c>
      <c r="C7" s="48"/>
      <c r="D7" s="49">
        <f>OverAt</f>
        <v>1</v>
      </c>
      <c r="E7" s="49"/>
      <c r="F7" s="49"/>
      <c r="G7" s="49"/>
      <c r="H7" s="48" t="s">
        <v>140</v>
      </c>
      <c r="I7" s="48"/>
      <c r="J7" s="48"/>
      <c r="K7" s="48"/>
      <c r="L7" s="48" t="s">
        <v>141</v>
      </c>
      <c r="M7" s="48"/>
      <c r="N7" s="48"/>
      <c r="O7" s="48"/>
    </row>
    <row r="8" spans="1:15" ht="18" customHeight="1" x14ac:dyDescent="0.25">
      <c r="B8" s="50"/>
      <c r="C8" s="50"/>
      <c r="D8" s="50" t="str">
        <f>IF(NOT(ISNUMBER(KpiPeak)),"No data",IF(KpiPeak&lt;=(NearAt),"Under capacity",IF(KpiPeak&lt;=(OverAt),"Near capacity","Over capacity")))</f>
        <v>Over capacity</v>
      </c>
      <c r="E8" s="50"/>
      <c r="F8" s="50"/>
      <c r="G8" s="50"/>
      <c r="H8" s="50"/>
      <c r="I8" s="50"/>
      <c r="J8" s="50"/>
      <c r="K8" s="50"/>
      <c r="L8" s="50"/>
      <c r="M8" s="50"/>
      <c r="N8" s="50"/>
      <c r="O8" s="50"/>
    </row>
    <row r="26" spans="2:15" x14ac:dyDescent="0.25">
      <c r="B26" s="31" t="s">
        <v>142</v>
      </c>
      <c r="C26" s="31"/>
      <c r="D26" s="31"/>
      <c r="E26" s="31"/>
      <c r="F26" s="31"/>
      <c r="G26" s="31"/>
      <c r="H26" s="31"/>
      <c r="I26" s="31"/>
      <c r="J26" s="31"/>
      <c r="K26" s="31"/>
      <c r="L26" s="31"/>
      <c r="M26" s="31"/>
      <c r="N26" s="31"/>
      <c r="O26" s="31"/>
    </row>
    <row r="27" spans="2:15" ht="45.5" customHeight="1" x14ac:dyDescent="0.25">
      <c r="B27" s="36" t="s">
        <v>62</v>
      </c>
      <c r="C27" s="32" t="s">
        <v>63</v>
      </c>
      <c r="D27" s="32" t="s">
        <v>143</v>
      </c>
      <c r="E27" s="32" t="s">
        <v>144</v>
      </c>
      <c r="F27" s="32" t="s">
        <v>145</v>
      </c>
      <c r="G27" s="32" t="s">
        <v>146</v>
      </c>
      <c r="H27" s="32" t="s">
        <v>147</v>
      </c>
      <c r="I27" s="32" t="s">
        <v>148</v>
      </c>
      <c r="J27" s="32" t="s">
        <v>149</v>
      </c>
      <c r="K27" s="32" t="s">
        <v>150</v>
      </c>
      <c r="L27" s="32" t="s">
        <v>151</v>
      </c>
      <c r="M27" s="32"/>
      <c r="N27" s="32" t="s">
        <v>152</v>
      </c>
      <c r="O27" s="32"/>
    </row>
    <row r="28" spans="2:15" x14ac:dyDescent="0.25">
      <c r="B28" s="51" t="str">
        <f>IFERROR(INDEX(tblWorkCentres[Work centre],1)&amp;"","")</f>
        <v>Saw</v>
      </c>
      <c r="C28" s="39">
        <f>IF($B$28="","",INDEX(tblWorkCentres[Machines],MATCH($B$28,tblWorkCentres[Work centre],0)))</f>
        <v>1</v>
      </c>
      <c r="D28" s="39">
        <f>IF($B$28="","",SUM(INDEX($C$66:$N$71,1,0)))</f>
        <v>122.964824120603</v>
      </c>
      <c r="E28" s="39">
        <f>IF($B$28="","",SUM(INDEX($C$75:$N$80,1,0)))</f>
        <v>424.8</v>
      </c>
      <c r="F28" s="52">
        <f>IF($B$28="","",IF($E$28&gt;0,$D$28/$E$28,""))</f>
        <v>0.28946521685641</v>
      </c>
      <c r="G28" s="52">
        <f>IF($B$28="","",MAX(INDEX($C$37:$N$42,1,0)))</f>
        <v>0.382700539735716</v>
      </c>
      <c r="H28" s="53">
        <f>IF($B$28="","",INDEX($C$36:$N$36,MATCH($G$28,INDEX($C$37:$N$42,1,0),0)))</f>
        <v>46377</v>
      </c>
      <c r="I28" s="35">
        <f>IF($B$28="","",SUMPRODUCT((INDEX($C$66:$N$71,1,0)&gt;INDEX($C$75:$N$80,1,0))*(INDEX($C$66:$N$71,1,0)-INDEX($C$75:$N$80,1,0))))</f>
        <v>0</v>
      </c>
      <c r="J28" s="54">
        <f>IF($B$28="","",$G$28*$C$28)</f>
        <v>0.382700539735716</v>
      </c>
      <c r="K28" s="39">
        <f>IF($B$28="","",MAX(0,CEILING($J$28,1)-$C$28))</f>
        <v>0</v>
      </c>
      <c r="L28" s="55" t="str">
        <f>IF($B$28="","",IF($G$28&gt;OverAt,"Over capacity",IF($G$28&gt;=NearAt,"Near capacity","Under capacity")))</f>
        <v>Under capacity</v>
      </c>
      <c r="M28" s="55"/>
      <c r="N28" s="56" t="str">
        <f>IF($B$28="","",IF($G$28&lt;NearAt,"None needed",IF($G$28&lt;=OverAt,"Watch: little slack",IF($F$28&lt;=OverAt,"Overtime or level peak","Add shift or machines"))))</f>
        <v>None needed</v>
      </c>
      <c r="O28" s="56"/>
    </row>
    <row r="29" spans="2:15" x14ac:dyDescent="0.25">
      <c r="B29" s="51" t="str">
        <f>IFERROR(INDEX(tblWorkCentres[Work centre],2)&amp;"","")</f>
        <v>CNC lathe</v>
      </c>
      <c r="C29" s="39">
        <f>IF($B$29="","",INDEX(tblWorkCentres[Machines],MATCH($B$29,tblWorkCentres[Work centre],0)))</f>
        <v>2</v>
      </c>
      <c r="D29" s="39">
        <f>IF($B$29="","",SUM(INDEX($C$66:$N$71,2,0)))</f>
        <v>1115.44673539519</v>
      </c>
      <c r="E29" s="39">
        <f>IF($B$29="","",SUM(INDEX($C$75:$N$80,2,0)))</f>
        <v>1548.16</v>
      </c>
      <c r="F29" s="52">
        <f>IF($B$29="","",IF($E$29&gt;0,$D$29/$E$29,""))</f>
        <v>0.720498356368327</v>
      </c>
      <c r="G29" s="52">
        <f>IF($B$29="","",MAX(INDEX($C$37:$N$42,2,0)))</f>
        <v>0.923277596178024</v>
      </c>
      <c r="H29" s="53">
        <f>IF($B$29="","",INDEX($C$36:$N$36,MATCH($G$29,INDEX($C$37:$N$42,2,0),0)))</f>
        <v>46377</v>
      </c>
      <c r="I29" s="35">
        <f>IF($B$29="","",SUMPRODUCT((INDEX($C$66:$N$71,2,0)&gt;INDEX($C$75:$N$80,2,0))*(INDEX($C$66:$N$71,2,0)-INDEX($C$75:$N$80,2,0))))</f>
        <v>0</v>
      </c>
      <c r="J29" s="54">
        <f>IF($B$29="","",$G$29*$C$29)</f>
        <v>1.84655519235605</v>
      </c>
      <c r="K29" s="39">
        <f>IF($B$29="","",MAX(0,CEILING($J$29,1)-$C$29))</f>
        <v>0</v>
      </c>
      <c r="L29" s="55" t="str">
        <f>IF($B$29="","",IF($G$29&gt;OverAt,"Over capacity",IF($G$29&gt;=NearAt,"Near capacity","Under capacity")))</f>
        <v>Near capacity</v>
      </c>
      <c r="M29" s="55"/>
      <c r="N29" s="56" t="str">
        <f>IF($B$29="","",IF($G$29&lt;NearAt,"None needed",IF($G$29&lt;=OverAt,"Watch: little slack",IF($F$29&lt;=OverAt,"Overtime or level peak","Add shift or machines"))))</f>
        <v>Watch: little slack</v>
      </c>
      <c r="O29" s="56"/>
    </row>
    <row r="30" spans="2:15" x14ac:dyDescent="0.25">
      <c r="B30" s="51" t="str">
        <f>IFERROR(INDEX(tblWorkCentres[Work centre],3)&amp;"","")</f>
        <v>CNC mill</v>
      </c>
      <c r="C30" s="39">
        <f>IF($B$30="","",INDEX(tblWorkCentres[Machines],MATCH($B$30,tblWorkCentres[Work centre],0)))</f>
        <v>3</v>
      </c>
      <c r="D30" s="39">
        <f>IF($B$30="","",SUM(INDEX($C$66:$N$71,3,0)))</f>
        <v>1918.12714776632</v>
      </c>
      <c r="E30" s="39">
        <f>IF($B$30="","",SUM(INDEX($C$75:$N$80,3,0)))</f>
        <v>2265.6</v>
      </c>
      <c r="F30" s="52">
        <f>IF($B$30="","",IF($E$30&gt;0,$D$30/$E$30,""))</f>
        <v>0.84663097976974</v>
      </c>
      <c r="G30" s="52">
        <f>IF($B$30="","",MAX(INDEX($C$37:$N$42,3,0)))</f>
        <v>1.20811855670103</v>
      </c>
      <c r="H30" s="53">
        <f>IF($B$30="","",INDEX($C$36:$N$36,MATCH($G$30,INDEX($C$37:$N$42,3,0),0)))</f>
        <v>46377</v>
      </c>
      <c r="I30" s="35">
        <f>IF($B$30="","",SUMPRODUCT((INDEX($C$66:$N$71,3,0)&gt;INDEX($C$75:$N$80,3,0))*(INDEX($C$66:$N$71,3,0)-INDEX($C$75:$N$80,3,0))))</f>
        <v>31.9670103092783</v>
      </c>
      <c r="J30" s="54">
        <f>IF($B$30="","",$G$30*$C$30)</f>
        <v>3.62435567010309</v>
      </c>
      <c r="K30" s="39">
        <f>IF($B$30="","",MAX(0,CEILING($J$30,1)-$C$30))</f>
        <v>1</v>
      </c>
      <c r="L30" s="55" t="str">
        <f>IF($B$30="","",IF($G$30&gt;OverAt,"Over capacity",IF($G$30&gt;=NearAt,"Near capacity","Under capacity")))</f>
        <v>Over capacity</v>
      </c>
      <c r="M30" s="55"/>
      <c r="N30" s="56" t="str">
        <f>IF($B$30="","",IF($G$30&lt;NearAt,"None needed",IF($G$30&lt;=OverAt,"Watch: little slack",IF($F$30&lt;=OverAt,"Overtime or level peak","Add shift or machines"))))</f>
        <v>Overtime or level peak</v>
      </c>
      <c r="O30" s="56"/>
    </row>
    <row r="31" spans="2:15" x14ac:dyDescent="0.25">
      <c r="B31" s="51" t="str">
        <f>IFERROR(INDEX(tblWorkCentres[Work centre],4)&amp;"","")</f>
        <v>Grinder</v>
      </c>
      <c r="C31" s="39">
        <f>IF($B$31="","",INDEX(tblWorkCentres[Machines],MATCH($B$31,tblWorkCentres[Work centre],0)))</f>
        <v>1</v>
      </c>
      <c r="D31" s="39">
        <f>IF($B$31="","",SUM(INDEX($C$66:$N$71,4,0)))</f>
        <v>486.734693877551</v>
      </c>
      <c r="E31" s="39">
        <f>IF($B$31="","",SUM(INDEX($C$75:$N$80,4,0)))</f>
        <v>802.4</v>
      </c>
      <c r="F31" s="52">
        <f>IF($B$31="","",IF($E$31&gt;0,$D$31/$E$31,""))</f>
        <v>0.606598571632043</v>
      </c>
      <c r="G31" s="52">
        <f>IF($B$31="","",MAX(INDEX($C$37:$N$42,4,0)))</f>
        <v>0.712785114045618</v>
      </c>
      <c r="H31" s="53">
        <f>IF($B$31="","",INDEX($C$36:$N$36,MATCH($G$31,INDEX($C$37:$N$42,4,0),0)))</f>
        <v>46377</v>
      </c>
      <c r="I31" s="35">
        <f>IF($B$31="","",SUMPRODUCT((INDEX($C$66:$N$71,4,0)&gt;INDEX($C$75:$N$80,4,0))*(INDEX($C$66:$N$71,4,0)-INDEX($C$75:$N$80,4,0))))</f>
        <v>0</v>
      </c>
      <c r="J31" s="54">
        <f>IF($B$31="","",$G$31*$C$31)</f>
        <v>0.712785114045618</v>
      </c>
      <c r="K31" s="39">
        <f>IF($B$31="","",MAX(0,CEILING($J$31,1)-$C$31))</f>
        <v>0</v>
      </c>
      <c r="L31" s="55" t="str">
        <f>IF($B$31="","",IF($G$31&gt;OverAt,"Over capacity",IF($G$31&gt;=NearAt,"Near capacity","Under capacity")))</f>
        <v>Under capacity</v>
      </c>
      <c r="M31" s="55"/>
      <c r="N31" s="56" t="str">
        <f>IF($B$31="","",IF($G$31&lt;NearAt,"None needed",IF($G$31&lt;=OverAt,"Watch: little slack",IF($F$31&lt;=OverAt,"Overtime or level peak","Add shift or machines"))))</f>
        <v>None needed</v>
      </c>
      <c r="O31" s="56"/>
    </row>
    <row r="32" spans="2:15" x14ac:dyDescent="0.25">
      <c r="B32" s="51" t="str">
        <f>IFERROR(INDEX(tblWorkCentres[Work centre],5)&amp;"","")</f>
        <v>Deburr</v>
      </c>
      <c r="C32" s="39">
        <f>IF($B$32="","",INDEX(tblWorkCentres[Machines],MATCH($B$32,tblWorkCentres[Work centre],0)))</f>
        <v>2</v>
      </c>
      <c r="D32" s="39">
        <f>IF($B$32="","",SUM(INDEX($C$66:$N$71,5,0)))</f>
        <v>432.613065326633</v>
      </c>
      <c r="E32" s="39">
        <f>IF($B$32="","",SUM(INDEX($C$75:$N$80,5,0)))</f>
        <v>896.8</v>
      </c>
      <c r="F32" s="52">
        <f>IF($B$32="","",IF($E$32&gt;0,$D$32/$E$32,""))</f>
        <v>0.48239637079241</v>
      </c>
      <c r="G32" s="52">
        <f>IF($B$32="","",MAX(INDEX($C$37:$N$42,5,0)))</f>
        <v>0.685995768315261</v>
      </c>
      <c r="H32" s="53">
        <f>IF($B$32="","",INDEX($C$36:$N$36,MATCH($G$32,INDEX($C$37:$N$42,5,0),0)))</f>
        <v>46377</v>
      </c>
      <c r="I32" s="35">
        <f>IF($B$32="","",SUMPRODUCT((INDEX($C$66:$N$71,5,0)&gt;INDEX($C$75:$N$80,5,0))*(INDEX($C$66:$N$71,5,0)-INDEX($C$75:$N$80,5,0))))</f>
        <v>0</v>
      </c>
      <c r="J32" s="54">
        <f>IF($B$32="","",$G$32*$C$32)</f>
        <v>1.37199153663052</v>
      </c>
      <c r="K32" s="39">
        <f>IF($B$32="","",MAX(0,CEILING($J$32,1)-$C$32))</f>
        <v>0</v>
      </c>
      <c r="L32" s="55" t="str">
        <f>IF($B$32="","",IF($G$32&gt;OverAt,"Over capacity",IF($G$32&gt;=NearAt,"Near capacity","Under capacity")))</f>
        <v>Under capacity</v>
      </c>
      <c r="M32" s="55"/>
      <c r="N32" s="56" t="str">
        <f>IF($B$32="","",IF($G$32&lt;NearAt,"None needed",IF($G$32&lt;=OverAt,"Watch: little slack",IF($F$32&lt;=OverAt,"Overtime or level peak","Add shift or machines"))))</f>
        <v>None needed</v>
      </c>
      <c r="O32" s="56"/>
    </row>
    <row r="33" spans="2:15" x14ac:dyDescent="0.25">
      <c r="B33" s="51" t="str">
        <f>IFERROR(INDEX(tblWorkCentres[Work centre],6)&amp;"","")</f>
        <v>Inspection</v>
      </c>
      <c r="C33" s="39">
        <f>IF($B$33="","",INDEX(tblWorkCentres[Machines],MATCH($B$33,tblWorkCentres[Work centre],0)))</f>
        <v>1</v>
      </c>
      <c r="D33" s="39">
        <f>IF($B$33="","",SUM(INDEX($C$66:$N$71,6,0)))</f>
        <v>353.416666666667</v>
      </c>
      <c r="E33" s="39">
        <f>IF($B$33="","",SUM(INDEX($C$75:$N$80,6,0)))</f>
        <v>849.6</v>
      </c>
      <c r="F33" s="52">
        <f>IF($B$33="","",IF($E$33&gt;0,$D$33/$E$33,""))</f>
        <v>0.415980069052103</v>
      </c>
      <c r="G33" s="52">
        <f>IF($B$33="","",MAX(INDEX($C$37:$N$42,6,0)))</f>
        <v>0.568865740740741</v>
      </c>
      <c r="H33" s="53">
        <f>IF($B$33="","",INDEX($C$36:$N$36,MATCH($G$33,INDEX($C$37:$N$42,6,0),0)))</f>
        <v>46377</v>
      </c>
      <c r="I33" s="35">
        <f>IF($B$33="","",SUMPRODUCT((INDEX($C$66:$N$71,6,0)&gt;INDEX($C$75:$N$80,6,0))*(INDEX($C$66:$N$71,6,0)-INDEX($C$75:$N$80,6,0))))</f>
        <v>0</v>
      </c>
      <c r="J33" s="54">
        <f>IF($B$33="","",$G$33*$C$33)</f>
        <v>0.568865740740741</v>
      </c>
      <c r="K33" s="39">
        <f>IF($B$33="","",MAX(0,CEILING($J$33,1)-$C$33))</f>
        <v>0</v>
      </c>
      <c r="L33" s="55" t="str">
        <f>IF($B$33="","",IF($G$33&gt;OverAt,"Over capacity",IF($G$33&gt;=NearAt,"Near capacity","Under capacity")))</f>
        <v>Under capacity</v>
      </c>
      <c r="M33" s="55"/>
      <c r="N33" s="56" t="str">
        <f>IF($B$33="","",IF($G$33&lt;NearAt,"None needed",IF($G$33&lt;=OverAt,"Watch: little slack",IF($F$33&lt;=OverAt,"Overtime or level peak","Add shift or machines"))))</f>
        <v>None needed</v>
      </c>
      <c r="O33" s="56"/>
    </row>
    <row r="35" spans="2:15" x14ac:dyDescent="0.25">
      <c r="B35" s="31" t="s">
        <v>153</v>
      </c>
      <c r="C35" s="31"/>
      <c r="D35" s="31"/>
      <c r="E35" s="31"/>
      <c r="F35" s="31"/>
      <c r="G35" s="31"/>
      <c r="H35" s="31"/>
      <c r="I35" s="31"/>
      <c r="J35" s="31"/>
      <c r="K35" s="31"/>
      <c r="L35" s="31"/>
      <c r="M35" s="31"/>
      <c r="N35" s="31"/>
    </row>
    <row r="36" spans="2:15" x14ac:dyDescent="0.25">
      <c r="B36" s="36" t="s">
        <v>154</v>
      </c>
      <c r="C36" s="57">
        <f>INDEX('Demand Plan'!$D$4:$O$4,1)</f>
        <v>46314</v>
      </c>
      <c r="D36" s="57">
        <f>INDEX('Demand Plan'!$D$4:$O$4,2)</f>
        <v>46321</v>
      </c>
      <c r="E36" s="57">
        <f>INDEX('Demand Plan'!$D$4:$O$4,3)</f>
        <v>46328</v>
      </c>
      <c r="F36" s="57">
        <f>INDEX('Demand Plan'!$D$4:$O$4,4)</f>
        <v>46335</v>
      </c>
      <c r="G36" s="57">
        <f>INDEX('Demand Plan'!$D$4:$O$4,5)</f>
        <v>46342</v>
      </c>
      <c r="H36" s="57">
        <f>INDEX('Demand Plan'!$D$4:$O$4,6)</f>
        <v>46349</v>
      </c>
      <c r="I36" s="57">
        <f>INDEX('Demand Plan'!$D$4:$O$4,7)</f>
        <v>46356</v>
      </c>
      <c r="J36" s="57">
        <f>INDEX('Demand Plan'!$D$4:$O$4,8)</f>
        <v>46363</v>
      </c>
      <c r="K36" s="57">
        <f>INDEX('Demand Plan'!$D$4:$O$4,9)</f>
        <v>46370</v>
      </c>
      <c r="L36" s="57">
        <f>INDEX('Demand Plan'!$D$4:$O$4,10)</f>
        <v>46377</v>
      </c>
      <c r="M36" s="57">
        <f>INDEX('Demand Plan'!$D$4:$O$4,11)</f>
        <v>46384</v>
      </c>
      <c r="N36" s="57">
        <f>INDEX('Demand Plan'!$D$4:$O$4,12)</f>
        <v>46391</v>
      </c>
    </row>
    <row r="37" spans="2:15" x14ac:dyDescent="0.25">
      <c r="B37" s="51" t="str">
        <f>IFERROR(INDEX(tblWorkCentres[Work centre],1)&amp;"","")</f>
        <v>Saw</v>
      </c>
      <c r="C37" s="58">
        <f>IF($B$37="","",IF($C$75&gt;0,$C$66/$C$75,""))</f>
        <v>0.271263726037595</v>
      </c>
      <c r="D37" s="58">
        <f>IF($B$37="","",IF($D$75&gt;0,$D$66/$D$75,""))</f>
        <v>0.271263726037595</v>
      </c>
      <c r="E37" s="58">
        <f>IF($B$37="","",IF($E$75&gt;0,$E$66/$E$75,""))</f>
        <v>0.291736460078169</v>
      </c>
      <c r="F37" s="58">
        <f>IF($B$37="","",IF($F$75&gt;0,$F$66/$F$75,""))</f>
        <v>0.2642843848874</v>
      </c>
      <c r="G37" s="58">
        <f>IF($B$37="","",IF($G$75&gt;0,$G$66/$G$75,""))</f>
        <v>0.267541410757491</v>
      </c>
      <c r="H37" s="58">
        <f>IF($B$37="","",IF($H$75&gt;0,$H$66/$H$75,""))</f>
        <v>0.286618276568025</v>
      </c>
      <c r="I37" s="58">
        <f>IF($B$37="","",IF($I$75&gt;0,$I$66/$I$75,""))</f>
        <v>0.288014144798064</v>
      </c>
      <c r="J37" s="58">
        <f>IF($B$37="","",IF($J$75&gt;0,$J$66/$J$75,""))</f>
        <v>0.273124883677648</v>
      </c>
      <c r="K37" s="58">
        <f>IF($B$37="","",IF($K$75&gt;0,$K$66/$K$75,""))</f>
        <v>0.301972827098455</v>
      </c>
      <c r="L37" s="58">
        <f>IF($B$37="","",IF($L$75&gt;0,$L$66/$L$75,""))</f>
        <v>0.382700539735716</v>
      </c>
      <c r="M37" s="58">
        <f>IF($B$37="","",IF($M$75&gt;0,$M$66/$M$75,""))</f>
        <v>0.300111669458403</v>
      </c>
      <c r="N37" s="58">
        <f>IF($B$37="","",IF($N$75&gt;0,$N$66/$N$75,""))</f>
        <v>0.293597617718221</v>
      </c>
    </row>
    <row r="38" spans="2:15" x14ac:dyDescent="0.25">
      <c r="B38" s="51" t="str">
        <f>IFERROR(INDEX(tblWorkCentres[Work centre],2)&amp;"","")</f>
        <v>CNC lathe</v>
      </c>
      <c r="C38" s="58">
        <f>IF($B$38="","",IF($C$76&gt;0,$C$67/$C$76,""))</f>
        <v>0.680606193948538</v>
      </c>
      <c r="D38" s="58">
        <f>IF($B$38="","",IF($D$76&gt;0,$D$67/$D$76,""))</f>
        <v>0.697500209538178</v>
      </c>
      <c r="E38" s="58">
        <f>IF($B$38="","",IF($E$76&gt;0,$E$67/$E$76,""))</f>
        <v>0.729978627105859</v>
      </c>
      <c r="F38" s="58">
        <f>IF($B$38="","",IF($F$76&gt;0,$F$67/$F$76,""))</f>
        <v>0.645115665074177</v>
      </c>
      <c r="G38" s="58">
        <f>IF($B$38="","",IF($G$76&gt;0,$G$67/$G$76,""))</f>
        <v>0.671569860028497</v>
      </c>
      <c r="H38" s="58">
        <f>IF($B$38="","",IF($H$76&gt;0,$H$67/$H$76,""))</f>
        <v>0.702214818539938</v>
      </c>
      <c r="I38" s="58">
        <f>IF($B$38="","",IF($I$76&gt;0,$I$67/$I$76,""))</f>
        <v>0.706405582097058</v>
      </c>
      <c r="J38" s="58">
        <f>IF($B$38="","",IF($J$76&gt;0,$J$67/$J$76,""))</f>
        <v>0.690821180119018</v>
      </c>
      <c r="K38" s="58">
        <f>IF($B$38="","",IF($K$76&gt;0,$K$67/$K$76,""))</f>
        <v>0.75643282206018</v>
      </c>
      <c r="L38" s="58">
        <f>IF($B$38="","",IF($L$76&gt;0,$L$67/$L$76,""))</f>
        <v>0.923277596178024</v>
      </c>
      <c r="M38" s="58">
        <f>IF($B$38="","",IF($M$76&gt;0,$M$67/$M$76,""))</f>
        <v>0.732990738412539</v>
      </c>
      <c r="N38" s="58">
        <f>IF($B$38="","",IF($N$76&gt;0,$N$67/$N$76,""))</f>
        <v>0.749622831279859</v>
      </c>
    </row>
    <row r="39" spans="2:15" x14ac:dyDescent="0.25">
      <c r="B39" s="51" t="str">
        <f>IFERROR(INDEX(tblWorkCentres[Work centre],3)&amp;"","")</f>
        <v>CNC mill</v>
      </c>
      <c r="C39" s="58">
        <f>IF($B$39="","",IF($C$77&gt;0,$C$68/$C$77,""))</f>
        <v>0.707420532646048</v>
      </c>
      <c r="D39" s="58">
        <f>IF($B$39="","",IF($D$77&gt;0,$D$68/$D$77,""))</f>
        <v>0.720844072164948</v>
      </c>
      <c r="E39" s="58">
        <f>IF($B$39="","",IF($E$77&gt;0,$E$68/$E$77,""))</f>
        <v>0.758429982817869</v>
      </c>
      <c r="F39" s="58">
        <f>IF($B$39="","",IF($F$77&gt;0,$F$68/$F$77,""))</f>
        <v>0.698024054982818</v>
      </c>
      <c r="G39" s="58">
        <f>IF($B$39="","",IF($G$77&gt;0,$G$68/$G$77,""))</f>
        <v>0.726213487972509</v>
      </c>
      <c r="H39" s="58">
        <f>IF($B$39="","",IF($H$77&gt;0,$H$68/$H$77,""))</f>
        <v>0.874319873997709</v>
      </c>
      <c r="I39" s="58">
        <f>IF($B$39="","",IF($I$77&gt;0,$I$68/$I$77,""))</f>
        <v>0.927566580756014</v>
      </c>
      <c r="J39" s="58">
        <f>IF($B$39="","",IF($J$77&gt;0,$J$68/$J$77,""))</f>
        <v>0.90519401489118</v>
      </c>
      <c r="K39" s="58">
        <f>IF($B$39="","",IF($K$77&gt;0,$K$68/$K$77,""))</f>
        <v>0.9025093069874</v>
      </c>
      <c r="L39" s="58">
        <f>IF($B$39="","",IF($L$77&gt;0,$L$68/$L$77,""))</f>
        <v>1.20811855670103</v>
      </c>
      <c r="M39" s="58">
        <f>IF($B$39="","",IF($M$77&gt;0,$M$68/$M$77,""))</f>
        <v>0.906088917525773</v>
      </c>
      <c r="N39" s="58">
        <f>IF($B$39="","",IF($N$77&gt;0,$N$68/$N$77,""))</f>
        <v>0.89713989117984</v>
      </c>
    </row>
    <row r="40" spans="2:15" x14ac:dyDescent="0.25">
      <c r="B40" s="51" t="str">
        <f>IFERROR(INDEX(tblWorkCentres[Work centre],4)&amp;"","")</f>
        <v>Grinder</v>
      </c>
      <c r="C40" s="58">
        <f>IF($B$40="","",IF($C$78&gt;0,$C$69/$C$78,""))</f>
        <v>0.615246098439376</v>
      </c>
      <c r="D40" s="58">
        <f>IF($B$40="","",IF($D$78&gt;0,$D$69/$D$78,""))</f>
        <v>0.660264105642257</v>
      </c>
      <c r="E40" s="58">
        <f>IF($B$40="","",IF($E$78&gt;0,$E$69/$E$78,""))</f>
        <v>0.660264105642257</v>
      </c>
      <c r="F40" s="58">
        <f>IF($B$40="","",IF($F$78&gt;0,$F$69/$F$78,""))</f>
        <v>0.570228091236495</v>
      </c>
      <c r="G40" s="58">
        <f>IF($B$40="","",IF($G$78&gt;0,$G$69/$G$78,""))</f>
        <v>0.600240096038415</v>
      </c>
      <c r="H40" s="58">
        <f>IF($B$40="","",IF($H$78&gt;0,$H$69/$H$78,""))</f>
        <v>0.570228091236495</v>
      </c>
      <c r="I40" s="58">
        <f>IF($B$40="","",IF($I$78&gt;0,$I$69/$I$78,""))</f>
        <v>0.540216086434574</v>
      </c>
      <c r="J40" s="58">
        <f>IF($B$40="","",IF($J$78&gt;0,$J$69/$J$78,""))</f>
        <v>0.555222088835534</v>
      </c>
      <c r="K40" s="58">
        <f>IF($B$40="","",IF($K$78&gt;0,$K$69/$K$78,""))</f>
        <v>0.630252100840336</v>
      </c>
      <c r="L40" s="58">
        <f>IF($B$40="","",IF($L$78&gt;0,$L$69/$L$78,""))</f>
        <v>0.712785114045618</v>
      </c>
      <c r="M40" s="58">
        <f>IF($B$40="","",IF($M$78&gt;0,$M$69/$M$78,""))</f>
        <v>0.615246098439376</v>
      </c>
      <c r="N40" s="58">
        <f>IF($B$40="","",IF($N$78&gt;0,$N$69/$N$78,""))</f>
        <v>0.570228091236495</v>
      </c>
    </row>
    <row r="41" spans="2:15" x14ac:dyDescent="0.25">
      <c r="B41" s="51" t="str">
        <f>IFERROR(INDEX(tblWorkCentres[Work centre],5)&amp;"","")</f>
        <v>Deburr</v>
      </c>
      <c r="C41" s="58">
        <f>IF($B$41="","",IF($C$79&gt;0,$C$70/$C$79,""))</f>
        <v>0.405756854447677</v>
      </c>
      <c r="D41" s="58">
        <f>IF($B$41="","",IF($D$79&gt;0,$D$70/$D$79,""))</f>
        <v>0.413691263334215</v>
      </c>
      <c r="E41" s="58">
        <f>IF($B$41="","",IF($E$79&gt;0,$E$70/$E$79,""))</f>
        <v>0.436172088512739</v>
      </c>
      <c r="F41" s="58">
        <f>IF($B$41="","",IF($F$79&gt;0,$F$70/$F$79,""))</f>
        <v>0.401128449263863</v>
      </c>
      <c r="G41" s="58">
        <f>IF($B$41="","",IF($G$79&gt;0,$G$70/$G$79,""))</f>
        <v>0.417658467777484</v>
      </c>
      <c r="H41" s="58">
        <f>IF($B$41="","",IF($H$79&gt;0,$H$70/$H$79,""))</f>
        <v>0.496782156396015</v>
      </c>
      <c r="I41" s="58">
        <f>IF($B$41="","",IF($I$79&gt;0,$I$70/$I$79,""))</f>
        <v>0.52433218725205</v>
      </c>
      <c r="J41" s="58">
        <f>IF($B$41="","",IF($J$79&gt;0,$J$70/$J$79,""))</f>
        <v>0.512430573922243</v>
      </c>
      <c r="K41" s="58">
        <f>IF($B$41="","",IF($K$79&gt;0,$K$70/$K$79,""))</f>
        <v>0.51154897293485</v>
      </c>
      <c r="L41" s="58">
        <f>IF($B$41="","",IF($L$79&gt;0,$L$70/$L$79,""))</f>
        <v>0.685995768315261</v>
      </c>
      <c r="M41" s="58">
        <f>IF($B$41="","",IF($M$79&gt;0,$M$70/$M$79,""))</f>
        <v>0.515075376884422</v>
      </c>
      <c r="N41" s="58">
        <f>IF($B$41="","",IF($N$79&gt;0,$N$70/$N$79,""))</f>
        <v>0.50890416997267</v>
      </c>
    </row>
    <row r="42" spans="2:15" x14ac:dyDescent="0.25">
      <c r="B42" s="51" t="str">
        <f>IFERROR(INDEX(tblWorkCentres[Work centre],6)&amp;"","")</f>
        <v>Inspection</v>
      </c>
      <c r="C42" s="58">
        <f>IF($B$42="","",IF($C$80&gt;0,$C$71/$C$80,""))</f>
        <v>0.357638888888889</v>
      </c>
      <c r="D42" s="58">
        <f>IF($B$42="","",IF($D$80&gt;0,$D$71/$D$80,""))</f>
        <v>0.374537037037037</v>
      </c>
      <c r="E42" s="58">
        <f>IF($B$42="","",IF($E$80&gt;0,$E$71/$E$80,""))</f>
        <v>0.381712962962963</v>
      </c>
      <c r="F42" s="58">
        <f>IF($B$42="","",IF($F$80&gt;0,$F$71/$F$80,""))</f>
        <v>0.341203703703704</v>
      </c>
      <c r="G42" s="58">
        <f>IF($B$42="","",IF($G$80&gt;0,$G$71/$G$80,""))</f>
        <v>0.362268518518519</v>
      </c>
      <c r="H42" s="58">
        <f>IF($B$42="","",IF($H$80&gt;0,$H$71/$H$80,""))</f>
        <v>0.421990740740741</v>
      </c>
      <c r="I42" s="58">
        <f>IF($B$42="","",IF($I$80&gt;0,$I$71/$I$80,""))</f>
        <v>0.44375</v>
      </c>
      <c r="J42" s="58">
        <f>IF($B$42="","",IF($J$80&gt;0,$J$71/$J$80,""))</f>
        <v>0.442824074074074</v>
      </c>
      <c r="K42" s="58">
        <f>IF($B$42="","",IF($K$80&gt;0,$K$71/$K$80,""))</f>
        <v>0.446990740740741</v>
      </c>
      <c r="L42" s="58">
        <f>IF($B$42="","",IF($L$80&gt;0,$L$71/$L$80,""))</f>
        <v>0.568865740740741</v>
      </c>
      <c r="M42" s="58">
        <f>IF($B$42="","",IF($M$80&gt;0,$M$71/$M$80,""))</f>
        <v>0.438425925925926</v>
      </c>
      <c r="N42" s="58">
        <f>IF($B$42="","",IF($N$80&gt;0,$N$71/$N$80,""))</f>
        <v>0.44212962962963</v>
      </c>
    </row>
    <row r="44" spans="2:15" x14ac:dyDescent="0.25">
      <c r="B44" s="31" t="s">
        <v>155</v>
      </c>
      <c r="C44" s="31"/>
      <c r="D44" s="31"/>
      <c r="E44" s="31"/>
      <c r="F44" s="31"/>
      <c r="G44" s="31"/>
      <c r="H44" s="31"/>
      <c r="I44" s="31"/>
      <c r="J44" s="31"/>
      <c r="K44" s="31"/>
      <c r="L44" s="31"/>
      <c r="M44" s="31"/>
      <c r="N44" s="31"/>
    </row>
    <row r="45" spans="2:15" x14ac:dyDescent="0.25">
      <c r="B45" s="36" t="s">
        <v>156</v>
      </c>
      <c r="C45" s="37">
        <f>INDEX('Demand Plan'!$D$4:$O$4,1)</f>
        <v>46314</v>
      </c>
      <c r="D45" s="37">
        <f>INDEX('Demand Plan'!$D$4:$O$4,2)</f>
        <v>46321</v>
      </c>
      <c r="E45" s="37">
        <f>INDEX('Demand Plan'!$D$4:$O$4,3)</f>
        <v>46328</v>
      </c>
      <c r="F45" s="37">
        <f>INDEX('Demand Plan'!$D$4:$O$4,4)</f>
        <v>46335</v>
      </c>
      <c r="G45" s="37">
        <f>INDEX('Demand Plan'!$D$4:$O$4,5)</f>
        <v>46342</v>
      </c>
      <c r="H45" s="37">
        <f>INDEX('Demand Plan'!$D$4:$O$4,6)</f>
        <v>46349</v>
      </c>
      <c r="I45" s="37">
        <f>INDEX('Demand Plan'!$D$4:$O$4,7)</f>
        <v>46356</v>
      </c>
      <c r="J45" s="37">
        <f>INDEX('Demand Plan'!$D$4:$O$4,8)</f>
        <v>46363</v>
      </c>
      <c r="K45" s="37">
        <f>INDEX('Demand Plan'!$D$4:$O$4,9)</f>
        <v>46370</v>
      </c>
      <c r="L45" s="37">
        <f>INDEX('Demand Plan'!$D$4:$O$4,10)</f>
        <v>46377</v>
      </c>
      <c r="M45" s="37">
        <f>INDEX('Demand Plan'!$D$4:$O$4,11)</f>
        <v>46384</v>
      </c>
      <c r="N45" s="37">
        <f>INDEX('Demand Plan'!$D$4:$O$4,12)</f>
        <v>46391</v>
      </c>
    </row>
    <row r="46" spans="2:15" x14ac:dyDescent="0.25">
      <c r="B46" s="27" t="s">
        <v>157</v>
      </c>
      <c r="C46" s="52">
        <f>INDEX($C$37:$N$42,MATCH(MAX($F$28:$F$33),$F$28:$F$33,0),1)</f>
        <v>0.707420532646048</v>
      </c>
      <c r="D46" s="52">
        <f>INDEX($C$37:$N$42,MATCH(MAX($F$28:$F$33),$F$28:$F$33,0),2)</f>
        <v>0.720844072164948</v>
      </c>
      <c r="E46" s="52">
        <f>INDEX($C$37:$N$42,MATCH(MAX($F$28:$F$33),$F$28:$F$33,0),3)</f>
        <v>0.758429982817869</v>
      </c>
      <c r="F46" s="52">
        <f>INDEX($C$37:$N$42,MATCH(MAX($F$28:$F$33),$F$28:$F$33,0),4)</f>
        <v>0.698024054982818</v>
      </c>
      <c r="G46" s="52">
        <f>INDEX($C$37:$N$42,MATCH(MAX($F$28:$F$33),$F$28:$F$33,0),5)</f>
        <v>0.726213487972509</v>
      </c>
      <c r="H46" s="52">
        <f>INDEX($C$37:$N$42,MATCH(MAX($F$28:$F$33),$F$28:$F$33,0),6)</f>
        <v>0.874319873997709</v>
      </c>
      <c r="I46" s="52">
        <f>INDEX($C$37:$N$42,MATCH(MAX($F$28:$F$33),$F$28:$F$33,0),7)</f>
        <v>0.927566580756014</v>
      </c>
      <c r="J46" s="52">
        <f>INDEX($C$37:$N$42,MATCH(MAX($F$28:$F$33),$F$28:$F$33,0),8)</f>
        <v>0.90519401489118</v>
      </c>
      <c r="K46" s="52">
        <f>INDEX($C$37:$N$42,MATCH(MAX($F$28:$F$33),$F$28:$F$33,0),9)</f>
        <v>0.9025093069874</v>
      </c>
      <c r="L46" s="52">
        <f>INDEX($C$37:$N$42,MATCH(MAX($F$28:$F$33),$F$28:$F$33,0),10)</f>
        <v>1.20811855670103</v>
      </c>
      <c r="M46" s="52">
        <f>INDEX($C$37:$N$42,MATCH(MAX($F$28:$F$33),$F$28:$F$33,0),11)</f>
        <v>0.906088917525773</v>
      </c>
      <c r="N46" s="52">
        <f>INDEX($C$37:$N$42,MATCH(MAX($F$28:$F$33),$F$28:$F$33,0),12)</f>
        <v>0.89713989117984</v>
      </c>
    </row>
    <row r="47" spans="2:15" x14ac:dyDescent="0.25">
      <c r="B47" s="27" t="s">
        <v>158</v>
      </c>
      <c r="C47" s="59">
        <f>NearAt</f>
        <v>0.85</v>
      </c>
      <c r="D47" s="59">
        <f>NearAt</f>
        <v>0.85</v>
      </c>
      <c r="E47" s="59">
        <f>NearAt</f>
        <v>0.85</v>
      </c>
      <c r="F47" s="59">
        <f>NearAt</f>
        <v>0.85</v>
      </c>
      <c r="G47" s="59">
        <f>NearAt</f>
        <v>0.85</v>
      </c>
      <c r="H47" s="59">
        <f>NearAt</f>
        <v>0.85</v>
      </c>
      <c r="I47" s="59">
        <f>NearAt</f>
        <v>0.85</v>
      </c>
      <c r="J47" s="59">
        <f>NearAt</f>
        <v>0.85</v>
      </c>
      <c r="K47" s="59">
        <f>NearAt</f>
        <v>0.85</v>
      </c>
      <c r="L47" s="59">
        <f>NearAt</f>
        <v>0.85</v>
      </c>
      <c r="M47" s="59">
        <f>NearAt</f>
        <v>0.85</v>
      </c>
      <c r="N47" s="59">
        <f>NearAt</f>
        <v>0.85</v>
      </c>
    </row>
    <row r="48" spans="2:15" x14ac:dyDescent="0.25">
      <c r="B48" s="27" t="s">
        <v>159</v>
      </c>
      <c r="C48" s="59">
        <f>OverAt</f>
        <v>1</v>
      </c>
      <c r="D48" s="59">
        <f>OverAt</f>
        <v>1</v>
      </c>
      <c r="E48" s="59">
        <f>OverAt</f>
        <v>1</v>
      </c>
      <c r="F48" s="59">
        <f>OverAt</f>
        <v>1</v>
      </c>
      <c r="G48" s="59">
        <f>OverAt</f>
        <v>1</v>
      </c>
      <c r="H48" s="59">
        <f>OverAt</f>
        <v>1</v>
      </c>
      <c r="I48" s="59">
        <f>OverAt</f>
        <v>1</v>
      </c>
      <c r="J48" s="59">
        <f>OverAt</f>
        <v>1</v>
      </c>
      <c r="K48" s="59">
        <f>OverAt</f>
        <v>1</v>
      </c>
      <c r="L48" s="59">
        <f>OverAt</f>
        <v>1</v>
      </c>
      <c r="M48" s="59">
        <f>OverAt</f>
        <v>1</v>
      </c>
      <c r="N48" s="59">
        <f>OverAt</f>
        <v>1</v>
      </c>
    </row>
    <row r="64" spans="2:15" x14ac:dyDescent="0.25">
      <c r="B64" s="31" t="s">
        <v>160</v>
      </c>
      <c r="C64" s="31"/>
      <c r="D64" s="31"/>
      <c r="E64" s="31"/>
      <c r="F64" s="31"/>
      <c r="G64" s="31"/>
      <c r="H64" s="31"/>
      <c r="I64" s="31"/>
      <c r="J64" s="31"/>
      <c r="K64" s="31"/>
      <c r="L64" s="31"/>
      <c r="M64" s="31"/>
      <c r="N64" s="31"/>
      <c r="O64" s="31"/>
    </row>
    <row r="65" spans="2:15" x14ac:dyDescent="0.25">
      <c r="B65" s="36" t="s">
        <v>161</v>
      </c>
      <c r="C65" s="57">
        <f>INDEX('Demand Plan'!$D$4:$O$4,1)</f>
        <v>46314</v>
      </c>
      <c r="D65" s="57">
        <f>INDEX('Demand Plan'!$D$4:$O$4,2)</f>
        <v>46321</v>
      </c>
      <c r="E65" s="57">
        <f>INDEX('Demand Plan'!$D$4:$O$4,3)</f>
        <v>46328</v>
      </c>
      <c r="F65" s="57">
        <f>INDEX('Demand Plan'!$D$4:$O$4,4)</f>
        <v>46335</v>
      </c>
      <c r="G65" s="57">
        <f>INDEX('Demand Plan'!$D$4:$O$4,5)</f>
        <v>46342</v>
      </c>
      <c r="H65" s="57">
        <f>INDEX('Demand Plan'!$D$4:$O$4,6)</f>
        <v>46349</v>
      </c>
      <c r="I65" s="57">
        <f>INDEX('Demand Plan'!$D$4:$O$4,7)</f>
        <v>46356</v>
      </c>
      <c r="J65" s="57">
        <f>INDEX('Demand Plan'!$D$4:$O$4,8)</f>
        <v>46363</v>
      </c>
      <c r="K65" s="57">
        <f>INDEX('Demand Plan'!$D$4:$O$4,9)</f>
        <v>46370</v>
      </c>
      <c r="L65" s="57">
        <f>INDEX('Demand Plan'!$D$4:$O$4,10)</f>
        <v>46377</v>
      </c>
      <c r="M65" s="57">
        <f>INDEX('Demand Plan'!$D$4:$O$4,11)</f>
        <v>46384</v>
      </c>
      <c r="N65" s="57">
        <f>INDEX('Demand Plan'!$D$4:$O$4,12)</f>
        <v>46391</v>
      </c>
      <c r="O65" s="32" t="s">
        <v>106</v>
      </c>
    </row>
    <row r="66" spans="2:15" x14ac:dyDescent="0.25">
      <c r="B66" s="51" t="str">
        <f>IFERROR(INDEX(tblWorkCentres[Work centre],1)&amp;"","")</f>
        <v>Saw</v>
      </c>
      <c r="C66" s="60">
        <f>IF($B$66="","",SUMIFS(tblRouting[Wk 1 (h)],tblRouting[Work centre],$B$66))</f>
        <v>9.76549413735343</v>
      </c>
      <c r="D66" s="60">
        <f>IF($B$66="","",SUMIFS(tblRouting[Wk 2 (h)],tblRouting[Work centre],$B$66))</f>
        <v>9.76549413735343</v>
      </c>
      <c r="E66" s="60">
        <f>IF($B$66="","",SUMIFS(tblRouting[Wk 3 (h)],tblRouting[Work centre],$B$66))</f>
        <v>10.5025125628141</v>
      </c>
      <c r="F66" s="60">
        <f>IF($B$66="","",SUMIFS(tblRouting[Wk 4 (h)],tblRouting[Work centre],$B$66))</f>
        <v>9.5142378559464</v>
      </c>
      <c r="G66" s="60">
        <f>IF($B$66="","",SUMIFS(tblRouting[Wk 5 (h)],tblRouting[Work centre],$B$66))</f>
        <v>9.63149078726968</v>
      </c>
      <c r="H66" s="60">
        <f>IF($B$66="","",SUMIFS(tblRouting[Wk 6 (h)],tblRouting[Work centre],$B$66))</f>
        <v>10.3182579564489</v>
      </c>
      <c r="I66" s="60">
        <f>IF($B$66="","",SUMIFS(tblRouting[Wk 7 (h)],tblRouting[Work centre],$B$66))</f>
        <v>10.3685092127303</v>
      </c>
      <c r="J66" s="60">
        <f>IF($B$66="","",SUMIFS(tblRouting[Wk 8 (h)],tblRouting[Work centre],$B$66))</f>
        <v>9.83249581239531</v>
      </c>
      <c r="K66" s="60">
        <f>IF($B$66="","",SUMIFS(tblRouting[Wk 9 (h)],tblRouting[Work centre],$B$66))</f>
        <v>10.8710217755444</v>
      </c>
      <c r="L66" s="60">
        <f>IF($B$66="","",SUMIFS(tblRouting[Wk 10 (h)],tblRouting[Work centre],$B$66))</f>
        <v>11.0217755443886</v>
      </c>
      <c r="M66" s="60">
        <f>IF($B$66="","",SUMIFS(tblRouting[Wk 11 (h)],tblRouting[Work centre],$B$66))</f>
        <v>10.8040201005025</v>
      </c>
      <c r="N66" s="60">
        <f>IF($B$66="","",SUMIFS(tblRouting[Wk 12 (h)],tblRouting[Work centre],$B$66))</f>
        <v>10.5695142378559</v>
      </c>
      <c r="O66" s="61">
        <f>IF($B$66="","",SUM($C$66:$N$66))</f>
        <v>122.964824120603</v>
      </c>
    </row>
    <row r="67" spans="2:15" x14ac:dyDescent="0.25">
      <c r="B67" s="51" t="str">
        <f>IFERROR(INDEX(tblWorkCentres[Work centre],2)&amp;"","")</f>
        <v>CNC lathe</v>
      </c>
      <c r="C67" s="60">
        <f>IF($B$67="","",SUMIFS(tblRouting[Wk 1 (h)],tblRouting[Work centre],$B$67))</f>
        <v>89.2955326460481</v>
      </c>
      <c r="D67" s="60">
        <f>IF($B$67="","",SUMIFS(tblRouting[Wk 2 (h)],tblRouting[Work centre],$B$67))</f>
        <v>91.5120274914089</v>
      </c>
      <c r="E67" s="60">
        <f>IF($B$67="","",SUMIFS(tblRouting[Wk 3 (h)],tblRouting[Work centre],$B$67))</f>
        <v>95.7731958762887</v>
      </c>
      <c r="F67" s="60">
        <f>IF($B$67="","",SUMIFS(tblRouting[Wk 4 (h)],tblRouting[Work centre],$B$67))</f>
        <v>84.639175257732</v>
      </c>
      <c r="G67" s="60">
        <f>IF($B$67="","",SUMIFS(tblRouting[Wk 5 (h)],tblRouting[Work centre],$B$67))</f>
        <v>88.1099656357388</v>
      </c>
      <c r="H67" s="60">
        <f>IF($B$67="","",SUMIFS(tblRouting[Wk 6 (h)],tblRouting[Work centre],$B$67))</f>
        <v>92.1305841924399</v>
      </c>
      <c r="I67" s="60">
        <f>IF($B$67="","",SUMIFS(tblRouting[Wk 7 (h)],tblRouting[Work centre],$B$67))</f>
        <v>92.680412371134</v>
      </c>
      <c r="J67" s="60">
        <f>IF($B$67="","",SUMIFS(tblRouting[Wk 8 (h)],tblRouting[Work centre],$B$67))</f>
        <v>90.6357388316151</v>
      </c>
      <c r="K67" s="60">
        <f>IF($B$67="","",SUMIFS(tblRouting[Wk 9 (h)],tblRouting[Work centre],$B$67))</f>
        <v>99.2439862542955</v>
      </c>
      <c r="L67" s="60">
        <f>IF($B$67="","",SUMIFS(tblRouting[Wk 10 (h)],tblRouting[Work centre],$B$67))</f>
        <v>96.9072164948454</v>
      </c>
      <c r="M67" s="60">
        <f>IF($B$67="","",SUMIFS(tblRouting[Wk 11 (h)],tblRouting[Work centre],$B$67))</f>
        <v>96.1683848797251</v>
      </c>
      <c r="N67" s="60">
        <f>IF($B$67="","",SUMIFS(tblRouting[Wk 12 (h)],tblRouting[Work centre],$B$67))</f>
        <v>98.3505154639175</v>
      </c>
      <c r="O67" s="61">
        <f>IF($B$67="","",SUM($C$67:$N$67))</f>
        <v>1115.44673539519</v>
      </c>
    </row>
    <row r="68" spans="2:15" x14ac:dyDescent="0.25">
      <c r="B68" s="51" t="str">
        <f>IFERROR(INDEX(tblWorkCentres[Work centre],3)&amp;"","")</f>
        <v>CNC mill</v>
      </c>
      <c r="C68" s="60">
        <f>IF($B$68="","",SUMIFS(tblRouting[Wk 1 (h)],tblRouting[Work centre],$B$68))</f>
        <v>135.824742268041</v>
      </c>
      <c r="D68" s="60">
        <f>IF($B$68="","",SUMIFS(tblRouting[Wk 2 (h)],tblRouting[Work centre],$B$68))</f>
        <v>138.40206185567</v>
      </c>
      <c r="E68" s="60">
        <f>IF($B$68="","",SUMIFS(tblRouting[Wk 3 (h)],tblRouting[Work centre],$B$68))</f>
        <v>145.618556701031</v>
      </c>
      <c r="F68" s="60">
        <f>IF($B$68="","",SUMIFS(tblRouting[Wk 4 (h)],tblRouting[Work centre],$B$68))</f>
        <v>134.020618556701</v>
      </c>
      <c r="G68" s="60">
        <f>IF($B$68="","",SUMIFS(tblRouting[Wk 5 (h)],tblRouting[Work centre],$B$68))</f>
        <v>139.432989690722</v>
      </c>
      <c r="H68" s="60">
        <f>IF($B$68="","",SUMIFS(tblRouting[Wk 6 (h)],tblRouting[Work centre],$B$68))</f>
        <v>167.86941580756</v>
      </c>
      <c r="I68" s="60">
        <f>IF($B$68="","",SUMIFS(tblRouting[Wk 7 (h)],tblRouting[Work centre],$B$68))</f>
        <v>178.092783505155</v>
      </c>
      <c r="J68" s="60">
        <f>IF($B$68="","",SUMIFS(tblRouting[Wk 8 (h)],tblRouting[Work centre],$B$68))</f>
        <v>173.797250859107</v>
      </c>
      <c r="K68" s="60">
        <f>IF($B$68="","",SUMIFS(tblRouting[Wk 9 (h)],tblRouting[Work centre],$B$68))</f>
        <v>173.281786941581</v>
      </c>
      <c r="L68" s="60">
        <f>IF($B$68="","",SUMIFS(tblRouting[Wk 10 (h)],tblRouting[Work centre],$B$68))</f>
        <v>185.567010309278</v>
      </c>
      <c r="M68" s="60">
        <f>IF($B$68="","",SUMIFS(tblRouting[Wk 11 (h)],tblRouting[Work centre],$B$68))</f>
        <v>173.969072164948</v>
      </c>
      <c r="N68" s="60">
        <f>IF($B$68="","",SUMIFS(tblRouting[Wk 12 (h)],tblRouting[Work centre],$B$68))</f>
        <v>172.250859106529</v>
      </c>
      <c r="O68" s="61">
        <f>IF($B$68="","",SUM($C$68:$N$68))</f>
        <v>1918.12714776632</v>
      </c>
    </row>
    <row r="69" spans="2:15" x14ac:dyDescent="0.25">
      <c r="B69" s="51" t="str">
        <f>IFERROR(INDEX(tblWorkCentres[Work centre],4)&amp;"","")</f>
        <v>Grinder</v>
      </c>
      <c r="C69" s="60">
        <f>IF($B$69="","",SUMIFS(tblRouting[Wk 1 (h)],tblRouting[Work centre],$B$69))</f>
        <v>41.8367346938776</v>
      </c>
      <c r="D69" s="60">
        <f>IF($B$69="","",SUMIFS(tblRouting[Wk 2 (h)],tblRouting[Work centre],$B$69))</f>
        <v>44.8979591836735</v>
      </c>
      <c r="E69" s="60">
        <f>IF($B$69="","",SUMIFS(tblRouting[Wk 3 (h)],tblRouting[Work centre],$B$69))</f>
        <v>44.8979591836735</v>
      </c>
      <c r="F69" s="60">
        <f>IF($B$69="","",SUMIFS(tblRouting[Wk 4 (h)],tblRouting[Work centre],$B$69))</f>
        <v>38.7755102040816</v>
      </c>
      <c r="G69" s="60">
        <f>IF($B$69="","",SUMIFS(tblRouting[Wk 5 (h)],tblRouting[Work centre],$B$69))</f>
        <v>40.8163265306122</v>
      </c>
      <c r="H69" s="60">
        <f>IF($B$69="","",SUMIFS(tblRouting[Wk 6 (h)],tblRouting[Work centre],$B$69))</f>
        <v>38.7755102040816</v>
      </c>
      <c r="I69" s="60">
        <f>IF($B$69="","",SUMIFS(tblRouting[Wk 7 (h)],tblRouting[Work centre],$B$69))</f>
        <v>36.734693877551</v>
      </c>
      <c r="J69" s="60">
        <f>IF($B$69="","",SUMIFS(tblRouting[Wk 8 (h)],tblRouting[Work centre],$B$69))</f>
        <v>37.7551020408163</v>
      </c>
      <c r="K69" s="60">
        <f>IF($B$69="","",SUMIFS(tblRouting[Wk 9 (h)],tblRouting[Work centre],$B$69))</f>
        <v>42.8571428571429</v>
      </c>
      <c r="L69" s="60">
        <f>IF($B$69="","",SUMIFS(tblRouting[Wk 10 (h)],tblRouting[Work centre],$B$69))</f>
        <v>38.7755102040816</v>
      </c>
      <c r="M69" s="60">
        <f>IF($B$69="","",SUMIFS(tblRouting[Wk 11 (h)],tblRouting[Work centre],$B$69))</f>
        <v>41.8367346938776</v>
      </c>
      <c r="N69" s="60">
        <f>IF($B$69="","",SUMIFS(tblRouting[Wk 12 (h)],tblRouting[Work centre],$B$69))</f>
        <v>38.7755102040816</v>
      </c>
      <c r="O69" s="61">
        <f>IF($B$69="","",SUM($C$69:$N$69))</f>
        <v>486.734693877551</v>
      </c>
    </row>
    <row r="70" spans="2:15" x14ac:dyDescent="0.25">
      <c r="B70" s="51" t="str">
        <f>IFERROR(INDEX(tblWorkCentres[Work centre],5)&amp;"","")</f>
        <v>Deburr</v>
      </c>
      <c r="C70" s="60">
        <f>IF($B$70="","",SUMIFS(tblRouting[Wk 1 (h)],tblRouting[Work centre],$B$70))</f>
        <v>30.8375209380235</v>
      </c>
      <c r="D70" s="60">
        <f>IF($B$70="","",SUMIFS(tblRouting[Wk 2 (h)],tblRouting[Work centre],$B$70))</f>
        <v>31.4405360134003</v>
      </c>
      <c r="E70" s="60">
        <f>IF($B$70="","",SUMIFS(tblRouting[Wk 3 (h)],tblRouting[Work centre],$B$70))</f>
        <v>33.1490787269682</v>
      </c>
      <c r="F70" s="60">
        <f>IF($B$70="","",SUMIFS(tblRouting[Wk 4 (h)],tblRouting[Work centre],$B$70))</f>
        <v>30.4857621440536</v>
      </c>
      <c r="G70" s="60">
        <f>IF($B$70="","",SUMIFS(tblRouting[Wk 5 (h)],tblRouting[Work centre],$B$70))</f>
        <v>31.7420435510888</v>
      </c>
      <c r="H70" s="60">
        <f>IF($B$70="","",SUMIFS(tblRouting[Wk 6 (h)],tblRouting[Work centre],$B$70))</f>
        <v>37.7554438860972</v>
      </c>
      <c r="I70" s="60">
        <f>IF($B$70="","",SUMIFS(tblRouting[Wk 7 (h)],tblRouting[Work centre],$B$70))</f>
        <v>39.8492462311558</v>
      </c>
      <c r="J70" s="60">
        <f>IF($B$70="","",SUMIFS(tblRouting[Wk 8 (h)],tblRouting[Work centre],$B$70))</f>
        <v>38.9447236180905</v>
      </c>
      <c r="K70" s="60">
        <f>IF($B$70="","",SUMIFS(tblRouting[Wk 9 (h)],tblRouting[Work centre],$B$70))</f>
        <v>38.8777219430486</v>
      </c>
      <c r="L70" s="60">
        <f>IF($B$70="","",SUMIFS(tblRouting[Wk 10 (h)],tblRouting[Work centre],$B$70))</f>
        <v>41.7085427135678</v>
      </c>
      <c r="M70" s="60">
        <f>IF($B$70="","",SUMIFS(tblRouting[Wk 11 (h)],tblRouting[Work centre],$B$70))</f>
        <v>39.1457286432161</v>
      </c>
      <c r="N70" s="60">
        <f>IF($B$70="","",SUMIFS(tblRouting[Wk 12 (h)],tblRouting[Work centre],$B$70))</f>
        <v>38.6767169179229</v>
      </c>
      <c r="O70" s="61">
        <f>IF($B$70="","",SUM($C$70:$N$70))</f>
        <v>432.613065326633</v>
      </c>
    </row>
    <row r="71" spans="2:15" x14ac:dyDescent="0.25">
      <c r="B71" s="51" t="str">
        <f>IFERROR(INDEX(tblWorkCentres[Work centre],6)&amp;"","")</f>
        <v>Inspection</v>
      </c>
      <c r="C71" s="60">
        <f>IF($B$71="","",SUMIFS(tblRouting[Wk 1 (h)],tblRouting[Work centre],$B$71))</f>
        <v>25.75</v>
      </c>
      <c r="D71" s="60">
        <f>IF($B$71="","",SUMIFS(tblRouting[Wk 2 (h)],tblRouting[Work centre],$B$71))</f>
        <v>26.9666666666667</v>
      </c>
      <c r="E71" s="60">
        <f>IF($B$71="","",SUMIFS(tblRouting[Wk 3 (h)],tblRouting[Work centre],$B$71))</f>
        <v>27.4833333333333</v>
      </c>
      <c r="F71" s="60">
        <f>IF($B$71="","",SUMIFS(tblRouting[Wk 4 (h)],tblRouting[Work centre],$B$71))</f>
        <v>24.5666666666667</v>
      </c>
      <c r="G71" s="60">
        <f>IF($B$71="","",SUMIFS(tblRouting[Wk 5 (h)],tblRouting[Work centre],$B$71))</f>
        <v>26.0833333333333</v>
      </c>
      <c r="H71" s="60">
        <f>IF($B$71="","",SUMIFS(tblRouting[Wk 6 (h)],tblRouting[Work centre],$B$71))</f>
        <v>30.3833333333333</v>
      </c>
      <c r="I71" s="60">
        <f>IF($B$71="","",SUMIFS(tblRouting[Wk 7 (h)],tblRouting[Work centre],$B$71))</f>
        <v>31.95</v>
      </c>
      <c r="J71" s="60">
        <f>IF($B$71="","",SUMIFS(tblRouting[Wk 8 (h)],tblRouting[Work centre],$B$71))</f>
        <v>31.8833333333333</v>
      </c>
      <c r="K71" s="60">
        <f>IF($B$71="","",SUMIFS(tblRouting[Wk 9 (h)],tblRouting[Work centre],$B$71))</f>
        <v>32.1833333333333</v>
      </c>
      <c r="L71" s="60">
        <f>IF($B$71="","",SUMIFS(tblRouting[Wk 10 (h)],tblRouting[Work centre],$B$71))</f>
        <v>32.7666666666667</v>
      </c>
      <c r="M71" s="60">
        <f>IF($B$71="","",SUMIFS(tblRouting[Wk 11 (h)],tblRouting[Work centre],$B$71))</f>
        <v>31.5666666666667</v>
      </c>
      <c r="N71" s="60">
        <f>IF($B$71="","",SUMIFS(tblRouting[Wk 12 (h)],tblRouting[Work centre],$B$71))</f>
        <v>31.8333333333333</v>
      </c>
      <c r="O71" s="61">
        <f>IF($B$71="","",SUM($C$71:$N$71))</f>
        <v>353.416666666667</v>
      </c>
    </row>
    <row r="73" spans="2:15" x14ac:dyDescent="0.25">
      <c r="B73" s="31" t="s">
        <v>162</v>
      </c>
      <c r="C73" s="31"/>
      <c r="D73" s="31"/>
      <c r="E73" s="31"/>
      <c r="F73" s="31"/>
      <c r="G73" s="31"/>
      <c r="H73" s="31"/>
      <c r="I73" s="31"/>
      <c r="J73" s="31"/>
      <c r="K73" s="31"/>
      <c r="L73" s="31"/>
      <c r="M73" s="31"/>
      <c r="N73" s="31"/>
      <c r="O73" s="31"/>
    </row>
    <row r="74" spans="2:15" x14ac:dyDescent="0.25">
      <c r="B74" s="36" t="s">
        <v>163</v>
      </c>
      <c r="C74" s="57">
        <f>INDEX('Demand Plan'!$D$4:$O$4,1)</f>
        <v>46314</v>
      </c>
      <c r="D74" s="57">
        <f>INDEX('Demand Plan'!$D$4:$O$4,2)</f>
        <v>46321</v>
      </c>
      <c r="E74" s="57">
        <f>INDEX('Demand Plan'!$D$4:$O$4,3)</f>
        <v>46328</v>
      </c>
      <c r="F74" s="57">
        <f>INDEX('Demand Plan'!$D$4:$O$4,4)</f>
        <v>46335</v>
      </c>
      <c r="G74" s="57">
        <f>INDEX('Demand Plan'!$D$4:$O$4,5)</f>
        <v>46342</v>
      </c>
      <c r="H74" s="57">
        <f>INDEX('Demand Plan'!$D$4:$O$4,6)</f>
        <v>46349</v>
      </c>
      <c r="I74" s="57">
        <f>INDEX('Demand Plan'!$D$4:$O$4,7)</f>
        <v>46356</v>
      </c>
      <c r="J74" s="57">
        <f>INDEX('Demand Plan'!$D$4:$O$4,8)</f>
        <v>46363</v>
      </c>
      <c r="K74" s="57">
        <f>INDEX('Demand Plan'!$D$4:$O$4,9)</f>
        <v>46370</v>
      </c>
      <c r="L74" s="57">
        <f>INDEX('Demand Plan'!$D$4:$O$4,10)</f>
        <v>46377</v>
      </c>
      <c r="M74" s="57">
        <f>INDEX('Demand Plan'!$D$4:$O$4,11)</f>
        <v>46384</v>
      </c>
      <c r="N74" s="57">
        <f>INDEX('Demand Plan'!$D$4:$O$4,12)</f>
        <v>46391</v>
      </c>
      <c r="O74" s="32" t="s">
        <v>106</v>
      </c>
    </row>
    <row r="75" spans="2:15" x14ac:dyDescent="0.25">
      <c r="B75" s="51" t="str">
        <f>IFERROR(INDEX(tblWorkCentres[Work centre],1)&amp;"","")</f>
        <v>Saw</v>
      </c>
      <c r="C75" s="60">
        <f>IF($B$75="","",IFERROR(INDEX(tblWorkCentres[Effective h/day],MATCH($B$75,tblWorkCentres[Work centre],0)),0)*INDEX('Demand Plan'!$D$5:$O$5,1))</f>
        <v>36</v>
      </c>
      <c r="D75" s="60">
        <f>IF($B$75="","",IFERROR(INDEX(tblWorkCentres[Effective h/day],MATCH($B$75,tblWorkCentres[Work centre],0)),0)*INDEX('Demand Plan'!$D$5:$O$5,2))</f>
        <v>36</v>
      </c>
      <c r="E75" s="60">
        <f>IF($B$75="","",IFERROR(INDEX(tblWorkCentres[Effective h/day],MATCH($B$75,tblWorkCentres[Work centre],0)),0)*INDEX('Demand Plan'!$D$5:$O$5,3))</f>
        <v>36</v>
      </c>
      <c r="F75" s="60">
        <f>IF($B$75="","",IFERROR(INDEX(tblWorkCentres[Effective h/day],MATCH($B$75,tblWorkCentres[Work centre],0)),0)*INDEX('Demand Plan'!$D$5:$O$5,4))</f>
        <v>36</v>
      </c>
      <c r="G75" s="60">
        <f>IF($B$75="","",IFERROR(INDEX(tblWorkCentres[Effective h/day],MATCH($B$75,tblWorkCentres[Work centre],0)),0)*INDEX('Demand Plan'!$D$5:$O$5,5))</f>
        <v>36</v>
      </c>
      <c r="H75" s="60">
        <f>IF($B$75="","",IFERROR(INDEX(tblWorkCentres[Effective h/day],MATCH($B$75,tblWorkCentres[Work centre],0)),0)*INDEX('Demand Plan'!$D$5:$O$5,6))</f>
        <v>36</v>
      </c>
      <c r="I75" s="60">
        <f>IF($B$75="","",IFERROR(INDEX(tblWorkCentres[Effective h/day],MATCH($B$75,tblWorkCentres[Work centre],0)),0)*INDEX('Demand Plan'!$D$5:$O$5,7))</f>
        <v>36</v>
      </c>
      <c r="J75" s="60">
        <f>IF($B$75="","",IFERROR(INDEX(tblWorkCentres[Effective h/day],MATCH($B$75,tblWorkCentres[Work centre],0)),0)*INDEX('Demand Plan'!$D$5:$O$5,8))</f>
        <v>36</v>
      </c>
      <c r="K75" s="60">
        <f>IF($B$75="","",IFERROR(INDEX(tblWorkCentres[Effective h/day],MATCH($B$75,tblWorkCentres[Work centre],0)),0)*INDEX('Demand Plan'!$D$5:$O$5,9))</f>
        <v>36</v>
      </c>
      <c r="L75" s="60">
        <f>IF($B$75="","",IFERROR(INDEX(tblWorkCentres[Effective h/day],MATCH($B$75,tblWorkCentres[Work centre],0)),0)*INDEX('Demand Plan'!$D$5:$O$5,10))</f>
        <v>28.8</v>
      </c>
      <c r="M75" s="60">
        <f>IF($B$75="","",IFERROR(INDEX(tblWorkCentres[Effective h/day],MATCH($B$75,tblWorkCentres[Work centre],0)),0)*INDEX('Demand Plan'!$D$5:$O$5,11))</f>
        <v>36</v>
      </c>
      <c r="N75" s="60">
        <f>IF($B$75="","",IFERROR(INDEX(tblWorkCentres[Effective h/day],MATCH($B$75,tblWorkCentres[Work centre],0)),0)*INDEX('Demand Plan'!$D$5:$O$5,12))</f>
        <v>36</v>
      </c>
      <c r="O75" s="61">
        <f>IF($B$75="","",SUM($C$75:$N$75))</f>
        <v>424.8</v>
      </c>
    </row>
    <row r="76" spans="2:15" x14ac:dyDescent="0.25">
      <c r="B76" s="51" t="str">
        <f>IFERROR(INDEX(tblWorkCentres[Work centre],2)&amp;"","")</f>
        <v>CNC lathe</v>
      </c>
      <c r="C76" s="60">
        <f>IF($B$76="","",IFERROR(INDEX(tblWorkCentres[Effective h/day],MATCH($B$76,tblWorkCentres[Work centre],0)),0)*INDEX('Demand Plan'!$D$5:$O$5,1))</f>
        <v>131.2</v>
      </c>
      <c r="D76" s="60">
        <f>IF($B$76="","",IFERROR(INDEX(tblWorkCentres[Effective h/day],MATCH($B$76,tblWorkCentres[Work centre],0)),0)*INDEX('Demand Plan'!$D$5:$O$5,2))</f>
        <v>131.2</v>
      </c>
      <c r="E76" s="60">
        <f>IF($B$76="","",IFERROR(INDEX(tblWorkCentres[Effective h/day],MATCH($B$76,tblWorkCentres[Work centre],0)),0)*INDEX('Demand Plan'!$D$5:$O$5,3))</f>
        <v>131.2</v>
      </c>
      <c r="F76" s="60">
        <f>IF($B$76="","",IFERROR(INDEX(tblWorkCentres[Effective h/day],MATCH($B$76,tblWorkCentres[Work centre],0)),0)*INDEX('Demand Plan'!$D$5:$O$5,4))</f>
        <v>131.2</v>
      </c>
      <c r="G76" s="60">
        <f>IF($B$76="","",IFERROR(INDEX(tblWorkCentres[Effective h/day],MATCH($B$76,tblWorkCentres[Work centre],0)),0)*INDEX('Demand Plan'!$D$5:$O$5,5))</f>
        <v>131.2</v>
      </c>
      <c r="H76" s="60">
        <f>IF($B$76="","",IFERROR(INDEX(tblWorkCentres[Effective h/day],MATCH($B$76,tblWorkCentres[Work centre],0)),0)*INDEX('Demand Plan'!$D$5:$O$5,6))</f>
        <v>131.2</v>
      </c>
      <c r="I76" s="60">
        <f>IF($B$76="","",IFERROR(INDEX(tblWorkCentres[Effective h/day],MATCH($B$76,tblWorkCentres[Work centre],0)),0)*INDEX('Demand Plan'!$D$5:$O$5,7))</f>
        <v>131.2</v>
      </c>
      <c r="J76" s="60">
        <f>IF($B$76="","",IFERROR(INDEX(tblWorkCentres[Effective h/day],MATCH($B$76,tblWorkCentres[Work centre],0)),0)*INDEX('Demand Plan'!$D$5:$O$5,8))</f>
        <v>131.2</v>
      </c>
      <c r="K76" s="60">
        <f>IF($B$76="","",IFERROR(INDEX(tblWorkCentres[Effective h/day],MATCH($B$76,tblWorkCentres[Work centre],0)),0)*INDEX('Demand Plan'!$D$5:$O$5,9))</f>
        <v>131.2</v>
      </c>
      <c r="L76" s="60">
        <f>IF($B$76="","",IFERROR(INDEX(tblWorkCentres[Effective h/day],MATCH($B$76,tblWorkCentres[Work centre],0)),0)*INDEX('Demand Plan'!$D$5:$O$5,10))</f>
        <v>104.96</v>
      </c>
      <c r="M76" s="60">
        <f>IF($B$76="","",IFERROR(INDEX(tblWorkCentres[Effective h/day],MATCH($B$76,tblWorkCentres[Work centre],0)),0)*INDEX('Demand Plan'!$D$5:$O$5,11))</f>
        <v>131.2</v>
      </c>
      <c r="N76" s="60">
        <f>IF($B$76="","",IFERROR(INDEX(tblWorkCentres[Effective h/day],MATCH($B$76,tblWorkCentres[Work centre],0)),0)*INDEX('Demand Plan'!$D$5:$O$5,12))</f>
        <v>131.2</v>
      </c>
      <c r="O76" s="61">
        <f>IF($B$76="","",SUM($C$76:$N$76))</f>
        <v>1548.16</v>
      </c>
    </row>
    <row r="77" spans="2:15" x14ac:dyDescent="0.25">
      <c r="B77" s="51" t="str">
        <f>IFERROR(INDEX(tblWorkCentres[Work centre],3)&amp;"","")</f>
        <v>CNC mill</v>
      </c>
      <c r="C77" s="60">
        <f>IF($B$77="","",IFERROR(INDEX(tblWorkCentres[Effective h/day],MATCH($B$77,tblWorkCentres[Work centre],0)),0)*INDEX('Demand Plan'!$D$5:$O$5,1))</f>
        <v>192</v>
      </c>
      <c r="D77" s="60">
        <f>IF($B$77="","",IFERROR(INDEX(tblWorkCentres[Effective h/day],MATCH($B$77,tblWorkCentres[Work centre],0)),0)*INDEX('Demand Plan'!$D$5:$O$5,2))</f>
        <v>192</v>
      </c>
      <c r="E77" s="60">
        <f>IF($B$77="","",IFERROR(INDEX(tblWorkCentres[Effective h/day],MATCH($B$77,tblWorkCentres[Work centre],0)),0)*INDEX('Demand Plan'!$D$5:$O$5,3))</f>
        <v>192</v>
      </c>
      <c r="F77" s="60">
        <f>IF($B$77="","",IFERROR(INDEX(tblWorkCentres[Effective h/day],MATCH($B$77,tblWorkCentres[Work centre],0)),0)*INDEX('Demand Plan'!$D$5:$O$5,4))</f>
        <v>192</v>
      </c>
      <c r="G77" s="60">
        <f>IF($B$77="","",IFERROR(INDEX(tblWorkCentres[Effective h/day],MATCH($B$77,tblWorkCentres[Work centre],0)),0)*INDEX('Demand Plan'!$D$5:$O$5,5))</f>
        <v>192</v>
      </c>
      <c r="H77" s="60">
        <f>IF($B$77="","",IFERROR(INDEX(tblWorkCentres[Effective h/day],MATCH($B$77,tblWorkCentres[Work centre],0)),0)*INDEX('Demand Plan'!$D$5:$O$5,6))</f>
        <v>192</v>
      </c>
      <c r="I77" s="60">
        <f>IF($B$77="","",IFERROR(INDEX(tblWorkCentres[Effective h/day],MATCH($B$77,tblWorkCentres[Work centre],0)),0)*INDEX('Demand Plan'!$D$5:$O$5,7))</f>
        <v>192</v>
      </c>
      <c r="J77" s="60">
        <f>IF($B$77="","",IFERROR(INDEX(tblWorkCentres[Effective h/day],MATCH($B$77,tblWorkCentres[Work centre],0)),0)*INDEX('Demand Plan'!$D$5:$O$5,8))</f>
        <v>192</v>
      </c>
      <c r="K77" s="60">
        <f>IF($B$77="","",IFERROR(INDEX(tblWorkCentres[Effective h/day],MATCH($B$77,tblWorkCentres[Work centre],0)),0)*INDEX('Demand Plan'!$D$5:$O$5,9))</f>
        <v>192</v>
      </c>
      <c r="L77" s="60">
        <f>IF($B$77="","",IFERROR(INDEX(tblWorkCentres[Effective h/day],MATCH($B$77,tblWorkCentres[Work centre],0)),0)*INDEX('Demand Plan'!$D$5:$O$5,10))</f>
        <v>153.6</v>
      </c>
      <c r="M77" s="60">
        <f>IF($B$77="","",IFERROR(INDEX(tblWorkCentres[Effective h/day],MATCH($B$77,tblWorkCentres[Work centre],0)),0)*INDEX('Demand Plan'!$D$5:$O$5,11))</f>
        <v>192</v>
      </c>
      <c r="N77" s="60">
        <f>IF($B$77="","",IFERROR(INDEX(tblWorkCentres[Effective h/day],MATCH($B$77,tblWorkCentres[Work centre],0)),0)*INDEX('Demand Plan'!$D$5:$O$5,12))</f>
        <v>192</v>
      </c>
      <c r="O77" s="61">
        <f>IF($B$77="","",SUM($C$77:$N$77))</f>
        <v>2265.6</v>
      </c>
    </row>
    <row r="78" spans="2:15" x14ac:dyDescent="0.25">
      <c r="B78" s="51" t="str">
        <f>IFERROR(INDEX(tblWorkCentres[Work centre],4)&amp;"","")</f>
        <v>Grinder</v>
      </c>
      <c r="C78" s="60">
        <f>IF($B$78="","",IFERROR(INDEX(tblWorkCentres[Effective h/day],MATCH($B$78,tblWorkCentres[Work centre],0)),0)*INDEX('Demand Plan'!$D$5:$O$5,1))</f>
        <v>68</v>
      </c>
      <c r="D78" s="60">
        <f>IF($B$78="","",IFERROR(INDEX(tblWorkCentres[Effective h/day],MATCH($B$78,tblWorkCentres[Work centre],0)),0)*INDEX('Demand Plan'!$D$5:$O$5,2))</f>
        <v>68</v>
      </c>
      <c r="E78" s="60">
        <f>IF($B$78="","",IFERROR(INDEX(tblWorkCentres[Effective h/day],MATCH($B$78,tblWorkCentres[Work centre],0)),0)*INDEX('Demand Plan'!$D$5:$O$5,3))</f>
        <v>68</v>
      </c>
      <c r="F78" s="60">
        <f>IF($B$78="","",IFERROR(INDEX(tblWorkCentres[Effective h/day],MATCH($B$78,tblWorkCentres[Work centre],0)),0)*INDEX('Demand Plan'!$D$5:$O$5,4))</f>
        <v>68</v>
      </c>
      <c r="G78" s="60">
        <f>IF($B$78="","",IFERROR(INDEX(tblWorkCentres[Effective h/day],MATCH($B$78,tblWorkCentres[Work centre],0)),0)*INDEX('Demand Plan'!$D$5:$O$5,5))</f>
        <v>68</v>
      </c>
      <c r="H78" s="60">
        <f>IF($B$78="","",IFERROR(INDEX(tblWorkCentres[Effective h/day],MATCH($B$78,tblWorkCentres[Work centre],0)),0)*INDEX('Demand Plan'!$D$5:$O$5,6))</f>
        <v>68</v>
      </c>
      <c r="I78" s="60">
        <f>IF($B$78="","",IFERROR(INDEX(tblWorkCentres[Effective h/day],MATCH($B$78,tblWorkCentres[Work centre],0)),0)*INDEX('Demand Plan'!$D$5:$O$5,7))</f>
        <v>68</v>
      </c>
      <c r="J78" s="60">
        <f>IF($B$78="","",IFERROR(INDEX(tblWorkCentres[Effective h/day],MATCH($B$78,tblWorkCentres[Work centre],0)),0)*INDEX('Demand Plan'!$D$5:$O$5,8))</f>
        <v>68</v>
      </c>
      <c r="K78" s="60">
        <f>IF($B$78="","",IFERROR(INDEX(tblWorkCentres[Effective h/day],MATCH($B$78,tblWorkCentres[Work centre],0)),0)*INDEX('Demand Plan'!$D$5:$O$5,9))</f>
        <v>68</v>
      </c>
      <c r="L78" s="60">
        <f>IF($B$78="","",IFERROR(INDEX(tblWorkCentres[Effective h/day],MATCH($B$78,tblWorkCentres[Work centre],0)),0)*INDEX('Demand Plan'!$D$5:$O$5,10))</f>
        <v>54.4</v>
      </c>
      <c r="M78" s="60">
        <f>IF($B$78="","",IFERROR(INDEX(tblWorkCentres[Effective h/day],MATCH($B$78,tblWorkCentres[Work centre],0)),0)*INDEX('Demand Plan'!$D$5:$O$5,11))</f>
        <v>68</v>
      </c>
      <c r="N78" s="60">
        <f>IF($B$78="","",IFERROR(INDEX(tblWorkCentres[Effective h/day],MATCH($B$78,tblWorkCentres[Work centre],0)),0)*INDEX('Demand Plan'!$D$5:$O$5,12))</f>
        <v>68</v>
      </c>
      <c r="O78" s="61">
        <f>IF($B$78="","",SUM($C$78:$N$78))</f>
        <v>802.4</v>
      </c>
    </row>
    <row r="79" spans="2:15" x14ac:dyDescent="0.25">
      <c r="B79" s="51" t="str">
        <f>IFERROR(INDEX(tblWorkCentres[Work centre],5)&amp;"","")</f>
        <v>Deburr</v>
      </c>
      <c r="C79" s="60">
        <f>IF($B$79="","",IFERROR(INDEX(tblWorkCentres[Effective h/day],MATCH($B$79,tblWorkCentres[Work centre],0)),0)*INDEX('Demand Plan'!$D$5:$O$5,1))</f>
        <v>76</v>
      </c>
      <c r="D79" s="60">
        <f>IF($B$79="","",IFERROR(INDEX(tblWorkCentres[Effective h/day],MATCH($B$79,tblWorkCentres[Work centre],0)),0)*INDEX('Demand Plan'!$D$5:$O$5,2))</f>
        <v>76</v>
      </c>
      <c r="E79" s="60">
        <f>IF($B$79="","",IFERROR(INDEX(tblWorkCentres[Effective h/day],MATCH($B$79,tblWorkCentres[Work centre],0)),0)*INDEX('Demand Plan'!$D$5:$O$5,3))</f>
        <v>76</v>
      </c>
      <c r="F79" s="60">
        <f>IF($B$79="","",IFERROR(INDEX(tblWorkCentres[Effective h/day],MATCH($B$79,tblWorkCentres[Work centre],0)),0)*INDEX('Demand Plan'!$D$5:$O$5,4))</f>
        <v>76</v>
      </c>
      <c r="G79" s="60">
        <f>IF($B$79="","",IFERROR(INDEX(tblWorkCentres[Effective h/day],MATCH($B$79,tblWorkCentres[Work centre],0)),0)*INDEX('Demand Plan'!$D$5:$O$5,5))</f>
        <v>76</v>
      </c>
      <c r="H79" s="60">
        <f>IF($B$79="","",IFERROR(INDEX(tblWorkCentres[Effective h/day],MATCH($B$79,tblWorkCentres[Work centre],0)),0)*INDEX('Demand Plan'!$D$5:$O$5,6))</f>
        <v>76</v>
      </c>
      <c r="I79" s="60">
        <f>IF($B$79="","",IFERROR(INDEX(tblWorkCentres[Effective h/day],MATCH($B$79,tblWorkCentres[Work centre],0)),0)*INDEX('Demand Plan'!$D$5:$O$5,7))</f>
        <v>76</v>
      </c>
      <c r="J79" s="60">
        <f>IF($B$79="","",IFERROR(INDEX(tblWorkCentres[Effective h/day],MATCH($B$79,tblWorkCentres[Work centre],0)),0)*INDEX('Demand Plan'!$D$5:$O$5,8))</f>
        <v>76</v>
      </c>
      <c r="K79" s="60">
        <f>IF($B$79="","",IFERROR(INDEX(tblWorkCentres[Effective h/day],MATCH($B$79,tblWorkCentres[Work centre],0)),0)*INDEX('Demand Plan'!$D$5:$O$5,9))</f>
        <v>76</v>
      </c>
      <c r="L79" s="60">
        <f>IF($B$79="","",IFERROR(INDEX(tblWorkCentres[Effective h/day],MATCH($B$79,tblWorkCentres[Work centre],0)),0)*INDEX('Demand Plan'!$D$5:$O$5,10))</f>
        <v>60.8</v>
      </c>
      <c r="M79" s="60">
        <f>IF($B$79="","",IFERROR(INDEX(tblWorkCentres[Effective h/day],MATCH($B$79,tblWorkCentres[Work centre],0)),0)*INDEX('Demand Plan'!$D$5:$O$5,11))</f>
        <v>76</v>
      </c>
      <c r="N79" s="60">
        <f>IF($B$79="","",IFERROR(INDEX(tblWorkCentres[Effective h/day],MATCH($B$79,tblWorkCentres[Work centre],0)),0)*INDEX('Demand Plan'!$D$5:$O$5,12))</f>
        <v>76</v>
      </c>
      <c r="O79" s="61">
        <f>IF($B$79="","",SUM($C$79:$N$79))</f>
        <v>896.8</v>
      </c>
    </row>
    <row r="80" spans="2:15" x14ac:dyDescent="0.25">
      <c r="B80" s="51" t="str">
        <f>IFERROR(INDEX(tblWorkCentres[Work centre],6)&amp;"","")</f>
        <v>Inspection</v>
      </c>
      <c r="C80" s="60">
        <f>IF($B$80="","",IFERROR(INDEX(tblWorkCentres[Effective h/day],MATCH($B$80,tblWorkCentres[Work centre],0)),0)*INDEX('Demand Plan'!$D$5:$O$5,1))</f>
        <v>72</v>
      </c>
      <c r="D80" s="60">
        <f>IF($B$80="","",IFERROR(INDEX(tblWorkCentres[Effective h/day],MATCH($B$80,tblWorkCentres[Work centre],0)),0)*INDEX('Demand Plan'!$D$5:$O$5,2))</f>
        <v>72</v>
      </c>
      <c r="E80" s="60">
        <f>IF($B$80="","",IFERROR(INDEX(tblWorkCentres[Effective h/day],MATCH($B$80,tblWorkCentres[Work centre],0)),0)*INDEX('Demand Plan'!$D$5:$O$5,3))</f>
        <v>72</v>
      </c>
      <c r="F80" s="60">
        <f>IF($B$80="","",IFERROR(INDEX(tblWorkCentres[Effective h/day],MATCH($B$80,tblWorkCentres[Work centre],0)),0)*INDEX('Demand Plan'!$D$5:$O$5,4))</f>
        <v>72</v>
      </c>
      <c r="G80" s="60">
        <f>IF($B$80="","",IFERROR(INDEX(tblWorkCentres[Effective h/day],MATCH($B$80,tblWorkCentres[Work centre],0)),0)*INDEX('Demand Plan'!$D$5:$O$5,5))</f>
        <v>72</v>
      </c>
      <c r="H80" s="60">
        <f>IF($B$80="","",IFERROR(INDEX(tblWorkCentres[Effective h/day],MATCH($B$80,tblWorkCentres[Work centre],0)),0)*INDEX('Demand Plan'!$D$5:$O$5,6))</f>
        <v>72</v>
      </c>
      <c r="I80" s="60">
        <f>IF($B$80="","",IFERROR(INDEX(tblWorkCentres[Effective h/day],MATCH($B$80,tblWorkCentres[Work centre],0)),0)*INDEX('Demand Plan'!$D$5:$O$5,7))</f>
        <v>72</v>
      </c>
      <c r="J80" s="60">
        <f>IF($B$80="","",IFERROR(INDEX(tblWorkCentres[Effective h/day],MATCH($B$80,tblWorkCentres[Work centre],0)),0)*INDEX('Demand Plan'!$D$5:$O$5,8))</f>
        <v>72</v>
      </c>
      <c r="K80" s="60">
        <f>IF($B$80="","",IFERROR(INDEX(tblWorkCentres[Effective h/day],MATCH($B$80,tblWorkCentres[Work centre],0)),0)*INDEX('Demand Plan'!$D$5:$O$5,9))</f>
        <v>72</v>
      </c>
      <c r="L80" s="60">
        <f>IF($B$80="","",IFERROR(INDEX(tblWorkCentres[Effective h/day],MATCH($B$80,tblWorkCentres[Work centre],0)),0)*INDEX('Demand Plan'!$D$5:$O$5,10))</f>
        <v>57.6</v>
      </c>
      <c r="M80" s="60">
        <f>IF($B$80="","",IFERROR(INDEX(tblWorkCentres[Effective h/day],MATCH($B$80,tblWorkCentres[Work centre],0)),0)*INDEX('Demand Plan'!$D$5:$O$5,11))</f>
        <v>72</v>
      </c>
      <c r="N80" s="60">
        <f>IF($B$80="","",IFERROR(INDEX(tblWorkCentres[Effective h/day],MATCH($B$80,tblWorkCentres[Work centre],0)),0)*INDEX('Demand Plan'!$D$5:$O$5,12))</f>
        <v>72</v>
      </c>
      <c r="O80" s="61">
        <f>IF($B$80="","",SUM($C$80:$N$80))</f>
        <v>849.6</v>
      </c>
    </row>
    <row r="81" spans="2:15" ht="8" customHeight="1" x14ac:dyDescent="0.25"/>
    <row r="82" spans="2:15" x14ac:dyDescent="0.25">
      <c r="B82" s="21" t="s">
        <v>164</v>
      </c>
      <c r="C82" s="21"/>
      <c r="D82" s="21"/>
      <c r="E82" s="21"/>
      <c r="F82" s="21"/>
      <c r="G82" s="21"/>
      <c r="H82" s="21"/>
      <c r="I82" s="21"/>
      <c r="J82" s="21"/>
      <c r="K82" s="21"/>
      <c r="L82" s="21"/>
      <c r="M82" s="21"/>
      <c r="N82" s="21"/>
      <c r="O82" s="21"/>
    </row>
    <row r="83" spans="2:15" x14ac:dyDescent="0.25">
      <c r="B83" s="62">
        <f>IF(COUNTA(tblWorkCentres[Work centre])&gt;6,"Setup lists more work centres than the Dashboard shows: some are not included.","")</f>
        <v/>
      </c>
      <c r="C83" s="62"/>
      <c r="D83" s="62"/>
      <c r="E83" s="62"/>
      <c r="F83" s="62"/>
      <c r="G83" s="62"/>
      <c r="H83" s="62"/>
      <c r="I83" s="62"/>
      <c r="J83" s="62"/>
      <c r="K83" s="62"/>
      <c r="L83" s="62"/>
      <c r="M83" s="62"/>
      <c r="N83" s="62"/>
      <c r="O83" s="62"/>
    </row>
  </sheetData>
  <sheetProtection sheet="1" formatColumns="0" formatRows="0"/>
  <mergeCells count="40">
    <mergeCell ref="A1:O1"/>
    <mergeCell ref="B2:M2"/>
    <mergeCell ref="N2:O2"/>
    <mergeCell ref="B4:C4"/>
    <mergeCell ref="B5:C6"/>
    <mergeCell ref="B7:C7"/>
    <mergeCell ref="B8:C8"/>
    <mergeCell ref="D4:G4"/>
    <mergeCell ref="D5:G6"/>
    <mergeCell ref="D7:G7"/>
    <mergeCell ref="D8:G8"/>
    <mergeCell ref="H4:K4"/>
    <mergeCell ref="H5:K6"/>
    <mergeCell ref="H7:K7"/>
    <mergeCell ref="H8:K8"/>
    <mergeCell ref="L4:O4"/>
    <mergeCell ref="L5:O6"/>
    <mergeCell ref="L7:O7"/>
    <mergeCell ref="L8:O8"/>
    <mergeCell ref="B26:O26"/>
    <mergeCell ref="L27:M27"/>
    <mergeCell ref="N27:O27"/>
    <mergeCell ref="L28:M28"/>
    <mergeCell ref="L29:M29"/>
    <mergeCell ref="L30:M30"/>
    <mergeCell ref="L31:M31"/>
    <mergeCell ref="L32:M32"/>
    <mergeCell ref="L33:M33"/>
    <mergeCell ref="N28:O28"/>
    <mergeCell ref="N29:O29"/>
    <mergeCell ref="N30:O30"/>
    <mergeCell ref="N31:O31"/>
    <mergeCell ref="N32:O32"/>
    <mergeCell ref="N33:O33"/>
    <mergeCell ref="B35:N35"/>
    <mergeCell ref="B44:N44"/>
    <mergeCell ref="B64:O64"/>
    <mergeCell ref="B73:O73"/>
    <mergeCell ref="B82:O82"/>
    <mergeCell ref="B83:O83"/>
  </mergeCells>
  <conditionalFormatting sqref="C37:N42">
    <cfRule type="expression" dxfId="2" priority="42" stopIfTrue="1">
      <formula>AND(ISNUMBER(C37),C37&gt;1.0)</formula>
    </cfRule>
    <cfRule type="expression" dxfId="1" priority="43" stopIfTrue="1">
      <formula>AND(ISNUMBER(C37),C37&gt;0.85)</formula>
    </cfRule>
    <cfRule type="expression" dxfId="0" priority="44">
      <formula>ISNUMBER(C37)</formula>
    </cfRule>
  </conditionalFormatting>
  <conditionalFormatting sqref="D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F28:F33">
    <cfRule type="dataBar" priority="21">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L28:L33">
    <cfRule type="cellIs" dxfId="0" priority="22" operator="equal">
      <formula>"On target"</formula>
    </cfRule>
    <cfRule type="cellIs" dxfId="0" priority="23" operator="equal">
      <formula>"PASS"</formula>
    </cfRule>
    <cfRule type="cellIs" dxfId="0" priority="24" operator="equal">
      <formula>"OK"</formula>
    </cfRule>
    <cfRule type="cellIs" dxfId="0" priority="25" operator="equal">
      <formula>"Within limits"</formula>
    </cfRule>
    <cfRule type="cellIs" dxfId="0" priority="26" operator="equal">
      <formula>"Under capacity"</formula>
    </cfRule>
    <cfRule type="cellIs" dxfId="0" priority="27" operator="equal">
      <formula>"Complete"</formula>
    </cfRule>
    <cfRule type="cellIs" dxfId="0" priority="28" operator="equal">
      <formula>"Yes"</formula>
    </cfRule>
    <cfRule type="cellIs" dxfId="1" priority="29" operator="equal">
      <formula>"Near target"</formula>
    </cfRule>
    <cfRule type="cellIs" dxfId="1" priority="30" operator="equal">
      <formula>"Check"</formula>
    </cfRule>
    <cfRule type="cellIs" dxfId="1" priority="31" operator="equal">
      <formula>"Due soon"</formula>
    </cfRule>
    <cfRule type="cellIs" dxfId="1" priority="32" operator="equal">
      <formula>"Near capacity"</formula>
    </cfRule>
    <cfRule type="cellIs" dxfId="1" priority="33" operator="equal">
      <formula>"In progress"</formula>
    </cfRule>
    <cfRule type="cellIs" dxfId="1" priority="34" operator="equal">
      <formula>"Partial"</formula>
    </cfRule>
    <cfRule type="cellIs" dxfId="2" priority="35" operator="equal">
      <formula>"Below target"</formula>
    </cfRule>
    <cfRule type="cellIs" dxfId="2" priority="36" operator="equal">
      <formula>"Above target"</formula>
    </cfRule>
    <cfRule type="cellIs" dxfId="2" priority="37" operator="equal">
      <formula>"FAIL"</formula>
    </cfRule>
    <cfRule type="cellIs" dxfId="2" priority="38" operator="equal">
      <formula>"Over capacity"</formula>
    </cfRule>
    <cfRule type="cellIs" dxfId="2" priority="39" operator="equal">
      <formula>"Overdue"</formula>
    </cfRule>
    <cfRule type="cellIs" dxfId="2" priority="40" operator="equal">
      <formula>"Out of limits"</formula>
    </cfRule>
    <cfRule type="cellIs" dxfId="2" priority="41" operator="equal">
      <formula>"No"</formula>
    </cfRule>
  </conditionalFormatting>
  <hyperlinks>
    <hyperlink ref="N2" r:id="rId1" tooltip="Free manufacturing calculators and templates"/>
  </hyperlinks>
  <pageMargins left="0.4" right="0.4" top="0.7" bottom="0.65" header="0.3" footer="0.3"/>
  <pageSetup fitToHeight="0" orientation="landscape"/>
  <headerFooter>
    <oddHeader>&amp;L&amp;8MFG Calcs - Capacity Planning&amp;R&amp;8&amp;A</oddHeader>
    <oddFooter>&amp;L&amp;8mfgcalcs.com - free manufacturing templates&amp;R&amp;8Page &amp;P of &amp;N</oddFooter>
  </headerFooter>
  <rowBreaks count="2" manualBreakCount="2">
    <brk id="25" max="16383" man="1"/>
    <brk id="49"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F28:F33</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61"/>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165</v>
      </c>
      <c r="C4" s="8"/>
      <c r="D4" s="8"/>
    </row>
    <row r="5" spans="1:4" ht="5" customHeight="1"/>
    <row r="6" spans="1:4" ht="55.8" customHeight="1">
      <c r="B6" s="10" t="s">
        <v>166</v>
      </c>
      <c r="C6" s="10"/>
      <c r="D6" s="10"/>
    </row>
    <row r="8" spans="1:4" ht="21" customHeight="1">
      <c r="B8" s="8" t="s">
        <v>167</v>
      </c>
      <c r="C8" s="8"/>
      <c r="D8" s="8"/>
    </row>
    <row r="9" spans="1:4" ht="5" customHeight="1"/>
    <row r="10" spans="1:4" ht="20" customHeight="1">
      <c r="B10" s="36" t="s">
        <v>168</v>
      </c>
      <c r="C10" s="36" t="s">
        <v>169</v>
      </c>
      <c r="D10" s="32" t="s">
        <v>170</v>
      </c>
    </row>
    <row r="11" spans="1:4" ht="17.2" customHeight="1">
      <c r="B11" s="63" t="s">
        <v>171</v>
      </c>
      <c r="C11" s="64" t="s">
        <v>172</v>
      </c>
      <c r="D11" s="65" t="s">
        <v>173</v>
      </c>
    </row>
    <row r="12" spans="1:4" ht="17.2" customHeight="1">
      <c r="B12" s="63" t="s">
        <v>174</v>
      </c>
      <c r="C12" s="64" t="s">
        <v>175</v>
      </c>
      <c r="D12" s="65" t="s">
        <v>173</v>
      </c>
    </row>
    <row r="13" spans="1:4" ht="17.2" customHeight="1">
      <c r="B13" s="63" t="s">
        <v>109</v>
      </c>
      <c r="C13" s="64" t="s">
        <v>176</v>
      </c>
      <c r="D13" s="65" t="s">
        <v>177</v>
      </c>
    </row>
    <row r="14" spans="1:4" ht="17.2" customHeight="1">
      <c r="B14" s="63" t="s">
        <v>163</v>
      </c>
      <c r="C14" s="64" t="s">
        <v>178</v>
      </c>
      <c r="D14" s="65" t="s">
        <v>179</v>
      </c>
    </row>
    <row r="15" spans="1:4" ht="56.8" customHeight="1">
      <c r="B15" s="63" t="s">
        <v>180</v>
      </c>
      <c r="C15" s="64" t="s">
        <v>181</v>
      </c>
      <c r="D15" s="65" t="s">
        <v>179</v>
      </c>
    </row>
    <row r="16" spans="1:4" ht="17.2" customHeight="1">
      <c r="B16" s="63" t="s">
        <v>161</v>
      </c>
      <c r="C16" s="64" t="s">
        <v>182</v>
      </c>
      <c r="D16" s="65" t="s">
        <v>179</v>
      </c>
    </row>
    <row r="17" spans="2:4" ht="17.2" customHeight="1">
      <c r="B17" s="63" t="s">
        <v>154</v>
      </c>
      <c r="C17" s="64" t="s">
        <v>183</v>
      </c>
      <c r="D17" s="65" t="s">
        <v>184</v>
      </c>
    </row>
    <row r="18" spans="2:4" ht="17.2" customHeight="1">
      <c r="B18" s="63" t="s">
        <v>145</v>
      </c>
      <c r="C18" s="64" t="s">
        <v>185</v>
      </c>
      <c r="D18" s="65" t="s">
        <v>184</v>
      </c>
    </row>
    <row r="19" spans="2:4" ht="17.2" customHeight="1">
      <c r="B19" s="63" t="s">
        <v>146</v>
      </c>
      <c r="C19" s="64" t="s">
        <v>186</v>
      </c>
      <c r="D19" s="65" t="s">
        <v>184</v>
      </c>
    </row>
    <row r="20" spans="2:4" ht="17.2" customHeight="1">
      <c r="B20" s="63" t="s">
        <v>148</v>
      </c>
      <c r="C20" s="64" t="s">
        <v>187</v>
      </c>
      <c r="D20" s="65" t="s">
        <v>179</v>
      </c>
    </row>
    <row r="21" spans="2:4" ht="30.4" customHeight="1">
      <c r="B21" s="63" t="s">
        <v>149</v>
      </c>
      <c r="C21" s="64" t="s">
        <v>188</v>
      </c>
      <c r="D21" s="65" t="s">
        <v>189</v>
      </c>
    </row>
    <row r="22" spans="2:4" ht="17.2" customHeight="1">
      <c r="B22" s="63" t="s">
        <v>150</v>
      </c>
      <c r="C22" s="64" t="s">
        <v>190</v>
      </c>
      <c r="D22" s="65" t="s">
        <v>189</v>
      </c>
    </row>
    <row r="23" spans="2:4" ht="83.2" customHeight="1">
      <c r="B23" s="63" t="s">
        <v>191</v>
      </c>
      <c r="C23" s="64" t="s">
        <v>192</v>
      </c>
      <c r="D23" s="65" t="s">
        <v>193</v>
      </c>
    </row>
    <row r="24" spans="2:4" ht="17.2" customHeight="1">
      <c r="B24" s="63" t="s">
        <v>194</v>
      </c>
      <c r="C24" s="64" t="s">
        <v>195</v>
      </c>
      <c r="D24" s="65" t="s">
        <v>193</v>
      </c>
    </row>
    <row r="26" spans="2:4" ht="21" customHeight="1">
      <c r="B26" s="8" t="s">
        <v>196</v>
      </c>
      <c r="C26" s="8"/>
      <c r="D26" s="8"/>
    </row>
    <row r="27" spans="2:4" ht="5" customHeight="1"/>
    <row r="28" spans="2:4" ht="16.2" customHeight="1">
      <c r="B28" s="26" t="s">
        <v>55</v>
      </c>
      <c r="C28" s="10" t="s">
        <v>197</v>
      </c>
      <c r="D28" s="10"/>
    </row>
    <row r="29" spans="2:4" ht="29.4" customHeight="1">
      <c r="B29" s="26" t="s">
        <v>55</v>
      </c>
      <c r="C29" s="10" t="s">
        <v>198</v>
      </c>
      <c r="D29" s="10"/>
    </row>
    <row r="30" spans="2:4" ht="16.2" customHeight="1">
      <c r="B30" s="26" t="s">
        <v>55</v>
      </c>
      <c r="C30" s="10" t="s">
        <v>199</v>
      </c>
      <c r="D30" s="10"/>
    </row>
    <row r="31" spans="2:4" ht="29.4" customHeight="1">
      <c r="B31" s="26" t="s">
        <v>55</v>
      </c>
      <c r="C31" s="10" t="s">
        <v>200</v>
      </c>
      <c r="D31" s="10"/>
    </row>
    <row r="33" spans="2:4" ht="21" customHeight="1">
      <c r="B33" s="8" t="s">
        <v>201</v>
      </c>
      <c r="C33" s="8"/>
      <c r="D33" s="8"/>
    </row>
    <row r="34" spans="2:4" ht="5" customHeight="1"/>
    <row r="35" spans="2:4" ht="29.4" customHeight="1">
      <c r="B35" s="26" t="s">
        <v>55</v>
      </c>
      <c r="C35" s="10" t="s">
        <v>202</v>
      </c>
      <c r="D35" s="10"/>
    </row>
    <row r="36" spans="2:4" ht="29.4" customHeight="1">
      <c r="B36" s="26" t="s">
        <v>55</v>
      </c>
      <c r="C36" s="10" t="s">
        <v>203</v>
      </c>
      <c r="D36" s="10"/>
    </row>
    <row r="37" spans="2:4" ht="29.4" customHeight="1">
      <c r="B37" s="26" t="s">
        <v>55</v>
      </c>
      <c r="C37" s="10" t="s">
        <v>204</v>
      </c>
      <c r="D37" s="10"/>
    </row>
    <row r="38" spans="2:4" ht="29.4" customHeight="1">
      <c r="B38" s="26" t="s">
        <v>55</v>
      </c>
      <c r="C38" s="10" t="s">
        <v>205</v>
      </c>
      <c r="D38" s="10"/>
    </row>
    <row r="40" spans="2:4" ht="21" customHeight="1">
      <c r="B40" s="8" t="s">
        <v>206</v>
      </c>
      <c r="C40" s="8"/>
      <c r="D40" s="8"/>
    </row>
    <row r="41" spans="2:4" ht="5" customHeight="1"/>
    <row r="42" spans="2:4" ht="69" customHeight="1">
      <c r="B42" s="10" t="s">
        <v>207</v>
      </c>
      <c r="C42" s="10"/>
      <c r="D42" s="10"/>
    </row>
    <row r="43" spans="2:4">
      <c r="B43" s="24" t="s">
        <v>208</v>
      </c>
      <c r="C43" s="24"/>
      <c r="D43" s="24"/>
    </row>
    <row r="45" spans="2:4" ht="21" customHeight="1">
      <c r="B45" s="8" t="s">
        <v>42</v>
      </c>
      <c r="C45" s="8"/>
      <c r="D45" s="8"/>
    </row>
    <row r="46" spans="2:4" ht="5" customHeight="1"/>
    <row r="47" spans="2:4" ht="42.6" customHeight="1">
      <c r="B47" s="10" t="s">
        <v>209</v>
      </c>
      <c r="C47" s="10"/>
      <c r="D47" s="10"/>
    </row>
    <row r="49" spans="2:4" ht="21" customHeight="1">
      <c r="B49" s="8" t="s">
        <v>210</v>
      </c>
      <c r="C49" s="8"/>
      <c r="D49" s="8"/>
    </row>
    <row r="50" spans="2:4" ht="5" customHeight="1"/>
    <row r="51" spans="2:4" ht="29.4" customHeight="1">
      <c r="B51" s="26" t="s">
        <v>55</v>
      </c>
      <c r="C51" s="10" t="s">
        <v>211</v>
      </c>
      <c r="D51" s="10"/>
    </row>
    <row r="52" spans="2:4" ht="29.4" customHeight="1">
      <c r="B52" s="26" t="s">
        <v>55</v>
      </c>
      <c r="C52" s="10" t="s">
        <v>212</v>
      </c>
      <c r="D52" s="10"/>
    </row>
    <row r="53" spans="2:4" ht="29.4" customHeight="1">
      <c r="B53" s="26" t="s">
        <v>55</v>
      </c>
      <c r="C53" s="10" t="s">
        <v>213</v>
      </c>
      <c r="D53" s="10"/>
    </row>
    <row r="54" spans="2:4">
      <c r="B54" s="21" t="s">
        <v>214</v>
      </c>
      <c r="C54" s="21"/>
      <c r="D54" s="21"/>
    </row>
    <row r="56" spans="2:4" ht="21" customHeight="1">
      <c r="B56" s="8" t="s">
        <v>215</v>
      </c>
      <c r="C56" s="8"/>
      <c r="D56" s="8"/>
    </row>
    <row r="57" spans="2:4" ht="5" customHeight="1"/>
    <row r="58" spans="2:4">
      <c r="B58" s="36" t="s">
        <v>50</v>
      </c>
      <c r="C58" s="36" t="s">
        <v>216</v>
      </c>
      <c r="D58" s="32" t="s">
        <v>217</v>
      </c>
    </row>
    <row r="59" spans="2:4" ht="16.2" customHeight="1">
      <c r="B59" s="66" t="s">
        <v>218</v>
      </c>
      <c r="C59" s="67" t="s">
        <v>219</v>
      </c>
      <c r="D59" s="68" t="s">
        <v>220</v>
      </c>
    </row>
    <row r="61" spans="2:4">
      <c r="B61" s="21" t="s">
        <v>61</v>
      </c>
      <c r="C61" s="21"/>
      <c r="D61" s="21"/>
    </row>
  </sheetData>
  <sheetProtection sheet="1" formatColumns="0" formatRows="0"/>
  <mergeCells count="27">
    <mergeCell ref="A1:D1"/>
    <mergeCell ref="B2:C2"/>
    <mergeCell ref="B4:D4"/>
    <mergeCell ref="B6:D6"/>
    <mergeCell ref="B8:D8"/>
    <mergeCell ref="B26:D26"/>
    <mergeCell ref="C28:D28"/>
    <mergeCell ref="C29:D29"/>
    <mergeCell ref="C30:D30"/>
    <mergeCell ref="C31:D31"/>
    <mergeCell ref="B33:D33"/>
    <mergeCell ref="C35:D35"/>
    <mergeCell ref="C36:D36"/>
    <mergeCell ref="C37:D37"/>
    <mergeCell ref="C38:D38"/>
    <mergeCell ref="B40:D40"/>
    <mergeCell ref="B42:D42"/>
    <mergeCell ref="B43:D43"/>
    <mergeCell ref="B45:D45"/>
    <mergeCell ref="B47:D47"/>
    <mergeCell ref="B49:D49"/>
    <mergeCell ref="C51:D51"/>
    <mergeCell ref="C52:D52"/>
    <mergeCell ref="C53:D53"/>
    <mergeCell ref="B54:D54"/>
    <mergeCell ref="B56:D56"/>
    <mergeCell ref="B61:D61"/>
  </mergeCells>
  <hyperlinks>
    <hyperlink ref="D2" r:id="rId1" tooltip="Free manufacturing calculators and templates"/>
    <hyperlink ref="B43" r:id="rId2"/>
  </hyperlinks>
  <printOptions horizontalCentered="1"/>
  <pageMargins left="0.4" right="0.4" top="0.7" bottom="0.65" header="0.3" footer="0.3"/>
  <pageSetup fitToHeight="0" orientation="portrait"/>
  <headerFooter>
    <oddHeader>&amp;L&amp;8MFG Calcs - Capacity Planning&amp;R&amp;8&amp;A</oddHeader>
    <oddFooter>&amp;L&amp;8mfgcalcs.com - free manufacturing templates&amp;R&amp;8Page &amp;P of &amp;N</oddFooter>
  </headerFooter>
  <rowBreaks count="2" manualBreakCount="2">
    <brk id="25" max="16383" man="1"/>
    <brk id="5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C3440"/>
    <pageSetUpPr fitToPage="1"/>
  </sheetPr>
  <dimension ref="A1:S88"/>
  <sheetViews>
    <sheetView showGridLines="0" workbookViewId="0"/>
  </sheetViews>
  <sheetFormatPr defaultRowHeight="15" x14ac:dyDescent="0.25"/>
  <cols>
    <col min="1" max="1" width="2.7109375" customWidth="1"/>
    <col min="2" max="19" width="12.7109375" customWidth="1"/>
  </cols>
  <sheetData>
    <row r="1" spans="1:19" ht="30" customHeight="1" x14ac:dyDescent="0.25">
      <c r="A1" s="1" t="s">
        <v>0</v>
      </c>
      <c r="B1" s="1"/>
      <c r="C1" s="1"/>
      <c r="D1" s="1"/>
      <c r="E1" s="1"/>
      <c r="F1" s="1"/>
      <c r="G1" s="1"/>
      <c r="H1" s="1"/>
      <c r="I1" s="1"/>
      <c r="J1" s="1"/>
      <c r="K1" s="1"/>
      <c r="L1" s="1"/>
      <c r="M1" s="1"/>
      <c r="N1" s="1"/>
      <c r="O1" s="1"/>
      <c r="P1" s="1"/>
      <c r="Q1" s="1"/>
      <c r="R1" s="1"/>
      <c r="S1" s="1"/>
    </row>
    <row r="2" spans="1:19" ht="21" customHeight="1" x14ac:dyDescent="0.25">
      <c r="B2" s="2" t="s">
        <v>28</v>
      </c>
      <c r="C2" s="2"/>
      <c r="D2" s="2"/>
      <c r="E2" s="2"/>
      <c r="F2" s="2"/>
      <c r="G2" s="2"/>
      <c r="H2" s="2"/>
      <c r="I2" s="2"/>
      <c r="J2" s="2"/>
      <c r="K2" s="2"/>
      <c r="L2" s="2"/>
      <c r="M2" s="2"/>
      <c r="N2" s="2"/>
      <c r="O2" s="2"/>
      <c r="P2" s="2"/>
      <c r="Q2" s="2"/>
      <c r="R2" s="2"/>
      <c r="S2" s="3" t="s">
        <v>2</v>
      </c>
    </row>
    <row r="3" spans="1:19" ht="6" customHeight="1" x14ac:dyDescent="0.25"/>
    <row r="4" spans="1:19" ht="30" customHeight="1" x14ac:dyDescent="0.25">
      <c r="B4" s="69" t="s">
        <v>221</v>
      </c>
      <c r="C4" s="69"/>
      <c r="D4" s="22" t="str">
        <f>IF(COUNTIF($K$11:$K$22,"PASS")=12,"PASS","FAIL")</f>
        <v>PASS</v>
      </c>
      <c r="E4" s="22"/>
      <c r="F4" s="23" t="str">
        <f>COUNTIF($K$11:$K$22,"PASS")&amp;" of 12 checks pass"</f>
        <v>12 of 12 checks pass</v>
      </c>
      <c r="G4" s="23"/>
      <c r="H4" s="23"/>
      <c r="I4" s="23"/>
      <c r="J4" s="23"/>
    </row>
    <row r="6" spans="1:19" ht="29.4" customHeight="1" x14ac:dyDescent="0.25">
      <c r="B6" s="10" t="s">
        <v>222</v>
      </c>
      <c r="C6" s="10"/>
      <c r="D6" s="10"/>
      <c r="E6" s="10"/>
      <c r="F6" s="10"/>
      <c r="G6" s="10"/>
      <c r="H6" s="10"/>
      <c r="I6" s="10"/>
      <c r="J6" s="10"/>
      <c r="K6" s="10"/>
      <c r="L6" s="10"/>
    </row>
    <row r="8" spans="1:19" ht="21" customHeight="1" x14ac:dyDescent="0.25">
      <c r="B8" s="8" t="s">
        <v>223</v>
      </c>
      <c r="C8" s="8"/>
      <c r="D8" s="8"/>
      <c r="E8" s="8"/>
      <c r="F8" s="8"/>
      <c r="G8" s="8"/>
      <c r="H8" s="8"/>
      <c r="I8" s="8"/>
      <c r="J8" s="8"/>
      <c r="K8" s="8"/>
      <c r="L8" s="8"/>
    </row>
    <row r="9" spans="1:19" ht="5" customHeight="1" x14ac:dyDescent="0.25"/>
    <row r="10" spans="1:19" ht="30" customHeight="1" x14ac:dyDescent="0.25">
      <c r="B10" s="32" t="s">
        <v>224</v>
      </c>
      <c r="C10" s="36" t="s">
        <v>107</v>
      </c>
      <c r="D10" s="36"/>
      <c r="E10" s="36"/>
      <c r="F10" s="36"/>
      <c r="G10" s="32" t="s">
        <v>225</v>
      </c>
      <c r="H10" s="32" t="s">
        <v>226</v>
      </c>
      <c r="I10" s="32" t="s">
        <v>227</v>
      </c>
      <c r="J10" s="32" t="s">
        <v>228</v>
      </c>
      <c r="K10" s="32" t="s">
        <v>229</v>
      </c>
    </row>
    <row r="11" spans="1:19" ht="16.2" customHeight="1" x14ac:dyDescent="0.25">
      <c r="B11" s="70">
        <v>1</v>
      </c>
      <c r="C11" s="67" t="s">
        <v>230</v>
      </c>
      <c r="D11" s="67"/>
      <c r="E11" s="67"/>
      <c r="F11" s="67"/>
      <c r="G11" s="71">
        <v>66.55092592592592</v>
      </c>
      <c r="H11" s="54">
        <f>$F$48</f>
        <v>66.5509259259259</v>
      </c>
      <c r="I11" s="72">
        <f>IF(AND(ISNUMBER($G$11),ISNUMBER($H$11)),ABS($H$11-$G$11),"")</f>
        <v>0</v>
      </c>
      <c r="J11" s="73">
        <v>1E-09</v>
      </c>
      <c r="K11" s="55" t="str">
        <f>IF(AND(ISNUMBER($G$11),ISNUMBER($H$11)),IF(ABS($H$11-$G$11)&lt;=$J$11,"PASS","FAIL"),"FAIL")</f>
        <v>PASS</v>
      </c>
    </row>
    <row r="12" spans="1:19" ht="16.2" customHeight="1" x14ac:dyDescent="0.25">
      <c r="B12" s="70">
        <v>2</v>
      </c>
      <c r="C12" s="67" t="s">
        <v>231</v>
      </c>
      <c r="D12" s="67"/>
      <c r="E12" s="67"/>
      <c r="F12" s="67"/>
      <c r="G12" s="74">
        <v>0.9786900871459695</v>
      </c>
      <c r="H12" s="75">
        <f>$C$74</f>
        <v>0.97869008714597</v>
      </c>
      <c r="I12" s="72">
        <f>IF(AND(ISNUMBER($G$12),ISNUMBER($H$12)),ABS($H$12-$G$12),"")</f>
        <v>0</v>
      </c>
      <c r="J12" s="73">
        <v>1E-09</v>
      </c>
      <c r="K12" s="55" t="str">
        <f>IF(AND(ISNUMBER($G$12),ISNUMBER($H$12)),IF(ABS($H$12-$G$12)&lt;=$J$12,"PASS","FAIL"),"FAIL")</f>
        <v>PASS</v>
      </c>
    </row>
    <row r="13" spans="1:19" ht="16.2" customHeight="1" x14ac:dyDescent="0.25">
      <c r="B13" s="70">
        <v>3</v>
      </c>
      <c r="C13" s="67" t="s">
        <v>232</v>
      </c>
      <c r="D13" s="67"/>
      <c r="E13" s="67"/>
      <c r="F13" s="67"/>
      <c r="G13" s="74">
        <v>2.127587145969498</v>
      </c>
      <c r="H13" s="75">
        <f>$D$74</f>
        <v>2.1275871459695</v>
      </c>
      <c r="I13" s="72">
        <f>IF(AND(ISNUMBER($G$13),ISNUMBER($H$13)),ABS($H$13-$G$13),"")</f>
        <v>0</v>
      </c>
      <c r="J13" s="73">
        <v>1E-09</v>
      </c>
      <c r="K13" s="55" t="str">
        <f>IF(AND(ISNUMBER($G$13),ISNUMBER($H$13)),IF(ABS($H$13-$G$13)&lt;=$J$13,"PASS","FAIL"),"FAIL")</f>
        <v>PASS</v>
      </c>
    </row>
    <row r="14" spans="1:19" ht="16.2" customHeight="1" x14ac:dyDescent="0.25">
      <c r="B14" s="70">
        <v>4</v>
      </c>
      <c r="C14" s="67" t="s">
        <v>233</v>
      </c>
      <c r="D14" s="67"/>
      <c r="E14" s="67"/>
      <c r="F14" s="67"/>
      <c r="G14" s="74">
        <v>0.6944444444444444</v>
      </c>
      <c r="H14" s="75">
        <f>$E$75</f>
        <v>0.694444444444444</v>
      </c>
      <c r="I14" s="72">
        <f>IF(AND(ISNUMBER($G$14),ISNUMBER($H$14)),ABS($H$14-$G$14),"")</f>
        <v>0</v>
      </c>
      <c r="J14" s="73">
        <v>1E-09</v>
      </c>
      <c r="K14" s="55" t="str">
        <f>IF(AND(ISNUMBER($G$14),ISNUMBER($H$14)),IF(ABS($H$14-$G$14)&lt;=$J$14,"PASS","FAIL"),"FAIL")</f>
        <v>PASS</v>
      </c>
    </row>
    <row r="15" spans="1:19" ht="16.2" customHeight="1" x14ac:dyDescent="0.25">
      <c r="B15" s="70">
        <v>5</v>
      </c>
      <c r="C15" s="67" t="s">
        <v>234</v>
      </c>
      <c r="D15" s="67"/>
      <c r="E15" s="67"/>
      <c r="F15" s="67"/>
      <c r="G15" s="74">
        <v>0.3065167922159447</v>
      </c>
      <c r="H15" s="75">
        <f>$F$83</f>
        <v>0.306516792215945</v>
      </c>
      <c r="I15" s="72">
        <f>IF(AND(ISNUMBER($G$15),ISNUMBER($H$15)),ABS($H$15-$G$15),"")</f>
        <v>0</v>
      </c>
      <c r="J15" s="73">
        <v>1E-09</v>
      </c>
      <c r="K15" s="55" t="str">
        <f>IF(AND(ISNUMBER($G$15),ISNUMBER($H$15)),IF(ABS($H$15-$G$15)&lt;=$J$15,"PASS","FAIL"),"FAIL")</f>
        <v>PASS</v>
      </c>
    </row>
    <row r="16" spans="1:19" ht="16.2" customHeight="1" x14ac:dyDescent="0.25">
      <c r="B16" s="70">
        <v>6</v>
      </c>
      <c r="C16" s="67" t="s">
        <v>235</v>
      </c>
      <c r="D16" s="67"/>
      <c r="E16" s="67"/>
      <c r="F16" s="67"/>
      <c r="G16" s="74">
        <v>2.127587145969498</v>
      </c>
      <c r="H16" s="75">
        <f>$G$83</f>
        <v>2.1275871459695</v>
      </c>
      <c r="I16" s="72">
        <f>IF(AND(ISNUMBER($G$16),ISNUMBER($H$16)),ABS($H$16-$G$16),"")</f>
        <v>0</v>
      </c>
      <c r="J16" s="73">
        <v>1E-09</v>
      </c>
      <c r="K16" s="55" t="str">
        <f>IF(AND(ISNUMBER($G$16),ISNUMBER($H$16)),IF(ABS($H$16-$G$16)&lt;=$J$16,"PASS","FAIL"),"FAIL")</f>
        <v>PASS</v>
      </c>
    </row>
    <row r="17" spans="2:12" ht="16.2" customHeight="1" x14ac:dyDescent="0.25">
      <c r="B17" s="70">
        <v>7</v>
      </c>
      <c r="C17" s="67" t="s">
        <v>236</v>
      </c>
      <c r="D17" s="67"/>
      <c r="E17" s="67"/>
      <c r="F17" s="67"/>
      <c r="G17" s="71">
        <v>76.6759259259259</v>
      </c>
      <c r="H17" s="54">
        <f>$I$83</f>
        <v>76.6759259259259</v>
      </c>
      <c r="I17" s="72">
        <f>IF(AND(ISNUMBER($G$17),ISNUMBER($H$17)),ABS($H$17-$G$17),"")</f>
        <v>0</v>
      </c>
      <c r="J17" s="73">
        <v>1E-09</v>
      </c>
      <c r="K17" s="55" t="str">
        <f>IF(AND(ISNUMBER($G$17),ISNUMBER($H$17)),IF(ABS($H$17-$G$17)&lt;=$J$17,"PASS","FAIL"),"FAIL")</f>
        <v>PASS</v>
      </c>
    </row>
    <row r="18" spans="2:12" ht="16.2" customHeight="1" x14ac:dyDescent="0.25">
      <c r="B18" s="70">
        <v>8</v>
      </c>
      <c r="C18" s="67" t="s">
        <v>237</v>
      </c>
      <c r="D18" s="67"/>
      <c r="E18" s="67"/>
      <c r="F18" s="67"/>
      <c r="G18" s="74">
        <v>2.127587145969498</v>
      </c>
      <c r="H18" s="75">
        <f>$J$83</f>
        <v>2.1275871459695</v>
      </c>
      <c r="I18" s="72">
        <f>IF(AND(ISNUMBER($G$18),ISNUMBER($H$18)),ABS($H$18-$G$18),"")</f>
        <v>0</v>
      </c>
      <c r="J18" s="73">
        <v>1E-09</v>
      </c>
      <c r="K18" s="55" t="str">
        <f>IF(AND(ISNUMBER($G$18),ISNUMBER($H$18)),IF(ABS($H$18-$G$18)&lt;=$J$18,"PASS","FAIL"),"FAIL")</f>
        <v>PASS</v>
      </c>
    </row>
    <row r="19" spans="2:12" ht="16.2" customHeight="1" x14ac:dyDescent="0.25">
      <c r="B19" s="70">
        <v>9</v>
      </c>
      <c r="C19" s="67" t="s">
        <v>238</v>
      </c>
      <c r="D19" s="67"/>
      <c r="E19" s="67"/>
      <c r="F19" s="67"/>
      <c r="G19" s="76">
        <v>2</v>
      </c>
      <c r="H19" s="39">
        <f>$K$83</f>
        <v>2</v>
      </c>
      <c r="I19" s="72">
        <f>IF(AND(ISNUMBER($G$19),ISNUMBER($H$19)),ABS($H$19-$G$19),"")</f>
        <v>0</v>
      </c>
      <c r="J19" s="73">
        <v>1E-09</v>
      </c>
      <c r="K19" s="55" t="str">
        <f>IF(AND(ISNUMBER($G$19),ISNUMBER($H$19)),IF(ABS($H$19-$G$19)&lt;=$J$19,"PASS","FAIL"),"FAIL")</f>
        <v>PASS</v>
      </c>
    </row>
    <row r="20" spans="2:12" ht="16.2" customHeight="1" x14ac:dyDescent="0.25">
      <c r="B20" s="70">
        <v>10</v>
      </c>
      <c r="C20" s="67" t="s">
        <v>239</v>
      </c>
      <c r="D20" s="67"/>
      <c r="E20" s="67"/>
      <c r="F20" s="67"/>
      <c r="G20" s="76">
        <v>0</v>
      </c>
      <c r="H20" s="39">
        <f>$K$84</f>
        <v>0</v>
      </c>
      <c r="I20" s="72">
        <f>IF(AND(ISNUMBER($G$20),ISNUMBER($H$20)),ABS($H$20-$G$20),"")</f>
        <v>0</v>
      </c>
      <c r="J20" s="73">
        <v>1E-09</v>
      </c>
      <c r="K20" s="55" t="str">
        <f>IF(AND(ISNUMBER($G$20),ISNUMBER($H$20)),IF(ABS($H$20-$G$20)&lt;=$J$20,"PASS","FAIL"),"FAIL")</f>
        <v>PASS</v>
      </c>
    </row>
    <row r="21" spans="2:12" ht="16.2" customHeight="1" x14ac:dyDescent="0.25">
      <c r="B21" s="70">
        <v>11</v>
      </c>
      <c r="C21" s="67" t="s">
        <v>240</v>
      </c>
      <c r="D21" s="67"/>
      <c r="E21" s="67"/>
      <c r="F21" s="67"/>
      <c r="G21" s="66" t="s">
        <v>159</v>
      </c>
      <c r="H21" s="56" t="str">
        <f>$L$83</f>
        <v>Over capacity</v>
      </c>
      <c r="I21" s="56"/>
      <c r="J21" s="68" t="s">
        <v>241</v>
      </c>
      <c r="K21" s="55" t="str">
        <f>IF($H$21&amp;""=$G$21&amp;"","PASS","FAIL")</f>
        <v>PASS</v>
      </c>
    </row>
    <row r="22" spans="2:12" ht="16.2" customHeight="1" x14ac:dyDescent="0.25">
      <c r="B22" s="70">
        <v>12</v>
      </c>
      <c r="C22" s="67" t="s">
        <v>242</v>
      </c>
      <c r="D22" s="67"/>
      <c r="E22" s="67"/>
      <c r="F22" s="67"/>
      <c r="G22" s="66" t="s">
        <v>243</v>
      </c>
      <c r="H22" s="56" t="str">
        <f>$L$84</f>
        <v>Under capacity</v>
      </c>
      <c r="I22" s="56"/>
      <c r="J22" s="68" t="s">
        <v>241</v>
      </c>
      <c r="K22" s="55" t="str">
        <f>IF($H$22&amp;""=$G$22&amp;"","PASS","FAIL")</f>
        <v>PASS</v>
      </c>
    </row>
    <row r="24" spans="2:12" ht="21" customHeight="1" x14ac:dyDescent="0.25">
      <c r="B24" s="8" t="s">
        <v>244</v>
      </c>
      <c r="C24" s="8"/>
      <c r="D24" s="8"/>
      <c r="E24" s="8"/>
      <c r="F24" s="8"/>
      <c r="G24" s="8"/>
      <c r="H24" s="8"/>
      <c r="I24" s="8"/>
      <c r="J24" s="8"/>
      <c r="K24" s="8"/>
      <c r="L24" s="8"/>
    </row>
    <row r="25" spans="2:12" ht="5" customHeight="1" x14ac:dyDescent="0.25"/>
    <row r="26" spans="2:12" x14ac:dyDescent="0.25">
      <c r="B26" s="21" t="s">
        <v>245</v>
      </c>
      <c r="C26" s="21"/>
      <c r="D26" s="21"/>
      <c r="E26" s="21"/>
      <c r="F26" s="21"/>
      <c r="G26" s="21"/>
      <c r="H26" s="21"/>
      <c r="I26" s="21"/>
      <c r="J26" s="21"/>
      <c r="K26" s="21"/>
      <c r="L26" s="21"/>
    </row>
    <row r="27" spans="2:12" x14ac:dyDescent="0.25">
      <c r="B27" s="31" t="s">
        <v>246</v>
      </c>
      <c r="C27" s="31"/>
      <c r="D27" s="31"/>
      <c r="E27" s="31"/>
      <c r="F27" s="31"/>
    </row>
    <row r="28" spans="2:12" x14ac:dyDescent="0.25">
      <c r="B28" s="27" t="s">
        <v>247</v>
      </c>
      <c r="C28" s="27"/>
      <c r="D28" s="27"/>
      <c r="E28" s="77">
        <v>46314</v>
      </c>
      <c r="F28" s="7"/>
    </row>
    <row r="29" spans="2:12" x14ac:dyDescent="0.25">
      <c r="B29" s="27" t="s">
        <v>75</v>
      </c>
      <c r="C29" s="27"/>
      <c r="D29" s="27"/>
      <c r="E29" s="78">
        <v>0.85</v>
      </c>
      <c r="F29" s="7"/>
    </row>
    <row r="30" spans="2:12" x14ac:dyDescent="0.25">
      <c r="B30" s="27" t="s">
        <v>76</v>
      </c>
      <c r="C30" s="27"/>
      <c r="D30" s="27"/>
      <c r="E30" s="78">
        <v>1</v>
      </c>
      <c r="F30" s="7"/>
    </row>
    <row r="32" spans="2:12" x14ac:dyDescent="0.25">
      <c r="B32" s="31" t="s">
        <v>248</v>
      </c>
      <c r="C32" s="31"/>
      <c r="D32" s="31"/>
      <c r="E32" s="31"/>
      <c r="F32" s="31"/>
      <c r="G32" s="31"/>
      <c r="H32" s="31"/>
      <c r="I32" s="31"/>
      <c r="J32" s="31"/>
      <c r="K32" s="31"/>
      <c r="L32" s="31"/>
    </row>
    <row r="33" spans="2:19" ht="32" customHeight="1" x14ac:dyDescent="0.25">
      <c r="B33" s="32" t="s">
        <v>62</v>
      </c>
      <c r="C33" s="32" t="s">
        <v>63</v>
      </c>
      <c r="D33" s="32" t="s">
        <v>64</v>
      </c>
      <c r="E33" s="32" t="s">
        <v>65</v>
      </c>
      <c r="F33" s="32" t="s">
        <v>66</v>
      </c>
      <c r="G33" s="32" t="s">
        <v>67</v>
      </c>
      <c r="H33" s="32" t="s">
        <v>68</v>
      </c>
      <c r="I33" s="32" t="s">
        <v>69</v>
      </c>
      <c r="J33" s="32" t="s">
        <v>70</v>
      </c>
    </row>
    <row r="34" spans="2:19" x14ac:dyDescent="0.25">
      <c r="B34" s="66" t="s">
        <v>249</v>
      </c>
      <c r="C34" s="76">
        <v>1</v>
      </c>
      <c r="D34" s="79">
        <v>2</v>
      </c>
      <c r="E34" s="79">
        <v>8</v>
      </c>
      <c r="F34" s="78">
        <v>0.85</v>
      </c>
      <c r="G34" s="78">
        <v>0.96</v>
      </c>
      <c r="H34" s="35">
        <f>tblVerifyWorkCentres[[#This Row],[Machines]]*tblVerifyWorkCentres[[#This Row],[Shifts per day]]*tblVerifyWorkCentres[[#This Row],[Hours per shift]]</f>
        <v>16</v>
      </c>
      <c r="I34" s="35">
        <f>tblVerifyWorkCentres[[#This Row],[Scheduled h/day]]*tblVerifyWorkCentres[[#This Row],[Uptime]]</f>
        <v>13.6</v>
      </c>
      <c r="J34" s="66" t="s">
        <v>250</v>
      </c>
    </row>
    <row r="35" spans="2:19" x14ac:dyDescent="0.25">
      <c r="B35" s="66" t="s">
        <v>251</v>
      </c>
      <c r="C35" s="76">
        <v>2</v>
      </c>
      <c r="D35" s="79">
        <v>1</v>
      </c>
      <c r="E35" s="79">
        <v>8</v>
      </c>
      <c r="F35" s="78">
        <v>0.9</v>
      </c>
      <c r="G35" s="78">
        <v>1</v>
      </c>
      <c r="H35" s="35">
        <f>tblVerifyWorkCentres[[#This Row],[Machines]]*tblVerifyWorkCentres[[#This Row],[Shifts per day]]*tblVerifyWorkCentres[[#This Row],[Hours per shift]]</f>
        <v>16</v>
      </c>
      <c r="I35" s="35">
        <f>tblVerifyWorkCentres[[#This Row],[Scheduled h/day]]*tblVerifyWorkCentres[[#This Row],[Uptime]]</f>
        <v>14.4</v>
      </c>
      <c r="J35" s="66" t="s">
        <v>134</v>
      </c>
    </row>
    <row r="37" spans="2:19" x14ac:dyDescent="0.25">
      <c r="B37" s="31" t="s">
        <v>252</v>
      </c>
      <c r="C37" s="31"/>
      <c r="D37" s="31"/>
      <c r="E37" s="31"/>
      <c r="F37" s="31"/>
      <c r="G37" s="31"/>
      <c r="H37" s="31"/>
      <c r="I37" s="31"/>
      <c r="J37" s="31"/>
      <c r="K37" s="31"/>
      <c r="L37" s="31"/>
    </row>
    <row r="38" spans="2:19" x14ac:dyDescent="0.25">
      <c r="B38" s="36" t="s">
        <v>108</v>
      </c>
      <c r="C38" s="36"/>
      <c r="D38" s="36"/>
      <c r="E38" s="37">
        <f>$E$28</f>
        <v>46314</v>
      </c>
      <c r="F38" s="37">
        <f>$E$38+7</f>
        <v>46321</v>
      </c>
      <c r="G38" s="37">
        <f>$F$38+7</f>
        <v>46328</v>
      </c>
      <c r="H38" s="37">
        <f>$G$38+7</f>
        <v>46335</v>
      </c>
      <c r="I38" s="37">
        <f>$H$38+7</f>
        <v>46342</v>
      </c>
      <c r="J38" s="37">
        <f>$I$38+7</f>
        <v>46349</v>
      </c>
      <c r="K38" s="37">
        <f>$J$38+7</f>
        <v>46356</v>
      </c>
      <c r="L38" s="37">
        <f>$K$38+7</f>
        <v>46363</v>
      </c>
      <c r="M38" s="37">
        <f>$L$38+7</f>
        <v>46370</v>
      </c>
      <c r="N38" s="37">
        <f>$M$38+7</f>
        <v>46377</v>
      </c>
      <c r="O38" s="37">
        <f>$N$38+7</f>
        <v>46384</v>
      </c>
      <c r="P38" s="37">
        <f>$O$38+7</f>
        <v>46391</v>
      </c>
    </row>
    <row r="39" spans="2:19" x14ac:dyDescent="0.25">
      <c r="B39" s="27" t="s">
        <v>109</v>
      </c>
      <c r="C39" s="27"/>
      <c r="D39" s="27"/>
      <c r="E39" s="79">
        <v>5</v>
      </c>
      <c r="F39" s="79">
        <v>5</v>
      </c>
      <c r="G39" s="79">
        <v>4</v>
      </c>
      <c r="H39" s="79">
        <v>5</v>
      </c>
      <c r="I39" s="79">
        <v>5</v>
      </c>
      <c r="J39" s="79">
        <v>5</v>
      </c>
      <c r="K39" s="79">
        <v>5</v>
      </c>
      <c r="L39" s="79">
        <v>5</v>
      </c>
      <c r="M39" s="79">
        <v>5</v>
      </c>
      <c r="N39" s="79">
        <v>5</v>
      </c>
      <c r="O39" s="79">
        <v>5</v>
      </c>
      <c r="P39" s="79">
        <v>5</v>
      </c>
    </row>
    <row r="41" spans="2:19" x14ac:dyDescent="0.25">
      <c r="B41" s="31" t="s">
        <v>253</v>
      </c>
      <c r="C41" s="31"/>
      <c r="D41" s="31"/>
      <c r="E41" s="31"/>
      <c r="F41" s="31"/>
      <c r="G41" s="31"/>
      <c r="H41" s="31"/>
      <c r="I41" s="31"/>
      <c r="J41" s="31"/>
      <c r="K41" s="31"/>
      <c r="L41" s="31"/>
    </row>
    <row r="42" spans="2:19" ht="20" customHeight="1" x14ac:dyDescent="0.25">
      <c r="B42" s="32" t="s">
        <v>92</v>
      </c>
      <c r="C42" s="32" t="s">
        <v>93</v>
      </c>
      <c r="D42" s="32" t="s">
        <v>94</v>
      </c>
      <c r="E42" s="32" t="s">
        <v>95</v>
      </c>
      <c r="F42" s="32" t="s">
        <v>96</v>
      </c>
      <c r="G42" s="32" t="s">
        <v>97</v>
      </c>
      <c r="H42" s="32" t="s">
        <v>98</v>
      </c>
      <c r="I42" s="32" t="s">
        <v>99</v>
      </c>
      <c r="J42" s="32" t="s">
        <v>100</v>
      </c>
      <c r="K42" s="32" t="s">
        <v>101</v>
      </c>
      <c r="L42" s="32" t="s">
        <v>102</v>
      </c>
      <c r="M42" s="32" t="s">
        <v>103</v>
      </c>
      <c r="N42" s="32" t="s">
        <v>104</v>
      </c>
      <c r="O42" s="32" t="s">
        <v>105</v>
      </c>
      <c r="P42" s="32" t="s">
        <v>106</v>
      </c>
      <c r="Q42" s="32" t="s">
        <v>107</v>
      </c>
    </row>
    <row r="43" spans="2:19" x14ac:dyDescent="0.25">
      <c r="B43" s="66" t="s">
        <v>254</v>
      </c>
      <c r="C43" s="66" t="s">
        <v>255</v>
      </c>
      <c r="D43" s="76">
        <v>5750</v>
      </c>
      <c r="E43" s="76">
        <v>12500</v>
      </c>
      <c r="F43" s="76">
        <v>3000</v>
      </c>
      <c r="G43" s="76">
        <v>0</v>
      </c>
      <c r="H43" s="76">
        <v>0</v>
      </c>
      <c r="I43" s="76">
        <v>0</v>
      </c>
      <c r="J43" s="76">
        <v>0</v>
      </c>
      <c r="K43" s="76">
        <v>0</v>
      </c>
      <c r="L43" s="76">
        <v>0</v>
      </c>
      <c r="M43" s="76">
        <v>0</v>
      </c>
      <c r="N43" s="76">
        <v>0</v>
      </c>
      <c r="O43" s="76">
        <v>0</v>
      </c>
      <c r="P43" s="39">
        <f>IF(tblVerifyDemand[[#This Row],[Part]]="","",SUM(tblVerifyDemand[[#This Row],[Wk 1]],tblVerifyDemand[[#This Row],[Wk 2]],tblVerifyDemand[[#This Row],[Wk 3]],tblVerifyDemand[[#This Row],[Wk 4]],tblVerifyDemand[[#This Row],[Wk 5]],tblVerifyDemand[[#This Row],[Wk 6]],tblVerifyDemand[[#This Row],[Wk 7]],tblVerifyDemand[[#This Row],[Wk 8]],tblVerifyDemand[[#This Row],[Wk 9]],tblVerifyDemand[[#This Row],[Wk 10]],tblVerifyDemand[[#This Row],[Wk 11]],tblVerifyDemand[[#This Row],[Wk 12]]))</f>
        <v>21250</v>
      </c>
      <c r="Q43" s="40" t="str">
        <f>IF(tblVerifyDemand[[#This Row],[Part]]="","",IF(COUNTIF(tblVerifyRouting[Part],tblVerifyDemand[[#This Row],[Part]])=0,"No routing for this part","OK"))</f>
        <v>OK</v>
      </c>
    </row>
    <row r="44" spans="2:19" x14ac:dyDescent="0.25">
      <c r="B44" s="66" t="s">
        <v>256</v>
      </c>
      <c r="C44" s="66" t="s">
        <v>255</v>
      </c>
      <c r="D44" s="76">
        <v>600</v>
      </c>
      <c r="E44" s="76">
        <v>600</v>
      </c>
      <c r="F44" s="76">
        <v>400</v>
      </c>
      <c r="G44" s="76">
        <v>0</v>
      </c>
      <c r="H44" s="76">
        <v>0</v>
      </c>
      <c r="I44" s="76">
        <v>0</v>
      </c>
      <c r="J44" s="76">
        <v>0</v>
      </c>
      <c r="K44" s="76">
        <v>0</v>
      </c>
      <c r="L44" s="76">
        <v>0</v>
      </c>
      <c r="M44" s="76">
        <v>0</v>
      </c>
      <c r="N44" s="76">
        <v>0</v>
      </c>
      <c r="O44" s="76">
        <v>0</v>
      </c>
      <c r="P44" s="39">
        <f>IF(tblVerifyDemand[[#This Row],[Part]]="","",SUM(tblVerifyDemand[[#This Row],[Wk 1]],tblVerifyDemand[[#This Row],[Wk 2]],tblVerifyDemand[[#This Row],[Wk 3]],tblVerifyDemand[[#This Row],[Wk 4]],tblVerifyDemand[[#This Row],[Wk 5]],tblVerifyDemand[[#This Row],[Wk 6]],tblVerifyDemand[[#This Row],[Wk 7]],tblVerifyDemand[[#This Row],[Wk 8]],tblVerifyDemand[[#This Row],[Wk 9]],tblVerifyDemand[[#This Row],[Wk 10]],tblVerifyDemand[[#This Row],[Wk 11]],tblVerifyDemand[[#This Row],[Wk 12]]))</f>
        <v>1600</v>
      </c>
      <c r="Q44" s="40" t="str">
        <f>IF(tblVerifyDemand[[#This Row],[Part]]="","",IF(COUNTIF(tblVerifyRouting[Part],tblVerifyDemand[[#This Row],[Part]])=0,"No routing for this part","OK"))</f>
        <v>OK</v>
      </c>
    </row>
    <row r="46" spans="2:19" x14ac:dyDescent="0.25">
      <c r="B46" s="31" t="s">
        <v>257</v>
      </c>
      <c r="C46" s="31"/>
      <c r="D46" s="31"/>
      <c r="E46" s="31"/>
      <c r="F46" s="31"/>
      <c r="G46" s="31"/>
      <c r="H46" s="31"/>
      <c r="I46" s="31"/>
      <c r="J46" s="31"/>
      <c r="K46" s="31"/>
      <c r="L46" s="31"/>
    </row>
    <row r="47" spans="2:19" ht="32" customHeight="1" x14ac:dyDescent="0.25">
      <c r="B47" s="32" t="s">
        <v>92</v>
      </c>
      <c r="C47" s="32" t="s">
        <v>62</v>
      </c>
      <c r="D47" s="32" t="s">
        <v>120</v>
      </c>
      <c r="E47" s="32" t="s">
        <v>67</v>
      </c>
      <c r="F47" s="32" t="s">
        <v>121</v>
      </c>
      <c r="G47" s="32" t="s">
        <v>122</v>
      </c>
      <c r="H47" s="32" t="s">
        <v>123</v>
      </c>
      <c r="I47" s="32" t="s">
        <v>124</v>
      </c>
      <c r="J47" s="32" t="s">
        <v>125</v>
      </c>
      <c r="K47" s="32" t="s">
        <v>126</v>
      </c>
      <c r="L47" s="32" t="s">
        <v>127</v>
      </c>
      <c r="M47" s="32" t="s">
        <v>128</v>
      </c>
      <c r="N47" s="32" t="s">
        <v>129</v>
      </c>
      <c r="O47" s="32" t="s">
        <v>130</v>
      </c>
      <c r="P47" s="32" t="s">
        <v>131</v>
      </c>
      <c r="Q47" s="32" t="s">
        <v>132</v>
      </c>
      <c r="R47" s="32" t="s">
        <v>107</v>
      </c>
      <c r="S47" s="32" t="s">
        <v>70</v>
      </c>
    </row>
    <row r="48" spans="2:19" x14ac:dyDescent="0.25">
      <c r="B48" s="66" t="s">
        <v>254</v>
      </c>
      <c r="C48" s="66" t="s">
        <v>249</v>
      </c>
      <c r="D48" s="71">
        <v>0.6666666666666666</v>
      </c>
      <c r="E48" s="78">
        <v>0.96</v>
      </c>
      <c r="F48" s="35">
        <f>IF(tblVerifyRouting[[#This Row],[Part]]="","",IF(OR(tblVerifyRouting[[#This Row],[Yield]]="",COUNTIF(tblVerifyDemand[Part],tblVerifyRouting[[#This Row],[Part]])=0),0,INDEX(tblVerifyDemand[Wk 1],MATCH(tblVerifyRouting[[#This Row],[Part]],tblVerifyDemand[Part],0))*tblVerifyRouting[[#This Row],[Minutes per unit]]/60/tblVerifyRouting[[#This Row],[Yield]]))</f>
        <v>66.5509259259259</v>
      </c>
      <c r="G48" s="35">
        <f>IF(tblVerifyRouting[[#This Row],[Part]]="","",IF(OR(tblVerifyRouting[[#This Row],[Yield]]="",COUNTIF(tblVerifyDemand[Part],tblVerifyRouting[[#This Row],[Part]])=0),0,INDEX(tblVerifyDemand[Wk 2],MATCH(tblVerifyRouting[[#This Row],[Part]],tblVerifyDemand[Part],0))*tblVerifyRouting[[#This Row],[Minutes per unit]]/60/tblVerifyRouting[[#This Row],[Yield]]))</f>
        <v>144.675925925926</v>
      </c>
      <c r="H48" s="35">
        <f>IF(tblVerifyRouting[[#This Row],[Part]]="","",IF(OR(tblVerifyRouting[[#This Row],[Yield]]="",COUNTIF(tblVerifyDemand[Part],tblVerifyRouting[[#This Row],[Part]])=0),0,INDEX(tblVerifyDemand[Wk 3],MATCH(tblVerifyRouting[[#This Row],[Part]],tblVerifyDemand[Part],0))*tblVerifyRouting[[#This Row],[Minutes per unit]]/60/tblVerifyRouting[[#This Row],[Yield]]))</f>
        <v>34.7222222222222</v>
      </c>
      <c r="I48" s="35">
        <f>IF(tblVerifyRouting[[#This Row],[Part]]="","",IF(OR(tblVerifyRouting[[#This Row],[Yield]]="",COUNTIF(tblVerifyDemand[Part],tblVerifyRouting[[#This Row],[Part]])=0),0,INDEX(tblVerifyDemand[Wk 4],MATCH(tblVerifyRouting[[#This Row],[Part]],tblVerifyDemand[Part],0))*tblVerifyRouting[[#This Row],[Minutes per unit]]/60/tblVerifyRouting[[#This Row],[Yield]]))</f>
        <v>0</v>
      </c>
      <c r="J48" s="35">
        <f>IF(tblVerifyRouting[[#This Row],[Part]]="","",IF(OR(tblVerifyRouting[[#This Row],[Yield]]="",COUNTIF(tblVerifyDemand[Part],tblVerifyRouting[[#This Row],[Part]])=0),0,INDEX(tblVerifyDemand[Wk 5],MATCH(tblVerifyRouting[[#This Row],[Part]],tblVerifyDemand[Part],0))*tblVerifyRouting[[#This Row],[Minutes per unit]]/60/tblVerifyRouting[[#This Row],[Yield]]))</f>
        <v>0</v>
      </c>
      <c r="K48" s="35">
        <f>IF(tblVerifyRouting[[#This Row],[Part]]="","",IF(OR(tblVerifyRouting[[#This Row],[Yield]]="",COUNTIF(tblVerifyDemand[Part],tblVerifyRouting[[#This Row],[Part]])=0),0,INDEX(tblVerifyDemand[Wk 6],MATCH(tblVerifyRouting[[#This Row],[Part]],tblVerifyDemand[Part],0))*tblVerifyRouting[[#This Row],[Minutes per unit]]/60/tblVerifyRouting[[#This Row],[Yield]]))</f>
        <v>0</v>
      </c>
      <c r="L48" s="35">
        <f>IF(tblVerifyRouting[[#This Row],[Part]]="","",IF(OR(tblVerifyRouting[[#This Row],[Yield]]="",COUNTIF(tblVerifyDemand[Part],tblVerifyRouting[[#This Row],[Part]])=0),0,INDEX(tblVerifyDemand[Wk 7],MATCH(tblVerifyRouting[[#This Row],[Part]],tblVerifyDemand[Part],0))*tblVerifyRouting[[#This Row],[Minutes per unit]]/60/tblVerifyRouting[[#This Row],[Yield]]))</f>
        <v>0</v>
      </c>
      <c r="M48" s="35">
        <f>IF(tblVerifyRouting[[#This Row],[Part]]="","",IF(OR(tblVerifyRouting[[#This Row],[Yield]]="",COUNTIF(tblVerifyDemand[Part],tblVerifyRouting[[#This Row],[Part]])=0),0,INDEX(tblVerifyDemand[Wk 8],MATCH(tblVerifyRouting[[#This Row],[Part]],tblVerifyDemand[Part],0))*tblVerifyRouting[[#This Row],[Minutes per unit]]/60/tblVerifyRouting[[#This Row],[Yield]]))</f>
        <v>0</v>
      </c>
      <c r="N48" s="35">
        <f>IF(tblVerifyRouting[[#This Row],[Part]]="","",IF(OR(tblVerifyRouting[[#This Row],[Yield]]="",COUNTIF(tblVerifyDemand[Part],tblVerifyRouting[[#This Row],[Part]])=0),0,INDEX(tblVerifyDemand[Wk 9],MATCH(tblVerifyRouting[[#This Row],[Part]],tblVerifyDemand[Part],0))*tblVerifyRouting[[#This Row],[Minutes per unit]]/60/tblVerifyRouting[[#This Row],[Yield]]))</f>
        <v>0</v>
      </c>
      <c r="O48" s="35">
        <f>IF(tblVerifyRouting[[#This Row],[Part]]="","",IF(OR(tblVerifyRouting[[#This Row],[Yield]]="",COUNTIF(tblVerifyDemand[Part],tblVerifyRouting[[#This Row],[Part]])=0),0,INDEX(tblVerifyDemand[Wk 10],MATCH(tblVerifyRouting[[#This Row],[Part]],tblVerifyDemand[Part],0))*tblVerifyRouting[[#This Row],[Minutes per unit]]/60/tblVerifyRouting[[#This Row],[Yield]]))</f>
        <v>0</v>
      </c>
      <c r="P48" s="35">
        <f>IF(tblVerifyRouting[[#This Row],[Part]]="","",IF(OR(tblVerifyRouting[[#This Row],[Yield]]="",COUNTIF(tblVerifyDemand[Part],tblVerifyRouting[[#This Row],[Part]])=0),0,INDEX(tblVerifyDemand[Wk 11],MATCH(tblVerifyRouting[[#This Row],[Part]],tblVerifyDemand[Part],0))*tblVerifyRouting[[#This Row],[Minutes per unit]]/60/tblVerifyRouting[[#This Row],[Yield]]))</f>
        <v>0</v>
      </c>
      <c r="Q48" s="35">
        <f>IF(tblVerifyRouting[[#This Row],[Part]]="","",IF(OR(tblVerifyRouting[[#This Row],[Yield]]="",COUNTIF(tblVerifyDemand[Part],tblVerifyRouting[[#This Row],[Part]])=0),0,INDEX(tblVerifyDemand[Wk 12],MATCH(tblVerifyRouting[[#This Row],[Part]],tblVerifyDemand[Part],0))*tblVerifyRouting[[#This Row],[Minutes per unit]]/60/tblVerifyRouting[[#This Row],[Yield]]))</f>
        <v>0</v>
      </c>
      <c r="R48" s="40" t="str">
        <f>IF(tblVerifyRouting[[#This Row],[Part]]="","",IF(tblVerifyRouting[[#This Row],[Minutes per unit]]="","Missing minutes per unit",IF(tblVerifyRouting[[#This Row],[Yield]]="","Work centre not on Setup",IF(COUNTIF(tblVerifyDemand[Part],tblVerifyRouting[[#This Row],[Part]])=0,"Part not on Demand Plan","OK"))))</f>
        <v>OK</v>
      </c>
      <c r="S48" s="66" t="s">
        <v>134</v>
      </c>
    </row>
    <row r="49" spans="2:19" x14ac:dyDescent="0.25">
      <c r="B49" s="66" t="s">
        <v>256</v>
      </c>
      <c r="C49" s="66" t="s">
        <v>251</v>
      </c>
      <c r="D49" s="71">
        <v>6</v>
      </c>
      <c r="E49" s="78">
        <v>1</v>
      </c>
      <c r="F49" s="35">
        <f>IF(tblVerifyRouting[[#This Row],[Part]]="","",IF(OR(tblVerifyRouting[[#This Row],[Yield]]="",COUNTIF(tblVerifyDemand[Part],tblVerifyRouting[[#This Row],[Part]])=0),0,INDEX(tblVerifyDemand[Wk 1],MATCH(tblVerifyRouting[[#This Row],[Part]],tblVerifyDemand[Part],0))*tblVerifyRouting[[#This Row],[Minutes per unit]]/60/tblVerifyRouting[[#This Row],[Yield]]))</f>
        <v>60</v>
      </c>
      <c r="G49" s="35">
        <f>IF(tblVerifyRouting[[#This Row],[Part]]="","",IF(OR(tblVerifyRouting[[#This Row],[Yield]]="",COUNTIF(tblVerifyDemand[Part],tblVerifyRouting[[#This Row],[Part]])=0),0,INDEX(tblVerifyDemand[Wk 2],MATCH(tblVerifyRouting[[#This Row],[Part]],tblVerifyDemand[Part],0))*tblVerifyRouting[[#This Row],[Minutes per unit]]/60/tblVerifyRouting[[#This Row],[Yield]]))</f>
        <v>60</v>
      </c>
      <c r="H49" s="35">
        <f>IF(tblVerifyRouting[[#This Row],[Part]]="","",IF(OR(tblVerifyRouting[[#This Row],[Yield]]="",COUNTIF(tblVerifyDemand[Part],tblVerifyRouting[[#This Row],[Part]])=0),0,INDEX(tblVerifyDemand[Wk 3],MATCH(tblVerifyRouting[[#This Row],[Part]],tblVerifyDemand[Part],0))*tblVerifyRouting[[#This Row],[Minutes per unit]]/60/tblVerifyRouting[[#This Row],[Yield]]))</f>
        <v>40</v>
      </c>
      <c r="I49" s="35">
        <f>IF(tblVerifyRouting[[#This Row],[Part]]="","",IF(OR(tblVerifyRouting[[#This Row],[Yield]]="",COUNTIF(tblVerifyDemand[Part],tblVerifyRouting[[#This Row],[Part]])=0),0,INDEX(tblVerifyDemand[Wk 4],MATCH(tblVerifyRouting[[#This Row],[Part]],tblVerifyDemand[Part],0))*tblVerifyRouting[[#This Row],[Minutes per unit]]/60/tblVerifyRouting[[#This Row],[Yield]]))</f>
        <v>0</v>
      </c>
      <c r="J49" s="35">
        <f>IF(tblVerifyRouting[[#This Row],[Part]]="","",IF(OR(tblVerifyRouting[[#This Row],[Yield]]="",COUNTIF(tblVerifyDemand[Part],tblVerifyRouting[[#This Row],[Part]])=0),0,INDEX(tblVerifyDemand[Wk 5],MATCH(tblVerifyRouting[[#This Row],[Part]],tblVerifyDemand[Part],0))*tblVerifyRouting[[#This Row],[Minutes per unit]]/60/tblVerifyRouting[[#This Row],[Yield]]))</f>
        <v>0</v>
      </c>
      <c r="K49" s="35">
        <f>IF(tblVerifyRouting[[#This Row],[Part]]="","",IF(OR(tblVerifyRouting[[#This Row],[Yield]]="",COUNTIF(tblVerifyDemand[Part],tblVerifyRouting[[#This Row],[Part]])=0),0,INDEX(tblVerifyDemand[Wk 6],MATCH(tblVerifyRouting[[#This Row],[Part]],tblVerifyDemand[Part],0))*tblVerifyRouting[[#This Row],[Minutes per unit]]/60/tblVerifyRouting[[#This Row],[Yield]]))</f>
        <v>0</v>
      </c>
      <c r="L49" s="35">
        <f>IF(tblVerifyRouting[[#This Row],[Part]]="","",IF(OR(tblVerifyRouting[[#This Row],[Yield]]="",COUNTIF(tblVerifyDemand[Part],tblVerifyRouting[[#This Row],[Part]])=0),0,INDEX(tblVerifyDemand[Wk 7],MATCH(tblVerifyRouting[[#This Row],[Part]],tblVerifyDemand[Part],0))*tblVerifyRouting[[#This Row],[Minutes per unit]]/60/tblVerifyRouting[[#This Row],[Yield]]))</f>
        <v>0</v>
      </c>
      <c r="M49" s="35">
        <f>IF(tblVerifyRouting[[#This Row],[Part]]="","",IF(OR(tblVerifyRouting[[#This Row],[Yield]]="",COUNTIF(tblVerifyDemand[Part],tblVerifyRouting[[#This Row],[Part]])=0),0,INDEX(tblVerifyDemand[Wk 8],MATCH(tblVerifyRouting[[#This Row],[Part]],tblVerifyDemand[Part],0))*tblVerifyRouting[[#This Row],[Minutes per unit]]/60/tblVerifyRouting[[#This Row],[Yield]]))</f>
        <v>0</v>
      </c>
      <c r="N49" s="35">
        <f>IF(tblVerifyRouting[[#This Row],[Part]]="","",IF(OR(tblVerifyRouting[[#This Row],[Yield]]="",COUNTIF(tblVerifyDemand[Part],tblVerifyRouting[[#This Row],[Part]])=0),0,INDEX(tblVerifyDemand[Wk 9],MATCH(tblVerifyRouting[[#This Row],[Part]],tblVerifyDemand[Part],0))*tblVerifyRouting[[#This Row],[Minutes per unit]]/60/tblVerifyRouting[[#This Row],[Yield]]))</f>
        <v>0</v>
      </c>
      <c r="O49" s="35">
        <f>IF(tblVerifyRouting[[#This Row],[Part]]="","",IF(OR(tblVerifyRouting[[#This Row],[Yield]]="",COUNTIF(tblVerifyDemand[Part],tblVerifyRouting[[#This Row],[Part]])=0),0,INDEX(tblVerifyDemand[Wk 10],MATCH(tblVerifyRouting[[#This Row],[Part]],tblVerifyDemand[Part],0))*tblVerifyRouting[[#This Row],[Minutes per unit]]/60/tblVerifyRouting[[#This Row],[Yield]]))</f>
        <v>0</v>
      </c>
      <c r="P49" s="35">
        <f>IF(tblVerifyRouting[[#This Row],[Part]]="","",IF(OR(tblVerifyRouting[[#This Row],[Yield]]="",COUNTIF(tblVerifyDemand[Part],tblVerifyRouting[[#This Row],[Part]])=0),0,INDEX(tblVerifyDemand[Wk 11],MATCH(tblVerifyRouting[[#This Row],[Part]],tblVerifyDemand[Part],0))*tblVerifyRouting[[#This Row],[Minutes per unit]]/60/tblVerifyRouting[[#This Row],[Yield]]))</f>
        <v>0</v>
      </c>
      <c r="Q49" s="35">
        <f>IF(tblVerifyRouting[[#This Row],[Part]]="","",IF(OR(tblVerifyRouting[[#This Row],[Yield]]="",COUNTIF(tblVerifyDemand[Part],tblVerifyRouting[[#This Row],[Part]])=0),0,INDEX(tblVerifyDemand[Wk 12],MATCH(tblVerifyRouting[[#This Row],[Part]],tblVerifyDemand[Part],0))*tblVerifyRouting[[#This Row],[Minutes per unit]]/60/tblVerifyRouting[[#This Row],[Yield]]))</f>
        <v>0</v>
      </c>
      <c r="R49" s="40" t="str">
        <f>IF(tblVerifyRouting[[#This Row],[Part]]="","",IF(tblVerifyRouting[[#This Row],[Minutes per unit]]="","Missing minutes per unit",IF(tblVerifyRouting[[#This Row],[Yield]]="","Work centre not on Setup",IF(COUNTIF(tblVerifyDemand[Part],tblVerifyRouting[[#This Row],[Part]])=0,"Part not on Demand Plan","OK"))))</f>
        <v>OK</v>
      </c>
      <c r="S49" s="66" t="s">
        <v>134</v>
      </c>
    </row>
    <row r="51" spans="2:19" x14ac:dyDescent="0.25">
      <c r="B51" s="31" t="s">
        <v>258</v>
      </c>
      <c r="C51" s="31"/>
      <c r="D51" s="31"/>
      <c r="E51" s="31"/>
      <c r="F51" s="31"/>
      <c r="G51" s="31"/>
      <c r="H51" s="31"/>
      <c r="I51" s="31"/>
      <c r="J51" s="31"/>
      <c r="K51" s="31"/>
      <c r="L51" s="31"/>
    </row>
    <row r="52" spans="2:19" x14ac:dyDescent="0.25">
      <c r="B52" s="31" t="s">
        <v>160</v>
      </c>
      <c r="C52" s="31"/>
      <c r="D52" s="31"/>
      <c r="E52" s="31"/>
      <c r="F52" s="31"/>
      <c r="G52" s="31"/>
      <c r="H52" s="31"/>
      <c r="I52" s="31"/>
      <c r="J52" s="31"/>
      <c r="K52" s="31"/>
      <c r="L52" s="31"/>
      <c r="M52" s="31"/>
      <c r="N52" s="31"/>
      <c r="O52" s="31"/>
    </row>
    <row r="53" spans="2:19" x14ac:dyDescent="0.25">
      <c r="B53" s="36" t="s">
        <v>161</v>
      </c>
      <c r="C53" s="57">
        <f>INDEX($E$38:$P$38,1)</f>
        <v>46314</v>
      </c>
      <c r="D53" s="57">
        <f>INDEX($E$38:$P$38,2)</f>
        <v>46321</v>
      </c>
      <c r="E53" s="57">
        <f>INDEX($E$38:$P$38,3)</f>
        <v>46328</v>
      </c>
      <c r="F53" s="57">
        <f>INDEX($E$38:$P$38,4)</f>
        <v>46335</v>
      </c>
      <c r="G53" s="57">
        <f>INDEX($E$38:$P$38,5)</f>
        <v>46342</v>
      </c>
      <c r="H53" s="57">
        <f>INDEX($E$38:$P$38,6)</f>
        <v>46349</v>
      </c>
      <c r="I53" s="57">
        <f>INDEX($E$38:$P$38,7)</f>
        <v>46356</v>
      </c>
      <c r="J53" s="57">
        <f>INDEX($E$38:$P$38,8)</f>
        <v>46363</v>
      </c>
      <c r="K53" s="57">
        <f>INDEX($E$38:$P$38,9)</f>
        <v>46370</v>
      </c>
      <c r="L53" s="57">
        <f>INDEX($E$38:$P$38,10)</f>
        <v>46377</v>
      </c>
      <c r="M53" s="57">
        <f>INDEX($E$38:$P$38,11)</f>
        <v>46384</v>
      </c>
      <c r="N53" s="57">
        <f>INDEX($E$38:$P$38,12)</f>
        <v>46391</v>
      </c>
      <c r="O53" s="32" t="s">
        <v>106</v>
      </c>
    </row>
    <row r="54" spans="2:19" x14ac:dyDescent="0.25">
      <c r="B54" s="51" t="str">
        <f>IFERROR(INDEX(tblVerifyWorkCentres[Work centre],1)&amp;"","")</f>
        <v>Cell A</v>
      </c>
      <c r="C54" s="60">
        <f>IF($B$54="","",SUMIFS(tblVerifyRouting[Wk 1 (h)],tblVerifyRouting[Work centre],$B$54))</f>
        <v>66.5509259259259</v>
      </c>
      <c r="D54" s="60">
        <f>IF($B$54="","",SUMIFS(tblVerifyRouting[Wk 2 (h)],tblVerifyRouting[Work centre],$B$54))</f>
        <v>144.675925925926</v>
      </c>
      <c r="E54" s="60">
        <f>IF($B$54="","",SUMIFS(tblVerifyRouting[Wk 3 (h)],tblVerifyRouting[Work centre],$B$54))</f>
        <v>34.7222222222222</v>
      </c>
      <c r="F54" s="60">
        <f>IF($B$54="","",SUMIFS(tblVerifyRouting[Wk 4 (h)],tblVerifyRouting[Work centre],$B$54))</f>
        <v>0</v>
      </c>
      <c r="G54" s="60">
        <f>IF($B$54="","",SUMIFS(tblVerifyRouting[Wk 5 (h)],tblVerifyRouting[Work centre],$B$54))</f>
        <v>0</v>
      </c>
      <c r="H54" s="60">
        <f>IF($B$54="","",SUMIFS(tblVerifyRouting[Wk 6 (h)],tblVerifyRouting[Work centre],$B$54))</f>
        <v>0</v>
      </c>
      <c r="I54" s="60">
        <f>IF($B$54="","",SUMIFS(tblVerifyRouting[Wk 7 (h)],tblVerifyRouting[Work centre],$B$54))</f>
        <v>0</v>
      </c>
      <c r="J54" s="60">
        <f>IF($B$54="","",SUMIFS(tblVerifyRouting[Wk 8 (h)],tblVerifyRouting[Work centre],$B$54))</f>
        <v>0</v>
      </c>
      <c r="K54" s="60">
        <f>IF($B$54="","",SUMIFS(tblVerifyRouting[Wk 9 (h)],tblVerifyRouting[Work centre],$B$54))</f>
        <v>0</v>
      </c>
      <c r="L54" s="60">
        <f>IF($B$54="","",SUMIFS(tblVerifyRouting[Wk 10 (h)],tblVerifyRouting[Work centre],$B$54))</f>
        <v>0</v>
      </c>
      <c r="M54" s="60">
        <f>IF($B$54="","",SUMIFS(tblVerifyRouting[Wk 11 (h)],tblVerifyRouting[Work centre],$B$54))</f>
        <v>0</v>
      </c>
      <c r="N54" s="60">
        <f>IF($B$54="","",SUMIFS(tblVerifyRouting[Wk 12 (h)],tblVerifyRouting[Work centre],$B$54))</f>
        <v>0</v>
      </c>
      <c r="O54" s="61">
        <f>IF($B$54="","",SUM($C$54:$N$54))</f>
        <v>245.949074074074</v>
      </c>
    </row>
    <row r="55" spans="2:19" x14ac:dyDescent="0.25">
      <c r="B55" s="51" t="str">
        <f>IFERROR(INDEX(tblVerifyWorkCentres[Work centre],2)&amp;"","")</f>
        <v>Cell B</v>
      </c>
      <c r="C55" s="60">
        <f>IF($B$55="","",SUMIFS(tblVerifyRouting[Wk 1 (h)],tblVerifyRouting[Work centre],$B$55))</f>
        <v>60</v>
      </c>
      <c r="D55" s="60">
        <f>IF($B$55="","",SUMIFS(tblVerifyRouting[Wk 2 (h)],tblVerifyRouting[Work centre],$B$55))</f>
        <v>60</v>
      </c>
      <c r="E55" s="60">
        <f>IF($B$55="","",SUMIFS(tblVerifyRouting[Wk 3 (h)],tblVerifyRouting[Work centre],$B$55))</f>
        <v>40</v>
      </c>
      <c r="F55" s="60">
        <f>IF($B$55="","",SUMIFS(tblVerifyRouting[Wk 4 (h)],tblVerifyRouting[Work centre],$B$55))</f>
        <v>0</v>
      </c>
      <c r="G55" s="60">
        <f>IF($B$55="","",SUMIFS(tblVerifyRouting[Wk 5 (h)],tblVerifyRouting[Work centre],$B$55))</f>
        <v>0</v>
      </c>
      <c r="H55" s="60">
        <f>IF($B$55="","",SUMIFS(tblVerifyRouting[Wk 6 (h)],tblVerifyRouting[Work centre],$B$55))</f>
        <v>0</v>
      </c>
      <c r="I55" s="60">
        <f>IF($B$55="","",SUMIFS(tblVerifyRouting[Wk 7 (h)],tblVerifyRouting[Work centre],$B$55))</f>
        <v>0</v>
      </c>
      <c r="J55" s="60">
        <f>IF($B$55="","",SUMIFS(tblVerifyRouting[Wk 8 (h)],tblVerifyRouting[Work centre],$B$55))</f>
        <v>0</v>
      </c>
      <c r="K55" s="60">
        <f>IF($B$55="","",SUMIFS(tblVerifyRouting[Wk 9 (h)],tblVerifyRouting[Work centre],$B$55))</f>
        <v>0</v>
      </c>
      <c r="L55" s="60">
        <f>IF($B$55="","",SUMIFS(tblVerifyRouting[Wk 10 (h)],tblVerifyRouting[Work centre],$B$55))</f>
        <v>0</v>
      </c>
      <c r="M55" s="60">
        <f>IF($B$55="","",SUMIFS(tblVerifyRouting[Wk 11 (h)],tblVerifyRouting[Work centre],$B$55))</f>
        <v>0</v>
      </c>
      <c r="N55" s="60">
        <f>IF($B$55="","",SUMIFS(tblVerifyRouting[Wk 12 (h)],tblVerifyRouting[Work centre],$B$55))</f>
        <v>0</v>
      </c>
      <c r="O55" s="61">
        <f>IF($B$55="","",SUM($C$55:$N$55))</f>
        <v>160</v>
      </c>
    </row>
    <row r="56" spans="2:19" x14ac:dyDescent="0.25">
      <c r="B56" s="51">
        <f>IFERROR(INDEX(tblVerifyWorkCentres[Work centre],3)&amp;"","")</f>
        <v/>
      </c>
      <c r="C56" s="60">
        <f>IF($B$56="","",SUMIFS(tblVerifyRouting[Wk 1 (h)],tblVerifyRouting[Work centre],$B$56))</f>
        <v/>
      </c>
      <c r="D56" s="60">
        <f>IF($B$56="","",SUMIFS(tblVerifyRouting[Wk 2 (h)],tblVerifyRouting[Work centre],$B$56))</f>
        <v/>
      </c>
      <c r="E56" s="60">
        <f>IF($B$56="","",SUMIFS(tblVerifyRouting[Wk 3 (h)],tblVerifyRouting[Work centre],$B$56))</f>
        <v/>
      </c>
      <c r="F56" s="60">
        <f>IF($B$56="","",SUMIFS(tblVerifyRouting[Wk 4 (h)],tblVerifyRouting[Work centre],$B$56))</f>
        <v/>
      </c>
      <c r="G56" s="60">
        <f>IF($B$56="","",SUMIFS(tblVerifyRouting[Wk 5 (h)],tblVerifyRouting[Work centre],$B$56))</f>
        <v/>
      </c>
      <c r="H56" s="60">
        <f>IF($B$56="","",SUMIFS(tblVerifyRouting[Wk 6 (h)],tblVerifyRouting[Work centre],$B$56))</f>
        <v/>
      </c>
      <c r="I56" s="60">
        <f>IF($B$56="","",SUMIFS(tblVerifyRouting[Wk 7 (h)],tblVerifyRouting[Work centre],$B$56))</f>
        <v/>
      </c>
      <c r="J56" s="60">
        <f>IF($B$56="","",SUMIFS(tblVerifyRouting[Wk 8 (h)],tblVerifyRouting[Work centre],$B$56))</f>
        <v/>
      </c>
      <c r="K56" s="60">
        <f>IF($B$56="","",SUMIFS(tblVerifyRouting[Wk 9 (h)],tblVerifyRouting[Work centre],$B$56))</f>
        <v/>
      </c>
      <c r="L56" s="60">
        <f>IF($B$56="","",SUMIFS(tblVerifyRouting[Wk 10 (h)],tblVerifyRouting[Work centre],$B$56))</f>
        <v/>
      </c>
      <c r="M56" s="60">
        <f>IF($B$56="","",SUMIFS(tblVerifyRouting[Wk 11 (h)],tblVerifyRouting[Work centre],$B$56))</f>
        <v/>
      </c>
      <c r="N56" s="60">
        <f>IF($B$56="","",SUMIFS(tblVerifyRouting[Wk 12 (h)],tblVerifyRouting[Work centre],$B$56))</f>
        <v/>
      </c>
      <c r="O56" s="61">
        <f>IF($B$56="","",SUM($C$56:$N$56))</f>
        <v/>
      </c>
    </row>
    <row r="57" spans="2:19" x14ac:dyDescent="0.25">
      <c r="B57" s="51">
        <f>IFERROR(INDEX(tblVerifyWorkCentres[Work centre],4)&amp;"","")</f>
        <v/>
      </c>
      <c r="C57" s="60">
        <f>IF($B$57="","",SUMIFS(tblVerifyRouting[Wk 1 (h)],tblVerifyRouting[Work centre],$B$57))</f>
        <v/>
      </c>
      <c r="D57" s="60">
        <f>IF($B$57="","",SUMIFS(tblVerifyRouting[Wk 2 (h)],tblVerifyRouting[Work centre],$B$57))</f>
        <v/>
      </c>
      <c r="E57" s="60">
        <f>IF($B$57="","",SUMIFS(tblVerifyRouting[Wk 3 (h)],tblVerifyRouting[Work centre],$B$57))</f>
        <v/>
      </c>
      <c r="F57" s="60">
        <f>IF($B$57="","",SUMIFS(tblVerifyRouting[Wk 4 (h)],tblVerifyRouting[Work centre],$B$57))</f>
        <v/>
      </c>
      <c r="G57" s="60">
        <f>IF($B$57="","",SUMIFS(tblVerifyRouting[Wk 5 (h)],tblVerifyRouting[Work centre],$B$57))</f>
        <v/>
      </c>
      <c r="H57" s="60">
        <f>IF($B$57="","",SUMIFS(tblVerifyRouting[Wk 6 (h)],tblVerifyRouting[Work centre],$B$57))</f>
        <v/>
      </c>
      <c r="I57" s="60">
        <f>IF($B$57="","",SUMIFS(tblVerifyRouting[Wk 7 (h)],tblVerifyRouting[Work centre],$B$57))</f>
        <v/>
      </c>
      <c r="J57" s="60">
        <f>IF($B$57="","",SUMIFS(tblVerifyRouting[Wk 8 (h)],tblVerifyRouting[Work centre],$B$57))</f>
        <v/>
      </c>
      <c r="K57" s="60">
        <f>IF($B$57="","",SUMIFS(tblVerifyRouting[Wk 9 (h)],tblVerifyRouting[Work centre],$B$57))</f>
        <v/>
      </c>
      <c r="L57" s="60">
        <f>IF($B$57="","",SUMIFS(tblVerifyRouting[Wk 10 (h)],tblVerifyRouting[Work centre],$B$57))</f>
        <v/>
      </c>
      <c r="M57" s="60">
        <f>IF($B$57="","",SUMIFS(tblVerifyRouting[Wk 11 (h)],tblVerifyRouting[Work centre],$B$57))</f>
        <v/>
      </c>
      <c r="N57" s="60">
        <f>IF($B$57="","",SUMIFS(tblVerifyRouting[Wk 12 (h)],tblVerifyRouting[Work centre],$B$57))</f>
        <v/>
      </c>
      <c r="O57" s="61">
        <f>IF($B$57="","",SUM($C$57:$N$57))</f>
        <v/>
      </c>
    </row>
    <row r="58" spans="2:19" x14ac:dyDescent="0.25">
      <c r="B58" s="51">
        <f>IFERROR(INDEX(tblVerifyWorkCentres[Work centre],5)&amp;"","")</f>
        <v/>
      </c>
      <c r="C58" s="60">
        <f>IF($B$58="","",SUMIFS(tblVerifyRouting[Wk 1 (h)],tblVerifyRouting[Work centre],$B$58))</f>
        <v/>
      </c>
      <c r="D58" s="60">
        <f>IF($B$58="","",SUMIFS(tblVerifyRouting[Wk 2 (h)],tblVerifyRouting[Work centre],$B$58))</f>
        <v/>
      </c>
      <c r="E58" s="60">
        <f>IF($B$58="","",SUMIFS(tblVerifyRouting[Wk 3 (h)],tblVerifyRouting[Work centre],$B$58))</f>
        <v/>
      </c>
      <c r="F58" s="60">
        <f>IF($B$58="","",SUMIFS(tblVerifyRouting[Wk 4 (h)],tblVerifyRouting[Work centre],$B$58))</f>
        <v/>
      </c>
      <c r="G58" s="60">
        <f>IF($B$58="","",SUMIFS(tblVerifyRouting[Wk 5 (h)],tblVerifyRouting[Work centre],$B$58))</f>
        <v/>
      </c>
      <c r="H58" s="60">
        <f>IF($B$58="","",SUMIFS(tblVerifyRouting[Wk 6 (h)],tblVerifyRouting[Work centre],$B$58))</f>
        <v/>
      </c>
      <c r="I58" s="60">
        <f>IF($B$58="","",SUMIFS(tblVerifyRouting[Wk 7 (h)],tblVerifyRouting[Work centre],$B$58))</f>
        <v/>
      </c>
      <c r="J58" s="60">
        <f>IF($B$58="","",SUMIFS(tblVerifyRouting[Wk 8 (h)],tblVerifyRouting[Work centre],$B$58))</f>
        <v/>
      </c>
      <c r="K58" s="60">
        <f>IF($B$58="","",SUMIFS(tblVerifyRouting[Wk 9 (h)],tblVerifyRouting[Work centre],$B$58))</f>
        <v/>
      </c>
      <c r="L58" s="60">
        <f>IF($B$58="","",SUMIFS(tblVerifyRouting[Wk 10 (h)],tblVerifyRouting[Work centre],$B$58))</f>
        <v/>
      </c>
      <c r="M58" s="60">
        <f>IF($B$58="","",SUMIFS(tblVerifyRouting[Wk 11 (h)],tblVerifyRouting[Work centre],$B$58))</f>
        <v/>
      </c>
      <c r="N58" s="60">
        <f>IF($B$58="","",SUMIFS(tblVerifyRouting[Wk 12 (h)],tblVerifyRouting[Work centre],$B$58))</f>
        <v/>
      </c>
      <c r="O58" s="61">
        <f>IF($B$58="","",SUM($C$58:$N$58))</f>
        <v/>
      </c>
    </row>
    <row r="59" spans="2:19" x14ac:dyDescent="0.25">
      <c r="B59" s="51">
        <f>IFERROR(INDEX(tblVerifyWorkCentres[Work centre],6)&amp;"","")</f>
        <v/>
      </c>
      <c r="C59" s="60">
        <f>IF($B$59="","",SUMIFS(tblVerifyRouting[Wk 1 (h)],tblVerifyRouting[Work centre],$B$59))</f>
        <v/>
      </c>
      <c r="D59" s="60">
        <f>IF($B$59="","",SUMIFS(tblVerifyRouting[Wk 2 (h)],tblVerifyRouting[Work centre],$B$59))</f>
        <v/>
      </c>
      <c r="E59" s="60">
        <f>IF($B$59="","",SUMIFS(tblVerifyRouting[Wk 3 (h)],tblVerifyRouting[Work centre],$B$59))</f>
        <v/>
      </c>
      <c r="F59" s="60">
        <f>IF($B$59="","",SUMIFS(tblVerifyRouting[Wk 4 (h)],tblVerifyRouting[Work centre],$B$59))</f>
        <v/>
      </c>
      <c r="G59" s="60">
        <f>IF($B$59="","",SUMIFS(tblVerifyRouting[Wk 5 (h)],tblVerifyRouting[Work centre],$B$59))</f>
        <v/>
      </c>
      <c r="H59" s="60">
        <f>IF($B$59="","",SUMIFS(tblVerifyRouting[Wk 6 (h)],tblVerifyRouting[Work centre],$B$59))</f>
        <v/>
      </c>
      <c r="I59" s="60">
        <f>IF($B$59="","",SUMIFS(tblVerifyRouting[Wk 7 (h)],tblVerifyRouting[Work centre],$B$59))</f>
        <v/>
      </c>
      <c r="J59" s="60">
        <f>IF($B$59="","",SUMIFS(tblVerifyRouting[Wk 8 (h)],tblVerifyRouting[Work centre],$B$59))</f>
        <v/>
      </c>
      <c r="K59" s="60">
        <f>IF($B$59="","",SUMIFS(tblVerifyRouting[Wk 9 (h)],tblVerifyRouting[Work centre],$B$59))</f>
        <v/>
      </c>
      <c r="L59" s="60">
        <f>IF($B$59="","",SUMIFS(tblVerifyRouting[Wk 10 (h)],tblVerifyRouting[Work centre],$B$59))</f>
        <v/>
      </c>
      <c r="M59" s="60">
        <f>IF($B$59="","",SUMIFS(tblVerifyRouting[Wk 11 (h)],tblVerifyRouting[Work centre],$B$59))</f>
        <v/>
      </c>
      <c r="N59" s="60">
        <f>IF($B$59="","",SUMIFS(tblVerifyRouting[Wk 12 (h)],tblVerifyRouting[Work centre],$B$59))</f>
        <v/>
      </c>
      <c r="O59" s="61">
        <f>IF($B$59="","",SUM($C$59:$N$59))</f>
        <v/>
      </c>
    </row>
    <row r="61" spans="2:19" x14ac:dyDescent="0.25">
      <c r="B61" s="31" t="s">
        <v>259</v>
      </c>
      <c r="C61" s="31"/>
      <c r="D61" s="31"/>
      <c r="E61" s="31"/>
      <c r="F61" s="31"/>
      <c r="G61" s="31"/>
      <c r="H61" s="31"/>
      <c r="I61" s="31"/>
      <c r="J61" s="31"/>
      <c r="K61" s="31"/>
      <c r="L61" s="31"/>
    </row>
    <row r="62" spans="2:19" x14ac:dyDescent="0.25">
      <c r="B62" s="31" t="s">
        <v>162</v>
      </c>
      <c r="C62" s="31"/>
      <c r="D62" s="31"/>
      <c r="E62" s="31"/>
      <c r="F62" s="31"/>
      <c r="G62" s="31"/>
      <c r="H62" s="31"/>
      <c r="I62" s="31"/>
      <c r="J62" s="31"/>
      <c r="K62" s="31"/>
      <c r="L62" s="31"/>
      <c r="M62" s="31"/>
      <c r="N62" s="31"/>
      <c r="O62" s="31"/>
    </row>
    <row r="63" spans="2:19" x14ac:dyDescent="0.25">
      <c r="B63" s="36" t="s">
        <v>163</v>
      </c>
      <c r="C63" s="57">
        <f>INDEX($E$38:$P$38,1)</f>
        <v>46314</v>
      </c>
      <c r="D63" s="57">
        <f>INDEX($E$38:$P$38,2)</f>
        <v>46321</v>
      </c>
      <c r="E63" s="57">
        <f>INDEX($E$38:$P$38,3)</f>
        <v>46328</v>
      </c>
      <c r="F63" s="57">
        <f>INDEX($E$38:$P$38,4)</f>
        <v>46335</v>
      </c>
      <c r="G63" s="57">
        <f>INDEX($E$38:$P$38,5)</f>
        <v>46342</v>
      </c>
      <c r="H63" s="57">
        <f>INDEX($E$38:$P$38,6)</f>
        <v>46349</v>
      </c>
      <c r="I63" s="57">
        <f>INDEX($E$38:$P$38,7)</f>
        <v>46356</v>
      </c>
      <c r="J63" s="57">
        <f>INDEX($E$38:$P$38,8)</f>
        <v>46363</v>
      </c>
      <c r="K63" s="57">
        <f>INDEX($E$38:$P$38,9)</f>
        <v>46370</v>
      </c>
      <c r="L63" s="57">
        <f>INDEX($E$38:$P$38,10)</f>
        <v>46377</v>
      </c>
      <c r="M63" s="57">
        <f>INDEX($E$38:$P$38,11)</f>
        <v>46384</v>
      </c>
      <c r="N63" s="57">
        <f>INDEX($E$38:$P$38,12)</f>
        <v>46391</v>
      </c>
      <c r="O63" s="32" t="s">
        <v>106</v>
      </c>
    </row>
    <row r="64" spans="2:19" x14ac:dyDescent="0.25">
      <c r="B64" s="51" t="str">
        <f>IFERROR(INDEX(tblVerifyWorkCentres[Work centre],1)&amp;"","")</f>
        <v>Cell A</v>
      </c>
      <c r="C64" s="60">
        <f>IF($B$64="","",IFERROR(INDEX(tblVerifyWorkCentres[Effective h/day],MATCH($B$64,tblVerifyWorkCentres[Work centre],0)),0)*INDEX($E$39:$P$39,1))</f>
        <v>68</v>
      </c>
      <c r="D64" s="60">
        <f>IF($B$64="","",IFERROR(INDEX(tblVerifyWorkCentres[Effective h/day],MATCH($B$64,tblVerifyWorkCentres[Work centre],0)),0)*INDEX($E$39:$P$39,2))</f>
        <v>68</v>
      </c>
      <c r="E64" s="60">
        <f>IF($B$64="","",IFERROR(INDEX(tblVerifyWorkCentres[Effective h/day],MATCH($B$64,tblVerifyWorkCentres[Work centre],0)),0)*INDEX($E$39:$P$39,3))</f>
        <v>54.4</v>
      </c>
      <c r="F64" s="60">
        <f>IF($B$64="","",IFERROR(INDEX(tblVerifyWorkCentres[Effective h/day],MATCH($B$64,tblVerifyWorkCentres[Work centre],0)),0)*INDEX($E$39:$P$39,4))</f>
        <v>68</v>
      </c>
      <c r="G64" s="60">
        <f>IF($B$64="","",IFERROR(INDEX(tblVerifyWorkCentres[Effective h/day],MATCH($B$64,tblVerifyWorkCentres[Work centre],0)),0)*INDEX($E$39:$P$39,5))</f>
        <v>68</v>
      </c>
      <c r="H64" s="60">
        <f>IF($B$64="","",IFERROR(INDEX(tblVerifyWorkCentres[Effective h/day],MATCH($B$64,tblVerifyWorkCentres[Work centre],0)),0)*INDEX($E$39:$P$39,6))</f>
        <v>68</v>
      </c>
      <c r="I64" s="60">
        <f>IF($B$64="","",IFERROR(INDEX(tblVerifyWorkCentres[Effective h/day],MATCH($B$64,tblVerifyWorkCentres[Work centre],0)),0)*INDEX($E$39:$P$39,7))</f>
        <v>68</v>
      </c>
      <c r="J64" s="60">
        <f>IF($B$64="","",IFERROR(INDEX(tblVerifyWorkCentres[Effective h/day],MATCH($B$64,tblVerifyWorkCentres[Work centre],0)),0)*INDEX($E$39:$P$39,8))</f>
        <v>68</v>
      </c>
      <c r="K64" s="60">
        <f>IF($B$64="","",IFERROR(INDEX(tblVerifyWorkCentres[Effective h/day],MATCH($B$64,tblVerifyWorkCentres[Work centre],0)),0)*INDEX($E$39:$P$39,9))</f>
        <v>68</v>
      </c>
      <c r="L64" s="60">
        <f>IF($B$64="","",IFERROR(INDEX(tblVerifyWorkCentres[Effective h/day],MATCH($B$64,tblVerifyWorkCentres[Work centre],0)),0)*INDEX($E$39:$P$39,10))</f>
        <v>68</v>
      </c>
      <c r="M64" s="60">
        <f>IF($B$64="","",IFERROR(INDEX(tblVerifyWorkCentres[Effective h/day],MATCH($B$64,tblVerifyWorkCentres[Work centre],0)),0)*INDEX($E$39:$P$39,11))</f>
        <v>68</v>
      </c>
      <c r="N64" s="60">
        <f>IF($B$64="","",IFERROR(INDEX(tblVerifyWorkCentres[Effective h/day],MATCH($B$64,tblVerifyWorkCentres[Work centre],0)),0)*INDEX($E$39:$P$39,12))</f>
        <v>68</v>
      </c>
      <c r="O64" s="61">
        <f>IF($B$64="","",SUM($C$64:$N$64))</f>
        <v>802.4</v>
      </c>
    </row>
    <row r="65" spans="2:15" x14ac:dyDescent="0.25">
      <c r="B65" s="51" t="str">
        <f>IFERROR(INDEX(tblVerifyWorkCentres[Work centre],2)&amp;"","")</f>
        <v>Cell B</v>
      </c>
      <c r="C65" s="60">
        <f>IF($B$65="","",IFERROR(INDEX(tblVerifyWorkCentres[Effective h/day],MATCH($B$65,tblVerifyWorkCentres[Work centre],0)),0)*INDEX($E$39:$P$39,1))</f>
        <v>72</v>
      </c>
      <c r="D65" s="60">
        <f>IF($B$65="","",IFERROR(INDEX(tblVerifyWorkCentres[Effective h/day],MATCH($B$65,tblVerifyWorkCentres[Work centre],0)),0)*INDEX($E$39:$P$39,2))</f>
        <v>72</v>
      </c>
      <c r="E65" s="60">
        <f>IF($B$65="","",IFERROR(INDEX(tblVerifyWorkCentres[Effective h/day],MATCH($B$65,tblVerifyWorkCentres[Work centre],0)),0)*INDEX($E$39:$P$39,3))</f>
        <v>57.6</v>
      </c>
      <c r="F65" s="60">
        <f>IF($B$65="","",IFERROR(INDEX(tblVerifyWorkCentres[Effective h/day],MATCH($B$65,tblVerifyWorkCentres[Work centre],0)),0)*INDEX($E$39:$P$39,4))</f>
        <v>72</v>
      </c>
      <c r="G65" s="60">
        <f>IF($B$65="","",IFERROR(INDEX(tblVerifyWorkCentres[Effective h/day],MATCH($B$65,tblVerifyWorkCentres[Work centre],0)),0)*INDEX($E$39:$P$39,5))</f>
        <v>72</v>
      </c>
      <c r="H65" s="60">
        <f>IF($B$65="","",IFERROR(INDEX(tblVerifyWorkCentres[Effective h/day],MATCH($B$65,tblVerifyWorkCentres[Work centre],0)),0)*INDEX($E$39:$P$39,6))</f>
        <v>72</v>
      </c>
      <c r="I65" s="60">
        <f>IF($B$65="","",IFERROR(INDEX(tblVerifyWorkCentres[Effective h/day],MATCH($B$65,tblVerifyWorkCentres[Work centre],0)),0)*INDEX($E$39:$P$39,7))</f>
        <v>72</v>
      </c>
      <c r="J65" s="60">
        <f>IF($B$65="","",IFERROR(INDEX(tblVerifyWorkCentres[Effective h/day],MATCH($B$65,tblVerifyWorkCentres[Work centre],0)),0)*INDEX($E$39:$P$39,8))</f>
        <v>72</v>
      </c>
      <c r="K65" s="60">
        <f>IF($B$65="","",IFERROR(INDEX(tblVerifyWorkCentres[Effective h/day],MATCH($B$65,tblVerifyWorkCentres[Work centre],0)),0)*INDEX($E$39:$P$39,9))</f>
        <v>72</v>
      </c>
      <c r="L65" s="60">
        <f>IF($B$65="","",IFERROR(INDEX(tblVerifyWorkCentres[Effective h/day],MATCH($B$65,tblVerifyWorkCentres[Work centre],0)),0)*INDEX($E$39:$P$39,10))</f>
        <v>72</v>
      </c>
      <c r="M65" s="60">
        <f>IF($B$65="","",IFERROR(INDEX(tblVerifyWorkCentres[Effective h/day],MATCH($B$65,tblVerifyWorkCentres[Work centre],0)),0)*INDEX($E$39:$P$39,11))</f>
        <v>72</v>
      </c>
      <c r="N65" s="60">
        <f>IF($B$65="","",IFERROR(INDEX(tblVerifyWorkCentres[Effective h/day],MATCH($B$65,tblVerifyWorkCentres[Work centre],0)),0)*INDEX($E$39:$P$39,12))</f>
        <v>72</v>
      </c>
      <c r="O65" s="61">
        <f>IF($B$65="","",SUM($C$65:$N$65))</f>
        <v>849.6</v>
      </c>
    </row>
    <row r="66" spans="2:15" x14ac:dyDescent="0.25">
      <c r="B66" s="51">
        <f>IFERROR(INDEX(tblVerifyWorkCentres[Work centre],3)&amp;"","")</f>
        <v/>
      </c>
      <c r="C66" s="60">
        <f>IF($B$66="","",IFERROR(INDEX(tblVerifyWorkCentres[Effective h/day],MATCH($B$66,tblVerifyWorkCentres[Work centre],0)),0)*INDEX($E$39:$P$39,1))</f>
        <v/>
      </c>
      <c r="D66" s="60">
        <f>IF($B$66="","",IFERROR(INDEX(tblVerifyWorkCentres[Effective h/day],MATCH($B$66,tblVerifyWorkCentres[Work centre],0)),0)*INDEX($E$39:$P$39,2))</f>
        <v/>
      </c>
      <c r="E66" s="60">
        <f>IF($B$66="","",IFERROR(INDEX(tblVerifyWorkCentres[Effective h/day],MATCH($B$66,tblVerifyWorkCentres[Work centre],0)),0)*INDEX($E$39:$P$39,3))</f>
        <v/>
      </c>
      <c r="F66" s="60">
        <f>IF($B$66="","",IFERROR(INDEX(tblVerifyWorkCentres[Effective h/day],MATCH($B$66,tblVerifyWorkCentres[Work centre],0)),0)*INDEX($E$39:$P$39,4))</f>
        <v/>
      </c>
      <c r="G66" s="60">
        <f>IF($B$66="","",IFERROR(INDEX(tblVerifyWorkCentres[Effective h/day],MATCH($B$66,tblVerifyWorkCentres[Work centre],0)),0)*INDEX($E$39:$P$39,5))</f>
        <v/>
      </c>
      <c r="H66" s="60">
        <f>IF($B$66="","",IFERROR(INDEX(tblVerifyWorkCentres[Effective h/day],MATCH($B$66,tblVerifyWorkCentres[Work centre],0)),0)*INDEX($E$39:$P$39,6))</f>
        <v/>
      </c>
      <c r="I66" s="60">
        <f>IF($B$66="","",IFERROR(INDEX(tblVerifyWorkCentres[Effective h/day],MATCH($B$66,tblVerifyWorkCentres[Work centre],0)),0)*INDEX($E$39:$P$39,7))</f>
        <v/>
      </c>
      <c r="J66" s="60">
        <f>IF($B$66="","",IFERROR(INDEX(tblVerifyWorkCentres[Effective h/day],MATCH($B$66,tblVerifyWorkCentres[Work centre],0)),0)*INDEX($E$39:$P$39,8))</f>
        <v/>
      </c>
      <c r="K66" s="60">
        <f>IF($B$66="","",IFERROR(INDEX(tblVerifyWorkCentres[Effective h/day],MATCH($B$66,tblVerifyWorkCentres[Work centre],0)),0)*INDEX($E$39:$P$39,9))</f>
        <v/>
      </c>
      <c r="L66" s="60">
        <f>IF($B$66="","",IFERROR(INDEX(tblVerifyWorkCentres[Effective h/day],MATCH($B$66,tblVerifyWorkCentres[Work centre],0)),0)*INDEX($E$39:$P$39,10))</f>
        <v/>
      </c>
      <c r="M66" s="60">
        <f>IF($B$66="","",IFERROR(INDEX(tblVerifyWorkCentres[Effective h/day],MATCH($B$66,tblVerifyWorkCentres[Work centre],0)),0)*INDEX($E$39:$P$39,11))</f>
        <v/>
      </c>
      <c r="N66" s="60">
        <f>IF($B$66="","",IFERROR(INDEX(tblVerifyWorkCentres[Effective h/day],MATCH($B$66,tblVerifyWorkCentres[Work centre],0)),0)*INDEX($E$39:$P$39,12))</f>
        <v/>
      </c>
      <c r="O66" s="61">
        <f>IF($B$66="","",SUM($C$66:$N$66))</f>
        <v/>
      </c>
    </row>
    <row r="67" spans="2:15" x14ac:dyDescent="0.25">
      <c r="B67" s="51">
        <f>IFERROR(INDEX(tblVerifyWorkCentres[Work centre],4)&amp;"","")</f>
        <v/>
      </c>
      <c r="C67" s="60">
        <f>IF($B$67="","",IFERROR(INDEX(tblVerifyWorkCentres[Effective h/day],MATCH($B$67,tblVerifyWorkCentres[Work centre],0)),0)*INDEX($E$39:$P$39,1))</f>
        <v/>
      </c>
      <c r="D67" s="60">
        <f>IF($B$67="","",IFERROR(INDEX(tblVerifyWorkCentres[Effective h/day],MATCH($B$67,tblVerifyWorkCentres[Work centre],0)),0)*INDEX($E$39:$P$39,2))</f>
        <v/>
      </c>
      <c r="E67" s="60">
        <f>IF($B$67="","",IFERROR(INDEX(tblVerifyWorkCentres[Effective h/day],MATCH($B$67,tblVerifyWorkCentres[Work centre],0)),0)*INDEX($E$39:$P$39,3))</f>
        <v/>
      </c>
      <c r="F67" s="60">
        <f>IF($B$67="","",IFERROR(INDEX(tblVerifyWorkCentres[Effective h/day],MATCH($B$67,tblVerifyWorkCentres[Work centre],0)),0)*INDEX($E$39:$P$39,4))</f>
        <v/>
      </c>
      <c r="G67" s="60">
        <f>IF($B$67="","",IFERROR(INDEX(tblVerifyWorkCentres[Effective h/day],MATCH($B$67,tblVerifyWorkCentres[Work centre],0)),0)*INDEX($E$39:$P$39,5))</f>
        <v/>
      </c>
      <c r="H67" s="60">
        <f>IF($B$67="","",IFERROR(INDEX(tblVerifyWorkCentres[Effective h/day],MATCH($B$67,tblVerifyWorkCentres[Work centre],0)),0)*INDEX($E$39:$P$39,6))</f>
        <v/>
      </c>
      <c r="I67" s="60">
        <f>IF($B$67="","",IFERROR(INDEX(tblVerifyWorkCentres[Effective h/day],MATCH($B$67,tblVerifyWorkCentres[Work centre],0)),0)*INDEX($E$39:$P$39,7))</f>
        <v/>
      </c>
      <c r="J67" s="60">
        <f>IF($B$67="","",IFERROR(INDEX(tblVerifyWorkCentres[Effective h/day],MATCH($B$67,tblVerifyWorkCentres[Work centre],0)),0)*INDEX($E$39:$P$39,8))</f>
        <v/>
      </c>
      <c r="K67" s="60">
        <f>IF($B$67="","",IFERROR(INDEX(tblVerifyWorkCentres[Effective h/day],MATCH($B$67,tblVerifyWorkCentres[Work centre],0)),0)*INDEX($E$39:$P$39,9))</f>
        <v/>
      </c>
      <c r="L67" s="60">
        <f>IF($B$67="","",IFERROR(INDEX(tblVerifyWorkCentres[Effective h/day],MATCH($B$67,tblVerifyWorkCentres[Work centre],0)),0)*INDEX($E$39:$P$39,10))</f>
        <v/>
      </c>
      <c r="M67" s="60">
        <f>IF($B$67="","",IFERROR(INDEX(tblVerifyWorkCentres[Effective h/day],MATCH($B$67,tblVerifyWorkCentres[Work centre],0)),0)*INDEX($E$39:$P$39,11))</f>
        <v/>
      </c>
      <c r="N67" s="60">
        <f>IF($B$67="","",IFERROR(INDEX(tblVerifyWorkCentres[Effective h/day],MATCH($B$67,tblVerifyWorkCentres[Work centre],0)),0)*INDEX($E$39:$P$39,12))</f>
        <v/>
      </c>
      <c r="O67" s="61">
        <f>IF($B$67="","",SUM($C$67:$N$67))</f>
        <v/>
      </c>
    </row>
    <row r="68" spans="2:15" x14ac:dyDescent="0.25">
      <c r="B68" s="51">
        <f>IFERROR(INDEX(tblVerifyWorkCentres[Work centre],5)&amp;"","")</f>
        <v/>
      </c>
      <c r="C68" s="60">
        <f>IF($B$68="","",IFERROR(INDEX(tblVerifyWorkCentres[Effective h/day],MATCH($B$68,tblVerifyWorkCentres[Work centre],0)),0)*INDEX($E$39:$P$39,1))</f>
        <v/>
      </c>
      <c r="D68" s="60">
        <f>IF($B$68="","",IFERROR(INDEX(tblVerifyWorkCentres[Effective h/day],MATCH($B$68,tblVerifyWorkCentres[Work centre],0)),0)*INDEX($E$39:$P$39,2))</f>
        <v/>
      </c>
      <c r="E68" s="60">
        <f>IF($B$68="","",IFERROR(INDEX(tblVerifyWorkCentres[Effective h/day],MATCH($B$68,tblVerifyWorkCentres[Work centre],0)),0)*INDEX($E$39:$P$39,3))</f>
        <v/>
      </c>
      <c r="F68" s="60">
        <f>IF($B$68="","",IFERROR(INDEX(tblVerifyWorkCentres[Effective h/day],MATCH($B$68,tblVerifyWorkCentres[Work centre],0)),0)*INDEX($E$39:$P$39,4))</f>
        <v/>
      </c>
      <c r="G68" s="60">
        <f>IF($B$68="","",IFERROR(INDEX(tblVerifyWorkCentres[Effective h/day],MATCH($B$68,tblVerifyWorkCentres[Work centre],0)),0)*INDEX($E$39:$P$39,5))</f>
        <v/>
      </c>
      <c r="H68" s="60">
        <f>IF($B$68="","",IFERROR(INDEX(tblVerifyWorkCentres[Effective h/day],MATCH($B$68,tblVerifyWorkCentres[Work centre],0)),0)*INDEX($E$39:$P$39,6))</f>
        <v/>
      </c>
      <c r="I68" s="60">
        <f>IF($B$68="","",IFERROR(INDEX(tblVerifyWorkCentres[Effective h/day],MATCH($B$68,tblVerifyWorkCentres[Work centre],0)),0)*INDEX($E$39:$P$39,7))</f>
        <v/>
      </c>
      <c r="J68" s="60">
        <f>IF($B$68="","",IFERROR(INDEX(tblVerifyWorkCentres[Effective h/day],MATCH($B$68,tblVerifyWorkCentres[Work centre],0)),0)*INDEX($E$39:$P$39,8))</f>
        <v/>
      </c>
      <c r="K68" s="60">
        <f>IF($B$68="","",IFERROR(INDEX(tblVerifyWorkCentres[Effective h/day],MATCH($B$68,tblVerifyWorkCentres[Work centre],0)),0)*INDEX($E$39:$P$39,9))</f>
        <v/>
      </c>
      <c r="L68" s="60">
        <f>IF($B$68="","",IFERROR(INDEX(tblVerifyWorkCentres[Effective h/day],MATCH($B$68,tblVerifyWorkCentres[Work centre],0)),0)*INDEX($E$39:$P$39,10))</f>
        <v/>
      </c>
      <c r="M68" s="60">
        <f>IF($B$68="","",IFERROR(INDEX(tblVerifyWorkCentres[Effective h/day],MATCH($B$68,tblVerifyWorkCentres[Work centre],0)),0)*INDEX($E$39:$P$39,11))</f>
        <v/>
      </c>
      <c r="N68" s="60">
        <f>IF($B$68="","",IFERROR(INDEX(tblVerifyWorkCentres[Effective h/day],MATCH($B$68,tblVerifyWorkCentres[Work centre],0)),0)*INDEX($E$39:$P$39,12))</f>
        <v/>
      </c>
      <c r="O68" s="61">
        <f>IF($B$68="","",SUM($C$68:$N$68))</f>
        <v/>
      </c>
    </row>
    <row r="69" spans="2:15" x14ac:dyDescent="0.25">
      <c r="B69" s="51">
        <f>IFERROR(INDEX(tblVerifyWorkCentres[Work centre],6)&amp;"","")</f>
        <v/>
      </c>
      <c r="C69" s="60">
        <f>IF($B$69="","",IFERROR(INDEX(tblVerifyWorkCentres[Effective h/day],MATCH($B$69,tblVerifyWorkCentres[Work centre],0)),0)*INDEX($E$39:$P$39,1))</f>
        <v/>
      </c>
      <c r="D69" s="60">
        <f>IF($B$69="","",IFERROR(INDEX(tblVerifyWorkCentres[Effective h/day],MATCH($B$69,tblVerifyWorkCentres[Work centre],0)),0)*INDEX($E$39:$P$39,2))</f>
        <v/>
      </c>
      <c r="E69" s="60">
        <f>IF($B$69="","",IFERROR(INDEX(tblVerifyWorkCentres[Effective h/day],MATCH($B$69,tblVerifyWorkCentres[Work centre],0)),0)*INDEX($E$39:$P$39,3))</f>
        <v/>
      </c>
      <c r="F69" s="60">
        <f>IF($B$69="","",IFERROR(INDEX(tblVerifyWorkCentres[Effective h/day],MATCH($B$69,tblVerifyWorkCentres[Work centre],0)),0)*INDEX($E$39:$P$39,4))</f>
        <v/>
      </c>
      <c r="G69" s="60">
        <f>IF($B$69="","",IFERROR(INDEX(tblVerifyWorkCentres[Effective h/day],MATCH($B$69,tblVerifyWorkCentres[Work centre],0)),0)*INDEX($E$39:$P$39,5))</f>
        <v/>
      </c>
      <c r="H69" s="60">
        <f>IF($B$69="","",IFERROR(INDEX(tblVerifyWorkCentres[Effective h/day],MATCH($B$69,tblVerifyWorkCentres[Work centre],0)),0)*INDEX($E$39:$P$39,6))</f>
        <v/>
      </c>
      <c r="I69" s="60">
        <f>IF($B$69="","",IFERROR(INDEX(tblVerifyWorkCentres[Effective h/day],MATCH($B$69,tblVerifyWorkCentres[Work centre],0)),0)*INDEX($E$39:$P$39,7))</f>
        <v/>
      </c>
      <c r="J69" s="60">
        <f>IF($B$69="","",IFERROR(INDEX(tblVerifyWorkCentres[Effective h/day],MATCH($B$69,tblVerifyWorkCentres[Work centre],0)),0)*INDEX($E$39:$P$39,8))</f>
        <v/>
      </c>
      <c r="K69" s="60">
        <f>IF($B$69="","",IFERROR(INDEX(tblVerifyWorkCentres[Effective h/day],MATCH($B$69,tblVerifyWorkCentres[Work centre],0)),0)*INDEX($E$39:$P$39,9))</f>
        <v/>
      </c>
      <c r="L69" s="60">
        <f>IF($B$69="","",IFERROR(INDEX(tblVerifyWorkCentres[Effective h/day],MATCH($B$69,tblVerifyWorkCentres[Work centre],0)),0)*INDEX($E$39:$P$39,10))</f>
        <v/>
      </c>
      <c r="M69" s="60">
        <f>IF($B$69="","",IFERROR(INDEX(tblVerifyWorkCentres[Effective h/day],MATCH($B$69,tblVerifyWorkCentres[Work centre],0)),0)*INDEX($E$39:$P$39,11))</f>
        <v/>
      </c>
      <c r="N69" s="60">
        <f>IF($B$69="","",IFERROR(INDEX(tblVerifyWorkCentres[Effective h/day],MATCH($B$69,tblVerifyWorkCentres[Work centre],0)),0)*INDEX($E$39:$P$39,12))</f>
        <v/>
      </c>
      <c r="O69" s="61">
        <f>IF($B$69="","",SUM($C$69:$N$69))</f>
        <v/>
      </c>
    </row>
    <row r="71" spans="2:15" x14ac:dyDescent="0.25">
      <c r="B71" s="31" t="s">
        <v>260</v>
      </c>
      <c r="C71" s="31"/>
      <c r="D71" s="31"/>
      <c r="E71" s="31"/>
      <c r="F71" s="31"/>
      <c r="G71" s="31"/>
      <c r="H71" s="31"/>
      <c r="I71" s="31"/>
      <c r="J71" s="31"/>
      <c r="K71" s="31"/>
      <c r="L71" s="31"/>
    </row>
    <row r="72" spans="2:15" x14ac:dyDescent="0.25">
      <c r="B72" s="31" t="s">
        <v>153</v>
      </c>
      <c r="C72" s="31"/>
      <c r="D72" s="31"/>
      <c r="E72" s="31"/>
      <c r="F72" s="31"/>
      <c r="G72" s="31"/>
      <c r="H72" s="31"/>
      <c r="I72" s="31"/>
      <c r="J72" s="31"/>
      <c r="K72" s="31"/>
      <c r="L72" s="31"/>
      <c r="M72" s="31"/>
      <c r="N72" s="31"/>
    </row>
    <row r="73" spans="2:15" x14ac:dyDescent="0.25">
      <c r="B73" s="36" t="s">
        <v>154</v>
      </c>
      <c r="C73" s="57">
        <f>INDEX($E$38:$P$38,1)</f>
        <v>46314</v>
      </c>
      <c r="D73" s="57">
        <f>INDEX($E$38:$P$38,2)</f>
        <v>46321</v>
      </c>
      <c r="E73" s="57">
        <f>INDEX($E$38:$P$38,3)</f>
        <v>46328</v>
      </c>
      <c r="F73" s="57">
        <f>INDEX($E$38:$P$38,4)</f>
        <v>46335</v>
      </c>
      <c r="G73" s="57">
        <f>INDEX($E$38:$P$38,5)</f>
        <v>46342</v>
      </c>
      <c r="H73" s="57">
        <f>INDEX($E$38:$P$38,6)</f>
        <v>46349</v>
      </c>
      <c r="I73" s="57">
        <f>INDEX($E$38:$P$38,7)</f>
        <v>46356</v>
      </c>
      <c r="J73" s="57">
        <f>INDEX($E$38:$P$38,8)</f>
        <v>46363</v>
      </c>
      <c r="K73" s="57">
        <f>INDEX($E$38:$P$38,9)</f>
        <v>46370</v>
      </c>
      <c r="L73" s="57">
        <f>INDEX($E$38:$P$38,10)</f>
        <v>46377</v>
      </c>
      <c r="M73" s="57">
        <f>INDEX($E$38:$P$38,11)</f>
        <v>46384</v>
      </c>
      <c r="N73" s="57">
        <f>INDEX($E$38:$P$38,12)</f>
        <v>46391</v>
      </c>
    </row>
    <row r="74" spans="2:15" x14ac:dyDescent="0.25">
      <c r="B74" s="51" t="str">
        <f>IFERROR(INDEX(tblVerifyWorkCentres[Work centre],1)&amp;"","")</f>
        <v>Cell A</v>
      </c>
      <c r="C74" s="58">
        <f>IF($B$74="","",IF($C$64&gt;0,$C$54/$C$64,""))</f>
        <v>0.97869008714597</v>
      </c>
      <c r="D74" s="58">
        <f>IF($B$74="","",IF($D$64&gt;0,$D$54/$D$64,""))</f>
        <v>2.1275871459695</v>
      </c>
      <c r="E74" s="58">
        <f>IF($B$74="","",IF($E$64&gt;0,$E$54/$E$64,""))</f>
        <v>0.63827614379085</v>
      </c>
      <c r="F74" s="58">
        <f>IF($B$74="","",IF($F$64&gt;0,$F$54/$F$64,""))</f>
        <v>0</v>
      </c>
      <c r="G74" s="58">
        <f>IF($B$74="","",IF($G$64&gt;0,$G$54/$G$64,""))</f>
        <v>0</v>
      </c>
      <c r="H74" s="58">
        <f>IF($B$74="","",IF($H$64&gt;0,$H$54/$H$64,""))</f>
        <v>0</v>
      </c>
      <c r="I74" s="58">
        <f>IF($B$74="","",IF($I$64&gt;0,$I$54/$I$64,""))</f>
        <v>0</v>
      </c>
      <c r="J74" s="58">
        <f>IF($B$74="","",IF($J$64&gt;0,$J$54/$J$64,""))</f>
        <v>0</v>
      </c>
      <c r="K74" s="58">
        <f>IF($B$74="","",IF($K$64&gt;0,$K$54/$K$64,""))</f>
        <v>0</v>
      </c>
      <c r="L74" s="58">
        <f>IF($B$74="","",IF($L$64&gt;0,$L$54/$L$64,""))</f>
        <v>0</v>
      </c>
      <c r="M74" s="58">
        <f>IF($B$74="","",IF($M$64&gt;0,$M$54/$M$64,""))</f>
        <v>0</v>
      </c>
      <c r="N74" s="58">
        <f>IF($B$74="","",IF($N$64&gt;0,$N$54/$N$64,""))</f>
        <v>0</v>
      </c>
    </row>
    <row r="75" spans="2:15" x14ac:dyDescent="0.25">
      <c r="B75" s="51" t="str">
        <f>IFERROR(INDEX(tblVerifyWorkCentres[Work centre],2)&amp;"","")</f>
        <v>Cell B</v>
      </c>
      <c r="C75" s="58">
        <f>IF($B$75="","",IF($C$65&gt;0,$C$55/$C$65,""))</f>
        <v>0.833333333333333</v>
      </c>
      <c r="D75" s="58">
        <f>IF($B$75="","",IF($D$65&gt;0,$D$55/$D$65,""))</f>
        <v>0.833333333333333</v>
      </c>
      <c r="E75" s="58">
        <f>IF($B$75="","",IF($E$65&gt;0,$E$55/$E$65,""))</f>
        <v>0.694444444444444</v>
      </c>
      <c r="F75" s="58">
        <f>IF($B$75="","",IF($F$65&gt;0,$F$55/$F$65,""))</f>
        <v>0</v>
      </c>
      <c r="G75" s="58">
        <f>IF($B$75="","",IF($G$65&gt;0,$G$55/$G$65,""))</f>
        <v>0</v>
      </c>
      <c r="H75" s="58">
        <f>IF($B$75="","",IF($H$65&gt;0,$H$55/$H$65,""))</f>
        <v>0</v>
      </c>
      <c r="I75" s="58">
        <f>IF($B$75="","",IF($I$65&gt;0,$I$55/$I$65,""))</f>
        <v>0</v>
      </c>
      <c r="J75" s="58">
        <f>IF($B$75="","",IF($J$65&gt;0,$J$55/$J$65,""))</f>
        <v>0</v>
      </c>
      <c r="K75" s="58">
        <f>IF($B$75="","",IF($K$65&gt;0,$K$55/$K$65,""))</f>
        <v>0</v>
      </c>
      <c r="L75" s="58">
        <f>IF($B$75="","",IF($L$65&gt;0,$L$55/$L$65,""))</f>
        <v>0</v>
      </c>
      <c r="M75" s="58">
        <f>IF($B$75="","",IF($M$65&gt;0,$M$55/$M$65,""))</f>
        <v>0</v>
      </c>
      <c r="N75" s="58">
        <f>IF($B$75="","",IF($N$65&gt;0,$N$55/$N$65,""))</f>
        <v>0</v>
      </c>
    </row>
    <row r="76" spans="2:15" x14ac:dyDescent="0.25">
      <c r="B76" s="51">
        <f>IFERROR(INDEX(tblVerifyWorkCentres[Work centre],3)&amp;"","")</f>
        <v/>
      </c>
      <c r="C76" s="58">
        <f>IF($B$76="","",IF($C$66&gt;0,$C$56/$C$66,""))</f>
        <v/>
      </c>
      <c r="D76" s="58">
        <f>IF($B$76="","",IF($D$66&gt;0,$D$56/$D$66,""))</f>
        <v/>
      </c>
      <c r="E76" s="58">
        <f>IF($B$76="","",IF($E$66&gt;0,$E$56/$E$66,""))</f>
        <v/>
      </c>
      <c r="F76" s="58">
        <f>IF($B$76="","",IF($F$66&gt;0,$F$56/$F$66,""))</f>
        <v/>
      </c>
      <c r="G76" s="58">
        <f>IF($B$76="","",IF($G$66&gt;0,$G$56/$G$66,""))</f>
        <v/>
      </c>
      <c r="H76" s="58">
        <f>IF($B$76="","",IF($H$66&gt;0,$H$56/$H$66,""))</f>
        <v/>
      </c>
      <c r="I76" s="58">
        <f>IF($B$76="","",IF($I$66&gt;0,$I$56/$I$66,""))</f>
        <v/>
      </c>
      <c r="J76" s="58">
        <f>IF($B$76="","",IF($J$66&gt;0,$J$56/$J$66,""))</f>
        <v/>
      </c>
      <c r="K76" s="58">
        <f>IF($B$76="","",IF($K$66&gt;0,$K$56/$K$66,""))</f>
        <v/>
      </c>
      <c r="L76" s="58">
        <f>IF($B$76="","",IF($L$66&gt;0,$L$56/$L$66,""))</f>
        <v/>
      </c>
      <c r="M76" s="58">
        <f>IF($B$76="","",IF($M$66&gt;0,$M$56/$M$66,""))</f>
        <v/>
      </c>
      <c r="N76" s="58">
        <f>IF($B$76="","",IF($N$66&gt;0,$N$56/$N$66,""))</f>
        <v/>
      </c>
    </row>
    <row r="77" spans="2:15" x14ac:dyDescent="0.25">
      <c r="B77" s="51">
        <f>IFERROR(INDEX(tblVerifyWorkCentres[Work centre],4)&amp;"","")</f>
        <v/>
      </c>
      <c r="C77" s="58">
        <f>IF($B$77="","",IF($C$67&gt;0,$C$57/$C$67,""))</f>
        <v/>
      </c>
      <c r="D77" s="58">
        <f>IF($B$77="","",IF($D$67&gt;0,$D$57/$D$67,""))</f>
        <v/>
      </c>
      <c r="E77" s="58">
        <f>IF($B$77="","",IF($E$67&gt;0,$E$57/$E$67,""))</f>
        <v/>
      </c>
      <c r="F77" s="58">
        <f>IF($B$77="","",IF($F$67&gt;0,$F$57/$F$67,""))</f>
        <v/>
      </c>
      <c r="G77" s="58">
        <f>IF($B$77="","",IF($G$67&gt;0,$G$57/$G$67,""))</f>
        <v/>
      </c>
      <c r="H77" s="58">
        <f>IF($B$77="","",IF($H$67&gt;0,$H$57/$H$67,""))</f>
        <v/>
      </c>
      <c r="I77" s="58">
        <f>IF($B$77="","",IF($I$67&gt;0,$I$57/$I$67,""))</f>
        <v/>
      </c>
      <c r="J77" s="58">
        <f>IF($B$77="","",IF($J$67&gt;0,$J$57/$J$67,""))</f>
        <v/>
      </c>
      <c r="K77" s="58">
        <f>IF($B$77="","",IF($K$67&gt;0,$K$57/$K$67,""))</f>
        <v/>
      </c>
      <c r="L77" s="58">
        <f>IF($B$77="","",IF($L$67&gt;0,$L$57/$L$67,""))</f>
        <v/>
      </c>
      <c r="M77" s="58">
        <f>IF($B$77="","",IF($M$67&gt;0,$M$57/$M$67,""))</f>
        <v/>
      </c>
      <c r="N77" s="58">
        <f>IF($B$77="","",IF($N$67&gt;0,$N$57/$N$67,""))</f>
        <v/>
      </c>
    </row>
    <row r="78" spans="2:15" x14ac:dyDescent="0.25">
      <c r="B78" s="51">
        <f>IFERROR(INDEX(tblVerifyWorkCentres[Work centre],5)&amp;"","")</f>
        <v/>
      </c>
      <c r="C78" s="58">
        <f>IF($B$78="","",IF($C$68&gt;0,$C$58/$C$68,""))</f>
        <v/>
      </c>
      <c r="D78" s="58">
        <f>IF($B$78="","",IF($D$68&gt;0,$D$58/$D$68,""))</f>
        <v/>
      </c>
      <c r="E78" s="58">
        <f>IF($B$78="","",IF($E$68&gt;0,$E$58/$E$68,""))</f>
        <v/>
      </c>
      <c r="F78" s="58">
        <f>IF($B$78="","",IF($F$68&gt;0,$F$58/$F$68,""))</f>
        <v/>
      </c>
      <c r="G78" s="58">
        <f>IF($B$78="","",IF($G$68&gt;0,$G$58/$G$68,""))</f>
        <v/>
      </c>
      <c r="H78" s="58">
        <f>IF($B$78="","",IF($H$68&gt;0,$H$58/$H$68,""))</f>
        <v/>
      </c>
      <c r="I78" s="58">
        <f>IF($B$78="","",IF($I$68&gt;0,$I$58/$I$68,""))</f>
        <v/>
      </c>
      <c r="J78" s="58">
        <f>IF($B$78="","",IF($J$68&gt;0,$J$58/$J$68,""))</f>
        <v/>
      </c>
      <c r="K78" s="58">
        <f>IF($B$78="","",IF($K$68&gt;0,$K$58/$K$68,""))</f>
        <v/>
      </c>
      <c r="L78" s="58">
        <f>IF($B$78="","",IF($L$68&gt;0,$L$58/$L$68,""))</f>
        <v/>
      </c>
      <c r="M78" s="58">
        <f>IF($B$78="","",IF($M$68&gt;0,$M$58/$M$68,""))</f>
        <v/>
      </c>
      <c r="N78" s="58">
        <f>IF($B$78="","",IF($N$68&gt;0,$N$58/$N$68,""))</f>
        <v/>
      </c>
    </row>
    <row r="79" spans="2:15" x14ac:dyDescent="0.25">
      <c r="B79" s="51">
        <f>IFERROR(INDEX(tblVerifyWorkCentres[Work centre],6)&amp;"","")</f>
        <v/>
      </c>
      <c r="C79" s="58">
        <f>IF($B$79="","",IF($C$69&gt;0,$C$59/$C$69,""))</f>
        <v/>
      </c>
      <c r="D79" s="58">
        <f>IF($B$79="","",IF($D$69&gt;0,$D$59/$D$69,""))</f>
        <v/>
      </c>
      <c r="E79" s="58">
        <f>IF($B$79="","",IF($E$69&gt;0,$E$59/$E$69,""))</f>
        <v/>
      </c>
      <c r="F79" s="58">
        <f>IF($B$79="","",IF($F$69&gt;0,$F$59/$F$69,""))</f>
        <v/>
      </c>
      <c r="G79" s="58">
        <f>IF($B$79="","",IF($G$69&gt;0,$G$59/$G$69,""))</f>
        <v/>
      </c>
      <c r="H79" s="58">
        <f>IF($B$79="","",IF($H$69&gt;0,$H$59/$H$69,""))</f>
        <v/>
      </c>
      <c r="I79" s="58">
        <f>IF($B$79="","",IF($I$69&gt;0,$I$59/$I$69,""))</f>
        <v/>
      </c>
      <c r="J79" s="58">
        <f>IF($B$79="","",IF($J$69&gt;0,$J$59/$J$69,""))</f>
        <v/>
      </c>
      <c r="K79" s="58">
        <f>IF($B$79="","",IF($K$69&gt;0,$K$59/$K$69,""))</f>
        <v/>
      </c>
      <c r="L79" s="58">
        <f>IF($B$79="","",IF($L$69&gt;0,$L$59/$L$69,""))</f>
        <v/>
      </c>
      <c r="M79" s="58">
        <f>IF($B$79="","",IF($M$69&gt;0,$M$59/$M$69,""))</f>
        <v/>
      </c>
      <c r="N79" s="58">
        <f>IF($B$79="","",IF($N$69&gt;0,$N$59/$N$69,""))</f>
        <v/>
      </c>
    </row>
    <row r="81" spans="2:15" x14ac:dyDescent="0.25">
      <c r="B81" s="31" t="s">
        <v>261</v>
      </c>
      <c r="C81" s="31"/>
      <c r="D81" s="31"/>
      <c r="E81" s="31"/>
      <c r="F81" s="31"/>
      <c r="G81" s="31"/>
      <c r="H81" s="31"/>
      <c r="I81" s="31"/>
      <c r="J81" s="31"/>
      <c r="K81" s="31"/>
      <c r="L81" s="31"/>
    </row>
    <row r="82" spans="2:15" ht="32" customHeight="1" x14ac:dyDescent="0.25">
      <c r="B82" s="36" t="s">
        <v>62</v>
      </c>
      <c r="C82" s="32" t="s">
        <v>63</v>
      </c>
      <c r="D82" s="32" t="s">
        <v>143</v>
      </c>
      <c r="E82" s="32" t="s">
        <v>144</v>
      </c>
      <c r="F82" s="32" t="s">
        <v>145</v>
      </c>
      <c r="G82" s="32" t="s">
        <v>146</v>
      </c>
      <c r="H82" s="32" t="s">
        <v>147</v>
      </c>
      <c r="I82" s="32" t="s">
        <v>148</v>
      </c>
      <c r="J82" s="32" t="s">
        <v>149</v>
      </c>
      <c r="K82" s="32" t="s">
        <v>150</v>
      </c>
      <c r="L82" s="32" t="s">
        <v>151</v>
      </c>
      <c r="M82" s="32"/>
      <c r="N82" s="32" t="s">
        <v>152</v>
      </c>
      <c r="O82" s="32"/>
    </row>
    <row r="83" spans="2:15" x14ac:dyDescent="0.25">
      <c r="B83" s="51" t="str">
        <f>IFERROR(INDEX(tblVerifyWorkCentres[Work centre],1)&amp;"","")</f>
        <v>Cell A</v>
      </c>
      <c r="C83" s="39">
        <f>IF($B$83="","",INDEX(tblVerifyWorkCentres[Machines],MATCH($B$83,tblVerifyWorkCentres[Work centre],0)))</f>
        <v>1</v>
      </c>
      <c r="D83" s="39">
        <f>IF($B$83="","",SUM(INDEX($C$54:$N$59,1,0)))</f>
        <v>245.949074074074</v>
      </c>
      <c r="E83" s="39">
        <f>IF($B$83="","",SUM(INDEX($C$64:$N$69,1,0)))</f>
        <v>802.4</v>
      </c>
      <c r="F83" s="52">
        <f>IF($B$83="","",IF($E$83&gt;0,$D$83/$E$83,""))</f>
        <v>0.306516792215945</v>
      </c>
      <c r="G83" s="52">
        <f>IF($B$83="","",MAX(INDEX($C$74:$N$79,1,0)))</f>
        <v>2.1275871459695</v>
      </c>
      <c r="H83" s="53">
        <f>IF($B$83="","",INDEX($C$73:$N$73,MATCH($G$83,INDEX($C$74:$N$79,1,0),0)))</f>
        <v>46321</v>
      </c>
      <c r="I83" s="35">
        <f>IF($B$83="","",SUMPRODUCT((INDEX($C$54:$N$59,1,0)&gt;INDEX($C$64:$N$69,1,0))*(INDEX($C$54:$N$59,1,0)-INDEX($C$64:$N$69,1,0))))</f>
        <v>76.6759259259259</v>
      </c>
      <c r="J83" s="54">
        <f>IF($B$83="","",$G$83*$C$83)</f>
        <v>2.1275871459695</v>
      </c>
      <c r="K83" s="39">
        <f>IF($B$83="","",MAX(0,CEILING($J$83,1)-$C$83))</f>
        <v>2</v>
      </c>
      <c r="L83" s="55" t="str">
        <f>IF($B$83="","",IF($G$83&gt;$E$30,"Over capacity",IF($G$83&gt;=$E$29,"Near capacity","Under capacity")))</f>
        <v>Over capacity</v>
      </c>
      <c r="M83" s="55"/>
      <c r="N83" s="56" t="str">
        <f>IF($B$83="","",IF($G$83&lt;$E$29,"None needed",IF($G$83&lt;=$E$30,"Watch: little slack",IF($F$83&lt;=$E$30,"Overtime or level peak","Add shift or machines"))))</f>
        <v>Overtime or level peak</v>
      </c>
      <c r="O83" s="56"/>
    </row>
    <row r="84" spans="2:15" x14ac:dyDescent="0.25">
      <c r="B84" s="51" t="str">
        <f>IFERROR(INDEX(tblVerifyWorkCentres[Work centre],2)&amp;"","")</f>
        <v>Cell B</v>
      </c>
      <c r="C84" s="39">
        <f>IF($B$84="","",INDEX(tblVerifyWorkCentres[Machines],MATCH($B$84,tblVerifyWorkCentres[Work centre],0)))</f>
        <v>2</v>
      </c>
      <c r="D84" s="39">
        <f>IF($B$84="","",SUM(INDEX($C$54:$N$59,2,0)))</f>
        <v>160</v>
      </c>
      <c r="E84" s="39">
        <f>IF($B$84="","",SUM(INDEX($C$64:$N$69,2,0)))</f>
        <v>849.6</v>
      </c>
      <c r="F84" s="52">
        <f>IF($B$84="","",IF($E$84&gt;0,$D$84/$E$84,""))</f>
        <v>0.188323917137476</v>
      </c>
      <c r="G84" s="52">
        <f>IF($B$84="","",MAX(INDEX($C$74:$N$79,2,0)))</f>
        <v>0.833333333333333</v>
      </c>
      <c r="H84" s="53">
        <f>IF($B$84="","",INDEX($C$73:$N$73,MATCH($G$84,INDEX($C$74:$N$79,2,0),0)))</f>
        <v>46314</v>
      </c>
      <c r="I84" s="35">
        <f>IF($B$84="","",SUMPRODUCT((INDEX($C$54:$N$59,2,0)&gt;INDEX($C$64:$N$69,2,0))*(INDEX($C$54:$N$59,2,0)-INDEX($C$64:$N$69,2,0))))</f>
        <v>0</v>
      </c>
      <c r="J84" s="54">
        <f>IF($B$84="","",$G$84*$C$84)</f>
        <v>1.66666666666667</v>
      </c>
      <c r="K84" s="39">
        <f>IF($B$84="","",MAX(0,CEILING($J$84,1)-$C$84))</f>
        <v>0</v>
      </c>
      <c r="L84" s="55" t="str">
        <f>IF($B$84="","",IF($G$84&gt;$E$30,"Over capacity",IF($G$84&gt;=$E$29,"Near capacity","Under capacity")))</f>
        <v>Under capacity</v>
      </c>
      <c r="M84" s="55"/>
      <c r="N84" s="56" t="str">
        <f>IF($B$84="","",IF($G$84&lt;$E$29,"None needed",IF($G$84&lt;=$E$30,"Watch: little slack",IF($F$84&lt;=$E$30,"Overtime or level peak","Add shift or machines"))))</f>
        <v>None needed</v>
      </c>
      <c r="O84" s="56"/>
    </row>
    <row r="85" spans="2:15" x14ac:dyDescent="0.25">
      <c r="B85" s="51">
        <f>IFERROR(INDEX(tblVerifyWorkCentres[Work centre],3)&amp;"","")</f>
        <v/>
      </c>
      <c r="C85" s="39">
        <f>IF($B$85="","",INDEX(tblVerifyWorkCentres[Machines],MATCH($B$85,tblVerifyWorkCentres[Work centre],0)))</f>
        <v/>
      </c>
      <c r="D85" s="39">
        <f>IF($B$85="","",SUM(INDEX($C$54:$N$59,3,0)))</f>
        <v/>
      </c>
      <c r="E85" s="39">
        <f>IF($B$85="","",SUM(INDEX($C$64:$N$69,3,0)))</f>
        <v/>
      </c>
      <c r="F85" s="52">
        <f>IF($B$85="","",IF($E$85&gt;0,$D$85/$E$85,""))</f>
        <v/>
      </c>
      <c r="G85" s="52">
        <f>IF($B$85="","",MAX(INDEX($C$74:$N$79,3,0)))</f>
        <v/>
      </c>
      <c r="H85" s="53">
        <f>IF($B$85="","",INDEX($C$73:$N$73,MATCH($G$85,INDEX($C$74:$N$79,3,0),0)))</f>
        <v/>
      </c>
      <c r="I85" s="35">
        <f>IF($B$85="","",SUMPRODUCT((INDEX($C$54:$N$59,3,0)&gt;INDEX($C$64:$N$69,3,0))*(INDEX($C$54:$N$59,3,0)-INDEX($C$64:$N$69,3,0))))</f>
        <v/>
      </c>
      <c r="J85" s="54">
        <f>IF($B$85="","",$G$85*$C$85)</f>
        <v/>
      </c>
      <c r="K85" s="39">
        <f>IF($B$85="","",MAX(0,CEILING($J$85,1)-$C$85))</f>
        <v/>
      </c>
      <c r="L85" s="55">
        <f>IF($B$85="","",IF($G$85&gt;$E$30,"Over capacity",IF($G$85&gt;=$E$29,"Near capacity","Under capacity")))</f>
        <v/>
      </c>
      <c r="M85" s="55"/>
      <c r="N85" s="56">
        <f>IF($B$85="","",IF($G$85&lt;$E$29,"None needed",IF($G$85&lt;=$E$30,"Watch: little slack",IF($F$85&lt;=$E$30,"Overtime or level peak","Add shift or machines"))))</f>
        <v/>
      </c>
      <c r="O85" s="56"/>
    </row>
    <row r="86" spans="2:15" x14ac:dyDescent="0.25">
      <c r="B86" s="51">
        <f>IFERROR(INDEX(tblVerifyWorkCentres[Work centre],4)&amp;"","")</f>
        <v/>
      </c>
      <c r="C86" s="39">
        <f>IF($B$86="","",INDEX(tblVerifyWorkCentres[Machines],MATCH($B$86,tblVerifyWorkCentres[Work centre],0)))</f>
        <v/>
      </c>
      <c r="D86" s="39">
        <f>IF($B$86="","",SUM(INDEX($C$54:$N$59,4,0)))</f>
        <v/>
      </c>
      <c r="E86" s="39">
        <f>IF($B$86="","",SUM(INDEX($C$64:$N$69,4,0)))</f>
        <v/>
      </c>
      <c r="F86" s="52">
        <f>IF($B$86="","",IF($E$86&gt;0,$D$86/$E$86,""))</f>
        <v/>
      </c>
      <c r="G86" s="52">
        <f>IF($B$86="","",MAX(INDEX($C$74:$N$79,4,0)))</f>
        <v/>
      </c>
      <c r="H86" s="53">
        <f>IF($B$86="","",INDEX($C$73:$N$73,MATCH($G$86,INDEX($C$74:$N$79,4,0),0)))</f>
        <v/>
      </c>
      <c r="I86" s="35">
        <f>IF($B$86="","",SUMPRODUCT((INDEX($C$54:$N$59,4,0)&gt;INDEX($C$64:$N$69,4,0))*(INDEX($C$54:$N$59,4,0)-INDEX($C$64:$N$69,4,0))))</f>
        <v/>
      </c>
      <c r="J86" s="54">
        <f>IF($B$86="","",$G$86*$C$86)</f>
        <v/>
      </c>
      <c r="K86" s="39">
        <f>IF($B$86="","",MAX(0,CEILING($J$86,1)-$C$86))</f>
        <v/>
      </c>
      <c r="L86" s="55">
        <f>IF($B$86="","",IF($G$86&gt;$E$30,"Over capacity",IF($G$86&gt;=$E$29,"Near capacity","Under capacity")))</f>
        <v/>
      </c>
      <c r="M86" s="55"/>
      <c r="N86" s="56">
        <f>IF($B$86="","",IF($G$86&lt;$E$29,"None needed",IF($G$86&lt;=$E$30,"Watch: little slack",IF($F$86&lt;=$E$30,"Overtime or level peak","Add shift or machines"))))</f>
        <v/>
      </c>
      <c r="O86" s="56"/>
    </row>
    <row r="87" spans="2:15" x14ac:dyDescent="0.25">
      <c r="B87" s="51">
        <f>IFERROR(INDEX(tblVerifyWorkCentres[Work centre],5)&amp;"","")</f>
        <v/>
      </c>
      <c r="C87" s="39">
        <f>IF($B$87="","",INDEX(tblVerifyWorkCentres[Machines],MATCH($B$87,tblVerifyWorkCentres[Work centre],0)))</f>
        <v/>
      </c>
      <c r="D87" s="39">
        <f>IF($B$87="","",SUM(INDEX($C$54:$N$59,5,0)))</f>
        <v/>
      </c>
      <c r="E87" s="39">
        <f>IF($B$87="","",SUM(INDEX($C$64:$N$69,5,0)))</f>
        <v/>
      </c>
      <c r="F87" s="52">
        <f>IF($B$87="","",IF($E$87&gt;0,$D$87/$E$87,""))</f>
        <v/>
      </c>
      <c r="G87" s="52">
        <f>IF($B$87="","",MAX(INDEX($C$74:$N$79,5,0)))</f>
        <v/>
      </c>
      <c r="H87" s="53">
        <f>IF($B$87="","",INDEX($C$73:$N$73,MATCH($G$87,INDEX($C$74:$N$79,5,0),0)))</f>
        <v/>
      </c>
      <c r="I87" s="35">
        <f>IF($B$87="","",SUMPRODUCT((INDEX($C$54:$N$59,5,0)&gt;INDEX($C$64:$N$69,5,0))*(INDEX($C$54:$N$59,5,0)-INDEX($C$64:$N$69,5,0))))</f>
        <v/>
      </c>
      <c r="J87" s="54">
        <f>IF($B$87="","",$G$87*$C$87)</f>
        <v/>
      </c>
      <c r="K87" s="39">
        <f>IF($B$87="","",MAX(0,CEILING($J$87,1)-$C$87))</f>
        <v/>
      </c>
      <c r="L87" s="55">
        <f>IF($B$87="","",IF($G$87&gt;$E$30,"Over capacity",IF($G$87&gt;=$E$29,"Near capacity","Under capacity")))</f>
        <v/>
      </c>
      <c r="M87" s="55"/>
      <c r="N87" s="56">
        <f>IF($B$87="","",IF($G$87&lt;$E$29,"None needed",IF($G$87&lt;=$E$30,"Watch: little slack",IF($F$87&lt;=$E$30,"Overtime or level peak","Add shift or machines"))))</f>
        <v/>
      </c>
      <c r="O87" s="56"/>
    </row>
    <row r="88" spans="2:15" x14ac:dyDescent="0.25">
      <c r="B88" s="51">
        <f>IFERROR(INDEX(tblVerifyWorkCentres[Work centre],6)&amp;"","")</f>
        <v/>
      </c>
      <c r="C88" s="39">
        <f>IF($B$88="","",INDEX(tblVerifyWorkCentres[Machines],MATCH($B$88,tblVerifyWorkCentres[Work centre],0)))</f>
        <v/>
      </c>
      <c r="D88" s="39">
        <f>IF($B$88="","",SUM(INDEX($C$54:$N$59,6,0)))</f>
        <v/>
      </c>
      <c r="E88" s="39">
        <f>IF($B$88="","",SUM(INDEX($C$64:$N$69,6,0)))</f>
        <v/>
      </c>
      <c r="F88" s="52">
        <f>IF($B$88="","",IF($E$88&gt;0,$D$88/$E$88,""))</f>
        <v/>
      </c>
      <c r="G88" s="52">
        <f>IF($B$88="","",MAX(INDEX($C$74:$N$79,6,0)))</f>
        <v/>
      </c>
      <c r="H88" s="53">
        <f>IF($B$88="","",INDEX($C$73:$N$73,MATCH($G$88,INDEX($C$74:$N$79,6,0),0)))</f>
        <v/>
      </c>
      <c r="I88" s="35">
        <f>IF($B$88="","",SUMPRODUCT((INDEX($C$54:$N$59,6,0)&gt;INDEX($C$64:$N$69,6,0))*(INDEX($C$54:$N$59,6,0)-INDEX($C$64:$N$69,6,0))))</f>
        <v/>
      </c>
      <c r="J88" s="54">
        <f>IF($B$88="","",$G$88*$C$88)</f>
        <v/>
      </c>
      <c r="K88" s="39">
        <f>IF($B$88="","",MAX(0,CEILING($J$88,1)-$C$88))</f>
        <v/>
      </c>
      <c r="L88" s="55">
        <f>IF($B$88="","",IF($G$88&gt;$E$30,"Over capacity",IF($G$88&gt;=$E$29,"Near capacity","Under capacity")))</f>
        <v/>
      </c>
      <c r="M88" s="55"/>
      <c r="N88" s="56">
        <f>IF($B$88="","",IF($G$88&lt;$E$29,"None needed",IF($G$88&lt;=$E$30,"Watch: little slack",IF($F$88&lt;=$E$30,"Overtime or level peak","Add shift or machines"))))</f>
        <v/>
      </c>
      <c r="O88" s="56"/>
    </row>
  </sheetData>
  <sheetProtection sheet="1" formatColumns="0" formatRows="0"/>
  <mergeCells count="53">
    <mergeCell ref="A1:S1"/>
    <mergeCell ref="B2:R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B24:L24"/>
    <mergeCell ref="B26:L26"/>
    <mergeCell ref="B27:F27"/>
    <mergeCell ref="B28:D28"/>
    <mergeCell ref="B29:D29"/>
    <mergeCell ref="B30:D30"/>
    <mergeCell ref="B32:L32"/>
    <mergeCell ref="B37:L37"/>
    <mergeCell ref="B38:D38"/>
    <mergeCell ref="B39:D39"/>
    <mergeCell ref="B41:L41"/>
    <mergeCell ref="B46:L46"/>
    <mergeCell ref="B51:L51"/>
    <mergeCell ref="B52:O52"/>
    <mergeCell ref="B61:L61"/>
    <mergeCell ref="B62:O62"/>
    <mergeCell ref="B71:L71"/>
    <mergeCell ref="B72:N72"/>
    <mergeCell ref="B81:L81"/>
    <mergeCell ref="L82:M82"/>
    <mergeCell ref="N82:O82"/>
    <mergeCell ref="L83:M83"/>
    <mergeCell ref="L84:M84"/>
    <mergeCell ref="L85:M85"/>
    <mergeCell ref="L86:M86"/>
    <mergeCell ref="L87:M87"/>
    <mergeCell ref="L88:M88"/>
    <mergeCell ref="N83:O83"/>
    <mergeCell ref="N84:O84"/>
    <mergeCell ref="N85:O85"/>
    <mergeCell ref="N86:O86"/>
    <mergeCell ref="N87:O87"/>
    <mergeCell ref="N88:O88"/>
  </mergeCells>
  <conditionalFormatting sqref="C74:N79">
    <cfRule type="expression" dxfId="2" priority="45" stopIfTrue="1">
      <formula>AND(ISNUMBER(C74),C74&gt;1.0)</formula>
    </cfRule>
    <cfRule type="expression" dxfId="1" priority="46" stopIfTrue="1">
      <formula>AND(ISNUMBER(C74),C74&gt;0.85)</formula>
    </cfRule>
    <cfRule type="expression" dxfId="0" priority="47">
      <formula>ISNUMBER(C74)</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83:F88">
    <cfRule type="dataBar" priority="48">
      <dataBar>
        <cfvo type="num" val="0"/>
        <cfvo type="max"/>
        <color rgb="FFA8BDF0"/>
      </dataBar>
      <extLst>
        <ext xmlns:x14="http://schemas.microsoft.com/office/spreadsheetml/2009/9/main" uri="{B025F937-C7B1-47D3-B67F-A62EFF666E3E}">
          <x14:id>{DA7ABA51-AAAA-BBBB-0007-000000000001}</x14:id>
        </ext>
      </extLst>
    </cfRule>
  </conditionalFormatting>
  <conditionalFormatting sqref="K11:K2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L83:L88">
    <cfRule type="cellIs" dxfId="0" priority="49" operator="equal">
      <formula>"On target"</formula>
    </cfRule>
    <cfRule type="cellIs" dxfId="0" priority="50" operator="equal">
      <formula>"PASS"</formula>
    </cfRule>
    <cfRule type="cellIs" dxfId="0" priority="51" operator="equal">
      <formula>"OK"</formula>
    </cfRule>
    <cfRule type="cellIs" dxfId="0" priority="52" operator="equal">
      <formula>"Within limits"</formula>
    </cfRule>
    <cfRule type="cellIs" dxfId="0" priority="53" operator="equal">
      <formula>"Under capacity"</formula>
    </cfRule>
    <cfRule type="cellIs" dxfId="0" priority="54" operator="equal">
      <formula>"Complete"</formula>
    </cfRule>
    <cfRule type="cellIs" dxfId="0" priority="55" operator="equal">
      <formula>"Yes"</formula>
    </cfRule>
    <cfRule type="cellIs" dxfId="1" priority="56" operator="equal">
      <formula>"Near target"</formula>
    </cfRule>
    <cfRule type="cellIs" dxfId="1" priority="57" operator="equal">
      <formula>"Check"</formula>
    </cfRule>
    <cfRule type="cellIs" dxfId="1" priority="58" operator="equal">
      <formula>"Due soon"</formula>
    </cfRule>
    <cfRule type="cellIs" dxfId="1" priority="59" operator="equal">
      <formula>"Near capacity"</formula>
    </cfRule>
    <cfRule type="cellIs" dxfId="1" priority="60" operator="equal">
      <formula>"In progress"</formula>
    </cfRule>
    <cfRule type="cellIs" dxfId="1" priority="61" operator="equal">
      <formula>"Partial"</formula>
    </cfRule>
    <cfRule type="cellIs" dxfId="2" priority="62" operator="equal">
      <formula>"Below target"</formula>
    </cfRule>
    <cfRule type="cellIs" dxfId="2" priority="63" operator="equal">
      <formula>"Above target"</formula>
    </cfRule>
    <cfRule type="cellIs" dxfId="2" priority="64" operator="equal">
      <formula>"FAIL"</formula>
    </cfRule>
    <cfRule type="cellIs" dxfId="2" priority="65" operator="equal">
      <formula>"Over capacity"</formula>
    </cfRule>
    <cfRule type="cellIs" dxfId="2" priority="66" operator="equal">
      <formula>"Overdue"</formula>
    </cfRule>
    <cfRule type="cellIs" dxfId="2" priority="67" operator="equal">
      <formula>"Out of limits"</formula>
    </cfRule>
    <cfRule type="cellIs" dxfId="2" priority="68" operator="equal">
      <formula>"No"</formula>
    </cfRule>
  </conditionalFormatting>
  <conditionalFormatting sqref="Q43:Q44">
    <cfRule type="expression" dxfId="3" priority="41">
      <formula>$Q43="OK"</formula>
    </cfRule>
    <cfRule type="expression" dxfId="1" priority="42">
      <formula>AND($Q43&lt;&gt;"",$Q43&lt;&gt;"OK")</formula>
    </cfRule>
  </conditionalFormatting>
  <conditionalFormatting sqref="R48:R49">
    <cfRule type="expression" dxfId="3" priority="43">
      <formula>$R48="OK"</formula>
    </cfRule>
    <cfRule type="expression" dxfId="1" priority="44">
      <formula>AND($R48&lt;&gt;"",$R48&lt;&gt;"OK")</formula>
    </cfRule>
  </conditionalFormatting>
  <hyperlinks>
    <hyperlink ref="S2" r:id="rId1" tooltip="Free manufacturing calculators and templates"/>
  </hyperlinks>
  <printOptions horizontalCentered="1"/>
  <pageMargins left="0.4" right="0.4" top="0.7" bottom="0.65" header="0.3" footer="0.3"/>
  <pageSetup fitToHeight="0" orientation="landscape"/>
  <headerFooter>
    <oddHeader>&amp;L&amp;8MFG Calcs - Capacity Planning&amp;R&amp;8&amp;A</oddHeader>
    <oddFooter>&amp;L&amp;8mfgcalcs.com - free manufacturing templates&amp;R&amp;8Page &amp;P of &amp;N</oddFooter>
  </headerFooter>
  <rowBreaks count="1" manualBreakCount="1">
    <brk id="45" max="16383" man="1"/>
  </rowBreaks>
  <tableParts count="3">
    <tablePart r:id="rId2"/>
    <tablePart r:id="rId3"/>
    <tablePart r:id="rId4"/>
  </tableParts>
  <extLst>
    <ext xmlns:x14="http://schemas.microsoft.com/office/spreadsheetml/2009/9/main" uri="{78C0D931-6437-407d-A8EE-F0AAD7539E65}">
      <x14:conditionalFormattings>
        <x14:conditionalFormatting xmlns:xm="http://schemas.microsoft.com/office/excel/2006/main">
          <x14:cfRule type="dataBar" id="{DA7ABA51-AAAA-BBBB-0007-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F83:F88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20</vt:i4>
      </vt:variant>
    </vt:vector>
  </HeadingPairs>
  <TitlesOfParts>
    <vt:vector size="27" baseType="lpstr">
      <vt:lpstr>Start Here</vt:lpstr>
      <vt:lpstr>Setup</vt:lpstr>
      <vt:lpstr>Demand Plan</vt:lpstr>
      <vt:lpstr>Routing</vt:lpstr>
      <vt:lpstr>Dashboard</vt:lpstr>
      <vt:lpstr>Method</vt:lpstr>
      <vt:lpstr>Verify</vt:lpstr>
      <vt:lpstr>KpiAdd</vt:lpstr>
      <vt:lpstr>KpiBottleneck</vt:lpstr>
      <vt:lpstr>KpiPeak</vt:lpstr>
      <vt:lpstr>KpiShort</vt:lpstr>
      <vt:lpstr>NearAt</vt:lpstr>
      <vt:lpstr>OverAt</vt:lpstr>
      <vt:lpstr>PlanStart</vt:lpstr>
      <vt:lpstr>PlantName</vt:lpstr>
      <vt:lpstr>Dashboard!Print_Area</vt:lpstr>
      <vt:lpstr>'Demand Plan'!Print_Area</vt:lpstr>
      <vt:lpstr>Method!Print_Area</vt:lpstr>
      <vt:lpstr>Routing!Print_Area</vt:lpstr>
      <vt:lpstr>Setup!Print_Area</vt:lpstr>
      <vt:lpstr>'Start Here'!Print_Area</vt:lpstr>
      <vt:lpstr>Verify!Print_Area</vt:lpstr>
      <vt:lpstr>'Demand Plan'!Print_Titles</vt:lpstr>
      <vt:lpstr>Method!Print_Titles</vt:lpstr>
      <vt:lpstr>Routing!Print_Titles</vt:lpstr>
      <vt:lpstr>SelfCheck</vt:lpstr>
      <vt:lpstr>SelfCheckSummary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Capacity Planning - free Excel template from MFG Calcs</dc:title>
  <dc:subject>See, week by week, whether each work centre can make the demand plan, where the bottleneck is and how many machines it would take.</dc:subject>
  <dc:creator>MFG Calcs</dc:creator>
  <cp:keywords>capacity planning, rough-cut capacity, RCCP, load vs capacity, utilisation, bottleneck, S&amp;OP, work centre</cp:keywords>
  <dc:description>https://www.mfgcalcs.com/templates/capacity-planning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capacity-planning</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planner</vt:lpwstr>
  </property>
  <property fmtid="{D5CDD505-2E9C-101B-9397-08002B2CF9AE}" pid="6" name="Template URL">
    <vt:lpwstr>https://www.mfgcalcs.com/templates/capacity-planning</vt:lpwstr>
  </property>
  <property fmtid="{D5CDD505-2E9C-101B-9397-08002B2CF9AE}" pid="7" name="Template sheet roles">
    <vt:lpwstr>Start Here=start;Setup=setup;Demand Plan=work;Routing=work;Dashboard=dashboard;Method=method;Verify=verify</vt:lpwstr>
  </property>
</Properties>
</file>