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ash Flows" sheetId="3" r:id="rId3"/>
    <sheet name="Dashboard" sheetId="4" r:id="rId4"/>
    <sheet name="Method" sheetId="5" r:id="rId5"/>
    <sheet name="Verify" sheetId="6" r:id="rId6"/>
  </sheets>
  <definedNames>
    <definedName name="Currency">Setup!$C$8</definedName>
    <definedName name="DepYears">Setup!$C$14</definedName>
    <definedName name="DiscountRate">Setup!$C$12</definedName>
    <definedName name="KpiBreakEven">Dashboard!$J$32</definedName>
    <definedName name="KpiCapex">Dashboard!$B$32</definedName>
    <definedName name="KpiDPayback">Dashboard!$J$8</definedName>
    <definedName name="KpiIRR">Dashboard!$D$8</definedName>
    <definedName name="KpiNet">Dashboard!$D$32</definedName>
    <definedName name="KpiNPV">Dashboard!$B$8</definedName>
    <definedName name="KpiPayback">Dashboard!$G$8</definedName>
    <definedName name="KpiPI">Dashboard!$G$32</definedName>
    <definedName name="MaxPayback">Setup!$C$15</definedName>
    <definedName name="PlantName">Setup!$C$6</definedName>
    <definedName name="_xlnm.Print_Area" localSheetId="2">'Cash Flows'!$A$1:$T$17</definedName>
    <definedName name="_xlnm.Print_Area" localSheetId="3">Dashboard!$A$1:$L$76</definedName>
    <definedName name="_xlnm.Print_Area" localSheetId="4">Method!$A$1:$D$62</definedName>
    <definedName name="_xlnm.Print_Area" localSheetId="1">Setup!$A$1:$E$22</definedName>
    <definedName name="_xlnm.Print_Area" localSheetId="0">'Start Here'!$A$1:$F$55</definedName>
    <definedName name="_xlnm.Print_Area" localSheetId="5">Verify!$A$1:$T$96</definedName>
    <definedName name="_xlnm.Print_Titles" localSheetId="2">'Cash Flows'!$1:$6</definedName>
    <definedName name="_xlnm.Print_Titles" localSheetId="4">Method!$1:$2</definedName>
    <definedName name="ProjectName">Setup!$C$7</definedName>
    <definedName name="RateStep">Setup!$C$22</definedName>
    <definedName name="SelfCheck">Verify!$D$4</definedName>
    <definedName name="SelfCheckSummary">Verify!$F$4</definedName>
    <definedName name="SwingPct">Setup!$C$21</definedName>
    <definedName name="TaxRate">Setup!$C$13</definedName>
  </definedNames>
  <calcPr calcId="124519" fullCalcOnLoad="1"/>
</workbook>
</file>

<file path=xl/sharedStrings.xml><?xml version="1.0" encoding="utf-8"?>
<sst xmlns="http://schemas.openxmlformats.org/spreadsheetml/2006/main" count="390" uniqueCount="224">
  <si>
    <t>Capital Project NPV, IRR and Payback</t>
  </si>
  <si>
    <t>Read this first: what the workbook does and how to use it.</t>
  </si>
  <si>
    <t>mfgcalcs.com</t>
  </si>
  <si>
    <t>Turn a capital project's year-by-year spend and savings into NPV, IRR, payback and a sensitivity view, ready for a capital request.</t>
  </si>
  <si>
    <t>For: Plant and operations managers, manufacturing and continuous-improvement engineers, and plant controllers preparing or reviewing capital requests.</t>
  </si>
  <si>
    <t>Version 1.0.0  ·  updated 15 October 2026</t>
  </si>
  <si>
    <t>Quick start</t>
  </si>
  <si>
    <t>1.</t>
  </si>
  <si>
    <t>On Setup, type the project name, your currency, the discount (hurdle) rate, tax rate, depreciation period and maximum payback your company uses.</t>
  </si>
  <si>
    <t>2.</t>
  </si>
  <si>
    <t>On Cash Flows, type one row per year from year 0: capital spend, labour, material and other savings, added operating cost, and any after-tax resale value in the last year.</t>
  </si>
  <si>
    <t>3.</t>
  </si>
  <si>
    <t>Read the Check column: anything other than OK names the problem in words (a missing year, years out of order).</t>
  </si>
  <si>
    <t>4.</t>
  </si>
  <si>
    <t>Open the Dashboard: NPV, IRR and payback against your rules, which estimate moves NPV most, and NPV at other discount rates and savings levels.</t>
  </si>
  <si>
    <t>What is in this workbook</t>
  </si>
  <si>
    <t>Start Here</t>
  </si>
  <si>
    <t>Setup</t>
  </si>
  <si>
    <t>Project name, currency, and the evaluation rules: discount rate, tax, depreciation, payback limit.</t>
  </si>
  <si>
    <t>Cash Flows</t>
  </si>
  <si>
    <t>One row per year from year 0: spend, savings and costs in; tax, net cash, present value and payback out.</t>
  </si>
  <si>
    <t>Dashboard</t>
  </si>
  <si>
    <t>NPV, IRR and payback against your rules, what moves NPV most, and NPV under other assumptions.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</si>
  <si>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</si>
  <si>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</si>
  <si>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</si>
  <si>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</si>
  <si>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</si>
  <si>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</si>
  <si>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</si>
  <si>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</si>
  <si>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</si>
  <si>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</si>
  <si>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</si>
  <si>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</si>
  <si>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</si>
  <si>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</si>
  <si>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</si>
  <si>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</si>
  <si>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</si>
  <si>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</si>
  <si>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</si>
  <si>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</si>
  <si>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Project NPV Calculator on mfgcalcs.com</t>
  </si>
  <si>
    <t>Latest version</t>
  </si>
  <si>
    <t>mfgcalcs.com/templates/capex-npv-irr</t>
  </si>
  <si>
    <t>More free templates</t>
  </si>
  <si>
    <t>mfgcalcs.com/templates</t>
  </si>
  <si>
    <t>Version</t>
  </si>
  <si>
    <t>1.0.0 (updated 15 October 2026)</t>
  </si>
  <si>
    <t>About the example data</t>
  </si>
  <si>
    <t>Every number already in this workbook is example data for Kestrel Pressings, a fictional business invented for this template, so the dashboard and charts show something meaningful on day one. It evaluates a robotic press-tending cell on Line 3 over ten years (two operator posts saved, scrap and die-damage savings, a mid-life overhaul in year 6); every amount is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</si>
  <si>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</si>
  <si>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</si>
  <si>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</si>
  <si>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</si>
  <si>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</si>
  <si>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</si>
  <si>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</si>
  <si>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</si>
  <si>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Project</t>
  </si>
  <si>
    <t>Plant or company</t>
  </si>
  <si>
    <t>Kestrel Pressings (example)</t>
  </si>
  <si>
    <t>Robotic press tending, Line 3 (example)</t>
  </si>
  <si>
    <t>Currency label</t>
  </si>
  <si>
    <t>USD</t>
  </si>
  <si>
    <t>Evaluation rules (from your finance team)</t>
  </si>
  <si>
    <t>Discount rate (hurdle rate)</t>
  </si>
  <si>
    <t>Income tax rate on savings</t>
  </si>
  <si>
    <t>Tax depreciation period</t>
  </si>
  <si>
    <t>years</t>
  </si>
  <si>
    <t>Maximum simple payback</t>
  </si>
  <si>
    <t>These are your company's rules, not industry figures: ask finance for the hurdle rate and payback limit that apply to this project. A project passes when NPV is at least zero; IRR is compared with the hurdle rate; payback is compared with the limit ('Near target' = within 5% above it).</t>
  </si>
  <si>
    <t>Sensitivity settings</t>
  </si>
  <si>
    <t>Swing for the NPV swing chart</t>
  </si>
  <si>
    <t>Sensitivity table rate step</t>
  </si>
  <si>
    <t>Year</t>
  </si>
  <si>
    <t>Capital spend</t>
  </si>
  <si>
    <t>Labour savings</t>
  </si>
  <si>
    <t>Material and scrap savings</t>
  </si>
  <si>
    <t>Other savings</t>
  </si>
  <si>
    <t>Added operating cost</t>
  </si>
  <si>
    <t>Terminal value</t>
  </si>
  <si>
    <t>Total savings</t>
  </si>
  <si>
    <t>Depreciation</t>
  </si>
  <si>
    <t>Tax effect</t>
  </si>
  <si>
    <t>Net cash flow</t>
  </si>
  <si>
    <t>Discount factor</t>
  </si>
  <si>
    <t>Present value</t>
  </si>
  <si>
    <t>Cumulative cash</t>
  </si>
  <si>
    <t>Cumulative PV</t>
  </si>
  <si>
    <t>Payback (yr)</t>
  </si>
  <si>
    <t>Discounted payback (yr)</t>
  </si>
  <si>
    <t>Check</t>
  </si>
  <si>
    <t>Notes</t>
  </si>
  <si>
    <t>Example data for Kestrel Pressings (fictional). Overwrite the yellow cells with your project's figures; keep one row per year from year 0. Shorter project: leave the later years blank or delete their rows (right-click, Delete &gt; Table Rows). Amounts are positive; blue columns calculate.</t>
  </si>
  <si>
    <t>Two robots, guarding, conveyors, integration</t>
  </si>
  <si>
    <t>Ramp-up at 70% of full savings; grippers for part family B</t>
  </si>
  <si>
    <t>Full rate: one operator post per shift (2 posts) redeployed</t>
  </si>
  <si>
    <t/>
  </si>
  <si>
    <t>Mid-life overhaul: reducers and grippers</t>
  </si>
  <si>
    <t>Resale value of the cell, after tax</t>
  </si>
  <si>
    <t>INTERNAL RATE OF RETURN</t>
  </si>
  <si>
    <t>SIMPLE PAYBACK (YEARS)</t>
  </si>
  <si>
    <t>DISCOUNTED PAYBACK (YEARS)</t>
  </si>
  <si>
    <t>Years until discounted cash turns positive</t>
  </si>
  <si>
    <t>PROFITABILITY INDEX</t>
  </si>
  <si>
    <t>BREAK-EVEN SAVINGS LEVEL</t>
  </si>
  <si>
    <t>All years, undiscounted</t>
  </si>
  <si>
    <t>Sum of net cash flows, undiscounted</t>
  </si>
  <si>
    <t>Share of planned savings at which NPV = 0</t>
  </si>
  <si>
    <t>NPV swing: each estimate worse or better by the Setup swing</t>
  </si>
  <si>
    <t>NPV at other discount rates and savings levels</t>
  </si>
  <si>
    <t>Estimate</t>
  </si>
  <si>
    <t>PV before tax</t>
  </si>
  <si>
    <t>Effect on NPV</t>
  </si>
  <si>
    <t>NPV swing</t>
  </si>
  <si>
    <t>Rank</t>
  </si>
  <si>
    <t>Discount rate</t>
  </si>
  <si>
    <t>Material and scrap</t>
  </si>
  <si>
    <t>Operating cost</t>
  </si>
  <si>
    <t>Red cells: NPV below zero, the project would not earn the discount rate. The 100% column at the Setup discount rate (middle row) is the NPV above. Swing rank 1 is the estimate to check hardest before the request goes in.</t>
  </si>
  <si>
    <t>Cash flow by year (years 0 to 15 in order; a year with no row shows zero). IRR, the sensitivity table and the swing table read this block.</t>
  </si>
  <si>
    <t>Chart data: NPV swing, largest first</t>
  </si>
  <si>
    <t>NPV change if worse</t>
  </si>
  <si>
    <t>NPV change if better</t>
  </si>
  <si>
    <t>The Dashboard reads years 0 to 15. The cash flow chart plots the rows of the Cash Flows table as built (years 0 to 10): if you add years, extend the chart's ranges (see Method).</t>
  </si>
  <si>
    <t>What this workbook calculates</t>
  </si>
  <si>
    <t>A capital project is judged on the cash it adds, year by year, valued at the rate your company could earn elsewhere. Each year's net cash flow is the savings, less the operating cost the project adds, less tax on the extra profit, less the capital spent, plus any resale value in the last year. Discounting each year's cash to the investment date and adding it up gives the net present value (NPV): positive means the project earns more than the discount rate. IRR is the rate at which NPV is zero; payback counts the years until the cash spent is recovered.</t>
  </si>
  <si>
    <t>Calculations</t>
  </si>
  <si>
    <t>Quantity</t>
  </si>
  <si>
    <t>How it is calculated</t>
  </si>
  <si>
    <t>Units</t>
  </si>
  <si>
    <t>Labour savings + material and scrap savings + other savings, per year.</t>
  </si>
  <si>
    <t>currency</t>
  </si>
  <si>
    <t>Capital spent in the previous N years / N, where N is the tax depreciation period (straight line, starting the year after each spend).</t>
  </si>
  <si>
    <t>(Total savings - added operating cost - depreciation) x tax rate. Negative = tax saved that year.</t>
  </si>
  <si>
    <t>Total savings - added operating cost - tax effect - capital spend + terminal value.</t>
  </si>
  <si>
    <t>1 / (1 + discount rate)^year: end-of-year cash, year 0 undiscounted.</t>
  </si>
  <si>
    <t>-</t>
  </si>
  <si>
    <t>Present value and NPV</t>
  </si>
  <si>
    <t>Present value = net cash flow x discount factor. NPV = the sum of all years' present values, year 0 included.</t>
  </si>
  <si>
    <t>Cumulative cash and PV</t>
  </si>
  <si>
    <t>Sum of net cash flows (or present values) up to and including the year (SUMIFS on the Year column, so row order does not matter).</t>
  </si>
  <si>
    <t>IRR</t>
  </si>
  <si>
    <t>The discount rate at which NPV = 0: Excel's IRR over the year block (years 0 to 15 in order). 'Not found' when the cash flows never change sign.</t>
  </si>
  <si>
    <t>%</t>
  </si>
  <si>
    <t>Payback</t>
  </si>
  <si>
    <t>In the year cumulative cash first turns positive: (year - 1) + the share of that year's cash needed to recover the rest, as if cash arrives evenly. Discounted payback does the same with cumulative present value.</t>
  </si>
  <si>
    <t>Profitability index</t>
  </si>
  <si>
    <t>(NPV + present value of capital spend) / present value of capital spend. At least 1 when NPV is at least 0.</t>
  </si>
  <si>
    <t>x</t>
  </si>
  <si>
    <t>Break-even savings level</t>
  </si>
  <si>
    <t>1 - NPV / (present value of total savings x (1 - tax rate)): the share of the planned savings at which NPV falls to zero.</t>
  </si>
  <si>
    <t>Each estimate's after-tax effect on NPV (its present value x (1 - tax rate) for savings and operating cost; capital spend less its depreciation tax saving; terminal value as typed) x the swing %. Ranked by size.</t>
  </si>
  <si>
    <t>Sensitivity table</t>
  </si>
  <si>
    <t>NPV recomputed at five discount rates and four savings levels: sum of (net cash flow + (level - 1) x savings x (1 - tax rate)) / (1 + rate)^year.</t>
  </si>
  <si>
    <t>Assumptions</t>
  </si>
  <si>
    <t>Cash flows fall at the end of each year; year 0 is the investment date and is not discounted.</t>
  </si>
  <si>
    <t>A year's negative tax effect is a real tax saving: the company has other taxable profit to offset.</t>
  </si>
  <si>
    <t>Tax depreciation is straight line over the Setup period from the year after each spend; the terminal value is typed after tax.</t>
  </si>
  <si>
    <t>Amounts are nominal (include wage and price increases) and the discount rate is nominal too.</t>
  </si>
  <si>
    <t>Working capital (stock, receivables) does not change; enter any change as a cost or saving in the year it happens.</t>
  </si>
  <si>
    <t>Limitations</t>
  </si>
  <si>
    <t>Years 0 to 15, one row per year; the Check column flags duplicates, gaps and years out of order.</t>
  </si>
  <si>
    <t>The cash flow chart plots the Cash Flows rows that exist when the file is built (years 0 to 10). If you add years, select the chart and extend each series range (Chart Design &gt; Select Data) after unprotecting the Dashboard.</t>
  </si>
  <si>
    <t>Tax rules differ by country (accelerated allowances, half-year conventions, credits). Set the tax rate to 0% for a pre-tax view, or overwrite the Depreciation column with your own schedule.</t>
  </si>
  <si>
    <t>Payback ignores cash after the payback year; IRR can be misleading when cash flows change sign more than once. Decide on NPV.</t>
  </si>
  <si>
    <t>The swing and sensitivity views change one thing at a time; they are not a probability analysis.</t>
  </si>
  <si>
    <t>Agreement with the live calculator</t>
  </si>
  <si>
    <t>The live Project NPV calculator discounts one constant annual net cash flow and a terminal value to the investment date: NPV = annual cash x sum of 1/(1 + rate)^year + terminal / (1 + rate)^horizon - investment. This workbook uses the same discounting, year by year. The build checks its reference implementation against the calculator's engine for the calculator's own example (350,000 invested, 95,000 a year for 7 years at 10%: NPV 112,499.79) and a case with a terminal value, and the Verify sheet runs that example through this workbook's formulas (110,000 of savings a year with 25% tax and 7-year depreciation give exactly 95,000 a year after tax). Simple payback agrees with the Project Payback calculator (investment / net annual savings) when the savings are constant. Difference: the calculators take one constant cash flow; this workbook takes each year's savings, costs, tax and depreciation, and adds IRR, discounted payback and the sensitivity views.</t>
  </si>
  <si>
    <t>Open the Project NPV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</si>
  <si>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</si>
  <si>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</si>
  <si>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Brealey, Myers and Allen, Principles of Corporate Finance (net present value, IRR, payback and the profitability index, by definition).</t>
  </si>
  <si>
    <t>Microsoft Excel and LibreOffice documentation of the IRR function (iterative solution of NPV = 0).</t>
  </si>
  <si>
    <t>MFG Calcs Project NPV calculator (project-npv) and Project Payback calculator (project-payback).</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</si>
  <si>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</si>
  <si>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</si>
  <si>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</si>
  <si>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</si>
  <si>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</si>
  <si>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</si>
  <si>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</si>
  <si>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</si>
  <si>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</si>
  <si>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</si>
  <si>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</si>
  <si>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</si>
  <si>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</si>
  <si>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</si>
  <si>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</si>
  <si>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</si>
  <si>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Year 1: depreciation (350,000 / 7)</t>
  </si>
  <si>
    <t>Year 1: tax effect</t>
  </si>
  <si>
    <t>Year 1: net cash flow = calculator's 95,000</t>
  </si>
  <si>
    <t>Year 3: present value</t>
  </si>
  <si>
    <t>Year 4: payback crossing</t>
  </si>
  <si>
    <t>Year 10 row: Check reports the gap</t>
  </si>
  <si>
    <t>Previous year missing</t>
  </si>
  <si>
    <t>exact</t>
  </si>
  <si>
    <t>NPV = calculator example 112,499.79 (Dashboard formula)</t>
  </si>
  <si>
    <t>IRR (Dashboard formula)</t>
  </si>
  <si>
    <t>Simple payback = 350,000 / 95,000 (Dashboard formula)</t>
  </si>
  <si>
    <t>Discounted payback (Dashboard formula)</t>
  </si>
  <si>
    <t>Sensitivity: middle rate, 100% savings = NPV</t>
  </si>
  <si>
    <t>Sensitivity: lowest rate, 60% savings</t>
  </si>
  <si>
    <t>Swing: capital spend net of depreciation tax saving</t>
  </si>
  <si>
    <t>Swing: labour savings</t>
  </si>
  <si>
    <t>Tornado: largest swing first</t>
  </si>
  <si>
    <t>Fixed test inputs</t>
  </si>
  <si>
    <t>White cells are fixed test inputs; blue cells are the workbook's formulas evaluated on them.</t>
  </si>
  <si>
    <t>Parameters</t>
  </si>
  <si>
    <t>Tax rate</t>
  </si>
  <si>
    <t>Depreciation period (years)</t>
  </si>
  <si>
    <t>Swing</t>
  </si>
  <si>
    <t>Discount rate step</t>
  </si>
  <si>
    <t>Test table: Flows</t>
  </si>
  <si>
    <t>Calculator example: investment</t>
  </si>
  <si>
    <t>No cash: tests the gap check</t>
  </si>
  <si>
    <t>Test year block (same formulas as the Dashboard)</t>
  </si>
  <si>
    <t>Test NPV swing</t>
  </si>
  <si>
    <t>Test sensitivity table</t>
  </si>
  <si>
    <t>Test tornado data</t>
  </si>
</sst>
</file>

<file path=xl/styles.xml><?xml version="1.0" encoding="utf-8"?>
<styleSheet xmlns="http://schemas.openxmlformats.org/spreadsheetml/2006/main">
  <numFmts count="14">
    <numFmt numFmtId="164" formatCode="0.0%"/>
    <numFmt numFmtId="165" formatCode="#,##0"/>
    <numFmt numFmtId="166" formatCode="#,##0.0"/>
    <numFmt numFmtId="167" formatCode="0.0000"/>
    <numFmt numFmtId="168" formatCode="#,##0.00"/>
    <numFmt numFmtId="169" formatCode="&quot;Accept at or above &quot;#,##0"/>
    <numFmt numFmtId="170" formatCode="&quot;Hurdle &quot;0.0%"/>
    <numFmt numFmtId="171" formatCode="&quot;Limit &quot;#,##0.0"/>
    <numFmt numFmtId="172" formatCode="0.00&quot;x&quot;"/>
    <numFmt numFmtId="173" formatCode="0%"/>
    <numFmt numFmtId="174" formatCode="&quot;Accept at or above &quot;0.00&quot;x&quot;"/>
    <numFmt numFmtId="175" formatCode="+#,##0;-#,##0;0"/>
    <numFmt numFmtId="176" formatCode="0.0E+00"/>
    <numFmt numFmtId="177"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0" fontId="8" fillId="0" borderId="0" xfId="0" applyFont="1" applyAlignment="1">
      <alignment vertical="center"/>
    </xf>
    <xf numFmtId="0" fontId="18" fillId="0" borderId="0" xfId="0" applyFont="1" applyAlignment="1">
      <alignment vertical="center"/>
    </xf>
    <xf numFmtId="0" fontId="21"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22" fillId="9" borderId="7" xfId="0" applyNumberFormat="1" applyFont="1" applyFill="1" applyBorder="1" applyAlignment="1">
      <alignment horizontal="left" vertical="center"/>
    </xf>
    <xf numFmtId="170" fontId="22" fillId="9" borderId="7" xfId="0" applyNumberFormat="1" applyFont="1" applyFill="1" applyBorder="1" applyAlignment="1">
      <alignment horizontal="left" vertical="center"/>
    </xf>
    <xf numFmtId="171" fontId="22" fillId="9" borderId="7" xfId="0" applyNumberFormat="1" applyFont="1" applyFill="1" applyBorder="1" applyAlignment="1">
      <alignment horizontal="left" vertical="center"/>
    </xf>
    <xf numFmtId="0" fontId="22" fillId="9" borderId="7" xfId="0" applyFont="1" applyFill="1" applyBorder="1" applyAlignment="1">
      <alignment vertical="center"/>
    </xf>
    <xf numFmtId="0" fontId="21" fillId="9" borderId="8" xfId="0" applyFont="1" applyFill="1" applyBorder="1" applyAlignment="1">
      <alignment vertical="center"/>
    </xf>
    <xf numFmtId="172" fontId="4" fillId="9" borderId="7" xfId="0" applyNumberFormat="1" applyFont="1" applyFill="1" applyBorder="1" applyAlignment="1">
      <alignment horizontal="left" vertical="center"/>
    </xf>
    <xf numFmtId="173" fontId="4" fillId="9" borderId="7" xfId="0" applyNumberFormat="1" applyFont="1" applyFill="1" applyBorder="1" applyAlignment="1">
      <alignment horizontal="left" vertical="center"/>
    </xf>
    <xf numFmtId="174" fontId="22" fillId="9" borderId="7" xfId="0" applyNumberFormat="1" applyFont="1" applyFill="1" applyBorder="1" applyAlignment="1">
      <alignment horizontal="left" vertical="center"/>
    </xf>
    <xf numFmtId="0" fontId="23" fillId="0" borderId="0" xfId="0" applyFont="1" applyAlignment="1">
      <alignment vertical="center"/>
    </xf>
    <xf numFmtId="0" fontId="19" fillId="2" borderId="5" xfId="0" applyFont="1" applyFill="1" applyBorder="1" applyAlignment="1">
      <alignment horizontal="left" vertical="center" wrapText="1"/>
    </xf>
    <xf numFmtId="173" fontId="19" fillId="2" borderId="5" xfId="0" applyNumberFormat="1" applyFont="1" applyFill="1" applyBorder="1" applyAlignment="1">
      <alignment horizontal="center" vertical="center" wrapText="1"/>
    </xf>
    <xf numFmtId="0" fontId="9" fillId="0" borderId="9" xfId="0" applyFont="1" applyBorder="1" applyAlignment="1">
      <alignment vertical="center"/>
    </xf>
    <xf numFmtId="164" fontId="9" fillId="0" borderId="9" xfId="0" applyNumberFormat="1" applyFont="1" applyBorder="1" applyAlignment="1">
      <alignment vertical="center"/>
    </xf>
    <xf numFmtId="165" fontId="10" fillId="4" borderId="3" xfId="0" applyNumberFormat="1" applyFont="1" applyFill="1" applyBorder="1" applyAlignment="1">
      <alignment horizontal="center" vertical="center"/>
    </xf>
    <xf numFmtId="165" fontId="9" fillId="0" borderId="9" xfId="0" applyNumberFormat="1" applyFont="1" applyBorder="1" applyAlignment="1">
      <alignment horizontal="center" vertical="center"/>
    </xf>
    <xf numFmtId="0" fontId="10" fillId="4" borderId="3" xfId="0" applyFont="1" applyFill="1" applyBorder="1" applyAlignment="1">
      <alignment vertical="center"/>
    </xf>
    <xf numFmtId="175" fontId="10" fillId="4" borderId="3" xfId="0" applyNumberFormat="1" applyFont="1" applyFill="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168" fontId="10" fillId="0" borderId="9" xfId="0" applyNumberFormat="1" applyFont="1" applyBorder="1" applyAlignment="1">
      <alignment vertical="center"/>
    </xf>
    <xf numFmtId="176" fontId="10" fillId="4" borderId="3" xfId="0" applyNumberFormat="1" applyFont="1" applyFill="1" applyBorder="1" applyAlignment="1">
      <alignment vertical="center"/>
    </xf>
    <xf numFmtId="176" fontId="10" fillId="0" borderId="9" xfId="0" applyNumberFormat="1" applyFont="1" applyBorder="1" applyAlignment="1">
      <alignment vertical="center"/>
    </xf>
    <xf numFmtId="0" fontId="10" fillId="4" borderId="3" xfId="0" applyFont="1" applyFill="1" applyBorder="1" applyAlignment="1">
      <alignment horizontal="center" vertical="center"/>
    </xf>
    <xf numFmtId="167" fontId="10" fillId="0" borderId="9" xfId="0" applyNumberFormat="1" applyFont="1" applyBorder="1" applyAlignment="1">
      <alignment vertical="center"/>
    </xf>
    <xf numFmtId="177" fontId="10" fillId="0" borderId="9" xfId="0" applyNumberFormat="1" applyFont="1" applyBorder="1" applyAlignment="1">
      <alignment vertical="center"/>
    </xf>
    <xf numFmtId="177"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Cash flow and cumulative cash by year</a:t>
            </a:r>
          </a:p>
        </c:rich>
      </c:tx>
      <c:layout/>
    </c:title>
    <c:plotArea>
      <c:layout/>
      <c:barChart>
        <c:barDir val="col"/>
        <c:grouping val="clustered"/>
        <c:ser>
          <c:idx val="0"/>
          <c:order val="0"/>
          <c:tx>
            <c:v>Net cash flow</c:v>
          </c:tx>
          <c:spPr>
            <a:solidFill>
              <a:srgbClr val="3B64D8"/>
            </a:solidFill>
            <a:ln w="9525">
              <a:solidFill>
                <a:srgbClr val="FFFFFF"/>
              </a:solidFill>
            </a:ln>
          </c:spPr>
          <c:cat>
            <c:numRef>
              <c:f>'Cash Flows'!$B$7:$B$17</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'Cash Flows'!$L$7:$L$17</c:f>
              <c:numCache>
                <c:formatCode>General</c:formatCode>
                <c:ptCount val="11"/>
                <c:pt idx="0">
                  <c:v>-360000</c:v>
                </c:pt>
                <c:pt idx="1">
                  <c:v>58082.1428571429</c:v>
                </c:pt>
                <c:pt idx="2">
                  <c:v>116314.285714286</c:v>
                </c:pt>
                <c:pt idx="3">
                  <c:v>118939.285714286</c:v>
                </c:pt>
                <c:pt idx="4">
                  <c:v>121714.285714286</c:v>
                </c:pt>
                <c:pt idx="5">
                  <c:v>124489.285714286</c:v>
                </c:pt>
                <c:pt idx="6">
                  <c:v>109414.285714286</c:v>
                </c:pt>
                <c:pt idx="7">
                  <c:v>131057.142857143</c:v>
                </c:pt>
                <c:pt idx="8">
                  <c:v>121275</c:v>
                </c:pt>
                <c:pt idx="9">
                  <c:v>123567.857142857</c:v>
                </c:pt>
                <c:pt idx="10">
                  <c:v>161867.857142857</c:v>
                </c:pt>
              </c:numCache>
            </c:numRef>
          </c:val>
        </c:ser>
        <c:gapWidth val="60"/>
        <c:overlap val="-10"/>
        <c:axId val="50010001"/>
        <c:axId val="50010002"/>
      </c:barChart>
      <c:lineChart>
        <c:grouping val="standard"/>
        <c:ser>
          <c:idx val="1"/>
          <c:order val="1"/>
          <c:tx>
            <c:v>Cumulative cash</c:v>
          </c:tx>
          <c:spPr>
            <a:ln w="28575">
              <a:solidFill>
                <a:srgbClr val="E8702A"/>
              </a:solidFill>
            </a:ln>
          </c:spPr>
          <c:marker>
            <c:symbol val="circle"/>
            <c:size val="5"/>
            <c:spPr>
              <a:solidFill>
                <a:srgbClr val="E8702A"/>
              </a:solidFill>
              <a:ln>
                <a:solidFill>
                  <a:srgbClr val="E8702A"/>
                </a:solidFill>
              </a:ln>
            </c:spPr>
          </c:marker>
          <c:cat>
            <c:numRef>
              <c:f>'Cash Flows'!$B$7:$B$17</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'Cash Flows'!$O$7:$O$17</c:f>
              <c:numCache>
                <c:formatCode>General</c:formatCode>
                <c:ptCount val="11"/>
                <c:pt idx="0">
                  <c:v>-360000</c:v>
                </c:pt>
                <c:pt idx="1">
                  <c:v>-301917.857142857</c:v>
                </c:pt>
                <c:pt idx="2">
                  <c:v>-185603.571428571</c:v>
                </c:pt>
                <c:pt idx="3">
                  <c:v>-66664.2857142857</c:v>
                </c:pt>
                <c:pt idx="4">
                  <c:v>55050</c:v>
                </c:pt>
                <c:pt idx="5">
                  <c:v>179539.285714286</c:v>
                </c:pt>
                <c:pt idx="6">
                  <c:v>288953.571428571</c:v>
                </c:pt>
                <c:pt idx="7">
                  <c:v>420010.714285714</c:v>
                </c:pt>
                <c:pt idx="8">
                  <c:v>541285.714285714</c:v>
                </c:pt>
                <c:pt idx="9">
                  <c:v>664853.571428571</c:v>
                </c:pt>
                <c:pt idx="10">
                  <c:v>826721.428571429</c:v>
                </c:pt>
              </c:numCache>
            </c:numRef>
          </c:val>
        </c:ser>
        <c:ser>
          <c:idx val="2"/>
          <c:order val="2"/>
          <c:tx>
            <c:v>Cumulative PV</c:v>
          </c:tx>
          <c:spPr>
            <a:ln w="28575">
              <a:solidFill>
                <a:srgbClr val="1BA37A"/>
              </a:solidFill>
            </a:ln>
          </c:spPr>
          <c:marker>
            <c:symbol val="circle"/>
            <c:size val="5"/>
            <c:spPr>
              <a:solidFill>
                <a:srgbClr val="1BA37A"/>
              </a:solidFill>
              <a:ln>
                <a:solidFill>
                  <a:srgbClr val="1BA37A"/>
                </a:solidFill>
              </a:ln>
            </c:spPr>
          </c:marker>
          <c:cat>
            <c:numRef>
              <c:f>'Cash Flows'!$B$7:$B$17</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'Cash Flows'!$P$7:$P$17</c:f>
              <c:numCache>
                <c:formatCode>General</c:formatCode>
                <c:ptCount val="11"/>
                <c:pt idx="0">
                  <c:v>-360000</c:v>
                </c:pt>
                <c:pt idx="1">
                  <c:v>-307198.051948052</c:v>
                </c:pt>
                <c:pt idx="2">
                  <c:v>-211070.54309327</c:v>
                </c:pt>
                <c:pt idx="3">
                  <c:v>-121709.697327466</c:v>
                </c:pt>
                <c:pt idx="4">
                  <c:v>-38577.2024744602</c:v>
                </c:pt>
                <c:pt idx="5">
                  <c:v>38720.8495179432</c:v>
                </c:pt>
                <c:pt idx="6">
                  <c:v>100482.361379113</c:v>
                </c:pt>
                <c:pt idx="7">
                  <c:v>167735.398188377</c:v>
                </c:pt>
                <c:pt idx="8">
                  <c:v>224311.080723313</c:v>
                </c:pt>
                <c:pt idx="9">
                  <c:v>276715.91464499</c:v>
                </c:pt>
                <c:pt idx="10">
                  <c:v>339122.980740756</c:v>
                </c:pt>
              </c:numCache>
            </c:numRef>
          </c:val>
        </c:ser>
        <c:marker val="1"/>
        <c:axId val="50010001"/>
        <c:axId val="50010002"/>
      </c:lineChart>
      <c:catAx>
        <c:axId val="5001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Year</a:t>
                </a:r>
              </a:p>
            </c:rich>
          </c:tx>
          <c:layout/>
        </c:title>
        <c:numFmt formatCode="General" sourceLinked="1"/>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NPV swing: each estimate worse or better</a:t>
            </a:r>
          </a:p>
        </c:rich>
      </c:tx>
      <c:layout/>
    </c:title>
    <c:plotArea>
      <c:layout/>
      <c:barChart>
        <c:barDir val="bar"/>
        <c:grouping val="clustered"/>
        <c:ser>
          <c:idx val="0"/>
          <c:order val="0"/>
          <c:tx>
            <c:v>If worse</c:v>
          </c:tx>
          <c:spPr>
            <a:solidFill>
              <a:srgbClr val="E8702A"/>
            </a:solidFill>
            <a:ln w="9525">
              <a:solidFill>
                <a:srgbClr val="FFFFFF"/>
              </a:solidFill>
            </a:ln>
          </c:spPr>
          <c:cat>
            <c:strRef>
              <c:f>Dashboard!$C$69:$C$74</c:f>
              <c:strCache>
                <c:ptCount val="6"/>
                <c:pt idx="0">
                  <c:v>Labour savings</c:v>
                </c:pt>
                <c:pt idx="1">
                  <c:v>Capital spend</c:v>
                </c:pt>
                <c:pt idx="2">
                  <c:v>Material and scrap</c:v>
                </c:pt>
                <c:pt idx="3">
                  <c:v>Operating cost</c:v>
                </c:pt>
                <c:pt idx="4">
                  <c:v>Other savings</c:v>
                </c:pt>
                <c:pt idx="5">
                  <c:v>Terminal value</c:v>
                </c:pt>
              </c:strCache>
            </c:strRef>
          </c:cat>
          <c:val>
            <c:numRef>
              <c:f>Dashboard!$E$69:$E$74</c:f>
              <c:numCache>
                <c:formatCode>General</c:formatCode>
                <c:ptCount val="6"/>
                <c:pt idx="0">
                  <c:v>-121671.972124311</c:v>
                </c:pt>
                <c:pt idx="1">
                  <c:v>-64888.1829645921</c:v>
                </c:pt>
                <c:pt idx="2">
                  <c:v>-15853.967549039</c:v>
                </c:pt>
                <c:pt idx="3">
                  <c:v>-11915.8434613467</c:v>
                </c:pt>
                <c:pt idx="4">
                  <c:v>-4403.87987473306</c:v>
                </c:pt>
                <c:pt idx="5">
                  <c:v>-2698.80302600672</c:v>
                </c:pt>
              </c:numCache>
            </c:numRef>
          </c:val>
        </c:ser>
        <c:ser>
          <c:idx val="1"/>
          <c:order val="1"/>
          <c:tx>
            <c:v>If better</c:v>
          </c:tx>
          <c:spPr>
            <a:solidFill>
              <a:srgbClr val="3B64D8"/>
            </a:solidFill>
            <a:ln w="9525">
              <a:solidFill>
                <a:srgbClr val="FFFFFF"/>
              </a:solidFill>
            </a:ln>
          </c:spPr>
          <c:cat>
            <c:strRef>
              <c:f>Dashboard!$C$69:$C$74</c:f>
              <c:strCache>
                <c:ptCount val="6"/>
                <c:pt idx="0">
                  <c:v>Labour savings</c:v>
                </c:pt>
                <c:pt idx="1">
                  <c:v>Capital spend</c:v>
                </c:pt>
                <c:pt idx="2">
                  <c:v>Material and scrap</c:v>
                </c:pt>
                <c:pt idx="3">
                  <c:v>Operating cost</c:v>
                </c:pt>
                <c:pt idx="4">
                  <c:v>Other savings</c:v>
                </c:pt>
                <c:pt idx="5">
                  <c:v>Terminal value</c:v>
                </c:pt>
              </c:strCache>
            </c:strRef>
          </c:cat>
          <c:val>
            <c:numRef>
              <c:f>Dashboard!$F$69:$F$74</c:f>
              <c:numCache>
                <c:formatCode>General</c:formatCode>
                <c:ptCount val="6"/>
                <c:pt idx="0">
                  <c:v>121671.972124311</c:v>
                </c:pt>
                <c:pt idx="1">
                  <c:v>64888.1829645921</c:v>
                </c:pt>
                <c:pt idx="2">
                  <c:v>15853.967549039</c:v>
                </c:pt>
                <c:pt idx="3">
                  <c:v>11915.8434613467</c:v>
                </c:pt>
                <c:pt idx="4">
                  <c:v>4403.87987473306</c:v>
                </c:pt>
                <c:pt idx="5">
                  <c:v>2698.80302600672</c:v>
                </c:pt>
              </c:numCache>
            </c:numRef>
          </c:val>
        </c:ser>
        <c:gapWidth val="50"/>
        <c:overlap val="100"/>
        <c:axId val="50020001"/>
        <c:axId val="50020002"/>
      </c:barChart>
      <c:catAx>
        <c:axId val="50020001"/>
        <c:scaling>
          <c:orientation val="maxMin"/>
        </c:scaling>
        <c:axPos val="l"/>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28</xdr:row>
      <xdr:rowOff>152400</xdr:rowOff>
    </xdr:to>
    <xdr:graphicFrame macro="">
      <xdr:nvGraphicFramePr>
        <xdr:cNvPr id="2" name="Chart 1" descr="Column chart of each year's net cash flow with lines for cumulative cash and cumulative present value; payback is where a line crosses zer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28</xdr:row>
      <xdr:rowOff>152400</xdr:rowOff>
    </xdr:to>
    <xdr:graphicFrame macro="">
      <xdr:nvGraphicFramePr>
        <xdr:cNvPr id="3" name="Chart 2" descr="Tornado chart: for each estimate, the change in NPV if it is worse or better by the Setup swing percentage, largest effect at the top."/>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Flows" displayName="tblFlows" ref="B6:T17" totalsRowShown="0">
  <autoFilter ref="B6:T17"/>
  <tableColumns count="19">
    <tableColumn id="1" name="Year"/>
    <tableColumn id="2" name="Capital spend"/>
    <tableColumn id="3" name="Labour savings"/>
    <tableColumn id="4" name="Material and scrap savings"/>
    <tableColumn id="5" name="Other savings"/>
    <tableColumn id="6" name="Added operating cost"/>
    <tableColumn id="7" name="Terminal value"/>
    <tableColumn id="8" name="Total savings">
      <calculatedColumnFormula>IF(tblFlows[[#This Row],[Year]]="","",tblFlows[[#This Row],[Labour savings]]+tblFlows[[#This Row],[Material and scrap savings]]+tblFlows[[#This Row],[Other savings]])</calculatedColumnFormula>
    </tableColumn>
    <tableColumn id="9" name="Depreciation">
      <calculatedColumnFormula>IF(tblFlows[[#This Row],[Year]]="","",IF(DepYears&gt;0,SUMIFS(tblFlows[Capital spend],tblFlows[Year],"&lt;"&amp;tblFlows[[#This Row],[Year]],tblFlows[Year],"&gt;="&amp;tblFlows[[#This Row],[Year]]-DepYears)/DepYears,0))</calculatedColumnFormula>
    </tableColumn>
    <tableColumn id="10" name="Tax effect">
      <calculatedColumnFormula>IF(tblFlows[[#This Row],[Year]]="","",(tblFlows[[#This Row],[Total savings]]-tblFlows[[#This Row],[Added operating cost]]-tblFlows[[#This Row],[Depreciation]])*TaxRate)</calculatedColumnFormula>
    </tableColumn>
    <tableColumn id="11" name="Net cash flow">
      <calculatedColumnFormula>IF(tblFlows[[#This Row],[Year]]="","",tblFlows[[#This Row],[Total savings]]-tblFlows[[#This Row],[Added operating cost]]-tblFlows[[#This Row],[Tax effect]]-tblFlows[[#This Row],[Capital spend]]+tblFlows[[#This Row],[Terminal value]])</calculatedColumnFormula>
    </tableColumn>
    <tableColumn id="12" name="Discount factor">
      <calculatedColumnFormula>IF(tblFlows[[#This Row],[Year]]="","",1/(1+DiscountRate)^tblFlows[[#This Row],[Year]])</calculatedColumnFormula>
    </tableColumn>
    <tableColumn id="13" name="Present value">
      <calculatedColumnFormula>IF(tblFlows[[#This Row],[Year]]="","",tblFlows[[#This Row],[Net cash flow]]*tblFlows[[#This Row],[Discount factor]])</calculatedColumnFormula>
    </tableColumn>
    <tableColumn id="14" name="Cumulative cash">
      <calculatedColumnFormula>IF(tblFlows[[#This Row],[Year]]="","",SUMIFS(tblFlows[Net cash flow],tblFlows[Year],"&lt;="&amp;tblFlows[[#This Row],[Year]]))</calculatedColumnFormula>
    </tableColumn>
    <tableColumn id="15" name="Cumulative PV">
      <calculatedColumnFormula>IF(tblFlows[[#This Row],[Year]]="","",SUMIFS(tblFlows[Present value],tblFlows[Year],"&lt;="&amp;tblFlows[[#This Row],[Year]]))</calculatedColumnFormula>
    </tableColumn>
    <tableColumn id="16" name="Payback (yr)">
      <calculatedColumnFormula>IF(tblFlows[[#This Row],[Year]]="","",IF(AND(tblFlows[[#This Row],[Cumulative cash]]&gt;=0,tblFlows[[#This Row],[Cumulative cash]]-tblFlows[[#This Row],[Net cash flow]]&lt;0),tblFlows[[#This Row],[Year]]-1+(tblFlows[[#This Row],[Net cash flow]]-tblFlows[[#This Row],[Cumulative cash]])/tblFlows[[#This Row],[Net cash flow]],""))</calculatedColumnFormula>
    </tableColumn>
    <tableColumn id="17" name="Discounted payback (yr)">
      <calculatedColumnFormula>IF(tblFlows[[#This Row],[Year]]="","",IF(AND(tblFlows[[#This Row],[Cumulative PV]]&gt;=0,tblFlows[[#This Row],[Cumulative PV]]-tblFlows[[#This Row],[Present value]]&lt;0),tblFlows[[#This Row],[Year]]-1+(tblFlows[[#This Row],[Present value]]-tblFlows[[#This Row],[Cumulative PV]])/tblFlows[[#This Row],[Present value]],""))</calculatedColumnFormula>
    </tableColumn>
    <tableColumn id="18" name="Check">
      <calculatedColumnFormula>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calculatedColumnFormula>
    </tableColumn>
    <tableColumn id="19" name="Notes"/>
  </tableColumns>
  <tableStyleInfo name="TableStyleLight1" showFirstColumn="0" showLastColumn="0" showRowStripes="0" showColumnStripes="0"/>
</table>
</file>

<file path=xl/tables/table2.xml><?xml version="1.0" encoding="utf-8"?>
<table xmlns="http://schemas.openxmlformats.org/spreadsheetml/2006/main" id="2" name="tblVerifyFlows" displayName="tblVerifyFlows" ref="B41:T50" totalsRowShown="0">
  <tableColumns count="19">
    <tableColumn id="1" name="Year"/>
    <tableColumn id="2" name="Capital spend"/>
    <tableColumn id="3" name="Labour savings"/>
    <tableColumn id="4" name="Material and scrap savings"/>
    <tableColumn id="5" name="Other savings"/>
    <tableColumn id="6" name="Added operating cost"/>
    <tableColumn id="7" name="Terminal value"/>
    <tableColumn id="8" name="Total savings">
      <calculatedColumnFormula>IF(tblVerifyFlows[[#This Row],[Year]]="","",tblVerifyFlows[[#This Row],[Labour savings]]+tblVerifyFlows[[#This Row],[Material and scrap savings]]+tblVerifyFlows[[#This Row],[Other savings]])</calculatedColumnFormula>
    </tableColumn>
    <tableColumn id="9" name="Depreciation">
      <calculatedColumnFormula>IF(tblVerifyFlows[[#This Row],[Year]]="","",IF($E$35&gt;0,SUMIFS(tblVerifyFlows[Capital spend],tblVerifyFlows[Year],"&lt;"&amp;tblVerifyFlows[[#This Row],[Year]],tblVerifyFlows[Year],"&gt;="&amp;tblVerifyFlows[[#This Row],[Year]]-$E$35)/$E$35,0))</calculatedColumnFormula>
    </tableColumn>
    <tableColumn id="10" name="Tax effect">
      <calculatedColumnFormula>IF(tblVerifyFlows[[#This Row],[Year]]="","",(tblVerifyFlows[[#This Row],[Total savings]]-tblVerifyFlows[[#This Row],[Added operating cost]]-tblVerifyFlows[[#This Row],[Depreciation]])*$E$34)</calculatedColumnFormula>
    </tableColumn>
    <tableColumn id="11" name="Net cash flow">
      <calculatedColumnFormula>IF(tblVerifyFlows[[#This Row],[Year]]="","",tblVerifyFlows[[#This Row],[Total savings]]-tblVerifyFlows[[#This Row],[Added operating cost]]-tblVerifyFlows[[#This Row],[Tax effect]]-tblVerifyFlows[[#This Row],[Capital spend]]+tblVerifyFlows[[#This Row],[Terminal value]])</calculatedColumnFormula>
    </tableColumn>
    <tableColumn id="12" name="Discount factor">
      <calculatedColumnFormula>IF(tblVerifyFlows[[#This Row],[Year]]="","",1/(1+$E$33)^tblVerifyFlows[[#This Row],[Year]])</calculatedColumnFormula>
    </tableColumn>
    <tableColumn id="13" name="Present value">
      <calculatedColumnFormula>IF(tblVerifyFlows[[#This Row],[Year]]="","",tblVerifyFlows[[#This Row],[Net cash flow]]*tblVerifyFlows[[#This Row],[Discount factor]])</calculatedColumnFormula>
    </tableColumn>
    <tableColumn id="14" name="Cumulative cash">
      <calculatedColumnFormula>IF(tblVerifyFlows[[#This Row],[Year]]="","",SUMIFS(tblVerifyFlows[Net cash flow],tblVerifyFlows[Year],"&lt;="&amp;tblVerifyFlows[[#This Row],[Year]]))</calculatedColumnFormula>
    </tableColumn>
    <tableColumn id="15" name="Cumulative PV">
      <calculatedColumnFormula>IF(tblVerifyFlows[[#This Row],[Year]]="","",SUMIFS(tblVerifyFlows[Present value],tblVerifyFlows[Year],"&lt;="&amp;tblVerifyFlows[[#This Row],[Year]]))</calculatedColumnFormula>
    </tableColumn>
    <tableColumn id="16" name="Payback (yr)">
      <calculatedColumnFormula>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calculatedColumnFormula>
    </tableColumn>
    <tableColumn id="17" name="Discounted payback (yr)">
      <calculatedColumnFormula>IF(tblVerifyFlows[[#This Row],[Year]]="","",IF(AND(tblVerifyFlows[[#This Row],[Cumulative PV]]&gt;=0,tblVerifyFlows[[#This Row],[Cumulative PV]]-tblVerifyFlows[[#This Row],[Present value]]&lt;0),tblVerifyFlows[[#This Row],[Year]]-1+(tblVerifyFlows[[#This Row],[Present value]]-tblVerifyFlows[[#This Row],[Cumulative PV]])/tblVerifyFlows[[#This Row],[Present value]],""))</calculatedColumnFormula>
    </tableColumn>
    <tableColumn id="18" name="Check">
      <calculatedColumnFormula>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calculatedColumnFormula>
    </tableColumn>
    <tableColumn id="1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ex-npv-irr" TargetMode="External"/><Relationship Id="rId2" Type="http://schemas.openxmlformats.org/officeDocument/2006/relationships/hyperlink" Target="https://www.mfgcalcs.com/calculators/manufacturing-project-portfolio-capex/project-npv?utm_source=mfgcalcs-template&amp;utm_medium=xlsx&amp;utm_campaign=capex-npv-irr" TargetMode="External"/><Relationship Id="rId3" Type="http://schemas.openxmlformats.org/officeDocument/2006/relationships/hyperlink" Target="https://www.mfgcalcs.com/templates/capex-npv-irr?utm_source=mfgcalcs-template&amp;utm_medium=xlsx&amp;utm_campaign=capex-npv-irr" TargetMode="External"/><Relationship Id="rId4" Type="http://schemas.openxmlformats.org/officeDocument/2006/relationships/hyperlink" Target="https://www.mfgcalcs.com/templates?utm_source=mfgcalcs-template&amp;utm_medium=xlsx&amp;utm_campaign=capex-npv-ir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ex-npv-ir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ex-npv-irr"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ex-npv-ir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ex-npv-irr" TargetMode="External"/><Relationship Id="rId2" Type="http://schemas.openxmlformats.org/officeDocument/2006/relationships/hyperlink" Target="https://www.mfgcalcs.com/calculators/manufacturing-project-portfolio-capex/project-npv?utm_source=mfgcalcs-template&amp;utm_medium=xlsx&amp;utm_campaign=capex-npv-ir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ex-npv-irr"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17 of 17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61.8"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Cash Flows'!A1" tooltip="Go to Cash Flows" display="Cash Flows"/>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Capital Project NPV, IRR and Payback&amp;R&amp;8&amp;A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2"/>
  <sheetViews>
    <sheetView showGridLines="0" workbookViewId="0"/>
  </sheetViews>
  <sheetFormatPr defaultRowHeight="15"/>
  <cols>
    <col min="1" max="1" width="2.7109375" customWidth="1"/>
    <col min="2" max="2" width="34.7109375" customWidth="1"/>
    <col min="3" max="3" width="14.7109375" customWidth="1"/>
    <col min="4" max="4" width="4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60</v>
      </c>
      <c r="C4" s="8"/>
      <c r="D4" s="8"/>
    </row>
    <row r="5" spans="1:5" ht="5" customHeight="1"/>
    <row r="6" spans="1:5">
      <c r="B6" s="27" t="s">
        <v>61</v>
      </c>
      <c r="C6" s="28" t="s">
        <v>62</v>
      </c>
      <c r="D6" s="28"/>
    </row>
    <row r="7" spans="1:5">
      <c r="B7" s="27" t="s">
        <v>60</v>
      </c>
      <c r="C7" s="28" t="s">
        <v>63</v>
      </c>
      <c r="D7" s="28"/>
    </row>
    <row r="8" spans="1:5">
      <c r="B8" s="27" t="s">
        <v>64</v>
      </c>
      <c r="C8" s="28" t="s">
        <v>65</v>
      </c>
      <c r="D8" s="28"/>
    </row>
    <row r="10" spans="1:5" ht="21" customHeight="1">
      <c r="B10" s="8" t="s">
        <v>66</v>
      </c>
      <c r="C10" s="8"/>
      <c r="D10" s="8"/>
    </row>
    <row r="11" spans="1:5" ht="5" customHeight="1"/>
    <row r="12" spans="1:5">
      <c r="B12" s="27" t="s">
        <v>67</v>
      </c>
      <c r="C12" s="29">
        <v>0.1</v>
      </c>
      <c r="D12" s="7"/>
    </row>
    <row r="13" spans="1:5">
      <c r="B13" s="27" t="s">
        <v>68</v>
      </c>
      <c r="C13" s="29">
        <v>0.25</v>
      </c>
      <c r="D13" s="7"/>
    </row>
    <row r="14" spans="1:5">
      <c r="B14" s="27" t="s">
        <v>69</v>
      </c>
      <c r="C14" s="30">
        <v>7</v>
      </c>
      <c r="D14" s="7" t="s">
        <v>70</v>
      </c>
    </row>
    <row r="15" spans="1:5">
      <c r="B15" s="27" t="s">
        <v>71</v>
      </c>
      <c r="C15" s="31">
        <v>3</v>
      </c>
      <c r="D15" s="7" t="s">
        <v>70</v>
      </c>
    </row>
    <row r="17" spans="2:4" ht="48.6" customHeight="1">
      <c r="B17" s="25" t="s">
        <v>72</v>
      </c>
      <c r="C17" s="25"/>
      <c r="D17" s="25"/>
    </row>
    <row r="19" spans="2:4" ht="21" customHeight="1">
      <c r="B19" s="8" t="s">
        <v>73</v>
      </c>
      <c r="C19" s="8"/>
      <c r="D19" s="8"/>
    </row>
    <row r="20" spans="2:4" ht="5" customHeight="1"/>
    <row r="21" spans="2:4">
      <c r="B21" s="27" t="s">
        <v>74</v>
      </c>
      <c r="C21" s="29">
        <v>0.2</v>
      </c>
      <c r="D21" s="7"/>
    </row>
    <row r="22" spans="2:4">
      <c r="B22" s="27" t="s">
        <v>75</v>
      </c>
      <c r="C22" s="29">
        <v>0.02</v>
      </c>
      <c r="D22" s="7"/>
    </row>
  </sheetData>
  <mergeCells count="10">
    <mergeCell ref="A1:E1"/>
    <mergeCell ref="B2:C2"/>
    <mergeCell ref="D2:E2"/>
    <mergeCell ref="B4:D4"/>
    <mergeCell ref="C6:D6"/>
    <mergeCell ref="C7:D7"/>
    <mergeCell ref="C8:D8"/>
    <mergeCell ref="B10:D10"/>
    <mergeCell ref="B17:D17"/>
    <mergeCell ref="B19:D19"/>
  </mergeCells>
  <dataValidations count="9">
    <dataValidation type="textLength" allowBlank="1" showInputMessage="1" showErrorMessage="1" errorTitle="Check this entry" error="Text up to 80 characters." promptTitle="Plant or company" prompt="Text up to 80 characters." sqref="C6">
      <formula1>0</formula1>
      <formula2>80</formula2>
    </dataValidation>
    <dataValidation type="textLength" allowBlank="1" showInputMessage="1" showErrorMessage="1" errorTitle="Check this entry" error="Text up to 80 characters." promptTitle="Project" prompt="Shown on the Dashboard header. Text up to 80 characters." sqref="C7">
      <formula1>0</formula1>
      <formula2>80</formula2>
    </dataValidation>
    <dataValidation type="textLength" allowBlank="1" showInputMessage="1" showErrorMessage="1" errorTitle="Check this entry" error="Text up to 12 characters." promptTitle="Currency label" prompt="Text shown with every amount, e.g. USD, INR, GBP, EUR, MXN. No exchange rate is applied. Text up to 12 characters." sqref="C8">
      <formula1>0</formula1>
      <formula2>12</formula2>
    </dataValidation>
    <dataValidation type="decimal" allowBlank="1" showInputMessage="1" showErrorMessage="1" errorTitle="Check this entry" error="Enter a percentage from 0% to 100% (type 85% or 0.85)." promptTitle="Discount rate (hurdle rate)" prompt="Your company's cost of capital or hurdle rate for this kind of project, as a yearly rate. Use a nominal rate with nominal cash flows. Enter a percentage from 0% to 100% (type 85% or 0.85)." sqref="C12">
      <formula1>0</formula1>
      <formula2>1</formula2>
    </dataValidation>
    <dataValidation type="decimal" allowBlank="1" showInputMessage="1" showErrorMessage="1" errorTitle="Check this entry" error="Enter a percentage from 0% to 90% (type 85% or 0.85)." promptTitle="Income tax rate on savings" prompt="Set 0% for a pre-tax evaluation. Savings raise taxable profit; depreciation lowers it. Enter a percentage from 0% to 90% (type 85% or 0.85)." sqref="C13">
      <formula1>0</formula1>
      <formula2>0.9</formula2>
    </dataValidation>
    <dataValidation type="whole" allowBlank="1" showInputMessage="1" showErrorMessage="1" errorTitle="Check this entry" error="Enter a whole number from 0 to 40." promptTitle="Tax depreciation period" prompt="Straight line, starting the year after each spend. 0 = no depreciation (pre-tax view). Enter a whole number from 0 to 40." sqref="C14">
      <formula1>0</formula1>
      <formula2>40</formula2>
    </dataValidation>
    <dataValidation type="decimal" allowBlank="1" showInputMessage="1" showErrorMessage="1" errorTitle="Check this entry" error="Enter a number from 0 to 50." promptTitle="Maximum simple payback" prompt="Your company's payback rule for this class of project, if it has one. Enter a number from 0 to 50." sqref="C15">
      <formula1>0</formula1>
      <formula2>50</formula2>
    </dataValidation>
    <dataValidation type="decimal" allowBlank="1" showInputMessage="1" showErrorMessage="1" errorTitle="Check this entry" error="Enter a percentage from 1% to 100% (type 85% or 0.85)." promptTitle="Swing for the NPV swing chart" prompt="How much worse or better each estimate is made, e.g. 20%: savings 20% lower or higher, costs 20% higher or lower. Enter a percentage from 1% to 100% (type 85% or 0.85)." sqref="C21">
      <formula1>0.01</formula1>
      <formula2>1</formula2>
    </dataValidation>
    <dataValidation type="decimal" allowBlank="1" showInputMessage="1" showErrorMessage="1" errorTitle="Check this entry" error="Enter a percentage from 0.1% to 20% (type 85% or 0.85)." promptTitle="Sensitivity table rate step" prompt="The table shows the discount rate minus two steps up to plus two steps. Enter a percentage from 0.1% to 20% (type 85% or 0.85)." sqref="C22">
      <formula1>0.001</formula1>
      <formula2>0.2</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Capital Project NPV, IRR and Payback&amp;R&amp;8&amp;A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T17"/>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7.28515625" customWidth="1"/>
    <col min="3" max="4" width="11.7109375" customWidth="1"/>
    <col min="5" max="5" width="12.7109375" customWidth="1"/>
    <col min="6" max="9" width="11.7109375" customWidth="1"/>
    <col min="10" max="10" width="12.7109375" customWidth="1"/>
    <col min="11" max="11" width="10.7109375" customWidth="1"/>
    <col min="12" max="12" width="11.7109375" customWidth="1"/>
    <col min="13" max="13" width="10.28515625" customWidth="1"/>
    <col min="14" max="14" width="11.7109375" customWidth="1"/>
    <col min="15" max="16" width="12.7109375" customWidth="1"/>
    <col min="17" max="17" width="9.7109375" customWidth="1"/>
    <col min="18" max="18" width="11.7109375" customWidth="1"/>
    <col min="19" max="19" width="22.7109375" customWidth="1"/>
    <col min="20" max="20" width="30.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20</v>
      </c>
      <c r="C2" s="2"/>
      <c r="D2" s="2"/>
      <c r="E2" s="2"/>
      <c r="F2" s="2"/>
      <c r="G2" s="2"/>
      <c r="H2" s="2"/>
      <c r="I2" s="2"/>
      <c r="J2" s="2"/>
      <c r="K2" s="2"/>
      <c r="L2" s="2"/>
      <c r="M2" s="2"/>
      <c r="N2" s="2"/>
      <c r="O2" s="2"/>
      <c r="P2" s="2"/>
      <c r="Q2" s="2"/>
      <c r="R2" s="2"/>
      <c r="S2" s="2"/>
      <c r="T2" s="3" t="s">
        <v>2</v>
      </c>
    </row>
    <row r="3" spans="1:20" ht="6" customHeight="1"/>
    <row r="4" spans="1:20" ht="29.76" customHeight="1">
      <c r="B4" s="32" t="s">
        <v>95</v>
      </c>
      <c r="C4" s="32"/>
      <c r="D4" s="32"/>
      <c r="E4" s="32"/>
      <c r="F4" s="32"/>
      <c r="G4" s="32"/>
      <c r="H4" s="32"/>
      <c r="I4" s="32"/>
      <c r="J4" s="32"/>
      <c r="K4" s="32"/>
      <c r="L4" s="32"/>
      <c r="M4" s="32"/>
      <c r="N4" s="32"/>
      <c r="O4" s="32"/>
      <c r="P4" s="32"/>
      <c r="Q4" s="32"/>
      <c r="R4" s="32"/>
      <c r="S4" s="32"/>
      <c r="T4" s="32"/>
    </row>
    <row r="5" spans="1:20" ht="14" customHeight="1">
      <c r="B5" s="33"/>
      <c r="C5" s="33" t="str">
        <f>Currency</f>
        <v>USD</v>
      </c>
      <c r="D5" s="33" t="str">
        <f>Currency</f>
        <v>USD</v>
      </c>
      <c r="E5" s="33" t="str">
        <f>Currency</f>
        <v>USD</v>
      </c>
      <c r="F5" s="33" t="str">
        <f>Currency</f>
        <v>USD</v>
      </c>
      <c r="G5" s="33" t="str">
        <f>Currency</f>
        <v>USD</v>
      </c>
      <c r="H5" s="33" t="str">
        <f>Currency</f>
        <v>USD</v>
      </c>
      <c r="I5" s="33" t="str">
        <f>Currency</f>
        <v>USD</v>
      </c>
      <c r="J5" s="33" t="str">
        <f>Currency</f>
        <v>USD</v>
      </c>
      <c r="K5" s="33" t="str">
        <f>Currency</f>
        <v>USD</v>
      </c>
      <c r="L5" s="33" t="str">
        <f>Currency</f>
        <v>USD</v>
      </c>
      <c r="M5" s="33"/>
      <c r="N5" s="33" t="str">
        <f>Currency</f>
        <v>USD</v>
      </c>
      <c r="O5" s="33" t="str">
        <f>Currency</f>
        <v>USD</v>
      </c>
      <c r="P5" s="33" t="str">
        <f>Currency</f>
        <v>USD</v>
      </c>
      <c r="Q5" s="33"/>
      <c r="R5" s="33"/>
      <c r="S5" s="33"/>
      <c r="T5" s="33"/>
    </row>
    <row r="6" spans="1:20" ht="32" customHeight="1">
      <c r="B6" s="34" t="s">
        <v>76</v>
      </c>
      <c r="C6" s="34" t="s">
        <v>77</v>
      </c>
      <c r="D6" s="34" t="s">
        <v>78</v>
      </c>
      <c r="E6" s="34" t="s">
        <v>79</v>
      </c>
      <c r="F6" s="34" t="s">
        <v>80</v>
      </c>
      <c r="G6" s="34" t="s">
        <v>81</v>
      </c>
      <c r="H6" s="34" t="s">
        <v>82</v>
      </c>
      <c r="I6" s="34" t="s">
        <v>83</v>
      </c>
      <c r="J6" s="34" t="s">
        <v>84</v>
      </c>
      <c r="K6" s="34" t="s">
        <v>85</v>
      </c>
      <c r="L6" s="34" t="s">
        <v>86</v>
      </c>
      <c r="M6" s="34" t="s">
        <v>87</v>
      </c>
      <c r="N6" s="34" t="s">
        <v>88</v>
      </c>
      <c r="O6" s="34" t="s">
        <v>89</v>
      </c>
      <c r="P6" s="34" t="s">
        <v>90</v>
      </c>
      <c r="Q6" s="34" t="s">
        <v>91</v>
      </c>
      <c r="R6" s="34" t="s">
        <v>92</v>
      </c>
      <c r="S6" s="34" t="s">
        <v>93</v>
      </c>
      <c r="T6" s="34" t="s">
        <v>94</v>
      </c>
    </row>
    <row r="7" spans="1:20">
      <c r="B7" s="30">
        <v>0</v>
      </c>
      <c r="C7" s="30">
        <v>360000</v>
      </c>
      <c r="D7" s="30"/>
      <c r="E7" s="30"/>
      <c r="F7" s="30"/>
      <c r="G7" s="30"/>
      <c r="H7" s="30"/>
      <c r="I7" s="35">
        <f>IF(tblFlows[[#This Row],[Year]]="","",tblFlows[[#This Row],[Labour savings]]+tblFlows[[#This Row],[Material and scrap savings]]+tblFlows[[#This Row],[Other savings]])</f>
        <v>0</v>
      </c>
      <c r="J7" s="35">
        <f>IF(tblFlows[[#This Row],[Year]]="","",IF(DepYears&gt;0,SUMIFS(tblFlows[Capital spend],tblFlows[Year],"&lt;"&amp;tblFlows[[#This Row],[Year]],tblFlows[Year],"&gt;="&amp;tblFlows[[#This Row],[Year]]-DepYears)/DepYears,0))</f>
        <v>0</v>
      </c>
      <c r="K7" s="35">
        <f>IF(tblFlows[[#This Row],[Year]]="","",(tblFlows[[#This Row],[Total savings]]-tblFlows[[#This Row],[Added operating cost]]-tblFlows[[#This Row],[Depreciation]])*TaxRate)</f>
        <v>0</v>
      </c>
      <c r="L7" s="35">
        <f>IF(tblFlows[[#This Row],[Year]]="","",tblFlows[[#This Row],[Total savings]]-tblFlows[[#This Row],[Added operating cost]]-tblFlows[[#This Row],[Tax effect]]-tblFlows[[#This Row],[Capital spend]]+tblFlows[[#This Row],[Terminal value]])</f>
        <v>-360000</v>
      </c>
      <c r="M7" s="36">
        <f>IF(tblFlows[[#This Row],[Year]]="","",1/(1+DiscountRate)^tblFlows[[#This Row],[Year]])</f>
        <v>1</v>
      </c>
      <c r="N7" s="35">
        <f>IF(tblFlows[[#This Row],[Year]]="","",tblFlows[[#This Row],[Net cash flow]]*tblFlows[[#This Row],[Discount factor]])</f>
        <v>-360000</v>
      </c>
      <c r="O7" s="35">
        <f>IF(tblFlows[[#This Row],[Year]]="","",SUMIFS(tblFlows[Net cash flow],tblFlows[Year],"&lt;="&amp;tblFlows[[#This Row],[Year]]))</f>
        <v>-360000</v>
      </c>
      <c r="P7" s="35">
        <f>IF(tblFlows[[#This Row],[Year]]="","",SUMIFS(tblFlows[Present value],tblFlows[Year],"&lt;="&amp;tblFlows[[#This Row],[Year]]))</f>
        <v>-360000</v>
      </c>
      <c r="Q7" s="37">
        <f>IF(tblFlows[[#This Row],[Year]]="","",IF(AND(tblFlows[[#This Row],[Cumulative cash]]&gt;=0,tblFlows[[#This Row],[Cumulative cash]]-tblFlows[[#This Row],[Net cash flow]]&lt;0),tblFlows[[#This Row],[Year]]-1+(tblFlows[[#This Row],[Net cash flow]]-tblFlows[[#This Row],[Cumulative cash]])/tblFlows[[#This Row],[Net cash flow]],""))</f>
        <v/>
      </c>
      <c r="R7" s="37">
        <f>IF(tblFlows[[#This Row],[Year]]="","",IF(AND(tblFlows[[#This Row],[Cumulative PV]]&gt;=0,tblFlows[[#This Row],[Cumulative PV]]-tblFlows[[#This Row],[Present value]]&lt;0),tblFlows[[#This Row],[Year]]-1+(tblFlows[[#This Row],[Present value]]-tblFlows[[#This Row],[Cumulative PV]])/tblFlows[[#This Row],[Present value]],""))</f>
        <v/>
      </c>
      <c r="S7"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7" s="39" t="s">
        <v>96</v>
      </c>
    </row>
    <row r="8" spans="1:20">
      <c r="B8" s="30">
        <v>1</v>
      </c>
      <c r="C8" s="30">
        <v>24000</v>
      </c>
      <c r="D8" s="30">
        <v>88200</v>
      </c>
      <c r="E8" s="30">
        <v>12600</v>
      </c>
      <c r="F8" s="30">
        <v>3500</v>
      </c>
      <c r="G8" s="30">
        <v>12000</v>
      </c>
      <c r="H8" s="30"/>
      <c r="I8" s="35">
        <f>IF(tblFlows[[#This Row],[Year]]="","",tblFlows[[#This Row],[Labour savings]]+tblFlows[[#This Row],[Material and scrap savings]]+tblFlows[[#This Row],[Other savings]])</f>
        <v>104300</v>
      </c>
      <c r="J8" s="35">
        <f>IF(tblFlows[[#This Row],[Year]]="","",IF(DepYears&gt;0,SUMIFS(tblFlows[Capital spend],tblFlows[Year],"&lt;"&amp;tblFlows[[#This Row],[Year]],tblFlows[Year],"&gt;="&amp;tblFlows[[#This Row],[Year]]-DepYears)/DepYears,0))</f>
        <v>51428.5714285714</v>
      </c>
      <c r="K8" s="35">
        <f>IF(tblFlows[[#This Row],[Year]]="","",(tblFlows[[#This Row],[Total savings]]-tblFlows[[#This Row],[Added operating cost]]-tblFlows[[#This Row],[Depreciation]])*TaxRate)</f>
        <v>10217.8571428571</v>
      </c>
      <c r="L8" s="35">
        <f>IF(tblFlows[[#This Row],[Year]]="","",tblFlows[[#This Row],[Total savings]]-tblFlows[[#This Row],[Added operating cost]]-tblFlows[[#This Row],[Tax effect]]-tblFlows[[#This Row],[Capital spend]]+tblFlows[[#This Row],[Terminal value]])</f>
        <v>58082.1428571429</v>
      </c>
      <c r="M8" s="36">
        <f>IF(tblFlows[[#This Row],[Year]]="","",1/(1+DiscountRate)^tblFlows[[#This Row],[Year]])</f>
        <v>0.909090909090909</v>
      </c>
      <c r="N8" s="35">
        <f>IF(tblFlows[[#This Row],[Year]]="","",tblFlows[[#This Row],[Net cash flow]]*tblFlows[[#This Row],[Discount factor]])</f>
        <v>52801.9480519481</v>
      </c>
      <c r="O8" s="35">
        <f>IF(tblFlows[[#This Row],[Year]]="","",SUMIFS(tblFlows[Net cash flow],tblFlows[Year],"&lt;="&amp;tblFlows[[#This Row],[Year]]))</f>
        <v>-301917.857142857</v>
      </c>
      <c r="P8" s="35">
        <f>IF(tblFlows[[#This Row],[Year]]="","",SUMIFS(tblFlows[Present value],tblFlows[Year],"&lt;="&amp;tblFlows[[#This Row],[Year]]))</f>
        <v>-307198.051948052</v>
      </c>
      <c r="Q8" s="37">
        <f>IF(tblFlows[[#This Row],[Year]]="","",IF(AND(tblFlows[[#This Row],[Cumulative cash]]&gt;=0,tblFlows[[#This Row],[Cumulative cash]]-tblFlows[[#This Row],[Net cash flow]]&lt;0),tblFlows[[#This Row],[Year]]-1+(tblFlows[[#This Row],[Net cash flow]]-tblFlows[[#This Row],[Cumulative cash]])/tblFlows[[#This Row],[Net cash flow]],""))</f>
        <v/>
      </c>
      <c r="R8" s="37">
        <f>IF(tblFlows[[#This Row],[Year]]="","",IF(AND(tblFlows[[#This Row],[Cumulative PV]]&gt;=0,tblFlows[[#This Row],[Cumulative PV]]-tblFlows[[#This Row],[Present value]]&lt;0),tblFlows[[#This Row],[Year]]-1+(tblFlows[[#This Row],[Present value]]-tblFlows[[#This Row],[Cumulative PV]])/tblFlows[[#This Row],[Present value]],""))</f>
        <v/>
      </c>
      <c r="S8"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8" s="39" t="s">
        <v>97</v>
      </c>
    </row>
    <row r="9" spans="1:20">
      <c r="B9" s="30">
        <v>2</v>
      </c>
      <c r="C9" s="30"/>
      <c r="D9" s="30">
        <v>126000</v>
      </c>
      <c r="E9" s="30">
        <v>18000</v>
      </c>
      <c r="F9" s="30">
        <v>5000</v>
      </c>
      <c r="G9" s="30">
        <v>12200</v>
      </c>
      <c r="H9" s="30"/>
      <c r="I9" s="35">
        <f>IF(tblFlows[[#This Row],[Year]]="","",tblFlows[[#This Row],[Labour savings]]+tblFlows[[#This Row],[Material and scrap savings]]+tblFlows[[#This Row],[Other savings]])</f>
        <v>149000</v>
      </c>
      <c r="J9" s="35">
        <f>IF(tblFlows[[#This Row],[Year]]="","",IF(DepYears&gt;0,SUMIFS(tblFlows[Capital spend],tblFlows[Year],"&lt;"&amp;tblFlows[[#This Row],[Year]],tblFlows[Year],"&gt;="&amp;tblFlows[[#This Row],[Year]]-DepYears)/DepYears,0))</f>
        <v>54857.1428571429</v>
      </c>
      <c r="K9" s="35">
        <f>IF(tblFlows[[#This Row],[Year]]="","",(tblFlows[[#This Row],[Total savings]]-tblFlows[[#This Row],[Added operating cost]]-tblFlows[[#This Row],[Depreciation]])*TaxRate)</f>
        <v>20485.7142857143</v>
      </c>
      <c r="L9" s="35">
        <f>IF(tblFlows[[#This Row],[Year]]="","",tblFlows[[#This Row],[Total savings]]-tblFlows[[#This Row],[Added operating cost]]-tblFlows[[#This Row],[Tax effect]]-tblFlows[[#This Row],[Capital spend]]+tblFlows[[#This Row],[Terminal value]])</f>
        <v>116314.285714286</v>
      </c>
      <c r="M9" s="36">
        <f>IF(tblFlows[[#This Row],[Year]]="","",1/(1+DiscountRate)^tblFlows[[#This Row],[Year]])</f>
        <v>0.826446280991735</v>
      </c>
      <c r="N9" s="35">
        <f>IF(tblFlows[[#This Row],[Year]]="","",tblFlows[[#This Row],[Net cash flow]]*tblFlows[[#This Row],[Discount factor]])</f>
        <v>96127.5088547816</v>
      </c>
      <c r="O9" s="35">
        <f>IF(tblFlows[[#This Row],[Year]]="","",SUMIFS(tblFlows[Net cash flow],tblFlows[Year],"&lt;="&amp;tblFlows[[#This Row],[Year]]))</f>
        <v>-185603.571428571</v>
      </c>
      <c r="P9" s="35">
        <f>IF(tblFlows[[#This Row],[Year]]="","",SUMIFS(tblFlows[Present value],tblFlows[Year],"&lt;="&amp;tblFlows[[#This Row],[Year]]))</f>
        <v>-211070.54309327</v>
      </c>
      <c r="Q9" s="37">
        <f>IF(tblFlows[[#This Row],[Year]]="","",IF(AND(tblFlows[[#This Row],[Cumulative cash]]&gt;=0,tblFlows[[#This Row],[Cumulative cash]]-tblFlows[[#This Row],[Net cash flow]]&lt;0),tblFlows[[#This Row],[Year]]-1+(tblFlows[[#This Row],[Net cash flow]]-tblFlows[[#This Row],[Cumulative cash]])/tblFlows[[#This Row],[Net cash flow]],""))</f>
        <v/>
      </c>
      <c r="R9" s="37">
        <f>IF(tblFlows[[#This Row],[Year]]="","",IF(AND(tblFlows[[#This Row],[Cumulative PV]]&gt;=0,tblFlows[[#This Row],[Cumulative PV]]-tblFlows[[#This Row],[Present value]]&lt;0),tblFlows[[#This Row],[Year]]-1+(tblFlows[[#This Row],[Present value]]-tblFlows[[#This Row],[Cumulative PV]])/tblFlows[[#This Row],[Present value]],""))</f>
        <v/>
      </c>
      <c r="S9"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9" s="39" t="s">
        <v>98</v>
      </c>
    </row>
    <row r="10" spans="1:20">
      <c r="B10" s="30">
        <v>3</v>
      </c>
      <c r="C10" s="30"/>
      <c r="D10" s="30">
        <v>129800</v>
      </c>
      <c r="E10" s="30">
        <v>18000</v>
      </c>
      <c r="F10" s="30">
        <v>5000</v>
      </c>
      <c r="G10" s="30">
        <v>12500</v>
      </c>
      <c r="H10" s="30"/>
      <c r="I10" s="35">
        <f>IF(tblFlows[[#This Row],[Year]]="","",tblFlows[[#This Row],[Labour savings]]+tblFlows[[#This Row],[Material and scrap savings]]+tblFlows[[#This Row],[Other savings]])</f>
        <v>152800</v>
      </c>
      <c r="J10" s="35">
        <f>IF(tblFlows[[#This Row],[Year]]="","",IF(DepYears&gt;0,SUMIFS(tblFlows[Capital spend],tblFlows[Year],"&lt;"&amp;tblFlows[[#This Row],[Year]],tblFlows[Year],"&gt;="&amp;tblFlows[[#This Row],[Year]]-DepYears)/DepYears,0))</f>
        <v>54857.1428571429</v>
      </c>
      <c r="K10" s="35">
        <f>IF(tblFlows[[#This Row],[Year]]="","",(tblFlows[[#This Row],[Total savings]]-tblFlows[[#This Row],[Added operating cost]]-tblFlows[[#This Row],[Depreciation]])*TaxRate)</f>
        <v>21360.7142857143</v>
      </c>
      <c r="L10" s="35">
        <f>IF(tblFlows[[#This Row],[Year]]="","",tblFlows[[#This Row],[Total savings]]-tblFlows[[#This Row],[Added operating cost]]-tblFlows[[#This Row],[Tax effect]]-tblFlows[[#This Row],[Capital spend]]+tblFlows[[#This Row],[Terminal value]])</f>
        <v>118939.285714286</v>
      </c>
      <c r="M10" s="36">
        <f>IF(tblFlows[[#This Row],[Year]]="","",1/(1+DiscountRate)^tblFlows[[#This Row],[Year]])</f>
        <v>0.751314800901578</v>
      </c>
      <c r="N10" s="35">
        <f>IF(tblFlows[[#This Row],[Year]]="","",tblFlows[[#This Row],[Net cash flow]]*tblFlows[[#This Row],[Discount factor]])</f>
        <v>89360.8457658044</v>
      </c>
      <c r="O10" s="35">
        <f>IF(tblFlows[[#This Row],[Year]]="","",SUMIFS(tblFlows[Net cash flow],tblFlows[Year],"&lt;="&amp;tblFlows[[#This Row],[Year]]))</f>
        <v>-66664.2857142857</v>
      </c>
      <c r="P10" s="35">
        <f>IF(tblFlows[[#This Row],[Year]]="","",SUMIFS(tblFlows[Present value],tblFlows[Year],"&lt;="&amp;tblFlows[[#This Row],[Year]]))</f>
        <v>-121709.697327466</v>
      </c>
      <c r="Q10" s="37">
        <f>IF(tblFlows[[#This Row],[Year]]="","",IF(AND(tblFlows[[#This Row],[Cumulative cash]]&gt;=0,tblFlows[[#This Row],[Cumulative cash]]-tblFlows[[#This Row],[Net cash flow]]&lt;0),tblFlows[[#This Row],[Year]]-1+(tblFlows[[#This Row],[Net cash flow]]-tblFlows[[#This Row],[Cumulative cash]])/tblFlows[[#This Row],[Net cash flow]],""))</f>
        <v/>
      </c>
      <c r="R10" s="37">
        <f>IF(tblFlows[[#This Row],[Year]]="","",IF(AND(tblFlows[[#This Row],[Cumulative PV]]&gt;=0,tblFlows[[#This Row],[Cumulative PV]]-tblFlows[[#This Row],[Present value]]&lt;0),tblFlows[[#This Row],[Year]]-1+(tblFlows[[#This Row],[Present value]]-tblFlows[[#This Row],[Cumulative PV]])/tblFlows[[#This Row],[Present value]],""))</f>
        <v/>
      </c>
      <c r="S10"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0" s="39" t="s">
        <v>99</v>
      </c>
    </row>
    <row r="11" spans="1:20">
      <c r="B11" s="30">
        <v>4</v>
      </c>
      <c r="C11" s="30"/>
      <c r="D11" s="30">
        <v>133700</v>
      </c>
      <c r="E11" s="30">
        <v>18000</v>
      </c>
      <c r="F11" s="30">
        <v>5000</v>
      </c>
      <c r="G11" s="30">
        <v>12700</v>
      </c>
      <c r="H11" s="30"/>
      <c r="I11" s="35">
        <f>IF(tblFlows[[#This Row],[Year]]="","",tblFlows[[#This Row],[Labour savings]]+tblFlows[[#This Row],[Material and scrap savings]]+tblFlows[[#This Row],[Other savings]])</f>
        <v>156700</v>
      </c>
      <c r="J11" s="35">
        <f>IF(tblFlows[[#This Row],[Year]]="","",IF(DepYears&gt;0,SUMIFS(tblFlows[Capital spend],tblFlows[Year],"&lt;"&amp;tblFlows[[#This Row],[Year]],tblFlows[Year],"&gt;="&amp;tblFlows[[#This Row],[Year]]-DepYears)/DepYears,0))</f>
        <v>54857.1428571429</v>
      </c>
      <c r="K11" s="35">
        <f>IF(tblFlows[[#This Row],[Year]]="","",(tblFlows[[#This Row],[Total savings]]-tblFlows[[#This Row],[Added operating cost]]-tblFlows[[#This Row],[Depreciation]])*TaxRate)</f>
        <v>22285.7142857143</v>
      </c>
      <c r="L11" s="35">
        <f>IF(tblFlows[[#This Row],[Year]]="","",tblFlows[[#This Row],[Total savings]]-tblFlows[[#This Row],[Added operating cost]]-tblFlows[[#This Row],[Tax effect]]-tblFlows[[#This Row],[Capital spend]]+tblFlows[[#This Row],[Terminal value]])</f>
        <v>121714.285714286</v>
      </c>
      <c r="M11" s="36">
        <f>IF(tblFlows[[#This Row],[Year]]="","",1/(1+DiscountRate)^tblFlows[[#This Row],[Year]])</f>
        <v>0.683013455365071</v>
      </c>
      <c r="N11" s="35">
        <f>IF(tblFlows[[#This Row],[Year]]="","",tblFlows[[#This Row],[Net cash flow]]*tblFlows[[#This Row],[Discount factor]])</f>
        <v>83132.4948530057</v>
      </c>
      <c r="O11" s="35">
        <f>IF(tblFlows[[#This Row],[Year]]="","",SUMIFS(tblFlows[Net cash flow],tblFlows[Year],"&lt;="&amp;tblFlows[[#This Row],[Year]]))</f>
        <v>55050</v>
      </c>
      <c r="P11" s="35">
        <f>IF(tblFlows[[#This Row],[Year]]="","",SUMIFS(tblFlows[Present value],tblFlows[Year],"&lt;="&amp;tblFlows[[#This Row],[Year]]))</f>
        <v>-38577.2024744602</v>
      </c>
      <c r="Q11" s="37">
        <f>IF(tblFlows[[#This Row],[Year]]="","",IF(AND(tblFlows[[#This Row],[Cumulative cash]]&gt;=0,tblFlows[[#This Row],[Cumulative cash]]-tblFlows[[#This Row],[Net cash flow]]&lt;0),tblFlows[[#This Row],[Year]]-1+(tblFlows[[#This Row],[Net cash flow]]-tblFlows[[#This Row],[Cumulative cash]])/tblFlows[[#This Row],[Net cash flow]],""))</f>
        <v>3.54771126760563</v>
      </c>
      <c r="R11" s="37">
        <f>IF(tblFlows[[#This Row],[Year]]="","",IF(AND(tblFlows[[#This Row],[Cumulative PV]]&gt;=0,tblFlows[[#This Row],[Cumulative PV]]-tblFlows[[#This Row],[Present value]]&lt;0),tblFlows[[#This Row],[Year]]-1+(tblFlows[[#This Row],[Present value]]-tblFlows[[#This Row],[Cumulative PV]])/tblFlows[[#This Row],[Present value]],""))</f>
        <v/>
      </c>
      <c r="S11"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1" s="39" t="s">
        <v>99</v>
      </c>
    </row>
    <row r="12" spans="1:20">
      <c r="B12" s="30">
        <v>5</v>
      </c>
      <c r="C12" s="30"/>
      <c r="D12" s="30">
        <v>137700</v>
      </c>
      <c r="E12" s="30">
        <v>18000</v>
      </c>
      <c r="F12" s="30">
        <v>5000</v>
      </c>
      <c r="G12" s="30">
        <v>13000</v>
      </c>
      <c r="H12" s="30"/>
      <c r="I12" s="35">
        <f>IF(tblFlows[[#This Row],[Year]]="","",tblFlows[[#This Row],[Labour savings]]+tblFlows[[#This Row],[Material and scrap savings]]+tblFlows[[#This Row],[Other savings]])</f>
        <v>160700</v>
      </c>
      <c r="J12" s="35">
        <f>IF(tblFlows[[#This Row],[Year]]="","",IF(DepYears&gt;0,SUMIFS(tblFlows[Capital spend],tblFlows[Year],"&lt;"&amp;tblFlows[[#This Row],[Year]],tblFlows[Year],"&gt;="&amp;tblFlows[[#This Row],[Year]]-DepYears)/DepYears,0))</f>
        <v>54857.1428571429</v>
      </c>
      <c r="K12" s="35">
        <f>IF(tblFlows[[#This Row],[Year]]="","",(tblFlows[[#This Row],[Total savings]]-tblFlows[[#This Row],[Added operating cost]]-tblFlows[[#This Row],[Depreciation]])*TaxRate)</f>
        <v>23210.7142857143</v>
      </c>
      <c r="L12" s="35">
        <f>IF(tblFlows[[#This Row],[Year]]="","",tblFlows[[#This Row],[Total savings]]-tblFlows[[#This Row],[Added operating cost]]-tblFlows[[#This Row],[Tax effect]]-tblFlows[[#This Row],[Capital spend]]+tblFlows[[#This Row],[Terminal value]])</f>
        <v>124489.285714286</v>
      </c>
      <c r="M12" s="36">
        <f>IF(tblFlows[[#This Row],[Year]]="","",1/(1+DiscountRate)^tblFlows[[#This Row],[Year]])</f>
        <v>0.620921323059155</v>
      </c>
      <c r="N12" s="35">
        <f>IF(tblFlows[[#This Row],[Year]]="","",tblFlows[[#This Row],[Net cash flow]]*tblFlows[[#This Row],[Discount factor]])</f>
        <v>77298.0519924034</v>
      </c>
      <c r="O12" s="35">
        <f>IF(tblFlows[[#This Row],[Year]]="","",SUMIFS(tblFlows[Net cash flow],tblFlows[Year],"&lt;="&amp;tblFlows[[#This Row],[Year]]))</f>
        <v>179539.285714286</v>
      </c>
      <c r="P12" s="35">
        <f>IF(tblFlows[[#This Row],[Year]]="","",SUMIFS(tblFlows[Present value],tblFlows[Year],"&lt;="&amp;tblFlows[[#This Row],[Year]]))</f>
        <v>38720.8495179432</v>
      </c>
      <c r="Q12" s="37">
        <f>IF(tblFlows[[#This Row],[Year]]="","",IF(AND(tblFlows[[#This Row],[Cumulative cash]]&gt;=0,tblFlows[[#This Row],[Cumulative cash]]-tblFlows[[#This Row],[Net cash flow]]&lt;0),tblFlows[[#This Row],[Year]]-1+(tblFlows[[#This Row],[Net cash flow]]-tblFlows[[#This Row],[Cumulative cash]])/tblFlows[[#This Row],[Net cash flow]],""))</f>
        <v/>
      </c>
      <c r="R12" s="37">
        <f>IF(tblFlows[[#This Row],[Year]]="","",IF(AND(tblFlows[[#This Row],[Cumulative PV]]&gt;=0,tblFlows[[#This Row],[Cumulative PV]]-tblFlows[[#This Row],[Present value]]&lt;0),tblFlows[[#This Row],[Year]]-1+(tblFlows[[#This Row],[Present value]]-tblFlows[[#This Row],[Cumulative PV]])/tblFlows[[#This Row],[Present value]],""))</f>
        <v>4.49907082365092</v>
      </c>
      <c r="S12"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2" s="39" t="s">
        <v>99</v>
      </c>
    </row>
    <row r="13" spans="1:20">
      <c r="B13" s="30">
        <v>6</v>
      </c>
      <c r="C13" s="30">
        <v>18000</v>
      </c>
      <c r="D13" s="30">
        <v>141800</v>
      </c>
      <c r="E13" s="30">
        <v>18000</v>
      </c>
      <c r="F13" s="30">
        <v>5000</v>
      </c>
      <c r="G13" s="30">
        <v>13200</v>
      </c>
      <c r="H13" s="30"/>
      <c r="I13" s="35">
        <f>IF(tblFlows[[#This Row],[Year]]="","",tblFlows[[#This Row],[Labour savings]]+tblFlows[[#This Row],[Material and scrap savings]]+tblFlows[[#This Row],[Other savings]])</f>
        <v>164800</v>
      </c>
      <c r="J13" s="35">
        <f>IF(tblFlows[[#This Row],[Year]]="","",IF(DepYears&gt;0,SUMIFS(tblFlows[Capital spend],tblFlows[Year],"&lt;"&amp;tblFlows[[#This Row],[Year]],tblFlows[Year],"&gt;="&amp;tblFlows[[#This Row],[Year]]-DepYears)/DepYears,0))</f>
        <v>54857.1428571429</v>
      </c>
      <c r="K13" s="35">
        <f>IF(tblFlows[[#This Row],[Year]]="","",(tblFlows[[#This Row],[Total savings]]-tblFlows[[#This Row],[Added operating cost]]-tblFlows[[#This Row],[Depreciation]])*TaxRate)</f>
        <v>24185.7142857143</v>
      </c>
      <c r="L13" s="35">
        <f>IF(tblFlows[[#This Row],[Year]]="","",tblFlows[[#This Row],[Total savings]]-tblFlows[[#This Row],[Added operating cost]]-tblFlows[[#This Row],[Tax effect]]-tblFlows[[#This Row],[Capital spend]]+tblFlows[[#This Row],[Terminal value]])</f>
        <v>109414.285714286</v>
      </c>
      <c r="M13" s="36">
        <f>IF(tblFlows[[#This Row],[Year]]="","",1/(1+DiscountRate)^tblFlows[[#This Row],[Year]])</f>
        <v>0.564473930053777</v>
      </c>
      <c r="N13" s="35">
        <f>IF(tblFlows[[#This Row],[Year]]="","",tblFlows[[#This Row],[Net cash flow]]*tblFlows[[#This Row],[Discount factor]])</f>
        <v>61761.5118611697</v>
      </c>
      <c r="O13" s="35">
        <f>IF(tblFlows[[#This Row],[Year]]="","",SUMIFS(tblFlows[Net cash flow],tblFlows[Year],"&lt;="&amp;tblFlows[[#This Row],[Year]]))</f>
        <v>288953.571428571</v>
      </c>
      <c r="P13" s="35">
        <f>IF(tblFlows[[#This Row],[Year]]="","",SUMIFS(tblFlows[Present value],tblFlows[Year],"&lt;="&amp;tblFlows[[#This Row],[Year]]))</f>
        <v>100482.361379113</v>
      </c>
      <c r="Q13" s="37">
        <f>IF(tblFlows[[#This Row],[Year]]="","",IF(AND(tblFlows[[#This Row],[Cumulative cash]]&gt;=0,tblFlows[[#This Row],[Cumulative cash]]-tblFlows[[#This Row],[Net cash flow]]&lt;0),tblFlows[[#This Row],[Year]]-1+(tblFlows[[#This Row],[Net cash flow]]-tblFlows[[#This Row],[Cumulative cash]])/tblFlows[[#This Row],[Net cash flow]],""))</f>
        <v/>
      </c>
      <c r="R13" s="37">
        <f>IF(tblFlows[[#This Row],[Year]]="","",IF(AND(tblFlows[[#This Row],[Cumulative PV]]&gt;=0,tblFlows[[#This Row],[Cumulative PV]]-tblFlows[[#This Row],[Present value]]&lt;0),tblFlows[[#This Row],[Year]]-1+(tblFlows[[#This Row],[Present value]]-tblFlows[[#This Row],[Cumulative PV]])/tblFlows[[#This Row],[Present value]],""))</f>
        <v/>
      </c>
      <c r="S13"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3" s="39" t="s">
        <v>100</v>
      </c>
    </row>
    <row r="14" spans="1:20">
      <c r="B14" s="30">
        <v>7</v>
      </c>
      <c r="C14" s="30"/>
      <c r="D14" s="30">
        <v>146100</v>
      </c>
      <c r="E14" s="30">
        <v>18000</v>
      </c>
      <c r="F14" s="30">
        <v>5000</v>
      </c>
      <c r="G14" s="30">
        <v>13500</v>
      </c>
      <c r="H14" s="30"/>
      <c r="I14" s="35">
        <f>IF(tblFlows[[#This Row],[Year]]="","",tblFlows[[#This Row],[Labour savings]]+tblFlows[[#This Row],[Material and scrap savings]]+tblFlows[[#This Row],[Other savings]])</f>
        <v>169100</v>
      </c>
      <c r="J14" s="35">
        <f>IF(tblFlows[[#This Row],[Year]]="","",IF(DepYears&gt;0,SUMIFS(tblFlows[Capital spend],tblFlows[Year],"&lt;"&amp;tblFlows[[#This Row],[Year]],tblFlows[Year],"&gt;="&amp;tblFlows[[#This Row],[Year]]-DepYears)/DepYears,0))</f>
        <v>57428.5714285714</v>
      </c>
      <c r="K14" s="35">
        <f>IF(tblFlows[[#This Row],[Year]]="","",(tblFlows[[#This Row],[Total savings]]-tblFlows[[#This Row],[Added operating cost]]-tblFlows[[#This Row],[Depreciation]])*TaxRate)</f>
        <v>24542.8571428571</v>
      </c>
      <c r="L14" s="35">
        <f>IF(tblFlows[[#This Row],[Year]]="","",tblFlows[[#This Row],[Total savings]]-tblFlows[[#This Row],[Added operating cost]]-tblFlows[[#This Row],[Tax effect]]-tblFlows[[#This Row],[Capital spend]]+tblFlows[[#This Row],[Terminal value]])</f>
        <v>131057.142857143</v>
      </c>
      <c r="M14" s="36">
        <f>IF(tblFlows[[#This Row],[Year]]="","",1/(1+DiscountRate)^tblFlows[[#This Row],[Year]])</f>
        <v>0.513158118230707</v>
      </c>
      <c r="N14" s="35">
        <f>IF(tblFlows[[#This Row],[Year]]="","",tblFlows[[#This Row],[Net cash flow]]*tblFlows[[#This Row],[Discount factor]])</f>
        <v>67253.0368092643</v>
      </c>
      <c r="O14" s="35">
        <f>IF(tblFlows[[#This Row],[Year]]="","",SUMIFS(tblFlows[Net cash flow],tblFlows[Year],"&lt;="&amp;tblFlows[[#This Row],[Year]]))</f>
        <v>420010.714285714</v>
      </c>
      <c r="P14" s="35">
        <f>IF(tblFlows[[#This Row],[Year]]="","",SUMIFS(tblFlows[Present value],tblFlows[Year],"&lt;="&amp;tblFlows[[#This Row],[Year]]))</f>
        <v>167735.398188377</v>
      </c>
      <c r="Q14" s="37">
        <f>IF(tblFlows[[#This Row],[Year]]="","",IF(AND(tblFlows[[#This Row],[Cumulative cash]]&gt;=0,tblFlows[[#This Row],[Cumulative cash]]-tblFlows[[#This Row],[Net cash flow]]&lt;0),tblFlows[[#This Row],[Year]]-1+(tblFlows[[#This Row],[Net cash flow]]-tblFlows[[#This Row],[Cumulative cash]])/tblFlows[[#This Row],[Net cash flow]],""))</f>
        <v/>
      </c>
      <c r="R14" s="37">
        <f>IF(tblFlows[[#This Row],[Year]]="","",IF(AND(tblFlows[[#This Row],[Cumulative PV]]&gt;=0,tblFlows[[#This Row],[Cumulative PV]]-tblFlows[[#This Row],[Present value]]&lt;0),tblFlows[[#This Row],[Year]]-1+(tblFlows[[#This Row],[Present value]]-tblFlows[[#This Row],[Cumulative PV]])/tblFlows[[#This Row],[Present value]],""))</f>
        <v/>
      </c>
      <c r="S14"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4" s="39" t="s">
        <v>99</v>
      </c>
    </row>
    <row r="15" spans="1:20">
      <c r="B15" s="30">
        <v>8</v>
      </c>
      <c r="C15" s="30"/>
      <c r="D15" s="30">
        <v>150500</v>
      </c>
      <c r="E15" s="30">
        <v>18000</v>
      </c>
      <c r="F15" s="30">
        <v>5000</v>
      </c>
      <c r="G15" s="30">
        <v>13800</v>
      </c>
      <c r="H15" s="30"/>
      <c r="I15" s="35">
        <f>IF(tblFlows[[#This Row],[Year]]="","",tblFlows[[#This Row],[Labour savings]]+tblFlows[[#This Row],[Material and scrap savings]]+tblFlows[[#This Row],[Other savings]])</f>
        <v>173500</v>
      </c>
      <c r="J15" s="35">
        <f>IF(tblFlows[[#This Row],[Year]]="","",IF(DepYears&gt;0,SUMIFS(tblFlows[Capital spend],tblFlows[Year],"&lt;"&amp;tblFlows[[#This Row],[Year]],tblFlows[Year],"&gt;="&amp;tblFlows[[#This Row],[Year]]-DepYears)/DepYears,0))</f>
        <v>6000</v>
      </c>
      <c r="K15" s="35">
        <f>IF(tblFlows[[#This Row],[Year]]="","",(tblFlows[[#This Row],[Total savings]]-tblFlows[[#This Row],[Added operating cost]]-tblFlows[[#This Row],[Depreciation]])*TaxRate)</f>
        <v>38425</v>
      </c>
      <c r="L15" s="35">
        <f>IF(tblFlows[[#This Row],[Year]]="","",tblFlows[[#This Row],[Total savings]]-tblFlows[[#This Row],[Added operating cost]]-tblFlows[[#This Row],[Tax effect]]-tblFlows[[#This Row],[Capital spend]]+tblFlows[[#This Row],[Terminal value]])</f>
        <v>121275</v>
      </c>
      <c r="M15" s="36">
        <f>IF(tblFlows[[#This Row],[Year]]="","",1/(1+DiscountRate)^tblFlows[[#This Row],[Year]])</f>
        <v>0.466507380209733</v>
      </c>
      <c r="N15" s="35">
        <f>IF(tblFlows[[#This Row],[Year]]="","",tblFlows[[#This Row],[Net cash flow]]*tblFlows[[#This Row],[Discount factor]])</f>
        <v>56575.6825349354</v>
      </c>
      <c r="O15" s="35">
        <f>IF(tblFlows[[#This Row],[Year]]="","",SUMIFS(tblFlows[Net cash flow],tblFlows[Year],"&lt;="&amp;tblFlows[[#This Row],[Year]]))</f>
        <v>541285.714285714</v>
      </c>
      <c r="P15" s="35">
        <f>IF(tblFlows[[#This Row],[Year]]="","",SUMIFS(tblFlows[Present value],tblFlows[Year],"&lt;="&amp;tblFlows[[#This Row],[Year]]))</f>
        <v>224311.080723313</v>
      </c>
      <c r="Q15" s="37">
        <f>IF(tblFlows[[#This Row],[Year]]="","",IF(AND(tblFlows[[#This Row],[Cumulative cash]]&gt;=0,tblFlows[[#This Row],[Cumulative cash]]-tblFlows[[#This Row],[Net cash flow]]&lt;0),tblFlows[[#This Row],[Year]]-1+(tblFlows[[#This Row],[Net cash flow]]-tblFlows[[#This Row],[Cumulative cash]])/tblFlows[[#This Row],[Net cash flow]],""))</f>
        <v/>
      </c>
      <c r="R15" s="37">
        <f>IF(tblFlows[[#This Row],[Year]]="","",IF(AND(tblFlows[[#This Row],[Cumulative PV]]&gt;=0,tblFlows[[#This Row],[Cumulative PV]]-tblFlows[[#This Row],[Present value]]&lt;0),tblFlows[[#This Row],[Year]]-1+(tblFlows[[#This Row],[Present value]]-tblFlows[[#This Row],[Cumulative PV]])/tblFlows[[#This Row],[Present value]],""))</f>
        <v/>
      </c>
      <c r="S15"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5" s="39" t="s">
        <v>99</v>
      </c>
    </row>
    <row r="16" spans="1:20">
      <c r="B16" s="30">
        <v>9</v>
      </c>
      <c r="C16" s="30"/>
      <c r="D16" s="30">
        <v>155000</v>
      </c>
      <c r="E16" s="30">
        <v>18000</v>
      </c>
      <c r="F16" s="30">
        <v>5000</v>
      </c>
      <c r="G16" s="30">
        <v>14100</v>
      </c>
      <c r="H16" s="30"/>
      <c r="I16" s="35">
        <f>IF(tblFlows[[#This Row],[Year]]="","",tblFlows[[#This Row],[Labour savings]]+tblFlows[[#This Row],[Material and scrap savings]]+tblFlows[[#This Row],[Other savings]])</f>
        <v>178000</v>
      </c>
      <c r="J16" s="35">
        <f>IF(tblFlows[[#This Row],[Year]]="","",IF(DepYears&gt;0,SUMIFS(tblFlows[Capital spend],tblFlows[Year],"&lt;"&amp;tblFlows[[#This Row],[Year]],tblFlows[Year],"&gt;="&amp;tblFlows[[#This Row],[Year]]-DepYears)/DepYears,0))</f>
        <v>2571.42857142857</v>
      </c>
      <c r="K16" s="35">
        <f>IF(tblFlows[[#This Row],[Year]]="","",(tblFlows[[#This Row],[Total savings]]-tblFlows[[#This Row],[Added operating cost]]-tblFlows[[#This Row],[Depreciation]])*TaxRate)</f>
        <v>40332.1428571429</v>
      </c>
      <c r="L16" s="35">
        <f>IF(tblFlows[[#This Row],[Year]]="","",tblFlows[[#This Row],[Total savings]]-tblFlows[[#This Row],[Added operating cost]]-tblFlows[[#This Row],[Tax effect]]-tblFlows[[#This Row],[Capital spend]]+tblFlows[[#This Row],[Terminal value]])</f>
        <v>123567.857142857</v>
      </c>
      <c r="M16" s="36">
        <f>IF(tblFlows[[#This Row],[Year]]="","",1/(1+DiscountRate)^tblFlows[[#This Row],[Year]])</f>
        <v>0.424097618372485</v>
      </c>
      <c r="N16" s="35">
        <f>IF(tblFlows[[#This Row],[Year]]="","",tblFlows[[#This Row],[Net cash flow]]*tblFlows[[#This Row],[Discount factor]])</f>
        <v>52404.8339216771</v>
      </c>
      <c r="O16" s="35">
        <f>IF(tblFlows[[#This Row],[Year]]="","",SUMIFS(tblFlows[Net cash flow],tblFlows[Year],"&lt;="&amp;tblFlows[[#This Row],[Year]]))</f>
        <v>664853.571428571</v>
      </c>
      <c r="P16" s="35">
        <f>IF(tblFlows[[#This Row],[Year]]="","",SUMIFS(tblFlows[Present value],tblFlows[Year],"&lt;="&amp;tblFlows[[#This Row],[Year]]))</f>
        <v>276715.91464499</v>
      </c>
      <c r="Q16" s="37">
        <f>IF(tblFlows[[#This Row],[Year]]="","",IF(AND(tblFlows[[#This Row],[Cumulative cash]]&gt;=0,tblFlows[[#This Row],[Cumulative cash]]-tblFlows[[#This Row],[Net cash flow]]&lt;0),tblFlows[[#This Row],[Year]]-1+(tblFlows[[#This Row],[Net cash flow]]-tblFlows[[#This Row],[Cumulative cash]])/tblFlows[[#This Row],[Net cash flow]],""))</f>
        <v/>
      </c>
      <c r="R16" s="37">
        <f>IF(tblFlows[[#This Row],[Year]]="","",IF(AND(tblFlows[[#This Row],[Cumulative PV]]&gt;=0,tblFlows[[#This Row],[Cumulative PV]]-tblFlows[[#This Row],[Present value]]&lt;0),tblFlows[[#This Row],[Year]]-1+(tblFlows[[#This Row],[Present value]]-tblFlows[[#This Row],[Cumulative PV]])/tblFlows[[#This Row],[Present value]],""))</f>
        <v/>
      </c>
      <c r="S16"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6" s="39" t="s">
        <v>99</v>
      </c>
    </row>
    <row r="17" spans="2:20">
      <c r="B17" s="30">
        <v>10</v>
      </c>
      <c r="C17" s="30"/>
      <c r="D17" s="30">
        <v>159600</v>
      </c>
      <c r="E17" s="30">
        <v>18000</v>
      </c>
      <c r="F17" s="30">
        <v>5000</v>
      </c>
      <c r="G17" s="30">
        <v>14300</v>
      </c>
      <c r="H17" s="30">
        <v>35000</v>
      </c>
      <c r="I17" s="35">
        <f>IF(tblFlows[[#This Row],[Year]]="","",tblFlows[[#This Row],[Labour savings]]+tblFlows[[#This Row],[Material and scrap savings]]+tblFlows[[#This Row],[Other savings]])</f>
        <v>182600</v>
      </c>
      <c r="J17" s="35">
        <f>IF(tblFlows[[#This Row],[Year]]="","",IF(DepYears&gt;0,SUMIFS(tblFlows[Capital spend],tblFlows[Year],"&lt;"&amp;tblFlows[[#This Row],[Year]],tblFlows[Year],"&gt;="&amp;tblFlows[[#This Row],[Year]]-DepYears)/DepYears,0))</f>
        <v>2571.42857142857</v>
      </c>
      <c r="K17" s="35">
        <f>IF(tblFlows[[#This Row],[Year]]="","",(tblFlows[[#This Row],[Total savings]]-tblFlows[[#This Row],[Added operating cost]]-tblFlows[[#This Row],[Depreciation]])*TaxRate)</f>
        <v>41432.1428571429</v>
      </c>
      <c r="L17" s="35">
        <f>IF(tblFlows[[#This Row],[Year]]="","",tblFlows[[#This Row],[Total savings]]-tblFlows[[#This Row],[Added operating cost]]-tblFlows[[#This Row],[Tax effect]]-tblFlows[[#This Row],[Capital spend]]+tblFlows[[#This Row],[Terminal value]])</f>
        <v>161867.857142857</v>
      </c>
      <c r="M17" s="36">
        <f>IF(tblFlows[[#This Row],[Year]]="","",1/(1+DiscountRate)^tblFlows[[#This Row],[Year]])</f>
        <v>0.385543289429531</v>
      </c>
      <c r="N17" s="35">
        <f>IF(tblFlows[[#This Row],[Year]]="","",tblFlows[[#This Row],[Net cash flow]]*tblFlows[[#This Row],[Discount factor]])</f>
        <v>62407.0660957666</v>
      </c>
      <c r="O17" s="35">
        <f>IF(tblFlows[[#This Row],[Year]]="","",SUMIFS(tblFlows[Net cash flow],tblFlows[Year],"&lt;="&amp;tblFlows[[#This Row],[Year]]))</f>
        <v>826721.428571429</v>
      </c>
      <c r="P17" s="35">
        <f>IF(tblFlows[[#This Row],[Year]]="","",SUMIFS(tblFlows[Present value],tblFlows[Year],"&lt;="&amp;tblFlows[[#This Row],[Year]]))</f>
        <v>339122.980740756</v>
      </c>
      <c r="Q17" s="37">
        <f>IF(tblFlows[[#This Row],[Year]]="","",IF(AND(tblFlows[[#This Row],[Cumulative cash]]&gt;=0,tblFlows[[#This Row],[Cumulative cash]]-tblFlows[[#This Row],[Net cash flow]]&lt;0),tblFlows[[#This Row],[Year]]-1+(tblFlows[[#This Row],[Net cash flow]]-tblFlows[[#This Row],[Cumulative cash]])/tblFlows[[#This Row],[Net cash flow]],""))</f>
        <v/>
      </c>
      <c r="R17" s="37">
        <f>IF(tblFlows[[#This Row],[Year]]="","",IF(AND(tblFlows[[#This Row],[Cumulative PV]]&gt;=0,tblFlows[[#This Row],[Cumulative PV]]-tblFlows[[#This Row],[Present value]]&lt;0),tblFlows[[#This Row],[Year]]-1+(tblFlows[[#This Row],[Present value]]-tblFlows[[#This Row],[Cumulative PV]])/tblFlows[[#This Row],[Present value]],""))</f>
        <v/>
      </c>
      <c r="S17" s="38" t="str">
        <f>IF(tblFlows[[#This Row],[Year]]="","",IF(COUNTIFS(tblFlows[Year],tblFlows[[#This Row],[Year]])&gt;1,"Duplicate year",IF(AND(tblFlows[[#This Row],[Year]]=MIN(tblFlows[Year]),tblFlows[[#This Row],[Year]]&lt;&gt;0),"First year should be 0",IF(AND(tblFlows[[#This Row],[Year]]&gt;MIN(tblFlows[Year]),COUNTIFS(tblFlows[Year],tblFlows[[#This Row],[Year]]-1)=0),"Previous year missing",IF(MATCH(tblFlows[[#This Row],[Year]],tblFlows[Year],0)&lt;&gt;COUNTIFS(tblFlows[Year],"&lt;"&amp;tblFlows[[#This Row],[Year]])+1,"Years not in order",IF(AND(tblFlows[[#This Row],[Terminal value]]&gt;0,tblFlows[[#This Row],[Year]]&lt;MAX(tblFlows[Year])),"Terminal value before last year","OK"))))))</f>
        <v>OK</v>
      </c>
      <c r="T17" s="39" t="s">
        <v>101</v>
      </c>
    </row>
  </sheetData>
  <mergeCells count="3">
    <mergeCell ref="A1:T1"/>
    <mergeCell ref="B2:S2"/>
    <mergeCell ref="B4:T4"/>
  </mergeCells>
  <conditionalFormatting sqref="S7:S517">
    <cfRule type="expression" dxfId="3" priority="1">
      <formula>$S7="OK"</formula>
    </cfRule>
    <cfRule type="expression" dxfId="1" priority="2">
      <formula>AND($S7&lt;&gt;"",$S7&lt;&gt;"OK")</formula>
    </cfRule>
  </conditionalFormatting>
  <dataValidations count="8">
    <dataValidation type="whole" allowBlank="1" showInputMessage="1" showErrorMessage="1" errorTitle="Check this entry" error="Enter a whole number from 0 to 15." promptTitle="Year" prompt="0 = the investment date (spend before operation starts); 1 to 15 = years of operation. One row per year, in order. Enter a whole number from 0 to 15." sqref="B7:B517">
      <formula1>0</formula1>
      <formula2>15</formula2>
    </dataValidation>
    <dataValidation type="decimal" allowBlank="1" showInputMessage="1" showErrorMessage="1" errorTitle="Check this entry" error="Enter a number of at least 0." promptTitle="Capital spend" prompt="Equipment, installation, integration and commissioning paid in this year. Enter a number of at least 0." sqref="C7:C517">
      <formula1>0</formula1>
      <formula2>10000000000.0</formula2>
    </dataValidation>
    <dataValidation type="decimal" allowBlank="1" showInputMessage="1" showErrorMessage="1" errorTitle="Check this entry" error="Enter a number of at least 0." promptTitle="Labour savings" prompt="Labour cost no longer paid in this year: posts redeployed, overtime avoided. Use loaded cost. Enter a number of at least 0." sqref="D7:D517">
      <formula1>0</formula1>
      <formula2>10000000000.0</formula2>
    </dataValidation>
    <dataValidation type="decimal" allowBlank="1" showInputMessage="1" showErrorMessage="1" errorTitle="Check this entry" error="Enter a number of at least 0." promptTitle="Material and scrap savings" prompt="Scrap, rework, material and yield savings in this year. Enter a number of at least 0." sqref="E7:E517">
      <formula1>0</formula1>
      <formula2>10000000000.0</formula2>
    </dataValidation>
    <dataValidation type="decimal" allowBlank="1" showInputMessage="1" showErrorMessage="1" errorTitle="Check this entry" error="Enter a number of at least 0." promptTitle="Other savings" prompt="Energy, maintenance, freight or other cash savings in this year. Enter a number of at least 0." sqref="F7:F517">
      <formula1>0</formula1>
      <formula2>10000000000.0</formula2>
    </dataValidation>
    <dataValidation type="decimal" allowBlank="1" showInputMessage="1" showErrorMessage="1" errorTitle="Check this entry" error="Enter a number of at least 0." promptTitle="Added operating cost" prompt="Running costs the project adds: service contracts, spares, software, consumables. Enter a number of at least 0." sqref="G7:G517">
      <formula1>0</formula1>
      <formula2>10000000000.0</formula2>
    </dataValidation>
    <dataValidation type="decimal" allowBlank="1" showInputMessage="1" showErrorMessage="1" errorTitle="Check this entry" error="Enter a number of at least 0." promptTitle="Terminal value" prompt="Resale or salvage value at the end of the last year, after tax. Leave blank in other years. Enter a number of at least 0." sqref="H7:H517">
      <formula1>0</formula1>
      <formula2>10000000000.0</formula2>
    </dataValidation>
    <dataValidation type="textLength" allowBlank="1" showInputMessage="1" showErrorMessage="1" errorTitle="Check this entry" error="Text up to 255 characters." promptTitle="Notes" prompt="Text up to 255 characters." sqref="T7:T517">
      <formula1>0</formula1>
      <formula2>255</formula2>
    </dataValidation>
  </dataValidations>
  <hyperlinks>
    <hyperlink ref="T2" r:id="rId1" tooltip="Free manufacturing calculators and templates"/>
  </hyperlinks>
  <pageMargins left="0.4" right="0.4" top="0.7" bottom="0.65" header="0.3" footer="0.3"/>
  <pageSetup fitToHeight="0" orientation="landscape"/>
  <headerFooter>
    <oddHeader>&amp;L&amp;8MFG Calcs - Capital Project NPV, IRR and Payback&amp;R&amp;8&amp;A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76"/>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ht="20" customHeight="1" x14ac:dyDescent="0.25">
      <c r="B4" s="40" t="str">
        <f>ProjectName&amp;"  -  "&amp;PlantName</f>
        <v>Robotic press tending, Line 3 (example)  -  Kestrel Pressings (example)</v>
      </c>
      <c r="C4" s="40"/>
      <c r="D4" s="40"/>
      <c r="E4" s="40"/>
      <c r="F4" s="40"/>
      <c r="G4" s="40"/>
      <c r="H4" s="40"/>
      <c r="I4" s="40"/>
      <c r="J4" s="40"/>
      <c r="K4" s="40"/>
      <c r="L4" s="40"/>
    </row>
    <row r="5" spans="1:12" x14ac:dyDescent="0.25">
      <c r="B5" s="41" t="str">
        <f>"Discount rate "&amp;ROUND(DiscountRate*100,2)&amp;"% a year, tax "&amp;ROUND(TaxRate*100,2)&amp;"%, "&amp;COUNT(tblFlows[Year])&amp;" years of cash flow from year 0. Amounts in "&amp;Currency&amp;"; year 0 is not discounted."</f>
        <v>Discount rate 10% a year, tax 25%, 11 years of cash flow from year 0. Amounts in USD; year 0 is not discounted.</v>
      </c>
      <c r="C5" s="41"/>
      <c r="D5" s="41"/>
      <c r="E5" s="41"/>
      <c r="F5" s="41"/>
      <c r="G5" s="41"/>
      <c r="H5" s="41"/>
      <c r="I5" s="41"/>
      <c r="J5" s="41"/>
      <c r="K5" s="41"/>
      <c r="L5" s="41"/>
    </row>
    <row r="7" spans="1:12" ht="18" customHeight="1" x14ac:dyDescent="0.25">
      <c r="B7" s="42" t="str">
        <f>"NET PRESENT VALUE ("&amp;Currency&amp;")"</f>
        <v>NET PRESENT VALUE (USD)</v>
      </c>
      <c r="C7" s="42"/>
      <c r="D7" s="42" t="s">
        <v>102</v>
      </c>
      <c r="E7" s="42"/>
      <c r="F7" s="42"/>
      <c r="G7" s="42" t="s">
        <v>103</v>
      </c>
      <c r="H7" s="42"/>
      <c r="I7" s="42"/>
      <c r="J7" s="42" t="s">
        <v>104</v>
      </c>
      <c r="K7" s="42"/>
      <c r="L7" s="42"/>
    </row>
    <row r="8" spans="1:12" ht="21" customHeight="1" x14ac:dyDescent="0.25">
      <c r="B8" s="43">
        <f>IF(COUNT(tblFlows[Year])=0,"",SUM(tblFlows[Present value]))</f>
        <v>339122.980740756</v>
      </c>
      <c r="C8" s="43"/>
      <c r="D8" s="44">
        <f>IF(COUNT(tblFlows[Year])=0,"",IFERROR(IRR($H$50:$H$65),"Not found"))</f>
        <v>0.268453491248546</v>
      </c>
      <c r="E8" s="44"/>
      <c r="F8" s="44"/>
      <c r="G8" s="45">
        <f>IF(COUNT(tblFlows[Year])=0,"",IF(COUNT(tblFlows[Payback (yr)])=0,"Not reached",MIN(tblFlows[Payback (yr)])))</f>
        <v>3.54771126760563</v>
      </c>
      <c r="H8" s="45"/>
      <c r="I8" s="45"/>
      <c r="J8" s="45">
        <f>IF(COUNT(tblFlows[Year])=0,"",IF(COUNT(tblFlows[Discounted payback (yr)])=0,"Not reached",MIN(tblFlows[Discounted payback (yr)])))</f>
        <v>4.49907082365092</v>
      </c>
      <c r="K8" s="45"/>
      <c r="L8" s="45"/>
    </row>
    <row r="9" spans="1:12" ht="21" customHeight="1" x14ac:dyDescent="0.25">
      <c r="B9" s="43"/>
      <c r="C9" s="43"/>
      <c r="D9" s="44"/>
      <c r="E9" s="44"/>
      <c r="F9" s="44"/>
      <c r="G9" s="45"/>
      <c r="H9" s="45"/>
      <c r="I9" s="45"/>
      <c r="J9" s="45"/>
      <c r="K9" s="45"/>
      <c r="L9" s="45"/>
    </row>
    <row r="10" spans="1:12" x14ac:dyDescent="0.25">
      <c r="B10" s="46">
        <f>0</f>
        <v>0</v>
      </c>
      <c r="C10" s="46"/>
      <c r="D10" s="47">
        <f>DiscountRate</f>
        <v>0.1</v>
      </c>
      <c r="E10" s="47"/>
      <c r="F10" s="47"/>
      <c r="G10" s="48">
        <f>MaxPayback</f>
        <v>3</v>
      </c>
      <c r="H10" s="48"/>
      <c r="I10" s="48"/>
      <c r="J10" s="49" t="s">
        <v>105</v>
      </c>
      <c r="K10" s="49"/>
      <c r="L10" s="49"/>
    </row>
    <row r="11" spans="1:12" ht="18" customHeight="1" x14ac:dyDescent="0.25">
      <c r="B11" s="50" t="str">
        <f>IF(NOT(ISNUMBER(KpiNPV)),"No data",IF(KpiNPV&gt;=(0),"On target",IF(KpiNPV&gt;=(0)*(1-0.05),"Near target","Below target")))</f>
        <v>On target</v>
      </c>
      <c r="C11" s="50"/>
      <c r="D11" s="50" t="str">
        <f>IF(NOT(ISNUMBER(KpiIRR)),"No data",IF(KpiIRR&gt;=(DiscountRate),"On target",IF(KpiIRR&gt;=(DiscountRate)*(1-0.05),"Near target","Below target")))</f>
        <v>On target</v>
      </c>
      <c r="E11" s="50"/>
      <c r="F11" s="50"/>
      <c r="G11" s="50" t="str">
        <f>IF(NOT(ISNUMBER(KpiPayback)),"No data",IF(KpiPayback&lt;=(MaxPayback),"On target",IF(KpiPayback&lt;=(MaxPayback)*(1+0.05),"Near target","Above target")))</f>
        <v>Above target</v>
      </c>
      <c r="H11" s="50"/>
      <c r="I11" s="50"/>
      <c r="J11" s="50"/>
      <c r="K11" s="50"/>
      <c r="L11" s="50"/>
    </row>
    <row r="31" spans="2:12" ht="18" customHeight="1" x14ac:dyDescent="0.25">
      <c r="B31" s="42" t="str">
        <f>"CAPITAL SPEND ("&amp;Currency&amp;")"</f>
        <v>CAPITAL SPEND (USD)</v>
      </c>
      <c r="C31" s="42"/>
      <c r="D31" s="42" t="str">
        <f>"NET CASH OVER THE PROJECT ("&amp;Currency&amp;")"</f>
        <v>NET CASH OVER THE PROJECT (USD)</v>
      </c>
      <c r="E31" s="42"/>
      <c r="F31" s="42"/>
      <c r="G31" s="42" t="s">
        <v>106</v>
      </c>
      <c r="H31" s="42"/>
      <c r="I31" s="42"/>
      <c r="J31" s="42" t="s">
        <v>107</v>
      </c>
      <c r="K31" s="42"/>
      <c r="L31" s="42"/>
    </row>
    <row r="32" spans="2:12" ht="21" customHeight="1" x14ac:dyDescent="0.25">
      <c r="B32" s="43">
        <f>IF(COUNT(tblFlows[Year])=0,"",SUM(tblFlows[Capital spend]))</f>
        <v>402000</v>
      </c>
      <c r="C32" s="43"/>
      <c r="D32" s="43">
        <f>IF(COUNT(tblFlows[Year])=0,"",SUM(tblFlows[Net cash flow]))</f>
        <v>826721.428571429</v>
      </c>
      <c r="E32" s="43"/>
      <c r="F32" s="43"/>
      <c r="G32" s="51">
        <f>IF((SUMPRODUCT($C$50:$C$65,$I$50:$I$65))=0,"",(SUM(tblFlows[Present value])+SUMPRODUCT($C$50:$C$65,$I$50:$I$65))/(SUMPRODUCT($C$50:$C$65,$I$50:$I$65)))</f>
        <v>1.86515662681448</v>
      </c>
      <c r="H32" s="51"/>
      <c r="I32" s="51"/>
      <c r="J32" s="52">
        <f>IF((SUMPRODUCT($D$50:$D$65,$I$50:$I$65)*(1-TaxRate))&lt;=0,"",1-SUM(tblFlows[Present value])/(SUMPRODUCT($D$50:$D$65,$I$50:$I$65)*(1-TaxRate)))</f>
        <v>0.522125819900916</v>
      </c>
      <c r="K32" s="52"/>
      <c r="L32" s="52"/>
    </row>
    <row r="33" spans="2:12" ht="21" customHeight="1" x14ac:dyDescent="0.25">
      <c r="B33" s="43"/>
      <c r="C33" s="43"/>
      <c r="D33" s="43"/>
      <c r="E33" s="43"/>
      <c r="F33" s="43"/>
      <c r="G33" s="51"/>
      <c r="H33" s="51"/>
      <c r="I33" s="51"/>
      <c r="J33" s="52"/>
      <c r="K33" s="52"/>
      <c r="L33" s="52"/>
    </row>
    <row r="34" spans="2:12" x14ac:dyDescent="0.25">
      <c r="B34" s="49" t="s">
        <v>108</v>
      </c>
      <c r="C34" s="49"/>
      <c r="D34" s="49" t="s">
        <v>109</v>
      </c>
      <c r="E34" s="49"/>
      <c r="F34" s="49"/>
      <c r="G34" s="53">
        <f>1</f>
        <v>1</v>
      </c>
      <c r="H34" s="53"/>
      <c r="I34" s="53"/>
      <c r="J34" s="49" t="s">
        <v>110</v>
      </c>
      <c r="K34" s="49"/>
      <c r="L34" s="49"/>
    </row>
    <row r="35" spans="2:12" ht="18" customHeight="1" x14ac:dyDescent="0.25">
      <c r="B35" s="50"/>
      <c r="C35" s="50"/>
      <c r="D35" s="50"/>
      <c r="E35" s="50"/>
      <c r="F35" s="50"/>
      <c r="G35" s="50" t="str">
        <f>IF(NOT(ISNUMBER(KpiPI)),"No data",IF(KpiPI&gt;=(1),"On target",IF(KpiPI&gt;=(1)*(1-0.05),"Near target","Below target")))</f>
        <v>On target</v>
      </c>
      <c r="H35" s="50"/>
      <c r="I35" s="50"/>
      <c r="J35" s="50"/>
      <c r="K35" s="50"/>
      <c r="L35" s="50"/>
    </row>
    <row r="37" spans="2:12" x14ac:dyDescent="0.25">
      <c r="B37" s="54" t="s">
        <v>111</v>
      </c>
      <c r="C37" s="54"/>
      <c r="D37" s="54"/>
      <c r="E37" s="54"/>
      <c r="F37" s="54"/>
      <c r="H37" s="54" t="s">
        <v>112</v>
      </c>
      <c r="I37" s="54"/>
      <c r="J37" s="54"/>
      <c r="K37" s="54"/>
      <c r="L37" s="54"/>
    </row>
    <row r="38" spans="2:12" ht="32" customHeight="1" x14ac:dyDescent="0.25">
      <c r="B38" s="55" t="s">
        <v>113</v>
      </c>
      <c r="C38" s="34" t="s">
        <v>114</v>
      </c>
      <c r="D38" s="34" t="s">
        <v>115</v>
      </c>
      <c r="E38" s="34" t="s">
        <v>116</v>
      </c>
      <c r="F38" s="34" t="s">
        <v>117</v>
      </c>
      <c r="H38" s="55" t="s">
        <v>118</v>
      </c>
      <c r="I38" s="56">
        <v>0.6</v>
      </c>
      <c r="J38" s="56">
        <v>0.8</v>
      </c>
      <c r="K38" s="56">
        <v>1</v>
      </c>
      <c r="L38" s="56">
        <v>1.2</v>
      </c>
    </row>
    <row r="39" spans="2:12" x14ac:dyDescent="0.25">
      <c r="B39" s="57" t="s">
        <v>77</v>
      </c>
      <c r="C39" s="35">
        <f>SUMPRODUCT(SUMIFS(tblFlows[Capital spend],tblFlows[Year],$B$50:$B$65),$I$50:$I$65)</f>
        <v>391978.71255915</v>
      </c>
      <c r="D39" s="35">
        <f>-1*$C$39*(1-0*TaxRate)+1*TaxRate*SUMPRODUCT(SUMIFS(tblFlows[Depreciation],tblFlows[Year],$B$50:$B$65),$I$50:$I$65)</f>
        <v>-324440.914822961</v>
      </c>
      <c r="E39" s="35">
        <f>ABS($D$39)*SwingPct</f>
        <v>64888.1829645921</v>
      </c>
      <c r="F39" s="35">
        <f>COUNTIF($E$39:$E$44,"&gt;"&amp;$E$39)+SUMPRODUCT(($E$39:$E$44=$E$39)*(ROW($E$39:$E$44)&lt;ROW($E$39)))+1</f>
        <v>2</v>
      </c>
      <c r="H39" s="58">
        <f>DiscountRate-2*RateStep</f>
        <v>0.06</v>
      </c>
      <c r="I39" s="59">
        <f>SUMPRODUCT(($H$50:$H$65+($I$38-1)*(1-TaxRate)*$D$50:$D$65)/(1+$H$39)^$B$50:$B$65)</f>
        <v>147024.557653395</v>
      </c>
      <c r="J39" s="59">
        <f>SUMPRODUCT(($H$50:$H$65+($J$38-1)*(1-TaxRate)*$D$50:$D$65)/(1+$H$39)^$B$50:$B$65)</f>
        <v>319272.632955251</v>
      </c>
      <c r="K39" s="59">
        <f>SUMPRODUCT(($H$50:$H$65+($K$38-1)*(1-TaxRate)*$D$50:$D$65)/(1+$H$39)^$B$50:$B$65)</f>
        <v>491520.708257107</v>
      </c>
      <c r="L39" s="59">
        <f>SUMPRODUCT(($H$50:$H$65+($L$38-1)*(1-TaxRate)*$D$50:$D$65)/(1+$H$39)^$B$50:$B$65)</f>
        <v>663768.783558963</v>
      </c>
    </row>
    <row r="40" spans="2:12" x14ac:dyDescent="0.25">
      <c r="B40" s="57" t="s">
        <v>78</v>
      </c>
      <c r="C40" s="35">
        <f>SUMPRODUCT(SUMIFS(tblFlows[Labour savings],tblFlows[Year],$B$50:$B$65),$I$50:$I$65)</f>
        <v>811146.480828742</v>
      </c>
      <c r="D40" s="35">
        <f>1*$C$40*(1-1*TaxRate)+0*TaxRate*SUMPRODUCT(SUMIFS(tblFlows[Depreciation],tblFlows[Year],$B$50:$B$65),$I$50:$I$65)</f>
        <v>608359.860621557</v>
      </c>
      <c r="E40" s="35">
        <f>ABS($D$40)*SwingPct</f>
        <v>121671.972124311</v>
      </c>
      <c r="F40" s="35">
        <f>COUNTIF($E$39:$E$44,"&gt;"&amp;$E$40)+SUMPRODUCT(($E$39:$E$44=$E$40)*(ROW($E$39:$E$44)&lt;ROW($E$40)))+1</f>
        <v>1</v>
      </c>
      <c r="H40" s="58">
        <f>$H$39+RateStep</f>
        <v>0.08</v>
      </c>
      <c r="I40" s="59">
        <f>SUMPRODUCT(($H$50:$H$65+($I$38-1)*(1-TaxRate)*$D$50:$D$65)/(1+$H$40)^$B$50:$B$65)</f>
        <v>97826.0962396906</v>
      </c>
      <c r="J40" s="59">
        <f>SUMPRODUCT(($H$50:$H$65+($J$38-1)*(1-TaxRate)*$D$50:$D$65)/(1+$H$40)^$B$50:$B$65)</f>
        <v>253832.741435796</v>
      </c>
      <c r="K40" s="59">
        <f>SUMPRODUCT(($H$50:$H$65+($K$38-1)*(1-TaxRate)*$D$50:$D$65)/(1+$H$40)^$B$50:$B$65)</f>
        <v>409839.386631901</v>
      </c>
      <c r="L40" s="59">
        <f>SUMPRODUCT(($H$50:$H$65+($L$38-1)*(1-TaxRate)*$D$50:$D$65)/(1+$H$40)^$B$50:$B$65)</f>
        <v>565846.031828006</v>
      </c>
    </row>
    <row r="41" spans="2:12" x14ac:dyDescent="0.25">
      <c r="B41" s="57" t="s">
        <v>119</v>
      </c>
      <c r="C41" s="35">
        <f>SUMPRODUCT(SUMIFS(tblFlows[Material and scrap savings],tblFlows[Year],$B$50:$B$65),$I$50:$I$65)</f>
        <v>105693.116993593</v>
      </c>
      <c r="D41" s="35">
        <f>1*$C$41*(1-1*TaxRate)+0*TaxRate*SUMPRODUCT(SUMIFS(tblFlows[Depreciation],tblFlows[Year],$B$50:$B$65),$I$50:$I$65)</f>
        <v>79269.837745195</v>
      </c>
      <c r="E41" s="35">
        <f>ABS($D$41)*SwingPct</f>
        <v>15853.967549039</v>
      </c>
      <c r="F41" s="35">
        <f>COUNTIF($E$39:$E$44,"&gt;"&amp;$E$41)+SUMPRODUCT(($E$39:$E$44=$E$41)*(ROW($E$39:$E$44)&lt;ROW($E$41)))+1</f>
        <v>3</v>
      </c>
      <c r="H41" s="58">
        <f>$H$40+RateStep</f>
        <v>0.1</v>
      </c>
      <c r="I41" s="59">
        <f>SUMPRODUCT(($H$50:$H$65+($I$38-1)*(1-TaxRate)*$D$50:$D$65)/(1+$H$41)^$B$50:$B$65)</f>
        <v>55263.3416445895</v>
      </c>
      <c r="J41" s="59">
        <f>SUMPRODUCT(($H$50:$H$65+($J$38-1)*(1-TaxRate)*$D$50:$D$65)/(1+$H$41)^$B$50:$B$65)</f>
        <v>197193.161192673</v>
      </c>
      <c r="K41" s="59">
        <f>SUMPRODUCT(($H$50:$H$65+($K$38-1)*(1-TaxRate)*$D$50:$D$65)/(1+$H$41)^$B$50:$B$65)</f>
        <v>339122.980740756</v>
      </c>
      <c r="L41" s="59">
        <f>SUMPRODUCT(($H$50:$H$65+($L$38-1)*(1-TaxRate)*$D$50:$D$65)/(1+$H$41)^$B$50:$B$65)</f>
        <v>481052.80028884</v>
      </c>
    </row>
    <row r="42" spans="2:12" x14ac:dyDescent="0.25">
      <c r="B42" s="57" t="s">
        <v>80</v>
      </c>
      <c r="C42" s="35">
        <f>SUMPRODUCT(SUMIFS(tblFlows[Other savings],tblFlows[Year],$B$50:$B$65),$I$50:$I$65)</f>
        <v>29359.199164887</v>
      </c>
      <c r="D42" s="35">
        <f>1*$C$42*(1-1*TaxRate)+0*TaxRate*SUMPRODUCT(SUMIFS(tblFlows[Depreciation],tblFlows[Year],$B$50:$B$65),$I$50:$I$65)</f>
        <v>22019.3993736653</v>
      </c>
      <c r="E42" s="35">
        <f>ABS($D$42)*SwingPct</f>
        <v>4403.87987473306</v>
      </c>
      <c r="F42" s="35">
        <f>COUNTIF($E$39:$E$44,"&gt;"&amp;$E$42)+SUMPRODUCT(($E$39:$E$44=$E$42)*(ROW($E$39:$E$44)&lt;ROW($E$42)))+1</f>
        <v>5</v>
      </c>
      <c r="H42" s="58">
        <f>$H$41+RateStep</f>
        <v>0.12</v>
      </c>
      <c r="I42" s="59">
        <f>SUMPRODUCT(($H$50:$H$65+($I$38-1)*(1-TaxRate)*$D$50:$D$65)/(1+$H$42)^$B$50:$B$65)</f>
        <v>18263.7260876606</v>
      </c>
      <c r="J42" s="59">
        <f>SUMPRODUCT(($H$50:$H$65+($J$38-1)*(1-TaxRate)*$D$50:$D$65)/(1+$H$42)^$B$50:$B$65)</f>
        <v>147935.394108726</v>
      </c>
      <c r="K42" s="59">
        <f>SUMPRODUCT(($H$50:$H$65+($K$38-1)*(1-TaxRate)*$D$50:$D$65)/(1+$H$42)^$B$50:$B$65)</f>
        <v>277607.062129791</v>
      </c>
      <c r="L42" s="59">
        <f>SUMPRODUCT(($H$50:$H$65+($L$38-1)*(1-TaxRate)*$D$50:$D$65)/(1+$H$42)^$B$50:$B$65)</f>
        <v>407278.730150856</v>
      </c>
    </row>
    <row r="43" spans="2:12" x14ac:dyDescent="0.25">
      <c r="B43" s="57" t="s">
        <v>120</v>
      </c>
      <c r="C43" s="35">
        <f>SUMPRODUCT(SUMIFS(tblFlows[Added operating cost],tblFlows[Year],$B$50:$B$65),$I$50:$I$65)</f>
        <v>79438.9564089783</v>
      </c>
      <c r="D43" s="35">
        <f>-1*$C$43*(1-1*TaxRate)+0*TaxRate*SUMPRODUCT(SUMIFS(tblFlows[Depreciation],tblFlows[Year],$B$50:$B$65),$I$50:$I$65)</f>
        <v>-59579.2173067337</v>
      </c>
      <c r="E43" s="35">
        <f>ABS($D$43)*SwingPct</f>
        <v>11915.8434613467</v>
      </c>
      <c r="F43" s="35">
        <f>COUNTIF($E$39:$E$44,"&gt;"&amp;$E$43)+SUMPRODUCT(($E$39:$E$44=$E$43)*(ROW($E$39:$E$44)&lt;ROW($E$43)))+1</f>
        <v>4</v>
      </c>
      <c r="H43" s="58">
        <f>$H$42+RateStep</f>
        <v>0.14</v>
      </c>
      <c r="I43" s="59">
        <f>SUMPRODUCT(($H$50:$H$65+($I$38-1)*(1-TaxRate)*$D$50:$D$65)/(1+$H$43)^$B$50:$B$65)</f>
        <v>-14049.1996193877</v>
      </c>
      <c r="J43" s="59">
        <f>SUMPRODUCT(($H$50:$H$65+($J$38-1)*(1-TaxRate)*$D$50:$D$65)/(1+$H$43)^$B$50:$B$65)</f>
        <v>104899.604141849</v>
      </c>
      <c r="K43" s="59">
        <f>SUMPRODUCT(($H$50:$H$65+($K$38-1)*(1-TaxRate)*$D$50:$D$65)/(1+$H$43)^$B$50:$B$65)</f>
        <v>223848.407903086</v>
      </c>
      <c r="L43" s="59">
        <f>SUMPRODUCT(($H$50:$H$65+($L$38-1)*(1-TaxRate)*$D$50:$D$65)/(1+$H$43)^$B$50:$B$65)</f>
        <v>342797.211664323</v>
      </c>
    </row>
    <row r="44" spans="2:12" x14ac:dyDescent="0.25">
      <c r="B44" s="57" t="s">
        <v>82</v>
      </c>
      <c r="C44" s="35">
        <f>SUMPRODUCT(SUMIFS(tblFlows[Terminal value],tblFlows[Year],$B$50:$B$65),$I$50:$I$65)</f>
        <v>13494.0151300336</v>
      </c>
      <c r="D44" s="35">
        <f>1*$C$44*(1-0*TaxRate)+0*TaxRate*SUMPRODUCT(SUMIFS(tblFlows[Depreciation],tblFlows[Year],$B$50:$B$65),$I$50:$I$65)</f>
        <v>13494.0151300336</v>
      </c>
      <c r="E44" s="35">
        <f>ABS($D$44)*SwingPct</f>
        <v>2698.80302600672</v>
      </c>
      <c r="F44" s="35">
        <f>COUNTIF($E$39:$E$44,"&gt;"&amp;$E$44)+SUMPRODUCT(($E$39:$E$44=$E$44)*(ROW($E$39:$E$44)&lt;ROW($E$44)))+1</f>
        <v>6</v>
      </c>
    </row>
    <row r="46" spans="2:12" ht="26.76" customHeight="1" x14ac:dyDescent="0.25">
      <c r="B46" s="21" t="s">
        <v>121</v>
      </c>
      <c r="C46" s="21"/>
      <c r="D46" s="21"/>
      <c r="E46" s="21"/>
      <c r="F46" s="21"/>
      <c r="G46" s="21"/>
      <c r="H46" s="21"/>
      <c r="I46" s="21"/>
      <c r="J46" s="21"/>
      <c r="K46" s="21"/>
      <c r="L46" s="21"/>
    </row>
    <row r="48" spans="2:12" x14ac:dyDescent="0.25">
      <c r="B48" s="54" t="s">
        <v>122</v>
      </c>
      <c r="C48" s="54"/>
      <c r="D48" s="54"/>
      <c r="E48" s="54"/>
      <c r="F48" s="54"/>
      <c r="G48" s="54"/>
      <c r="H48" s="54"/>
      <c r="I48" s="54"/>
      <c r="J48" s="54"/>
      <c r="K48" s="54"/>
      <c r="L48" s="54"/>
    </row>
    <row r="49" spans="2:12" ht="32" customHeight="1" x14ac:dyDescent="0.25">
      <c r="B49" s="55" t="s">
        <v>76</v>
      </c>
      <c r="C49" s="34" t="s">
        <v>77</v>
      </c>
      <c r="D49" s="34" t="s">
        <v>83</v>
      </c>
      <c r="E49" s="34" t="s">
        <v>120</v>
      </c>
      <c r="F49" s="34" t="s">
        <v>85</v>
      </c>
      <c r="G49" s="34" t="s">
        <v>82</v>
      </c>
      <c r="H49" s="34" t="s">
        <v>86</v>
      </c>
      <c r="I49" s="34" t="s">
        <v>87</v>
      </c>
      <c r="J49" s="34" t="s">
        <v>88</v>
      </c>
      <c r="K49" s="34" t="s">
        <v>89</v>
      </c>
      <c r="L49" s="34" t="s">
        <v>90</v>
      </c>
    </row>
    <row r="50" spans="2:12" x14ac:dyDescent="0.25">
      <c r="B50" s="60">
        <v>0</v>
      </c>
      <c r="C50" s="35">
        <f>SUMIFS(tblFlows[Capital spend],tblFlows[Year],$B$50)</f>
        <v>360000</v>
      </c>
      <c r="D50" s="35">
        <f>SUMIFS(tblFlows[Total savings],tblFlows[Year],$B$50)</f>
        <v>0</v>
      </c>
      <c r="E50" s="35">
        <f>SUMIFS(tblFlows[Added operating cost],tblFlows[Year],$B$50)</f>
        <v>0</v>
      </c>
      <c r="F50" s="35">
        <f>SUMIFS(tblFlows[Tax effect],tblFlows[Year],$B$50)</f>
        <v>0</v>
      </c>
      <c r="G50" s="35">
        <f>SUMIFS(tblFlows[Terminal value],tblFlows[Year],$B$50)</f>
        <v>0</v>
      </c>
      <c r="H50" s="35">
        <f>SUMIFS(tblFlows[Net cash flow],tblFlows[Year],$B$50)</f>
        <v>-360000</v>
      </c>
      <c r="I50" s="36">
        <f>1/(1+DiscountRate)^$B$50</f>
        <v>1</v>
      </c>
      <c r="J50" s="35">
        <f>$H$50*$I$50</f>
        <v>-360000</v>
      </c>
      <c r="K50" s="35">
        <f>SUMIFS(tblFlows[Net cash flow],tblFlows[Year],"&lt;="&amp;$B$50)</f>
        <v>-360000</v>
      </c>
      <c r="L50" s="35">
        <f>SUMIFS(tblFlows[Present value],tblFlows[Year],"&lt;="&amp;$B$50)</f>
        <v>-360000</v>
      </c>
    </row>
    <row r="51" spans="2:12" x14ac:dyDescent="0.25">
      <c r="B51" s="60">
        <f>$B$50+1</f>
        <v>1</v>
      </c>
      <c r="C51" s="35">
        <f>SUMIFS(tblFlows[Capital spend],tblFlows[Year],$B$51)</f>
        <v>24000</v>
      </c>
      <c r="D51" s="35">
        <f>SUMIFS(tblFlows[Total savings],tblFlows[Year],$B$51)</f>
        <v>104300</v>
      </c>
      <c r="E51" s="35">
        <f>SUMIFS(tblFlows[Added operating cost],tblFlows[Year],$B$51)</f>
        <v>12000</v>
      </c>
      <c r="F51" s="35">
        <f>SUMIFS(tblFlows[Tax effect],tblFlows[Year],$B$51)</f>
        <v>10217.8571428571</v>
      </c>
      <c r="G51" s="35">
        <f>SUMIFS(tblFlows[Terminal value],tblFlows[Year],$B$51)</f>
        <v>0</v>
      </c>
      <c r="H51" s="35">
        <f>SUMIFS(tblFlows[Net cash flow],tblFlows[Year],$B$51)</f>
        <v>58082.1428571429</v>
      </c>
      <c r="I51" s="36">
        <f>1/(1+DiscountRate)^$B$51</f>
        <v>0.909090909090909</v>
      </c>
      <c r="J51" s="35">
        <f>$H$51*$I$51</f>
        <v>52801.9480519481</v>
      </c>
      <c r="K51" s="35">
        <f>SUMIFS(tblFlows[Net cash flow],tblFlows[Year],"&lt;="&amp;$B$51)</f>
        <v>-301917.857142857</v>
      </c>
      <c r="L51" s="35">
        <f>SUMIFS(tblFlows[Present value],tblFlows[Year],"&lt;="&amp;$B$51)</f>
        <v>-307198.051948052</v>
      </c>
    </row>
    <row r="52" spans="2:12" x14ac:dyDescent="0.25">
      <c r="B52" s="60">
        <f>$B$51+1</f>
        <v>2</v>
      </c>
      <c r="C52" s="35">
        <f>SUMIFS(tblFlows[Capital spend],tblFlows[Year],$B$52)</f>
        <v>0</v>
      </c>
      <c r="D52" s="35">
        <f>SUMIFS(tblFlows[Total savings],tblFlows[Year],$B$52)</f>
        <v>149000</v>
      </c>
      <c r="E52" s="35">
        <f>SUMIFS(tblFlows[Added operating cost],tblFlows[Year],$B$52)</f>
        <v>12200</v>
      </c>
      <c r="F52" s="35">
        <f>SUMIFS(tblFlows[Tax effect],tblFlows[Year],$B$52)</f>
        <v>20485.7142857143</v>
      </c>
      <c r="G52" s="35">
        <f>SUMIFS(tblFlows[Terminal value],tblFlows[Year],$B$52)</f>
        <v>0</v>
      </c>
      <c r="H52" s="35">
        <f>SUMIFS(tblFlows[Net cash flow],tblFlows[Year],$B$52)</f>
        <v>116314.285714286</v>
      </c>
      <c r="I52" s="36">
        <f>1/(1+DiscountRate)^$B$52</f>
        <v>0.826446280991735</v>
      </c>
      <c r="J52" s="35">
        <f>$H$52*$I$52</f>
        <v>96127.5088547816</v>
      </c>
      <c r="K52" s="35">
        <f>SUMIFS(tblFlows[Net cash flow],tblFlows[Year],"&lt;="&amp;$B$52)</f>
        <v>-185603.571428571</v>
      </c>
      <c r="L52" s="35">
        <f>SUMIFS(tblFlows[Present value],tblFlows[Year],"&lt;="&amp;$B$52)</f>
        <v>-211070.54309327</v>
      </c>
    </row>
    <row r="53" spans="2:12" x14ac:dyDescent="0.25">
      <c r="B53" s="60">
        <f>$B$52+1</f>
        <v>3</v>
      </c>
      <c r="C53" s="35">
        <f>SUMIFS(tblFlows[Capital spend],tblFlows[Year],$B$53)</f>
        <v>0</v>
      </c>
      <c r="D53" s="35">
        <f>SUMIFS(tblFlows[Total savings],tblFlows[Year],$B$53)</f>
        <v>152800</v>
      </c>
      <c r="E53" s="35">
        <f>SUMIFS(tblFlows[Added operating cost],tblFlows[Year],$B$53)</f>
        <v>12500</v>
      </c>
      <c r="F53" s="35">
        <f>SUMIFS(tblFlows[Tax effect],tblFlows[Year],$B$53)</f>
        <v>21360.7142857143</v>
      </c>
      <c r="G53" s="35">
        <f>SUMIFS(tblFlows[Terminal value],tblFlows[Year],$B$53)</f>
        <v>0</v>
      </c>
      <c r="H53" s="35">
        <f>SUMIFS(tblFlows[Net cash flow],tblFlows[Year],$B$53)</f>
        <v>118939.285714286</v>
      </c>
      <c r="I53" s="36">
        <f>1/(1+DiscountRate)^$B$53</f>
        <v>0.751314800901578</v>
      </c>
      <c r="J53" s="35">
        <f>$H$53*$I$53</f>
        <v>89360.8457658044</v>
      </c>
      <c r="K53" s="35">
        <f>SUMIFS(tblFlows[Net cash flow],tblFlows[Year],"&lt;="&amp;$B$53)</f>
        <v>-66664.2857142857</v>
      </c>
      <c r="L53" s="35">
        <f>SUMIFS(tblFlows[Present value],tblFlows[Year],"&lt;="&amp;$B$53)</f>
        <v>-121709.697327466</v>
      </c>
    </row>
    <row r="54" spans="2:12" x14ac:dyDescent="0.25">
      <c r="B54" s="60">
        <f>$B$53+1</f>
        <v>4</v>
      </c>
      <c r="C54" s="35">
        <f>SUMIFS(tblFlows[Capital spend],tblFlows[Year],$B$54)</f>
        <v>0</v>
      </c>
      <c r="D54" s="35">
        <f>SUMIFS(tblFlows[Total savings],tblFlows[Year],$B$54)</f>
        <v>156700</v>
      </c>
      <c r="E54" s="35">
        <f>SUMIFS(tblFlows[Added operating cost],tblFlows[Year],$B$54)</f>
        <v>12700</v>
      </c>
      <c r="F54" s="35">
        <f>SUMIFS(tblFlows[Tax effect],tblFlows[Year],$B$54)</f>
        <v>22285.7142857143</v>
      </c>
      <c r="G54" s="35">
        <f>SUMIFS(tblFlows[Terminal value],tblFlows[Year],$B$54)</f>
        <v>0</v>
      </c>
      <c r="H54" s="35">
        <f>SUMIFS(tblFlows[Net cash flow],tblFlows[Year],$B$54)</f>
        <v>121714.285714286</v>
      </c>
      <c r="I54" s="36">
        <f>1/(1+DiscountRate)^$B$54</f>
        <v>0.683013455365071</v>
      </c>
      <c r="J54" s="35">
        <f>$H$54*$I$54</f>
        <v>83132.4948530057</v>
      </c>
      <c r="K54" s="35">
        <f>SUMIFS(tblFlows[Net cash flow],tblFlows[Year],"&lt;="&amp;$B$54)</f>
        <v>55050</v>
      </c>
      <c r="L54" s="35">
        <f>SUMIFS(tblFlows[Present value],tblFlows[Year],"&lt;="&amp;$B$54)</f>
        <v>-38577.2024744602</v>
      </c>
    </row>
    <row r="55" spans="2:12" x14ac:dyDescent="0.25">
      <c r="B55" s="60">
        <f>$B$54+1</f>
        <v>5</v>
      </c>
      <c r="C55" s="35">
        <f>SUMIFS(tblFlows[Capital spend],tblFlows[Year],$B$55)</f>
        <v>0</v>
      </c>
      <c r="D55" s="35">
        <f>SUMIFS(tblFlows[Total savings],tblFlows[Year],$B$55)</f>
        <v>160700</v>
      </c>
      <c r="E55" s="35">
        <f>SUMIFS(tblFlows[Added operating cost],tblFlows[Year],$B$55)</f>
        <v>13000</v>
      </c>
      <c r="F55" s="35">
        <f>SUMIFS(tblFlows[Tax effect],tblFlows[Year],$B$55)</f>
        <v>23210.7142857143</v>
      </c>
      <c r="G55" s="35">
        <f>SUMIFS(tblFlows[Terminal value],tblFlows[Year],$B$55)</f>
        <v>0</v>
      </c>
      <c r="H55" s="35">
        <f>SUMIFS(tblFlows[Net cash flow],tblFlows[Year],$B$55)</f>
        <v>124489.285714286</v>
      </c>
      <c r="I55" s="36">
        <f>1/(1+DiscountRate)^$B$55</f>
        <v>0.620921323059155</v>
      </c>
      <c r="J55" s="35">
        <f>$H$55*$I$55</f>
        <v>77298.0519924034</v>
      </c>
      <c r="K55" s="35">
        <f>SUMIFS(tblFlows[Net cash flow],tblFlows[Year],"&lt;="&amp;$B$55)</f>
        <v>179539.285714286</v>
      </c>
      <c r="L55" s="35">
        <f>SUMIFS(tblFlows[Present value],tblFlows[Year],"&lt;="&amp;$B$55)</f>
        <v>38720.8495179432</v>
      </c>
    </row>
    <row r="56" spans="2:12" x14ac:dyDescent="0.25">
      <c r="B56" s="60">
        <f>$B$55+1</f>
        <v>6</v>
      </c>
      <c r="C56" s="35">
        <f>SUMIFS(tblFlows[Capital spend],tblFlows[Year],$B$56)</f>
        <v>18000</v>
      </c>
      <c r="D56" s="35">
        <f>SUMIFS(tblFlows[Total savings],tblFlows[Year],$B$56)</f>
        <v>164800</v>
      </c>
      <c r="E56" s="35">
        <f>SUMIFS(tblFlows[Added operating cost],tblFlows[Year],$B$56)</f>
        <v>13200</v>
      </c>
      <c r="F56" s="35">
        <f>SUMIFS(tblFlows[Tax effect],tblFlows[Year],$B$56)</f>
        <v>24185.7142857143</v>
      </c>
      <c r="G56" s="35">
        <f>SUMIFS(tblFlows[Terminal value],tblFlows[Year],$B$56)</f>
        <v>0</v>
      </c>
      <c r="H56" s="35">
        <f>SUMIFS(tblFlows[Net cash flow],tblFlows[Year],$B$56)</f>
        <v>109414.285714286</v>
      </c>
      <c r="I56" s="36">
        <f>1/(1+DiscountRate)^$B$56</f>
        <v>0.564473930053777</v>
      </c>
      <c r="J56" s="35">
        <f>$H$56*$I$56</f>
        <v>61761.5118611697</v>
      </c>
      <c r="K56" s="35">
        <f>SUMIFS(tblFlows[Net cash flow],tblFlows[Year],"&lt;="&amp;$B$56)</f>
        <v>288953.571428571</v>
      </c>
      <c r="L56" s="35">
        <f>SUMIFS(tblFlows[Present value],tblFlows[Year],"&lt;="&amp;$B$56)</f>
        <v>100482.361379113</v>
      </c>
    </row>
    <row r="57" spans="2:12" x14ac:dyDescent="0.25">
      <c r="B57" s="60">
        <f>$B$56+1</f>
        <v>7</v>
      </c>
      <c r="C57" s="35">
        <f>SUMIFS(tblFlows[Capital spend],tblFlows[Year],$B$57)</f>
        <v>0</v>
      </c>
      <c r="D57" s="35">
        <f>SUMIFS(tblFlows[Total savings],tblFlows[Year],$B$57)</f>
        <v>169100</v>
      </c>
      <c r="E57" s="35">
        <f>SUMIFS(tblFlows[Added operating cost],tblFlows[Year],$B$57)</f>
        <v>13500</v>
      </c>
      <c r="F57" s="35">
        <f>SUMIFS(tblFlows[Tax effect],tblFlows[Year],$B$57)</f>
        <v>24542.8571428571</v>
      </c>
      <c r="G57" s="35">
        <f>SUMIFS(tblFlows[Terminal value],tblFlows[Year],$B$57)</f>
        <v>0</v>
      </c>
      <c r="H57" s="35">
        <f>SUMIFS(tblFlows[Net cash flow],tblFlows[Year],$B$57)</f>
        <v>131057.142857143</v>
      </c>
      <c r="I57" s="36">
        <f>1/(1+DiscountRate)^$B$57</f>
        <v>0.513158118230707</v>
      </c>
      <c r="J57" s="35">
        <f>$H$57*$I$57</f>
        <v>67253.0368092643</v>
      </c>
      <c r="K57" s="35">
        <f>SUMIFS(tblFlows[Net cash flow],tblFlows[Year],"&lt;="&amp;$B$57)</f>
        <v>420010.714285714</v>
      </c>
      <c r="L57" s="35">
        <f>SUMIFS(tblFlows[Present value],tblFlows[Year],"&lt;="&amp;$B$57)</f>
        <v>167735.398188377</v>
      </c>
    </row>
    <row r="58" spans="2:12" x14ac:dyDescent="0.25">
      <c r="B58" s="60">
        <f>$B$57+1</f>
        <v>8</v>
      </c>
      <c r="C58" s="35">
        <f>SUMIFS(tblFlows[Capital spend],tblFlows[Year],$B$58)</f>
        <v>0</v>
      </c>
      <c r="D58" s="35">
        <f>SUMIFS(tblFlows[Total savings],tblFlows[Year],$B$58)</f>
        <v>173500</v>
      </c>
      <c r="E58" s="35">
        <f>SUMIFS(tblFlows[Added operating cost],tblFlows[Year],$B$58)</f>
        <v>13800</v>
      </c>
      <c r="F58" s="35">
        <f>SUMIFS(tblFlows[Tax effect],tblFlows[Year],$B$58)</f>
        <v>38425</v>
      </c>
      <c r="G58" s="35">
        <f>SUMIFS(tblFlows[Terminal value],tblFlows[Year],$B$58)</f>
        <v>0</v>
      </c>
      <c r="H58" s="35">
        <f>SUMIFS(tblFlows[Net cash flow],tblFlows[Year],$B$58)</f>
        <v>121275</v>
      </c>
      <c r="I58" s="36">
        <f>1/(1+DiscountRate)^$B$58</f>
        <v>0.466507380209733</v>
      </c>
      <c r="J58" s="35">
        <f>$H$58*$I$58</f>
        <v>56575.6825349354</v>
      </c>
      <c r="K58" s="35">
        <f>SUMIFS(tblFlows[Net cash flow],tblFlows[Year],"&lt;="&amp;$B$58)</f>
        <v>541285.714285714</v>
      </c>
      <c r="L58" s="35">
        <f>SUMIFS(tblFlows[Present value],tblFlows[Year],"&lt;="&amp;$B$58)</f>
        <v>224311.080723313</v>
      </c>
    </row>
    <row r="59" spans="2:12" x14ac:dyDescent="0.25">
      <c r="B59" s="60">
        <f>$B$58+1</f>
        <v>9</v>
      </c>
      <c r="C59" s="35">
        <f>SUMIFS(tblFlows[Capital spend],tblFlows[Year],$B$59)</f>
        <v>0</v>
      </c>
      <c r="D59" s="35">
        <f>SUMIFS(tblFlows[Total savings],tblFlows[Year],$B$59)</f>
        <v>178000</v>
      </c>
      <c r="E59" s="35">
        <f>SUMIFS(tblFlows[Added operating cost],tblFlows[Year],$B$59)</f>
        <v>14100</v>
      </c>
      <c r="F59" s="35">
        <f>SUMIFS(tblFlows[Tax effect],tblFlows[Year],$B$59)</f>
        <v>40332.1428571429</v>
      </c>
      <c r="G59" s="35">
        <f>SUMIFS(tblFlows[Terminal value],tblFlows[Year],$B$59)</f>
        <v>0</v>
      </c>
      <c r="H59" s="35">
        <f>SUMIFS(tblFlows[Net cash flow],tblFlows[Year],$B$59)</f>
        <v>123567.857142857</v>
      </c>
      <c r="I59" s="36">
        <f>1/(1+DiscountRate)^$B$59</f>
        <v>0.424097618372485</v>
      </c>
      <c r="J59" s="35">
        <f>$H$59*$I$59</f>
        <v>52404.8339216771</v>
      </c>
      <c r="K59" s="35">
        <f>SUMIFS(tblFlows[Net cash flow],tblFlows[Year],"&lt;="&amp;$B$59)</f>
        <v>664853.571428571</v>
      </c>
      <c r="L59" s="35">
        <f>SUMIFS(tblFlows[Present value],tblFlows[Year],"&lt;="&amp;$B$59)</f>
        <v>276715.91464499</v>
      </c>
    </row>
    <row r="60" spans="2:12" x14ac:dyDescent="0.25">
      <c r="B60" s="60">
        <f>$B$59+1</f>
        <v>10</v>
      </c>
      <c r="C60" s="35">
        <f>SUMIFS(tblFlows[Capital spend],tblFlows[Year],$B$60)</f>
        <v>0</v>
      </c>
      <c r="D60" s="35">
        <f>SUMIFS(tblFlows[Total savings],tblFlows[Year],$B$60)</f>
        <v>182600</v>
      </c>
      <c r="E60" s="35">
        <f>SUMIFS(tblFlows[Added operating cost],tblFlows[Year],$B$60)</f>
        <v>14300</v>
      </c>
      <c r="F60" s="35">
        <f>SUMIFS(tblFlows[Tax effect],tblFlows[Year],$B$60)</f>
        <v>41432.1428571429</v>
      </c>
      <c r="G60" s="35">
        <f>SUMIFS(tblFlows[Terminal value],tblFlows[Year],$B$60)</f>
        <v>35000</v>
      </c>
      <c r="H60" s="35">
        <f>SUMIFS(tblFlows[Net cash flow],tblFlows[Year],$B$60)</f>
        <v>161867.857142857</v>
      </c>
      <c r="I60" s="36">
        <f>1/(1+DiscountRate)^$B$60</f>
        <v>0.385543289429531</v>
      </c>
      <c r="J60" s="35">
        <f>$H$60*$I$60</f>
        <v>62407.0660957666</v>
      </c>
      <c r="K60" s="35">
        <f>SUMIFS(tblFlows[Net cash flow],tblFlows[Year],"&lt;="&amp;$B$60)</f>
        <v>826721.428571429</v>
      </c>
      <c r="L60" s="35">
        <f>SUMIFS(tblFlows[Present value],tblFlows[Year],"&lt;="&amp;$B$60)</f>
        <v>339122.980740756</v>
      </c>
    </row>
    <row r="61" spans="2:12" x14ac:dyDescent="0.25">
      <c r="B61" s="60">
        <f>$B$60+1</f>
        <v>11</v>
      </c>
      <c r="C61" s="35">
        <f>SUMIFS(tblFlows[Capital spend],tblFlows[Year],$B$61)</f>
        <v>0</v>
      </c>
      <c r="D61" s="35">
        <f>SUMIFS(tblFlows[Total savings],tblFlows[Year],$B$61)</f>
        <v>0</v>
      </c>
      <c r="E61" s="35">
        <f>SUMIFS(tblFlows[Added operating cost],tblFlows[Year],$B$61)</f>
        <v>0</v>
      </c>
      <c r="F61" s="35">
        <f>SUMIFS(tblFlows[Tax effect],tblFlows[Year],$B$61)</f>
        <v>0</v>
      </c>
      <c r="G61" s="35">
        <f>SUMIFS(tblFlows[Terminal value],tblFlows[Year],$B$61)</f>
        <v>0</v>
      </c>
      <c r="H61" s="35">
        <f>SUMIFS(tblFlows[Net cash flow],tblFlows[Year],$B$61)</f>
        <v>0</v>
      </c>
      <c r="I61" s="36">
        <f>1/(1+DiscountRate)^$B$61</f>
        <v>0.350493899481392</v>
      </c>
      <c r="J61" s="35">
        <f>$H$61*$I$61</f>
        <v>0</v>
      </c>
      <c r="K61" s="35">
        <f>SUMIFS(tblFlows[Net cash flow],tblFlows[Year],"&lt;="&amp;$B$61)</f>
        <v>826721.428571429</v>
      </c>
      <c r="L61" s="35">
        <f>SUMIFS(tblFlows[Present value],tblFlows[Year],"&lt;="&amp;$B$61)</f>
        <v>339122.980740756</v>
      </c>
    </row>
    <row r="62" spans="2:12" x14ac:dyDescent="0.25">
      <c r="B62" s="60">
        <f>$B$61+1</f>
        <v>12</v>
      </c>
      <c r="C62" s="35">
        <f>SUMIFS(tblFlows[Capital spend],tblFlows[Year],$B$62)</f>
        <v>0</v>
      </c>
      <c r="D62" s="35">
        <f>SUMIFS(tblFlows[Total savings],tblFlows[Year],$B$62)</f>
        <v>0</v>
      </c>
      <c r="E62" s="35">
        <f>SUMIFS(tblFlows[Added operating cost],tblFlows[Year],$B$62)</f>
        <v>0</v>
      </c>
      <c r="F62" s="35">
        <f>SUMIFS(tblFlows[Tax effect],tblFlows[Year],$B$62)</f>
        <v>0</v>
      </c>
      <c r="G62" s="35">
        <f>SUMIFS(tblFlows[Terminal value],tblFlows[Year],$B$62)</f>
        <v>0</v>
      </c>
      <c r="H62" s="35">
        <f>SUMIFS(tblFlows[Net cash flow],tblFlows[Year],$B$62)</f>
        <v>0</v>
      </c>
      <c r="I62" s="36">
        <f>1/(1+DiscountRate)^$B$62</f>
        <v>0.318630817710357</v>
      </c>
      <c r="J62" s="35">
        <f>$H$62*$I$62</f>
        <v>0</v>
      </c>
      <c r="K62" s="35">
        <f>SUMIFS(tblFlows[Net cash flow],tblFlows[Year],"&lt;="&amp;$B$62)</f>
        <v>826721.428571429</v>
      </c>
      <c r="L62" s="35">
        <f>SUMIFS(tblFlows[Present value],tblFlows[Year],"&lt;="&amp;$B$62)</f>
        <v>339122.980740756</v>
      </c>
    </row>
    <row r="63" spans="2:12" x14ac:dyDescent="0.25">
      <c r="B63" s="60">
        <f>$B$62+1</f>
        <v>13</v>
      </c>
      <c r="C63" s="35">
        <f>SUMIFS(tblFlows[Capital spend],tblFlows[Year],$B$63)</f>
        <v>0</v>
      </c>
      <c r="D63" s="35">
        <f>SUMIFS(tblFlows[Total savings],tblFlows[Year],$B$63)</f>
        <v>0</v>
      </c>
      <c r="E63" s="35">
        <f>SUMIFS(tblFlows[Added operating cost],tblFlows[Year],$B$63)</f>
        <v>0</v>
      </c>
      <c r="F63" s="35">
        <f>SUMIFS(tblFlows[Tax effect],tblFlows[Year],$B$63)</f>
        <v>0</v>
      </c>
      <c r="G63" s="35">
        <f>SUMIFS(tblFlows[Terminal value],tblFlows[Year],$B$63)</f>
        <v>0</v>
      </c>
      <c r="H63" s="35">
        <f>SUMIFS(tblFlows[Net cash flow],tblFlows[Year],$B$63)</f>
        <v>0</v>
      </c>
      <c r="I63" s="36">
        <f>1/(1+DiscountRate)^$B$63</f>
        <v>0.289664379736688</v>
      </c>
      <c r="J63" s="35">
        <f>$H$63*$I$63</f>
        <v>0</v>
      </c>
      <c r="K63" s="35">
        <f>SUMIFS(tblFlows[Net cash flow],tblFlows[Year],"&lt;="&amp;$B$63)</f>
        <v>826721.428571429</v>
      </c>
      <c r="L63" s="35">
        <f>SUMIFS(tblFlows[Present value],tblFlows[Year],"&lt;="&amp;$B$63)</f>
        <v>339122.980740756</v>
      </c>
    </row>
    <row r="64" spans="2:12" x14ac:dyDescent="0.25">
      <c r="B64" s="60">
        <f>$B$63+1</f>
        <v>14</v>
      </c>
      <c r="C64" s="35">
        <f>SUMIFS(tblFlows[Capital spend],tblFlows[Year],$B$64)</f>
        <v>0</v>
      </c>
      <c r="D64" s="35">
        <f>SUMIFS(tblFlows[Total savings],tblFlows[Year],$B$64)</f>
        <v>0</v>
      </c>
      <c r="E64" s="35">
        <f>SUMIFS(tblFlows[Added operating cost],tblFlows[Year],$B$64)</f>
        <v>0</v>
      </c>
      <c r="F64" s="35">
        <f>SUMIFS(tblFlows[Tax effect],tblFlows[Year],$B$64)</f>
        <v>0</v>
      </c>
      <c r="G64" s="35">
        <f>SUMIFS(tblFlows[Terminal value],tblFlows[Year],$B$64)</f>
        <v>0</v>
      </c>
      <c r="H64" s="35">
        <f>SUMIFS(tblFlows[Net cash flow],tblFlows[Year],$B$64)</f>
        <v>0</v>
      </c>
      <c r="I64" s="36">
        <f>1/(1+DiscountRate)^$B$64</f>
        <v>0.26333125430608</v>
      </c>
      <c r="J64" s="35">
        <f>$H$64*$I$64</f>
        <v>0</v>
      </c>
      <c r="K64" s="35">
        <f>SUMIFS(tblFlows[Net cash flow],tblFlows[Year],"&lt;="&amp;$B$64)</f>
        <v>826721.428571429</v>
      </c>
      <c r="L64" s="35">
        <f>SUMIFS(tblFlows[Present value],tblFlows[Year],"&lt;="&amp;$B$64)</f>
        <v>339122.980740756</v>
      </c>
    </row>
    <row r="65" spans="2:12" x14ac:dyDescent="0.25">
      <c r="B65" s="60">
        <f>$B$64+1</f>
        <v>15</v>
      </c>
      <c r="C65" s="35">
        <f>SUMIFS(tblFlows[Capital spend],tblFlows[Year],$B$65)</f>
        <v>0</v>
      </c>
      <c r="D65" s="35">
        <f>SUMIFS(tblFlows[Total savings],tblFlows[Year],$B$65)</f>
        <v>0</v>
      </c>
      <c r="E65" s="35">
        <f>SUMIFS(tblFlows[Added operating cost],tblFlows[Year],$B$65)</f>
        <v>0</v>
      </c>
      <c r="F65" s="35">
        <f>SUMIFS(tblFlows[Tax effect],tblFlows[Year],$B$65)</f>
        <v>0</v>
      </c>
      <c r="G65" s="35">
        <f>SUMIFS(tblFlows[Terminal value],tblFlows[Year],$B$65)</f>
        <v>0</v>
      </c>
      <c r="H65" s="35">
        <f>SUMIFS(tblFlows[Net cash flow],tblFlows[Year],$B$65)</f>
        <v>0</v>
      </c>
      <c r="I65" s="36">
        <f>1/(1+DiscountRate)^$B$65</f>
        <v>0.239392049369163</v>
      </c>
      <c r="J65" s="35">
        <f>$H$65*$I$65</f>
        <v>0</v>
      </c>
      <c r="K65" s="35">
        <f>SUMIFS(tblFlows[Net cash flow],tblFlows[Year],"&lt;="&amp;$B$65)</f>
        <v>826721.428571429</v>
      </c>
      <c r="L65" s="35">
        <f>SUMIFS(tblFlows[Present value],tblFlows[Year],"&lt;="&amp;$B$65)</f>
        <v>339122.980740756</v>
      </c>
    </row>
    <row r="67" spans="2:12" x14ac:dyDescent="0.25">
      <c r="B67" s="54" t="s">
        <v>123</v>
      </c>
      <c r="C67" s="54"/>
      <c r="D67" s="54"/>
      <c r="E67" s="54"/>
      <c r="F67" s="54"/>
    </row>
    <row r="68" spans="2:12" ht="32" customHeight="1" x14ac:dyDescent="0.25">
      <c r="B68" s="55" t="s">
        <v>117</v>
      </c>
      <c r="C68" s="34" t="s">
        <v>113</v>
      </c>
      <c r="D68" s="34"/>
      <c r="E68" s="34" t="s">
        <v>124</v>
      </c>
      <c r="F68" s="34" t="s">
        <v>125</v>
      </c>
    </row>
    <row r="69" spans="2:12" x14ac:dyDescent="0.25">
      <c r="B69" s="60">
        <v>1</v>
      </c>
      <c r="C69" s="61" t="str">
        <f>INDEX($B$39:$B$44,MATCH($B$69,$F$39:$F$44,0))</f>
        <v>Labour savings</v>
      </c>
      <c r="D69" s="61"/>
      <c r="E69" s="62">
        <f>-INDEX($E$39:$E$44,MATCH($B$69,$F$39:$F$44,0))</f>
        <v>-121671.972124311</v>
      </c>
      <c r="F69" s="62">
        <f>INDEX($E$39:$E$44,MATCH($B$69,$F$39:$F$44,0))</f>
        <v>121671.972124311</v>
      </c>
    </row>
    <row r="70" spans="2:12" x14ac:dyDescent="0.25">
      <c r="B70" s="60">
        <v>2</v>
      </c>
      <c r="C70" s="61" t="str">
        <f>INDEX($B$39:$B$44,MATCH($B$70,$F$39:$F$44,0))</f>
        <v>Capital spend</v>
      </c>
      <c r="D70" s="61"/>
      <c r="E70" s="62">
        <f>-INDEX($E$39:$E$44,MATCH($B$70,$F$39:$F$44,0))</f>
        <v>-64888.1829645921</v>
      </c>
      <c r="F70" s="62">
        <f>INDEX($E$39:$E$44,MATCH($B$70,$F$39:$F$44,0))</f>
        <v>64888.1829645921</v>
      </c>
    </row>
    <row r="71" spans="2:12" x14ac:dyDescent="0.25">
      <c r="B71" s="60">
        <v>3</v>
      </c>
      <c r="C71" s="61" t="str">
        <f>INDEX($B$39:$B$44,MATCH($B$71,$F$39:$F$44,0))</f>
        <v>Material and scrap</v>
      </c>
      <c r="D71" s="61"/>
      <c r="E71" s="62">
        <f>-INDEX($E$39:$E$44,MATCH($B$71,$F$39:$F$44,0))</f>
        <v>-15853.967549039</v>
      </c>
      <c r="F71" s="62">
        <f>INDEX($E$39:$E$44,MATCH($B$71,$F$39:$F$44,0))</f>
        <v>15853.967549039</v>
      </c>
    </row>
    <row r="72" spans="2:12" x14ac:dyDescent="0.25">
      <c r="B72" s="60">
        <v>4</v>
      </c>
      <c r="C72" s="61" t="str">
        <f>INDEX($B$39:$B$44,MATCH($B$72,$F$39:$F$44,0))</f>
        <v>Operating cost</v>
      </c>
      <c r="D72" s="61"/>
      <c r="E72" s="62">
        <f>-INDEX($E$39:$E$44,MATCH($B$72,$F$39:$F$44,0))</f>
        <v>-11915.8434613467</v>
      </c>
      <c r="F72" s="62">
        <f>INDEX($E$39:$E$44,MATCH($B$72,$F$39:$F$44,0))</f>
        <v>11915.8434613467</v>
      </c>
    </row>
    <row r="73" spans="2:12" x14ac:dyDescent="0.25">
      <c r="B73" s="60">
        <v>5</v>
      </c>
      <c r="C73" s="61" t="str">
        <f>INDEX($B$39:$B$44,MATCH($B$73,$F$39:$F$44,0))</f>
        <v>Other savings</v>
      </c>
      <c r="D73" s="61"/>
      <c r="E73" s="62">
        <f>-INDEX($E$39:$E$44,MATCH($B$73,$F$39:$F$44,0))</f>
        <v>-4403.87987473306</v>
      </c>
      <c r="F73" s="62">
        <f>INDEX($E$39:$E$44,MATCH($B$73,$F$39:$F$44,0))</f>
        <v>4403.87987473306</v>
      </c>
    </row>
    <row r="74" spans="2:12" x14ac:dyDescent="0.25">
      <c r="B74" s="60">
        <v>6</v>
      </c>
      <c r="C74" s="61" t="str">
        <f>INDEX($B$39:$B$44,MATCH($B$74,$F$39:$F$44,0))</f>
        <v>Terminal value</v>
      </c>
      <c r="D74" s="61"/>
      <c r="E74" s="62">
        <f>-INDEX($E$39:$E$44,MATCH($B$74,$F$39:$F$44,0))</f>
        <v>-2698.80302600672</v>
      </c>
      <c r="F74" s="62">
        <f>INDEX($E$39:$E$44,MATCH($B$74,$F$39:$F$44,0))</f>
        <v>2698.80302600672</v>
      </c>
    </row>
    <row r="75" spans="2:12" ht="8" customHeight="1" x14ac:dyDescent="0.25"/>
    <row r="76" spans="2:12" ht="26.76" customHeight="1" x14ac:dyDescent="0.25">
      <c r="B76" s="21" t="s">
        <v>126</v>
      </c>
      <c r="C76" s="21"/>
      <c r="D76" s="21"/>
      <c r="E76" s="21"/>
      <c r="F76" s="21"/>
      <c r="G76" s="21"/>
      <c r="H76" s="21"/>
      <c r="I76" s="21"/>
      <c r="J76" s="21"/>
      <c r="K76" s="21"/>
      <c r="L76" s="21"/>
    </row>
  </sheetData>
  <sheetProtection sheet="1" formatColumns="0" formatRows="0"/>
  <mergeCells count="50">
    <mergeCell ref="A1:L1"/>
    <mergeCell ref="B2:J2"/>
    <mergeCell ref="K2:L2"/>
    <mergeCell ref="B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1:C31"/>
    <mergeCell ref="B32:C33"/>
    <mergeCell ref="B34:C34"/>
    <mergeCell ref="B35:C35"/>
    <mergeCell ref="D31:F31"/>
    <mergeCell ref="D32:F33"/>
    <mergeCell ref="D34:F34"/>
    <mergeCell ref="D35:F35"/>
    <mergeCell ref="G31:I31"/>
    <mergeCell ref="G32:I33"/>
    <mergeCell ref="G34:I34"/>
    <mergeCell ref="G35:I35"/>
    <mergeCell ref="J31:L31"/>
    <mergeCell ref="J32:L33"/>
    <mergeCell ref="J34:L34"/>
    <mergeCell ref="J35:L35"/>
    <mergeCell ref="B37:F37"/>
    <mergeCell ref="H37:L37"/>
    <mergeCell ref="B46:L46"/>
    <mergeCell ref="B48:L48"/>
    <mergeCell ref="B67:F67"/>
    <mergeCell ref="C68:D68"/>
    <mergeCell ref="C69:D69"/>
    <mergeCell ref="C70:D70"/>
    <mergeCell ref="C71:D71"/>
    <mergeCell ref="C72:D72"/>
    <mergeCell ref="C73:D73"/>
    <mergeCell ref="C74:D74"/>
    <mergeCell ref="B76:L76"/>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39:E44">
    <cfRule type="dataBar" priority="8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35">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I39:L43">
    <cfRule type="cellIs" dxfId="2" priority="82" stopIfTrue="1" operator="lessThan">
      <formula>0</formula>
    </cfRule>
    <cfRule type="cellIs" dxfId="0" priority="83" operator="greaterThanOrEqual">
      <formula>0</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Capital Project NPV, IRR and Payback&amp;R&amp;8&amp;A</oddHeader>
    <oddFooter>&amp;L&amp;8mfgcalcs.com - free manufacturing templates&amp;R&amp;8Page &amp;P of &amp;N</oddFooter>
  </headerFooter>
  <rowBreaks count="2" manualBreakCount="2">
    <brk id="29" max="16383" man="1"/>
    <brk id="47"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E39:E44</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2"/>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127</v>
      </c>
      <c r="C4" s="8"/>
      <c r="D4" s="8"/>
    </row>
    <row r="5" spans="1:4" ht="5" customHeight="1"/>
    <row r="6" spans="1:4" ht="69" customHeight="1">
      <c r="B6" s="10" t="s">
        <v>128</v>
      </c>
      <c r="C6" s="10"/>
      <c r="D6" s="10"/>
    </row>
    <row r="8" spans="1:4" ht="21" customHeight="1">
      <c r="B8" s="8" t="s">
        <v>129</v>
      </c>
      <c r="C8" s="8"/>
      <c r="D8" s="8"/>
    </row>
    <row r="9" spans="1:4" ht="5" customHeight="1"/>
    <row r="10" spans="1:4" ht="20" customHeight="1">
      <c r="B10" s="55" t="s">
        <v>130</v>
      </c>
      <c r="C10" s="55" t="s">
        <v>131</v>
      </c>
      <c r="D10" s="34" t="s">
        <v>132</v>
      </c>
    </row>
    <row r="11" spans="1:4" ht="17.2" customHeight="1">
      <c r="B11" s="63" t="s">
        <v>83</v>
      </c>
      <c r="C11" s="64" t="s">
        <v>133</v>
      </c>
      <c r="D11" s="65" t="s">
        <v>134</v>
      </c>
    </row>
    <row r="12" spans="1:4" ht="30.4" customHeight="1">
      <c r="B12" s="63" t="s">
        <v>84</v>
      </c>
      <c r="C12" s="64" t="s">
        <v>135</v>
      </c>
      <c r="D12" s="65" t="s">
        <v>134</v>
      </c>
    </row>
    <row r="13" spans="1:4" ht="30.4" customHeight="1">
      <c r="B13" s="63" t="s">
        <v>85</v>
      </c>
      <c r="C13" s="64" t="s">
        <v>136</v>
      </c>
      <c r="D13" s="65" t="s">
        <v>134</v>
      </c>
    </row>
    <row r="14" spans="1:4" ht="30.4" customHeight="1">
      <c r="B14" s="63" t="s">
        <v>86</v>
      </c>
      <c r="C14" s="64" t="s">
        <v>137</v>
      </c>
      <c r="D14" s="65" t="s">
        <v>134</v>
      </c>
    </row>
    <row r="15" spans="1:4" ht="17.2" customHeight="1">
      <c r="B15" s="63" t="s">
        <v>87</v>
      </c>
      <c r="C15" s="64" t="s">
        <v>138</v>
      </c>
      <c r="D15" s="65" t="s">
        <v>139</v>
      </c>
    </row>
    <row r="16" spans="1:4" ht="30.4" customHeight="1">
      <c r="B16" s="63" t="s">
        <v>140</v>
      </c>
      <c r="C16" s="64" t="s">
        <v>141</v>
      </c>
      <c r="D16" s="65" t="s">
        <v>134</v>
      </c>
    </row>
    <row r="17" spans="2:4" ht="30.4" customHeight="1">
      <c r="B17" s="63" t="s">
        <v>142</v>
      </c>
      <c r="C17" s="64" t="s">
        <v>143</v>
      </c>
      <c r="D17" s="65" t="s">
        <v>134</v>
      </c>
    </row>
    <row r="18" spans="2:4" ht="30.4" customHeight="1">
      <c r="B18" s="63" t="s">
        <v>144</v>
      </c>
      <c r="C18" s="64" t="s">
        <v>145</v>
      </c>
      <c r="D18" s="65" t="s">
        <v>146</v>
      </c>
    </row>
    <row r="19" spans="2:4" ht="43.6" customHeight="1">
      <c r="B19" s="63" t="s">
        <v>147</v>
      </c>
      <c r="C19" s="64" t="s">
        <v>148</v>
      </c>
      <c r="D19" s="65" t="s">
        <v>70</v>
      </c>
    </row>
    <row r="20" spans="2:4" ht="30.4" customHeight="1">
      <c r="B20" s="63" t="s">
        <v>149</v>
      </c>
      <c r="C20" s="64" t="s">
        <v>150</v>
      </c>
      <c r="D20" s="65" t="s">
        <v>151</v>
      </c>
    </row>
    <row r="21" spans="2:4" ht="30.4" customHeight="1">
      <c r="B21" s="63" t="s">
        <v>152</v>
      </c>
      <c r="C21" s="64" t="s">
        <v>153</v>
      </c>
      <c r="D21" s="65" t="s">
        <v>146</v>
      </c>
    </row>
    <row r="22" spans="2:4" ht="43.6" customHeight="1">
      <c r="B22" s="63" t="s">
        <v>116</v>
      </c>
      <c r="C22" s="64" t="s">
        <v>154</v>
      </c>
      <c r="D22" s="65" t="s">
        <v>134</v>
      </c>
    </row>
    <row r="23" spans="2:4" ht="30.4" customHeight="1">
      <c r="B23" s="63" t="s">
        <v>155</v>
      </c>
      <c r="C23" s="64" t="s">
        <v>156</v>
      </c>
      <c r="D23" s="65" t="s">
        <v>134</v>
      </c>
    </row>
    <row r="25" spans="2:4" ht="21" customHeight="1">
      <c r="B25" s="8" t="s">
        <v>157</v>
      </c>
      <c r="C25" s="8"/>
      <c r="D25" s="8"/>
    </row>
    <row r="26" spans="2:4" ht="5" customHeight="1"/>
    <row r="27" spans="2:4" ht="16.2" customHeight="1">
      <c r="B27" s="26" t="s">
        <v>53</v>
      </c>
      <c r="C27" s="10" t="s">
        <v>158</v>
      </c>
      <c r="D27" s="10"/>
    </row>
    <row r="28" spans="2:4" ht="16.2" customHeight="1">
      <c r="B28" s="26" t="s">
        <v>53</v>
      </c>
      <c r="C28" s="10" t="s">
        <v>159</v>
      </c>
      <c r="D28" s="10"/>
    </row>
    <row r="29" spans="2:4" ht="29.4" customHeight="1">
      <c r="B29" s="26" t="s">
        <v>53</v>
      </c>
      <c r="C29" s="10" t="s">
        <v>160</v>
      </c>
      <c r="D29" s="10"/>
    </row>
    <row r="30" spans="2:4" ht="16.2" customHeight="1">
      <c r="B30" s="26" t="s">
        <v>53</v>
      </c>
      <c r="C30" s="10" t="s">
        <v>161</v>
      </c>
      <c r="D30" s="10"/>
    </row>
    <row r="31" spans="2:4" ht="29.4" customHeight="1">
      <c r="B31" s="26" t="s">
        <v>53</v>
      </c>
      <c r="C31" s="10" t="s">
        <v>162</v>
      </c>
      <c r="D31" s="10"/>
    </row>
    <row r="33" spans="2:4" ht="21" customHeight="1">
      <c r="B33" s="8" t="s">
        <v>163</v>
      </c>
      <c r="C33" s="8"/>
      <c r="D33" s="8"/>
    </row>
    <row r="34" spans="2:4" ht="5" customHeight="1"/>
    <row r="35" spans="2:4" ht="16.2" customHeight="1">
      <c r="B35" s="26" t="s">
        <v>53</v>
      </c>
      <c r="C35" s="10" t="s">
        <v>164</v>
      </c>
      <c r="D35" s="10"/>
    </row>
    <row r="36" spans="2:4" ht="42.6" customHeight="1">
      <c r="B36" s="26" t="s">
        <v>53</v>
      </c>
      <c r="C36" s="10" t="s">
        <v>165</v>
      </c>
      <c r="D36" s="10"/>
    </row>
    <row r="37" spans="2:4" ht="29.4" customHeight="1">
      <c r="B37" s="26" t="s">
        <v>53</v>
      </c>
      <c r="C37" s="10" t="s">
        <v>166</v>
      </c>
      <c r="D37" s="10"/>
    </row>
    <row r="38" spans="2:4" ht="29.4" customHeight="1">
      <c r="B38" s="26" t="s">
        <v>53</v>
      </c>
      <c r="C38" s="10" t="s">
        <v>167</v>
      </c>
      <c r="D38" s="10"/>
    </row>
    <row r="39" spans="2:4" ht="16.2" customHeight="1">
      <c r="B39" s="26" t="s">
        <v>53</v>
      </c>
      <c r="C39" s="10" t="s">
        <v>168</v>
      </c>
      <c r="D39" s="10"/>
    </row>
    <row r="41" spans="2:4" ht="21" customHeight="1">
      <c r="B41" s="8" t="s">
        <v>169</v>
      </c>
      <c r="C41" s="8"/>
      <c r="D41" s="8"/>
    </row>
    <row r="42" spans="2:4" ht="5" customHeight="1"/>
    <row r="43" spans="2:4" ht="108.6" customHeight="1">
      <c r="B43" s="10" t="s">
        <v>170</v>
      </c>
      <c r="C43" s="10"/>
      <c r="D43" s="10"/>
    </row>
    <row r="44" spans="2:4">
      <c r="B44" s="24" t="s">
        <v>171</v>
      </c>
      <c r="C44" s="24"/>
      <c r="D44" s="24"/>
    </row>
    <row r="46" spans="2:4" ht="21" customHeight="1">
      <c r="B46" s="8" t="s">
        <v>40</v>
      </c>
      <c r="C46" s="8"/>
      <c r="D46" s="8"/>
    </row>
    <row r="47" spans="2:4" ht="5" customHeight="1"/>
    <row r="48" spans="2:4" ht="42.6" customHeight="1">
      <c r="B48" s="10" t="s">
        <v>172</v>
      </c>
      <c r="C48" s="10"/>
      <c r="D48" s="10"/>
    </row>
    <row r="50" spans="2:4" ht="21" customHeight="1">
      <c r="B50" s="8" t="s">
        <v>173</v>
      </c>
      <c r="C50" s="8"/>
      <c r="D50" s="8"/>
    </row>
    <row r="51" spans="2:4" ht="5" customHeight="1"/>
    <row r="52" spans="2:4" ht="29.4" customHeight="1">
      <c r="B52" s="26" t="s">
        <v>53</v>
      </c>
      <c r="C52" s="10" t="s">
        <v>174</v>
      </c>
      <c r="D52" s="10"/>
    </row>
    <row r="53" spans="2:4" ht="16.2" customHeight="1">
      <c r="B53" s="26" t="s">
        <v>53</v>
      </c>
      <c r="C53" s="10" t="s">
        <v>175</v>
      </c>
      <c r="D53" s="10"/>
    </row>
    <row r="54" spans="2:4" ht="16.2" customHeight="1">
      <c r="B54" s="26" t="s">
        <v>53</v>
      </c>
      <c r="C54" s="10" t="s">
        <v>176</v>
      </c>
      <c r="D54" s="10"/>
    </row>
    <row r="55" spans="2:4">
      <c r="B55" s="21" t="s">
        <v>177</v>
      </c>
      <c r="C55" s="21"/>
      <c r="D55" s="21"/>
    </row>
    <row r="57" spans="2:4" ht="21" customHeight="1">
      <c r="B57" s="8" t="s">
        <v>178</v>
      </c>
      <c r="C57" s="8"/>
      <c r="D57" s="8"/>
    </row>
    <row r="58" spans="2:4" ht="5" customHeight="1"/>
    <row r="59" spans="2:4">
      <c r="B59" s="55" t="s">
        <v>48</v>
      </c>
      <c r="C59" s="55" t="s">
        <v>179</v>
      </c>
      <c r="D59" s="34" t="s">
        <v>180</v>
      </c>
    </row>
    <row r="60" spans="2:4" ht="16.2" customHeight="1">
      <c r="B60" s="66" t="s">
        <v>181</v>
      </c>
      <c r="C60" s="67" t="s">
        <v>182</v>
      </c>
      <c r="D60" s="68" t="s">
        <v>183</v>
      </c>
    </row>
    <row r="62" spans="2:4">
      <c r="B62" s="21" t="s">
        <v>59</v>
      </c>
      <c r="C62" s="21"/>
      <c r="D62" s="21"/>
    </row>
  </sheetData>
  <sheetProtection sheet="1" formatColumns="0" formatRows="0"/>
  <mergeCells count="29">
    <mergeCell ref="A1:D1"/>
    <mergeCell ref="B2:C2"/>
    <mergeCell ref="B4:D4"/>
    <mergeCell ref="B6:D6"/>
    <mergeCell ref="B8:D8"/>
    <mergeCell ref="B25:D25"/>
    <mergeCell ref="C27:D27"/>
    <mergeCell ref="C28:D28"/>
    <mergeCell ref="C29:D29"/>
    <mergeCell ref="C30:D30"/>
    <mergeCell ref="C31:D31"/>
    <mergeCell ref="B33:D33"/>
    <mergeCell ref="C35:D35"/>
    <mergeCell ref="C36:D36"/>
    <mergeCell ref="C37:D37"/>
    <mergeCell ref="C38:D38"/>
    <mergeCell ref="C39:D39"/>
    <mergeCell ref="B41:D41"/>
    <mergeCell ref="B43:D43"/>
    <mergeCell ref="B44:D44"/>
    <mergeCell ref="B46:D46"/>
    <mergeCell ref="B48:D48"/>
    <mergeCell ref="B50:D50"/>
    <mergeCell ref="C52:D52"/>
    <mergeCell ref="C53:D53"/>
    <mergeCell ref="C54:D54"/>
    <mergeCell ref="B55:D55"/>
    <mergeCell ref="B57:D57"/>
    <mergeCell ref="B62:D62"/>
  </mergeCells>
  <hyperlinks>
    <hyperlink ref="D2" r:id="rId1" tooltip="Free manufacturing calculators and templates"/>
    <hyperlink ref="B44" r:id="rId2"/>
  </hyperlinks>
  <printOptions horizontalCentered="1"/>
  <pageMargins left="0.4" right="0.4" top="0.7" bottom="0.65" header="0.3" footer="0.3"/>
  <pageSetup fitToHeight="0" orientation="portrait"/>
  <headerFooter>
    <oddHeader>&amp;L&amp;8MFG Calcs - Capital Project NPV, IRR and Payback&amp;R&amp;8&amp;A</oddHeader>
    <oddFooter>&amp;L&amp;8mfgcalcs.com - free manufacturing templates&amp;R&amp;8Page &amp;P of &amp;N</oddFooter>
  </headerFooter>
  <rowBreaks count="2" manualBreakCount="2">
    <brk id="24" max="16383" man="1"/>
    <brk id="4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T96"/>
  <sheetViews>
    <sheetView showGridLines="0" workbookViewId="0"/>
  </sheetViews>
  <sheetFormatPr defaultRowHeight="15" x14ac:dyDescent="0.25"/>
  <cols>
    <col min="1" max="1" width="2.7109375" customWidth="1"/>
    <col min="2" max="19" width="12.7109375" customWidth="1"/>
    <col min="20" max="20" width="30.7109375" customWidth="1"/>
  </cols>
  <sheetData>
    <row r="1" spans="1:20" ht="30" customHeight="1" x14ac:dyDescent="0.25">
      <c r="A1" s="1" t="s">
        <v>0</v>
      </c>
      <c r="B1" s="1"/>
      <c r="C1" s="1"/>
      <c r="D1" s="1"/>
      <c r="E1" s="1"/>
      <c r="F1" s="1"/>
      <c r="G1" s="1"/>
      <c r="H1" s="1"/>
      <c r="I1" s="1"/>
      <c r="J1" s="1"/>
      <c r="K1" s="1"/>
      <c r="L1" s="1"/>
      <c r="M1" s="1"/>
      <c r="N1" s="1"/>
      <c r="O1" s="1"/>
      <c r="P1" s="1"/>
      <c r="Q1" s="1"/>
      <c r="R1" s="1"/>
      <c r="S1" s="1"/>
      <c r="T1" s="1"/>
    </row>
    <row r="2" spans="1:20" ht="21" customHeight="1" x14ac:dyDescent="0.25">
      <c r="B2" s="2" t="s">
        <v>26</v>
      </c>
      <c r="C2" s="2"/>
      <c r="D2" s="2"/>
      <c r="E2" s="2"/>
      <c r="F2" s="2"/>
      <c r="G2" s="2"/>
      <c r="H2" s="2"/>
      <c r="I2" s="2"/>
      <c r="J2" s="2"/>
      <c r="K2" s="2"/>
      <c r="L2" s="2"/>
      <c r="M2" s="2"/>
      <c r="N2" s="2"/>
      <c r="O2" s="2"/>
      <c r="P2" s="2"/>
      <c r="Q2" s="2"/>
      <c r="R2" s="2"/>
      <c r="S2" s="2"/>
      <c r="T2" s="3" t="s">
        <v>2</v>
      </c>
    </row>
    <row r="3" spans="1:20" ht="6" customHeight="1" x14ac:dyDescent="0.25"/>
    <row r="4" spans="1:20" ht="30" customHeight="1" x14ac:dyDescent="0.25">
      <c r="B4" s="40" t="s">
        <v>184</v>
      </c>
      <c r="C4" s="40"/>
      <c r="D4" s="22" t="str">
        <f>IF(COUNTIF($K$11:$K$27,"PASS")=17,"PASS","FAIL")</f>
        <v>PASS</v>
      </c>
      <c r="E4" s="22"/>
      <c r="F4" s="23" t="str">
        <f>COUNTIF($K$11:$K$27,"PASS")&amp;" of 17 checks pass"</f>
        <v>17 of 17 checks pass</v>
      </c>
      <c r="G4" s="23"/>
      <c r="H4" s="23"/>
      <c r="I4" s="23"/>
      <c r="J4" s="23"/>
    </row>
    <row r="6" spans="1:20" ht="29.4" customHeight="1" x14ac:dyDescent="0.25">
      <c r="B6" s="10" t="s">
        <v>185</v>
      </c>
      <c r="C6" s="10"/>
      <c r="D6" s="10"/>
      <c r="E6" s="10"/>
      <c r="F6" s="10"/>
      <c r="G6" s="10"/>
      <c r="H6" s="10"/>
      <c r="I6" s="10"/>
      <c r="J6" s="10"/>
      <c r="K6" s="10"/>
      <c r="L6" s="10"/>
    </row>
    <row r="8" spans="1:20" ht="21" customHeight="1" x14ac:dyDescent="0.25">
      <c r="B8" s="8" t="s">
        <v>186</v>
      </c>
      <c r="C8" s="8"/>
      <c r="D8" s="8"/>
      <c r="E8" s="8"/>
      <c r="F8" s="8"/>
      <c r="G8" s="8"/>
      <c r="H8" s="8"/>
      <c r="I8" s="8"/>
      <c r="J8" s="8"/>
      <c r="K8" s="8"/>
      <c r="L8" s="8"/>
    </row>
    <row r="9" spans="1:20" ht="5" customHeight="1" x14ac:dyDescent="0.25"/>
    <row r="10" spans="1:20" ht="30" customHeight="1" x14ac:dyDescent="0.25">
      <c r="B10" s="34" t="s">
        <v>187</v>
      </c>
      <c r="C10" s="55" t="s">
        <v>93</v>
      </c>
      <c r="D10" s="55"/>
      <c r="E10" s="55"/>
      <c r="F10" s="55"/>
      <c r="G10" s="34" t="s">
        <v>188</v>
      </c>
      <c r="H10" s="34" t="s">
        <v>189</v>
      </c>
      <c r="I10" s="34" t="s">
        <v>190</v>
      </c>
      <c r="J10" s="34" t="s">
        <v>191</v>
      </c>
      <c r="K10" s="34" t="s">
        <v>192</v>
      </c>
    </row>
    <row r="11" spans="1:20" ht="16.2" customHeight="1" x14ac:dyDescent="0.25">
      <c r="B11" s="60">
        <v>1</v>
      </c>
      <c r="C11" s="67" t="s">
        <v>193</v>
      </c>
      <c r="D11" s="67"/>
      <c r="E11" s="67"/>
      <c r="F11" s="67"/>
      <c r="G11" s="69">
        <v>50000</v>
      </c>
      <c r="H11" s="37">
        <f>$J$43</f>
        <v>50000</v>
      </c>
      <c r="I11" s="70">
        <f>IF(AND(ISNUMBER($G$11),ISNUMBER($H$11)),ABS($H$11-$G$11),"")</f>
        <v>0</v>
      </c>
      <c r="J11" s="71">
        <v>1E-09</v>
      </c>
      <c r="K11" s="72" t="str">
        <f>IF(AND(ISNUMBER($G$11),ISNUMBER($H$11)),IF(ABS($H$11-$G$11)&lt;=$J$11,"PASS","FAIL"),"FAIL")</f>
        <v>PASS</v>
      </c>
    </row>
    <row r="12" spans="1:20" ht="16.2" customHeight="1" x14ac:dyDescent="0.25">
      <c r="B12" s="60">
        <v>2</v>
      </c>
      <c r="C12" s="67" t="s">
        <v>194</v>
      </c>
      <c r="D12" s="67"/>
      <c r="E12" s="67"/>
      <c r="F12" s="67"/>
      <c r="G12" s="69">
        <v>15000</v>
      </c>
      <c r="H12" s="37">
        <f>$K$43</f>
        <v>15000</v>
      </c>
      <c r="I12" s="70">
        <f>IF(AND(ISNUMBER($G$12),ISNUMBER($H$12)),ABS($H$12-$G$12),"")</f>
        <v>0</v>
      </c>
      <c r="J12" s="71">
        <v>1E-09</v>
      </c>
      <c r="K12" s="72" t="str">
        <f>IF(AND(ISNUMBER($G$12),ISNUMBER($H$12)),IF(ABS($H$12-$G$12)&lt;=$J$12,"PASS","FAIL"),"FAIL")</f>
        <v>PASS</v>
      </c>
    </row>
    <row r="13" spans="1:20" ht="16.2" customHeight="1" x14ac:dyDescent="0.25">
      <c r="B13" s="60">
        <v>3</v>
      </c>
      <c r="C13" s="67" t="s">
        <v>195</v>
      </c>
      <c r="D13" s="67"/>
      <c r="E13" s="67"/>
      <c r="F13" s="67"/>
      <c r="G13" s="69">
        <v>95000</v>
      </c>
      <c r="H13" s="37">
        <f>$L$43</f>
        <v>95000</v>
      </c>
      <c r="I13" s="70">
        <f>IF(AND(ISNUMBER($G$13),ISNUMBER($H$13)),ABS($H$13-$G$13),"")</f>
        <v>0</v>
      </c>
      <c r="J13" s="71">
        <v>1E-09</v>
      </c>
      <c r="K13" s="72" t="str">
        <f>IF(AND(ISNUMBER($G$13),ISNUMBER($H$13)),IF(ABS($H$13-$G$13)&lt;=$J$13,"PASS","FAIL"),"FAIL")</f>
        <v>PASS</v>
      </c>
    </row>
    <row r="14" spans="1:20" ht="16.2" customHeight="1" x14ac:dyDescent="0.25">
      <c r="B14" s="60">
        <v>4</v>
      </c>
      <c r="C14" s="67" t="s">
        <v>196</v>
      </c>
      <c r="D14" s="67"/>
      <c r="E14" s="67"/>
      <c r="F14" s="67"/>
      <c r="G14" s="69">
        <v>71374.90608564987</v>
      </c>
      <c r="H14" s="37">
        <f>$N$45</f>
        <v>71374.9060856499</v>
      </c>
      <c r="I14" s="70">
        <f>IF(AND(ISNUMBER($G$14),ISNUMBER($H$14)),ABS($H$14-$G$14),"")</f>
        <v>0</v>
      </c>
      <c r="J14" s="71">
        <v>1E-06</v>
      </c>
      <c r="K14" s="72" t="str">
        <f>IF(AND(ISNUMBER($G$14),ISNUMBER($H$14)),IF(ABS($H$14-$G$14)&lt;=$J$14,"PASS","FAIL"),"FAIL")</f>
        <v>PASS</v>
      </c>
    </row>
    <row r="15" spans="1:20" ht="16.2" customHeight="1" x14ac:dyDescent="0.25">
      <c r="B15" s="60">
        <v>5</v>
      </c>
      <c r="C15" s="67" t="s">
        <v>197</v>
      </c>
      <c r="D15" s="67"/>
      <c r="E15" s="67"/>
      <c r="F15" s="67"/>
      <c r="G15" s="73">
        <v>3.684210526315789</v>
      </c>
      <c r="H15" s="36">
        <f>$Q$46</f>
        <v>3.68421052631579</v>
      </c>
      <c r="I15" s="70">
        <f>IF(AND(ISNUMBER($G$15),ISNUMBER($H$15)),ABS($H$15-$G$15),"")</f>
        <v>0</v>
      </c>
      <c r="J15" s="71">
        <v>1E-09</v>
      </c>
      <c r="K15" s="72" t="str">
        <f>IF(AND(ISNUMBER($G$15),ISNUMBER($H$15)),IF(ABS($H$15-$G$15)&lt;=$J$15,"PASS","FAIL"),"FAIL")</f>
        <v>PASS</v>
      </c>
    </row>
    <row r="16" spans="1:20" ht="16.2" customHeight="1" x14ac:dyDescent="0.25">
      <c r="B16" s="60">
        <v>6</v>
      </c>
      <c r="C16" s="67" t="s">
        <v>198</v>
      </c>
      <c r="D16" s="67"/>
      <c r="E16" s="67"/>
      <c r="F16" s="67"/>
      <c r="G16" s="66" t="s">
        <v>199</v>
      </c>
      <c r="H16" s="61" t="str">
        <f>$S$50</f>
        <v>Previous year missing</v>
      </c>
      <c r="I16" s="61"/>
      <c r="J16" s="68" t="s">
        <v>200</v>
      </c>
      <c r="K16" s="72" t="str">
        <f>IF($H$16&amp;""=$G$16&amp;"","PASS","FAIL")</f>
        <v>PASS</v>
      </c>
    </row>
    <row r="17" spans="2:12" ht="16.2" customHeight="1" x14ac:dyDescent="0.25">
      <c r="B17" s="60">
        <v>7</v>
      </c>
      <c r="C17" s="67" t="s">
        <v>201</v>
      </c>
      <c r="D17" s="67"/>
      <c r="E17" s="67"/>
      <c r="F17" s="67"/>
      <c r="G17" s="69">
        <v>112499.7876808285</v>
      </c>
      <c r="H17" s="37">
        <f>IF(COUNT(tblVerifyFlows[Year])=0,"",SUM(tblVerifyFlows[Present value]))</f>
        <v>112499.787680828</v>
      </c>
      <c r="I17" s="70">
        <f>IF(AND(ISNUMBER($G$17),ISNUMBER($H$17)),ABS($H$17-$G$17),"")</f>
        <v>0</v>
      </c>
      <c r="J17" s="71">
        <v>1E-06</v>
      </c>
      <c r="K17" s="72" t="str">
        <f>IF(AND(ISNUMBER($G$17),ISNUMBER($H$17)),IF(ABS($H$17-$G$17)&lt;=$J$17,"PASS","FAIL"),"FAIL")</f>
        <v>PASS</v>
      </c>
    </row>
    <row r="18" spans="2:12" ht="16.2" customHeight="1" x14ac:dyDescent="0.25">
      <c r="B18" s="60">
        <v>8</v>
      </c>
      <c r="C18" s="67" t="s">
        <v>202</v>
      </c>
      <c r="D18" s="67"/>
      <c r="E18" s="67"/>
      <c r="F18" s="67"/>
      <c r="G18" s="74">
        <v>0.1920873079381243</v>
      </c>
      <c r="H18" s="75">
        <f>IF(COUNT(tblVerifyFlows[Year])=0,"",IFERROR(IRR($H$54:$H$69),"Not found"))</f>
        <v>0.192087307938124</v>
      </c>
      <c r="I18" s="70">
        <f>IF(AND(ISNUMBER($G$18),ISNUMBER($H$18)),ABS($H$18-$G$18),"")</f>
        <v>0</v>
      </c>
      <c r="J18" s="71">
        <v>1E-07</v>
      </c>
      <c r="K18" s="72" t="str">
        <f>IF(AND(ISNUMBER($G$18),ISNUMBER($H$18)),IF(ABS($H$18-$G$18)&lt;=$J$18,"PASS","FAIL"),"FAIL")</f>
        <v>PASS</v>
      </c>
    </row>
    <row r="19" spans="2:12" ht="16.2" customHeight="1" x14ac:dyDescent="0.25">
      <c r="B19" s="60">
        <v>9</v>
      </c>
      <c r="C19" s="67" t="s">
        <v>203</v>
      </c>
      <c r="D19" s="67"/>
      <c r="E19" s="67"/>
      <c r="F19" s="67"/>
      <c r="G19" s="73">
        <v>3.684210526315789</v>
      </c>
      <c r="H19" s="36">
        <f>IF(COUNT(tblVerifyFlows[Year])=0,"",IF(COUNT(tblVerifyFlows[Payback (yr)])=0,"Not reached",MIN(tblVerifyFlows[Payback (yr)])))</f>
        <v>3.68421052631579</v>
      </c>
      <c r="I19" s="70">
        <f>IF(AND(ISNUMBER($G$19),ISNUMBER($H$19)),ABS($H$19-$G$19),"")</f>
        <v>0</v>
      </c>
      <c r="J19" s="71">
        <v>1E-09</v>
      </c>
      <c r="K19" s="72" t="str">
        <f>IF(AND(ISNUMBER($G$19),ISNUMBER($H$19)),IF(ABS($H$19-$G$19)&lt;=$J$19,"PASS","FAIL"),"FAIL")</f>
        <v>PASS</v>
      </c>
    </row>
    <row r="20" spans="2:12" ht="16.2" customHeight="1" x14ac:dyDescent="0.25">
      <c r="B20" s="60">
        <v>10</v>
      </c>
      <c r="C20" s="67" t="s">
        <v>204</v>
      </c>
      <c r="D20" s="67"/>
      <c r="E20" s="67"/>
      <c r="F20" s="67"/>
      <c r="G20" s="73">
        <v>4.828357894736843</v>
      </c>
      <c r="H20" s="36">
        <f>IF(COUNT(tblVerifyFlows[Year])=0,"",IF(COUNT(tblVerifyFlows[Discounted payback (yr)])=0,"Not reached",MIN(tblVerifyFlows[Discounted payback (yr)])))</f>
        <v>4.82835789473684</v>
      </c>
      <c r="I20" s="70">
        <f>IF(AND(ISNUMBER($G$20),ISNUMBER($H$20)),ABS($H$20-$G$20),"")</f>
        <v>0</v>
      </c>
      <c r="J20" s="71">
        <v>1E-09</v>
      </c>
      <c r="K20" s="72" t="str">
        <f>IF(AND(ISNUMBER($G$20),ISNUMBER($H$20)),IF(ABS($H$20-$G$20)&lt;=$J$20,"PASS","FAIL"),"FAIL")</f>
        <v>PASS</v>
      </c>
    </row>
    <row r="21" spans="2:12" ht="16.2" customHeight="1" x14ac:dyDescent="0.25">
      <c r="B21" s="60">
        <v>11</v>
      </c>
      <c r="C21" s="67" t="s">
        <v>149</v>
      </c>
      <c r="D21" s="67"/>
      <c r="E21" s="67"/>
      <c r="F21" s="67"/>
      <c r="G21" s="73">
        <v>1.321427964802367</v>
      </c>
      <c r="H21" s="36">
        <f>IF((SUMPRODUCT($C$54:$C$69,$I$54:$I$69))=0,"",(SUM(tblVerifyFlows[Present value])+SUMPRODUCT($C$54:$C$69,$I$54:$I$69))/(SUMPRODUCT($C$54:$C$69,$I$54:$I$69)))</f>
        <v>1.32142796480237</v>
      </c>
      <c r="I21" s="70">
        <f>IF(AND(ISNUMBER($G$21),ISNUMBER($H$21)),ABS($H$21-$G$21),"")</f>
        <v>0</v>
      </c>
      <c r="J21" s="71">
        <v>1E-09</v>
      </c>
      <c r="K21" s="72" t="str">
        <f>IF(AND(ISNUMBER($G$21),ISNUMBER($H$21)),IF(ABS($H$21-$G$21)&lt;=$J$21,"PASS","FAIL"),"FAIL")</f>
        <v>PASS</v>
      </c>
    </row>
    <row r="22" spans="2:12" ht="16.2" customHeight="1" x14ac:dyDescent="0.25">
      <c r="B22" s="60">
        <v>12</v>
      </c>
      <c r="C22" s="67" t="s">
        <v>152</v>
      </c>
      <c r="D22" s="67"/>
      <c r="E22" s="67"/>
      <c r="F22" s="67"/>
      <c r="G22" s="74">
        <v>0.7320802886400986</v>
      </c>
      <c r="H22" s="75">
        <f>IF((SUMPRODUCT($D$54:$D$69,$I$54:$I$69)*(1-$E$34))&lt;=0,"",1-SUM(tblVerifyFlows[Present value])/(SUMPRODUCT($D$54:$D$69,$I$54:$I$69)*(1-$E$34)))</f>
        <v>0.732080288640099</v>
      </c>
      <c r="I22" s="70">
        <f>IF(AND(ISNUMBER($G$22),ISNUMBER($H$22)),ABS($H$22-$G$22),"")</f>
        <v>0</v>
      </c>
      <c r="J22" s="71">
        <v>1E-09</v>
      </c>
      <c r="K22" s="72" t="str">
        <f>IF(AND(ISNUMBER($G$22),ISNUMBER($H$22)),IF(ABS($H$22-$G$22)&lt;=$J$22,"PASS","FAIL"),"FAIL")</f>
        <v>PASS</v>
      </c>
    </row>
    <row r="23" spans="2:12" ht="16.2" customHeight="1" x14ac:dyDescent="0.25">
      <c r="B23" s="60">
        <v>13</v>
      </c>
      <c r="C23" s="67" t="s">
        <v>205</v>
      </c>
      <c r="D23" s="67"/>
      <c r="E23" s="67"/>
      <c r="F23" s="67"/>
      <c r="G23" s="69">
        <v>112499.7876808284</v>
      </c>
      <c r="H23" s="37">
        <f>$E$85</f>
        <v>112499.787680828</v>
      </c>
      <c r="I23" s="70">
        <f>IF(AND(ISNUMBER($G$23),ISNUMBER($H$23)),ABS($H$23-$G$23),"")</f>
        <v>0</v>
      </c>
      <c r="J23" s="71">
        <v>1E-06</v>
      </c>
      <c r="K23" s="72" t="str">
        <f>IF(AND(ISNUMBER($G$23),ISNUMBER($H$23)),IF(ABS($H$23-$G$23)&lt;=$J$23,"PASS","FAIL"),"FAIL")</f>
        <v>PASS</v>
      </c>
    </row>
    <row r="24" spans="2:12" ht="16.2" customHeight="1" x14ac:dyDescent="0.25">
      <c r="B24" s="60">
        <v>14</v>
      </c>
      <c r="C24" s="67" t="s">
        <v>206</v>
      </c>
      <c r="D24" s="67"/>
      <c r="E24" s="67"/>
      <c r="F24" s="67"/>
      <c r="G24" s="69">
        <v>-12265.92290252262</v>
      </c>
      <c r="H24" s="37">
        <f>$C$83</f>
        <v>-12265.9229025226</v>
      </c>
      <c r="I24" s="70">
        <f>IF(AND(ISNUMBER($G$24),ISNUMBER($H$24)),ABS($H$24-$G$24),"")</f>
        <v>0</v>
      </c>
      <c r="J24" s="71">
        <v>1E-06</v>
      </c>
      <c r="K24" s="72" t="str">
        <f>IF(AND(ISNUMBER($G$24),ISNUMBER($H$24)),IF(ABS($H$24-$G$24)&lt;=$J$24,"PASS","FAIL"),"FAIL")</f>
        <v>PASS</v>
      </c>
    </row>
    <row r="25" spans="2:12" ht="16.2" customHeight="1" x14ac:dyDescent="0.25">
      <c r="B25" s="60">
        <v>15</v>
      </c>
      <c r="C25" s="67" t="s">
        <v>207</v>
      </c>
      <c r="D25" s="67"/>
      <c r="E25" s="67"/>
      <c r="F25" s="67"/>
      <c r="G25" s="69">
        <v>-289144.7647788384</v>
      </c>
      <c r="H25" s="37">
        <f>$D$73</f>
        <v>-289144.764778838</v>
      </c>
      <c r="I25" s="70">
        <f>IF(AND(ISNUMBER($G$25),ISNUMBER($H$25)),ABS($H$25-$G$25),"")</f>
        <v>0</v>
      </c>
      <c r="J25" s="71">
        <v>1E-06</v>
      </c>
      <c r="K25" s="72" t="str">
        <f>IF(AND(ISNUMBER($G$25),ISNUMBER($H$25)),IF(ABS($H$25-$G$25)&lt;=$J$25,"PASS","FAIL"),"FAIL")</f>
        <v>PASS</v>
      </c>
    </row>
    <row r="26" spans="2:12" ht="16.2" customHeight="1" x14ac:dyDescent="0.25">
      <c r="B26" s="60">
        <v>16</v>
      </c>
      <c r="C26" s="67" t="s">
        <v>208</v>
      </c>
      <c r="D26" s="67"/>
      <c r="E26" s="67"/>
      <c r="F26" s="67"/>
      <c r="G26" s="69">
        <v>62802.60274823881</v>
      </c>
      <c r="H26" s="37">
        <f>$E$74</f>
        <v>62802.6027482388</v>
      </c>
      <c r="I26" s="70">
        <f>IF(AND(ISNUMBER($G$26),ISNUMBER($H$26)),ABS($H$26-$G$26),"")</f>
        <v>0</v>
      </c>
      <c r="J26" s="71">
        <v>1E-06</v>
      </c>
      <c r="K26" s="72" t="str">
        <f>IF(AND(ISNUMBER($G$26),ISNUMBER($H$26)),IF(ABS($H$26-$G$26)&lt;=$J$26,"PASS","FAIL"),"FAIL")</f>
        <v>PASS</v>
      </c>
    </row>
    <row r="27" spans="2:12" ht="16.2" customHeight="1" x14ac:dyDescent="0.25">
      <c r="B27" s="60">
        <v>17</v>
      </c>
      <c r="C27" s="67" t="s">
        <v>209</v>
      </c>
      <c r="D27" s="67"/>
      <c r="E27" s="67"/>
      <c r="F27" s="67"/>
      <c r="G27" s="66" t="s">
        <v>78</v>
      </c>
      <c r="H27" s="61" t="str">
        <f>$C$91</f>
        <v>Labour savings</v>
      </c>
      <c r="I27" s="61"/>
      <c r="J27" s="68" t="s">
        <v>200</v>
      </c>
      <c r="K27" s="72" t="str">
        <f>IF($H$27&amp;""=$G$27&amp;"","PASS","FAIL")</f>
        <v>PASS</v>
      </c>
    </row>
    <row r="29" spans="2:12" ht="21" customHeight="1" x14ac:dyDescent="0.25">
      <c r="B29" s="8" t="s">
        <v>210</v>
      </c>
      <c r="C29" s="8"/>
      <c r="D29" s="8"/>
      <c r="E29" s="8"/>
      <c r="F29" s="8"/>
      <c r="G29" s="8"/>
      <c r="H29" s="8"/>
      <c r="I29" s="8"/>
      <c r="J29" s="8"/>
      <c r="K29" s="8"/>
      <c r="L29" s="8"/>
    </row>
    <row r="30" spans="2:12" ht="5" customHeight="1" x14ac:dyDescent="0.25"/>
    <row r="31" spans="2:12" x14ac:dyDescent="0.25">
      <c r="B31" s="21" t="s">
        <v>211</v>
      </c>
      <c r="C31" s="21"/>
      <c r="D31" s="21"/>
      <c r="E31" s="21"/>
      <c r="F31" s="21"/>
      <c r="G31" s="21"/>
      <c r="H31" s="21"/>
      <c r="I31" s="21"/>
      <c r="J31" s="21"/>
      <c r="K31" s="21"/>
      <c r="L31" s="21"/>
    </row>
    <row r="32" spans="2:12" x14ac:dyDescent="0.25">
      <c r="B32" s="54" t="s">
        <v>212</v>
      </c>
      <c r="C32" s="54"/>
      <c r="D32" s="54"/>
      <c r="E32" s="54"/>
      <c r="F32" s="54"/>
    </row>
    <row r="33" spans="2:20" x14ac:dyDescent="0.25">
      <c r="B33" s="27" t="s">
        <v>118</v>
      </c>
      <c r="C33" s="27"/>
      <c r="D33" s="27"/>
      <c r="E33" s="76">
        <v>0.1</v>
      </c>
      <c r="F33" s="7"/>
    </row>
    <row r="34" spans="2:20" x14ac:dyDescent="0.25">
      <c r="B34" s="27" t="s">
        <v>213</v>
      </c>
      <c r="C34" s="27"/>
      <c r="D34" s="27"/>
      <c r="E34" s="76">
        <v>0.25</v>
      </c>
      <c r="F34" s="7"/>
    </row>
    <row r="35" spans="2:20" x14ac:dyDescent="0.25">
      <c r="B35" s="27" t="s">
        <v>214</v>
      </c>
      <c r="C35" s="27"/>
      <c r="D35" s="27"/>
      <c r="E35" s="77">
        <v>7</v>
      </c>
      <c r="F35" s="7"/>
    </row>
    <row r="36" spans="2:20" x14ac:dyDescent="0.25">
      <c r="B36" s="27" t="s">
        <v>215</v>
      </c>
      <c r="C36" s="27"/>
      <c r="D36" s="27"/>
      <c r="E36" s="76">
        <v>0.2</v>
      </c>
      <c r="F36" s="7"/>
    </row>
    <row r="37" spans="2:20" x14ac:dyDescent="0.25">
      <c r="B37" s="27" t="s">
        <v>216</v>
      </c>
      <c r="C37" s="27"/>
      <c r="D37" s="27"/>
      <c r="E37" s="76">
        <v>0.02</v>
      </c>
      <c r="F37" s="7"/>
    </row>
    <row r="39" spans="2:20" x14ac:dyDescent="0.25">
      <c r="B39" s="54" t="s">
        <v>217</v>
      </c>
      <c r="C39" s="54"/>
      <c r="D39" s="54"/>
      <c r="E39" s="54"/>
      <c r="F39" s="54"/>
      <c r="G39" s="54"/>
      <c r="H39" s="54"/>
      <c r="I39" s="54"/>
      <c r="J39" s="54"/>
      <c r="K39" s="54"/>
      <c r="L39" s="54"/>
    </row>
    <row r="40" spans="2:20" ht="14" customHeight="1" x14ac:dyDescent="0.25">
      <c r="B40" s="33"/>
      <c r="C40" s="33" t="str">
        <f>Currency</f>
        <v>USD</v>
      </c>
      <c r="D40" s="33" t="str">
        <f>Currency</f>
        <v>USD</v>
      </c>
      <c r="E40" s="33" t="str">
        <f>Currency</f>
        <v>USD</v>
      </c>
      <c r="F40" s="33" t="str">
        <f>Currency</f>
        <v>USD</v>
      </c>
      <c r="G40" s="33" t="str">
        <f>Currency</f>
        <v>USD</v>
      </c>
      <c r="H40" s="33" t="str">
        <f>Currency</f>
        <v>USD</v>
      </c>
      <c r="I40" s="33" t="str">
        <f>Currency</f>
        <v>USD</v>
      </c>
      <c r="J40" s="33" t="str">
        <f>Currency</f>
        <v>USD</v>
      </c>
      <c r="K40" s="33" t="str">
        <f>Currency</f>
        <v>USD</v>
      </c>
      <c r="L40" s="33" t="str">
        <f>Currency</f>
        <v>USD</v>
      </c>
      <c r="M40" s="33"/>
      <c r="N40" s="33" t="str">
        <f>Currency</f>
        <v>USD</v>
      </c>
      <c r="O40" s="33" t="str">
        <f>Currency</f>
        <v>USD</v>
      </c>
      <c r="P40" s="33" t="str">
        <f>Currency</f>
        <v>USD</v>
      </c>
      <c r="Q40" s="33"/>
      <c r="R40" s="33"/>
      <c r="S40" s="33"/>
      <c r="T40" s="33"/>
    </row>
    <row r="41" spans="2:20" ht="32" customHeight="1" x14ac:dyDescent="0.25">
      <c r="B41" s="34" t="s">
        <v>76</v>
      </c>
      <c r="C41" s="34" t="s">
        <v>77</v>
      </c>
      <c r="D41" s="34" t="s">
        <v>78</v>
      </c>
      <c r="E41" s="34" t="s">
        <v>79</v>
      </c>
      <c r="F41" s="34" t="s">
        <v>80</v>
      </c>
      <c r="G41" s="34" t="s">
        <v>81</v>
      </c>
      <c r="H41" s="34" t="s">
        <v>82</v>
      </c>
      <c r="I41" s="34" t="s">
        <v>83</v>
      </c>
      <c r="J41" s="34" t="s">
        <v>84</v>
      </c>
      <c r="K41" s="34" t="s">
        <v>85</v>
      </c>
      <c r="L41" s="34" t="s">
        <v>86</v>
      </c>
      <c r="M41" s="34" t="s">
        <v>87</v>
      </c>
      <c r="N41" s="34" t="s">
        <v>88</v>
      </c>
      <c r="O41" s="34" t="s">
        <v>89</v>
      </c>
      <c r="P41" s="34" t="s">
        <v>90</v>
      </c>
      <c r="Q41" s="34" t="s">
        <v>91</v>
      </c>
      <c r="R41" s="34" t="s">
        <v>92</v>
      </c>
      <c r="S41" s="34" t="s">
        <v>93</v>
      </c>
      <c r="T41" s="34" t="s">
        <v>94</v>
      </c>
    </row>
    <row r="42" spans="2:20" x14ac:dyDescent="0.25">
      <c r="B42" s="77">
        <v>0</v>
      </c>
      <c r="C42" s="77">
        <v>350000</v>
      </c>
      <c r="D42" s="77"/>
      <c r="E42" s="77"/>
      <c r="F42" s="77"/>
      <c r="G42" s="77"/>
      <c r="H42" s="77"/>
      <c r="I42" s="35">
        <f>IF(tblVerifyFlows[[#This Row],[Year]]="","",tblVerifyFlows[[#This Row],[Labour savings]]+tblVerifyFlows[[#This Row],[Material and scrap savings]]+tblVerifyFlows[[#This Row],[Other savings]])</f>
        <v>0</v>
      </c>
      <c r="J42" s="35">
        <f>IF(tblVerifyFlows[[#This Row],[Year]]="","",IF($E$35&gt;0,SUMIFS(tblVerifyFlows[Capital spend],tblVerifyFlows[Year],"&lt;"&amp;tblVerifyFlows[[#This Row],[Year]],tblVerifyFlows[Year],"&gt;="&amp;tblVerifyFlows[[#This Row],[Year]]-$E$35)/$E$35,0))</f>
        <v>0</v>
      </c>
      <c r="K42" s="35">
        <f>IF(tblVerifyFlows[[#This Row],[Year]]="","",(tblVerifyFlows[[#This Row],[Total savings]]-tblVerifyFlows[[#This Row],[Added operating cost]]-tblVerifyFlows[[#This Row],[Depreciation]])*$E$34)</f>
        <v>0</v>
      </c>
      <c r="L42" s="35">
        <f>IF(tblVerifyFlows[[#This Row],[Year]]="","",tblVerifyFlows[[#This Row],[Total savings]]-tblVerifyFlows[[#This Row],[Added operating cost]]-tblVerifyFlows[[#This Row],[Tax effect]]-tblVerifyFlows[[#This Row],[Capital spend]]+tblVerifyFlows[[#This Row],[Terminal value]])</f>
        <v>-350000</v>
      </c>
      <c r="M42" s="36">
        <f>IF(tblVerifyFlows[[#This Row],[Year]]="","",1/(1+$E$33)^tblVerifyFlows[[#This Row],[Year]])</f>
        <v>1</v>
      </c>
      <c r="N42" s="35">
        <f>IF(tblVerifyFlows[[#This Row],[Year]]="","",tblVerifyFlows[[#This Row],[Net cash flow]]*tblVerifyFlows[[#This Row],[Discount factor]])</f>
        <v>-350000</v>
      </c>
      <c r="O42" s="35">
        <f>IF(tblVerifyFlows[[#This Row],[Year]]="","",SUMIFS(tblVerifyFlows[Net cash flow],tblVerifyFlows[Year],"&lt;="&amp;tblVerifyFlows[[#This Row],[Year]]))</f>
        <v>-350000</v>
      </c>
      <c r="P42" s="35">
        <f>IF(tblVerifyFlows[[#This Row],[Year]]="","",SUMIFS(tblVerifyFlows[Present value],tblVerifyFlows[Year],"&lt;="&amp;tblVerifyFlows[[#This Row],[Year]]))</f>
        <v>-350000</v>
      </c>
      <c r="Q42"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42"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42"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2" s="66" t="s">
        <v>218</v>
      </c>
    </row>
    <row r="43" spans="2:20" x14ac:dyDescent="0.25">
      <c r="B43" s="77">
        <v>1</v>
      </c>
      <c r="C43" s="77"/>
      <c r="D43" s="77">
        <v>86000</v>
      </c>
      <c r="E43" s="77">
        <v>21000</v>
      </c>
      <c r="F43" s="77">
        <v>8000</v>
      </c>
      <c r="G43" s="77">
        <v>5000</v>
      </c>
      <c r="H43" s="77"/>
      <c r="I43" s="35">
        <f>IF(tblVerifyFlows[[#This Row],[Year]]="","",tblVerifyFlows[[#This Row],[Labour savings]]+tblVerifyFlows[[#This Row],[Material and scrap savings]]+tblVerifyFlows[[#This Row],[Other savings]])</f>
        <v>115000</v>
      </c>
      <c r="J43" s="35">
        <f>IF(tblVerifyFlows[[#This Row],[Year]]="","",IF($E$35&gt;0,SUMIFS(tblVerifyFlows[Capital spend],tblVerifyFlows[Year],"&lt;"&amp;tblVerifyFlows[[#This Row],[Year]],tblVerifyFlows[Year],"&gt;="&amp;tblVerifyFlows[[#This Row],[Year]]-$E$35)/$E$35,0))</f>
        <v>50000</v>
      </c>
      <c r="K43" s="35">
        <f>IF(tblVerifyFlows[[#This Row],[Year]]="","",(tblVerifyFlows[[#This Row],[Total savings]]-tblVerifyFlows[[#This Row],[Added operating cost]]-tblVerifyFlows[[#This Row],[Depreciation]])*$E$34)</f>
        <v>15000</v>
      </c>
      <c r="L43" s="35">
        <f>IF(tblVerifyFlows[[#This Row],[Year]]="","",tblVerifyFlows[[#This Row],[Total savings]]-tblVerifyFlows[[#This Row],[Added operating cost]]-tblVerifyFlows[[#This Row],[Tax effect]]-tblVerifyFlows[[#This Row],[Capital spend]]+tblVerifyFlows[[#This Row],[Terminal value]])</f>
        <v>95000</v>
      </c>
      <c r="M43" s="36">
        <f>IF(tblVerifyFlows[[#This Row],[Year]]="","",1/(1+$E$33)^tblVerifyFlows[[#This Row],[Year]])</f>
        <v>0.909090909090909</v>
      </c>
      <c r="N43" s="35">
        <f>IF(tblVerifyFlows[[#This Row],[Year]]="","",tblVerifyFlows[[#This Row],[Net cash flow]]*tblVerifyFlows[[#This Row],[Discount factor]])</f>
        <v>86363.6363636364</v>
      </c>
      <c r="O43" s="35">
        <f>IF(tblVerifyFlows[[#This Row],[Year]]="","",SUMIFS(tblVerifyFlows[Net cash flow],tblVerifyFlows[Year],"&lt;="&amp;tblVerifyFlows[[#This Row],[Year]]))</f>
        <v>-255000</v>
      </c>
      <c r="P43" s="35">
        <f>IF(tblVerifyFlows[[#This Row],[Year]]="","",SUMIFS(tblVerifyFlows[Present value],tblVerifyFlows[Year],"&lt;="&amp;tblVerifyFlows[[#This Row],[Year]]))</f>
        <v>-263636.363636364</v>
      </c>
      <c r="Q43"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43"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43"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3" s="66"/>
    </row>
    <row r="44" spans="2:20" x14ac:dyDescent="0.25">
      <c r="B44" s="77">
        <v>2</v>
      </c>
      <c r="C44" s="77"/>
      <c r="D44" s="77">
        <v>86000</v>
      </c>
      <c r="E44" s="77">
        <v>21000</v>
      </c>
      <c r="F44" s="77">
        <v>8000</v>
      </c>
      <c r="G44" s="77">
        <v>5000</v>
      </c>
      <c r="H44" s="77"/>
      <c r="I44" s="35">
        <f>IF(tblVerifyFlows[[#This Row],[Year]]="","",tblVerifyFlows[[#This Row],[Labour savings]]+tblVerifyFlows[[#This Row],[Material and scrap savings]]+tblVerifyFlows[[#This Row],[Other savings]])</f>
        <v>115000</v>
      </c>
      <c r="J44" s="35">
        <f>IF(tblVerifyFlows[[#This Row],[Year]]="","",IF($E$35&gt;0,SUMIFS(tblVerifyFlows[Capital spend],tblVerifyFlows[Year],"&lt;"&amp;tblVerifyFlows[[#This Row],[Year]],tblVerifyFlows[Year],"&gt;="&amp;tblVerifyFlows[[#This Row],[Year]]-$E$35)/$E$35,0))</f>
        <v>50000</v>
      </c>
      <c r="K44" s="35">
        <f>IF(tblVerifyFlows[[#This Row],[Year]]="","",(tblVerifyFlows[[#This Row],[Total savings]]-tblVerifyFlows[[#This Row],[Added operating cost]]-tblVerifyFlows[[#This Row],[Depreciation]])*$E$34)</f>
        <v>15000</v>
      </c>
      <c r="L44" s="35">
        <f>IF(tblVerifyFlows[[#This Row],[Year]]="","",tblVerifyFlows[[#This Row],[Total savings]]-tblVerifyFlows[[#This Row],[Added operating cost]]-tblVerifyFlows[[#This Row],[Tax effect]]-tblVerifyFlows[[#This Row],[Capital spend]]+tblVerifyFlows[[#This Row],[Terminal value]])</f>
        <v>95000</v>
      </c>
      <c r="M44" s="36">
        <f>IF(tblVerifyFlows[[#This Row],[Year]]="","",1/(1+$E$33)^tblVerifyFlows[[#This Row],[Year]])</f>
        <v>0.826446280991735</v>
      </c>
      <c r="N44" s="35">
        <f>IF(tblVerifyFlows[[#This Row],[Year]]="","",tblVerifyFlows[[#This Row],[Net cash flow]]*tblVerifyFlows[[#This Row],[Discount factor]])</f>
        <v>78512.3966942149</v>
      </c>
      <c r="O44" s="35">
        <f>IF(tblVerifyFlows[[#This Row],[Year]]="","",SUMIFS(tblVerifyFlows[Net cash flow],tblVerifyFlows[Year],"&lt;="&amp;tblVerifyFlows[[#This Row],[Year]]))</f>
        <v>-160000</v>
      </c>
      <c r="P44" s="35">
        <f>IF(tblVerifyFlows[[#This Row],[Year]]="","",SUMIFS(tblVerifyFlows[Present value],tblVerifyFlows[Year],"&lt;="&amp;tblVerifyFlows[[#This Row],[Year]]))</f>
        <v>-185123.966942149</v>
      </c>
      <c r="Q44"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44"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44"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4" s="66"/>
    </row>
    <row r="45" spans="2:20" x14ac:dyDescent="0.25">
      <c r="B45" s="77">
        <v>3</v>
      </c>
      <c r="C45" s="77"/>
      <c r="D45" s="77">
        <v>86000</v>
      </c>
      <c r="E45" s="77">
        <v>21000</v>
      </c>
      <c r="F45" s="77">
        <v>8000</v>
      </c>
      <c r="G45" s="77">
        <v>5000</v>
      </c>
      <c r="H45" s="77"/>
      <c r="I45" s="35">
        <f>IF(tblVerifyFlows[[#This Row],[Year]]="","",tblVerifyFlows[[#This Row],[Labour savings]]+tblVerifyFlows[[#This Row],[Material and scrap savings]]+tblVerifyFlows[[#This Row],[Other savings]])</f>
        <v>115000</v>
      </c>
      <c r="J45" s="35">
        <f>IF(tblVerifyFlows[[#This Row],[Year]]="","",IF($E$35&gt;0,SUMIFS(tblVerifyFlows[Capital spend],tblVerifyFlows[Year],"&lt;"&amp;tblVerifyFlows[[#This Row],[Year]],tblVerifyFlows[Year],"&gt;="&amp;tblVerifyFlows[[#This Row],[Year]]-$E$35)/$E$35,0))</f>
        <v>50000</v>
      </c>
      <c r="K45" s="35">
        <f>IF(tblVerifyFlows[[#This Row],[Year]]="","",(tblVerifyFlows[[#This Row],[Total savings]]-tblVerifyFlows[[#This Row],[Added operating cost]]-tblVerifyFlows[[#This Row],[Depreciation]])*$E$34)</f>
        <v>15000</v>
      </c>
      <c r="L45" s="35">
        <f>IF(tblVerifyFlows[[#This Row],[Year]]="","",tblVerifyFlows[[#This Row],[Total savings]]-tblVerifyFlows[[#This Row],[Added operating cost]]-tblVerifyFlows[[#This Row],[Tax effect]]-tblVerifyFlows[[#This Row],[Capital spend]]+tblVerifyFlows[[#This Row],[Terminal value]])</f>
        <v>95000</v>
      </c>
      <c r="M45" s="36">
        <f>IF(tblVerifyFlows[[#This Row],[Year]]="","",1/(1+$E$33)^tblVerifyFlows[[#This Row],[Year]])</f>
        <v>0.751314800901578</v>
      </c>
      <c r="N45" s="35">
        <f>IF(tblVerifyFlows[[#This Row],[Year]]="","",tblVerifyFlows[[#This Row],[Net cash flow]]*tblVerifyFlows[[#This Row],[Discount factor]])</f>
        <v>71374.9060856499</v>
      </c>
      <c r="O45" s="35">
        <f>IF(tblVerifyFlows[[#This Row],[Year]]="","",SUMIFS(tblVerifyFlows[Net cash flow],tblVerifyFlows[Year],"&lt;="&amp;tblVerifyFlows[[#This Row],[Year]]))</f>
        <v>-65000</v>
      </c>
      <c r="P45" s="35">
        <f>IF(tblVerifyFlows[[#This Row],[Year]]="","",SUMIFS(tblVerifyFlows[Present value],tblVerifyFlows[Year],"&lt;="&amp;tblVerifyFlows[[#This Row],[Year]]))</f>
        <v>-113749.060856499</v>
      </c>
      <c r="Q45"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45"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45"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5" s="66"/>
    </row>
    <row r="46" spans="2:20" x14ac:dyDescent="0.25">
      <c r="B46" s="77">
        <v>4</v>
      </c>
      <c r="C46" s="77"/>
      <c r="D46" s="77">
        <v>86000</v>
      </c>
      <c r="E46" s="77">
        <v>21000</v>
      </c>
      <c r="F46" s="77">
        <v>8000</v>
      </c>
      <c r="G46" s="77">
        <v>5000</v>
      </c>
      <c r="H46" s="77"/>
      <c r="I46" s="35">
        <f>IF(tblVerifyFlows[[#This Row],[Year]]="","",tblVerifyFlows[[#This Row],[Labour savings]]+tblVerifyFlows[[#This Row],[Material and scrap savings]]+tblVerifyFlows[[#This Row],[Other savings]])</f>
        <v>115000</v>
      </c>
      <c r="J46" s="35">
        <f>IF(tblVerifyFlows[[#This Row],[Year]]="","",IF($E$35&gt;0,SUMIFS(tblVerifyFlows[Capital spend],tblVerifyFlows[Year],"&lt;"&amp;tblVerifyFlows[[#This Row],[Year]],tblVerifyFlows[Year],"&gt;="&amp;tblVerifyFlows[[#This Row],[Year]]-$E$35)/$E$35,0))</f>
        <v>50000</v>
      </c>
      <c r="K46" s="35">
        <f>IF(tblVerifyFlows[[#This Row],[Year]]="","",(tblVerifyFlows[[#This Row],[Total savings]]-tblVerifyFlows[[#This Row],[Added operating cost]]-tblVerifyFlows[[#This Row],[Depreciation]])*$E$34)</f>
        <v>15000</v>
      </c>
      <c r="L46" s="35">
        <f>IF(tblVerifyFlows[[#This Row],[Year]]="","",tblVerifyFlows[[#This Row],[Total savings]]-tblVerifyFlows[[#This Row],[Added operating cost]]-tblVerifyFlows[[#This Row],[Tax effect]]-tblVerifyFlows[[#This Row],[Capital spend]]+tblVerifyFlows[[#This Row],[Terminal value]])</f>
        <v>95000</v>
      </c>
      <c r="M46" s="36">
        <f>IF(tblVerifyFlows[[#This Row],[Year]]="","",1/(1+$E$33)^tblVerifyFlows[[#This Row],[Year]])</f>
        <v>0.683013455365071</v>
      </c>
      <c r="N46" s="35">
        <f>IF(tblVerifyFlows[[#This Row],[Year]]="","",tblVerifyFlows[[#This Row],[Net cash flow]]*tblVerifyFlows[[#This Row],[Discount factor]])</f>
        <v>64886.2782596817</v>
      </c>
      <c r="O46" s="35">
        <f>IF(tblVerifyFlows[[#This Row],[Year]]="","",SUMIFS(tblVerifyFlows[Net cash flow],tblVerifyFlows[Year],"&lt;="&amp;tblVerifyFlows[[#This Row],[Year]]))</f>
        <v>30000</v>
      </c>
      <c r="P46" s="35">
        <f>IF(tblVerifyFlows[[#This Row],[Year]]="","",SUMIFS(tblVerifyFlows[Present value],tblVerifyFlows[Year],"&lt;="&amp;tblVerifyFlows[[#This Row],[Year]]))</f>
        <v>-48862.7825968172</v>
      </c>
      <c r="Q46"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3.68421052631579</v>
      </c>
      <c r="R46"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46"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6" s="66"/>
    </row>
    <row r="47" spans="2:20" x14ac:dyDescent="0.25">
      <c r="B47" s="77">
        <v>5</v>
      </c>
      <c r="C47" s="77"/>
      <c r="D47" s="77">
        <v>86000</v>
      </c>
      <c r="E47" s="77">
        <v>21000</v>
      </c>
      <c r="F47" s="77">
        <v>8000</v>
      </c>
      <c r="G47" s="77">
        <v>5000</v>
      </c>
      <c r="H47" s="77"/>
      <c r="I47" s="35">
        <f>IF(tblVerifyFlows[[#This Row],[Year]]="","",tblVerifyFlows[[#This Row],[Labour savings]]+tblVerifyFlows[[#This Row],[Material and scrap savings]]+tblVerifyFlows[[#This Row],[Other savings]])</f>
        <v>115000</v>
      </c>
      <c r="J47" s="35">
        <f>IF(tblVerifyFlows[[#This Row],[Year]]="","",IF($E$35&gt;0,SUMIFS(tblVerifyFlows[Capital spend],tblVerifyFlows[Year],"&lt;"&amp;tblVerifyFlows[[#This Row],[Year]],tblVerifyFlows[Year],"&gt;="&amp;tblVerifyFlows[[#This Row],[Year]]-$E$35)/$E$35,0))</f>
        <v>50000</v>
      </c>
      <c r="K47" s="35">
        <f>IF(tblVerifyFlows[[#This Row],[Year]]="","",(tblVerifyFlows[[#This Row],[Total savings]]-tblVerifyFlows[[#This Row],[Added operating cost]]-tblVerifyFlows[[#This Row],[Depreciation]])*$E$34)</f>
        <v>15000</v>
      </c>
      <c r="L47" s="35">
        <f>IF(tblVerifyFlows[[#This Row],[Year]]="","",tblVerifyFlows[[#This Row],[Total savings]]-tblVerifyFlows[[#This Row],[Added operating cost]]-tblVerifyFlows[[#This Row],[Tax effect]]-tblVerifyFlows[[#This Row],[Capital spend]]+tblVerifyFlows[[#This Row],[Terminal value]])</f>
        <v>95000</v>
      </c>
      <c r="M47" s="36">
        <f>IF(tblVerifyFlows[[#This Row],[Year]]="","",1/(1+$E$33)^tblVerifyFlows[[#This Row],[Year]])</f>
        <v>0.620921323059155</v>
      </c>
      <c r="N47" s="35">
        <f>IF(tblVerifyFlows[[#This Row],[Year]]="","",tblVerifyFlows[[#This Row],[Net cash flow]]*tblVerifyFlows[[#This Row],[Discount factor]])</f>
        <v>58987.5256906197</v>
      </c>
      <c r="O47" s="35">
        <f>IF(tblVerifyFlows[[#This Row],[Year]]="","",SUMIFS(tblVerifyFlows[Net cash flow],tblVerifyFlows[Year],"&lt;="&amp;tblVerifyFlows[[#This Row],[Year]]))</f>
        <v>125000</v>
      </c>
      <c r="P47" s="35">
        <f>IF(tblVerifyFlows[[#This Row],[Year]]="","",SUMIFS(tblVerifyFlows[Present value],tblVerifyFlows[Year],"&lt;="&amp;tblVerifyFlows[[#This Row],[Year]]))</f>
        <v>10124.7430938025</v>
      </c>
      <c r="Q47"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47"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4.82835789473684</v>
      </c>
      <c r="S47"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7" s="66"/>
    </row>
    <row r="48" spans="2:20" x14ac:dyDescent="0.25">
      <c r="B48" s="77">
        <v>6</v>
      </c>
      <c r="C48" s="77"/>
      <c r="D48" s="77">
        <v>86000</v>
      </c>
      <c r="E48" s="77">
        <v>21000</v>
      </c>
      <c r="F48" s="77">
        <v>8000</v>
      </c>
      <c r="G48" s="77">
        <v>5000</v>
      </c>
      <c r="H48" s="77"/>
      <c r="I48" s="35">
        <f>IF(tblVerifyFlows[[#This Row],[Year]]="","",tblVerifyFlows[[#This Row],[Labour savings]]+tblVerifyFlows[[#This Row],[Material and scrap savings]]+tblVerifyFlows[[#This Row],[Other savings]])</f>
        <v>115000</v>
      </c>
      <c r="J48" s="35">
        <f>IF(tblVerifyFlows[[#This Row],[Year]]="","",IF($E$35&gt;0,SUMIFS(tblVerifyFlows[Capital spend],tblVerifyFlows[Year],"&lt;"&amp;tblVerifyFlows[[#This Row],[Year]],tblVerifyFlows[Year],"&gt;="&amp;tblVerifyFlows[[#This Row],[Year]]-$E$35)/$E$35,0))</f>
        <v>50000</v>
      </c>
      <c r="K48" s="35">
        <f>IF(tblVerifyFlows[[#This Row],[Year]]="","",(tblVerifyFlows[[#This Row],[Total savings]]-tblVerifyFlows[[#This Row],[Added operating cost]]-tblVerifyFlows[[#This Row],[Depreciation]])*$E$34)</f>
        <v>15000</v>
      </c>
      <c r="L48" s="35">
        <f>IF(tblVerifyFlows[[#This Row],[Year]]="","",tblVerifyFlows[[#This Row],[Total savings]]-tblVerifyFlows[[#This Row],[Added operating cost]]-tblVerifyFlows[[#This Row],[Tax effect]]-tblVerifyFlows[[#This Row],[Capital spend]]+tblVerifyFlows[[#This Row],[Terminal value]])</f>
        <v>95000</v>
      </c>
      <c r="M48" s="36">
        <f>IF(tblVerifyFlows[[#This Row],[Year]]="","",1/(1+$E$33)^tblVerifyFlows[[#This Row],[Year]])</f>
        <v>0.564473930053777</v>
      </c>
      <c r="N48" s="35">
        <f>IF(tblVerifyFlows[[#This Row],[Year]]="","",tblVerifyFlows[[#This Row],[Net cash flow]]*tblVerifyFlows[[#This Row],[Discount factor]])</f>
        <v>53625.0233551088</v>
      </c>
      <c r="O48" s="35">
        <f>IF(tblVerifyFlows[[#This Row],[Year]]="","",SUMIFS(tblVerifyFlows[Net cash flow],tblVerifyFlows[Year],"&lt;="&amp;tblVerifyFlows[[#This Row],[Year]]))</f>
        <v>220000</v>
      </c>
      <c r="P48" s="35">
        <f>IF(tblVerifyFlows[[#This Row],[Year]]="","",SUMIFS(tblVerifyFlows[Present value],tblVerifyFlows[Year],"&lt;="&amp;tblVerifyFlows[[#This Row],[Year]]))</f>
        <v>63749.7664489114</v>
      </c>
      <c r="Q48"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48"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48"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8" s="66"/>
    </row>
    <row r="49" spans="2:20" x14ac:dyDescent="0.25">
      <c r="B49" s="77">
        <v>7</v>
      </c>
      <c r="C49" s="77"/>
      <c r="D49" s="77">
        <v>86000</v>
      </c>
      <c r="E49" s="77">
        <v>21000</v>
      </c>
      <c r="F49" s="77">
        <v>8000</v>
      </c>
      <c r="G49" s="77">
        <v>5000</v>
      </c>
      <c r="H49" s="77"/>
      <c r="I49" s="35">
        <f>IF(tblVerifyFlows[[#This Row],[Year]]="","",tblVerifyFlows[[#This Row],[Labour savings]]+tblVerifyFlows[[#This Row],[Material and scrap savings]]+tblVerifyFlows[[#This Row],[Other savings]])</f>
        <v>115000</v>
      </c>
      <c r="J49" s="35">
        <f>IF(tblVerifyFlows[[#This Row],[Year]]="","",IF($E$35&gt;0,SUMIFS(tblVerifyFlows[Capital spend],tblVerifyFlows[Year],"&lt;"&amp;tblVerifyFlows[[#This Row],[Year]],tblVerifyFlows[Year],"&gt;="&amp;tblVerifyFlows[[#This Row],[Year]]-$E$35)/$E$35,0))</f>
        <v>50000</v>
      </c>
      <c r="K49" s="35">
        <f>IF(tblVerifyFlows[[#This Row],[Year]]="","",(tblVerifyFlows[[#This Row],[Total savings]]-tblVerifyFlows[[#This Row],[Added operating cost]]-tblVerifyFlows[[#This Row],[Depreciation]])*$E$34)</f>
        <v>15000</v>
      </c>
      <c r="L49" s="35">
        <f>IF(tblVerifyFlows[[#This Row],[Year]]="","",tblVerifyFlows[[#This Row],[Total savings]]-tblVerifyFlows[[#This Row],[Added operating cost]]-tblVerifyFlows[[#This Row],[Tax effect]]-tblVerifyFlows[[#This Row],[Capital spend]]+tblVerifyFlows[[#This Row],[Terminal value]])</f>
        <v>95000</v>
      </c>
      <c r="M49" s="36">
        <f>IF(tblVerifyFlows[[#This Row],[Year]]="","",1/(1+$E$33)^tblVerifyFlows[[#This Row],[Year]])</f>
        <v>0.513158118230707</v>
      </c>
      <c r="N49" s="35">
        <f>IF(tblVerifyFlows[[#This Row],[Year]]="","",tblVerifyFlows[[#This Row],[Net cash flow]]*tblVerifyFlows[[#This Row],[Discount factor]])</f>
        <v>48750.0212319171</v>
      </c>
      <c r="O49" s="35">
        <f>IF(tblVerifyFlows[[#This Row],[Year]]="","",SUMIFS(tblVerifyFlows[Net cash flow],tblVerifyFlows[Year],"&lt;="&amp;tblVerifyFlows[[#This Row],[Year]]))</f>
        <v>315000</v>
      </c>
      <c r="P49" s="35">
        <f>IF(tblVerifyFlows[[#This Row],[Year]]="","",SUMIFS(tblVerifyFlows[Present value],tblVerifyFlows[Year],"&lt;="&amp;tblVerifyFlows[[#This Row],[Year]]))</f>
        <v>112499.787680828</v>
      </c>
      <c r="Q49"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49"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49"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OK</v>
      </c>
      <c r="T49" s="66"/>
    </row>
    <row r="50" spans="2:20" x14ac:dyDescent="0.25">
      <c r="B50" s="77">
        <v>10</v>
      </c>
      <c r="C50" s="77"/>
      <c r="D50" s="77"/>
      <c r="E50" s="77"/>
      <c r="F50" s="77"/>
      <c r="G50" s="77"/>
      <c r="H50" s="77"/>
      <c r="I50" s="35">
        <f>IF(tblVerifyFlows[[#This Row],[Year]]="","",tblVerifyFlows[[#This Row],[Labour savings]]+tblVerifyFlows[[#This Row],[Material and scrap savings]]+tblVerifyFlows[[#This Row],[Other savings]])</f>
        <v>0</v>
      </c>
      <c r="J50" s="35">
        <f>IF(tblVerifyFlows[[#This Row],[Year]]="","",IF($E$35&gt;0,SUMIFS(tblVerifyFlows[Capital spend],tblVerifyFlows[Year],"&lt;"&amp;tblVerifyFlows[[#This Row],[Year]],tblVerifyFlows[Year],"&gt;="&amp;tblVerifyFlows[[#This Row],[Year]]-$E$35)/$E$35,0))</f>
        <v>0</v>
      </c>
      <c r="K50" s="35">
        <f>IF(tblVerifyFlows[[#This Row],[Year]]="","",(tblVerifyFlows[[#This Row],[Total savings]]-tblVerifyFlows[[#This Row],[Added operating cost]]-tblVerifyFlows[[#This Row],[Depreciation]])*$E$34)</f>
        <v>0</v>
      </c>
      <c r="L50" s="35">
        <f>IF(tblVerifyFlows[[#This Row],[Year]]="","",tblVerifyFlows[[#This Row],[Total savings]]-tblVerifyFlows[[#This Row],[Added operating cost]]-tblVerifyFlows[[#This Row],[Tax effect]]-tblVerifyFlows[[#This Row],[Capital spend]]+tblVerifyFlows[[#This Row],[Terminal value]])</f>
        <v>0</v>
      </c>
      <c r="M50" s="36">
        <f>IF(tblVerifyFlows[[#This Row],[Year]]="","",1/(1+$E$33)^tblVerifyFlows[[#This Row],[Year]])</f>
        <v>0.385543289429531</v>
      </c>
      <c r="N50" s="35">
        <f>IF(tblVerifyFlows[[#This Row],[Year]]="","",tblVerifyFlows[[#This Row],[Net cash flow]]*tblVerifyFlows[[#This Row],[Discount factor]])</f>
        <v>0</v>
      </c>
      <c r="O50" s="35">
        <f>IF(tblVerifyFlows[[#This Row],[Year]]="","",SUMIFS(tblVerifyFlows[Net cash flow],tblVerifyFlows[Year],"&lt;="&amp;tblVerifyFlows[[#This Row],[Year]]))</f>
        <v>315000</v>
      </c>
      <c r="P50" s="35">
        <f>IF(tblVerifyFlows[[#This Row],[Year]]="","",SUMIFS(tblVerifyFlows[Present value],tblVerifyFlows[Year],"&lt;="&amp;tblVerifyFlows[[#This Row],[Year]]))</f>
        <v>112499.787680828</v>
      </c>
      <c r="Q50" s="37">
        <f>IF(tblVerifyFlows[[#This Row],[Year]]="","",IF(AND(tblVerifyFlows[[#This Row],[Cumulative cash]]&gt;=0,tblVerifyFlows[[#This Row],[Cumulative cash]]-tblVerifyFlows[[#This Row],[Net cash flow]]&lt;0),tblVerifyFlows[[#This Row],[Year]]-1+(tblVerifyFlows[[#This Row],[Net cash flow]]-tblVerifyFlows[[#This Row],[Cumulative cash]])/tblVerifyFlows[[#This Row],[Net cash flow]],""))</f>
        <v/>
      </c>
      <c r="R50" s="37">
        <f>IF(tblVerifyFlows[[#This Row],[Year]]="","",IF(AND(tblVerifyFlows[[#This Row],[Cumulative PV]]&gt;=0,tblVerifyFlows[[#This Row],[Cumulative PV]]-tblVerifyFlows[[#This Row],[Present value]]&lt;0),tblVerifyFlows[[#This Row],[Year]]-1+(tblVerifyFlows[[#This Row],[Present value]]-tblVerifyFlows[[#This Row],[Cumulative PV]])/tblVerifyFlows[[#This Row],[Present value]],""))</f>
        <v/>
      </c>
      <c r="S50" s="38" t="str">
        <f>IF(tblVerifyFlows[[#This Row],[Year]]="","",IF(COUNTIFS(tblVerifyFlows[Year],tblVerifyFlows[[#This Row],[Year]])&gt;1,"Duplicate year",IF(AND(tblVerifyFlows[[#This Row],[Year]]=MIN(tblVerifyFlows[Year]),tblVerifyFlows[[#This Row],[Year]]&lt;&gt;0),"First year should be 0",IF(AND(tblVerifyFlows[[#This Row],[Year]]&gt;MIN(tblVerifyFlows[Year]),COUNTIFS(tblVerifyFlows[Year],tblVerifyFlows[[#This Row],[Year]]-1)=0),"Previous year missing",IF(MATCH(tblVerifyFlows[[#This Row],[Year]],tblVerifyFlows[Year],0)&lt;&gt;COUNTIFS(tblVerifyFlows[Year],"&lt;"&amp;tblVerifyFlows[[#This Row],[Year]])+1,"Years not in order",IF(AND(tblVerifyFlows[[#This Row],[Terminal value]]&gt;0,tblVerifyFlows[[#This Row],[Year]]&lt;MAX(tblVerifyFlows[Year])),"Terminal value before last year","OK"))))))</f>
        <v>Previous year missing</v>
      </c>
      <c r="T50" s="66" t="s">
        <v>219</v>
      </c>
    </row>
    <row r="52" spans="2:20" x14ac:dyDescent="0.25">
      <c r="B52" s="54" t="s">
        <v>220</v>
      </c>
      <c r="C52" s="54"/>
      <c r="D52" s="54"/>
      <c r="E52" s="54"/>
      <c r="F52" s="54"/>
      <c r="G52" s="54"/>
      <c r="H52" s="54"/>
      <c r="I52" s="54"/>
      <c r="J52" s="54"/>
      <c r="K52" s="54"/>
      <c r="L52" s="54"/>
    </row>
    <row r="53" spans="2:20" ht="32" customHeight="1" x14ac:dyDescent="0.25">
      <c r="B53" s="55" t="s">
        <v>76</v>
      </c>
      <c r="C53" s="34" t="s">
        <v>77</v>
      </c>
      <c r="D53" s="34" t="s">
        <v>83</v>
      </c>
      <c r="E53" s="34" t="s">
        <v>120</v>
      </c>
      <c r="F53" s="34" t="s">
        <v>85</v>
      </c>
      <c r="G53" s="34" t="s">
        <v>82</v>
      </c>
      <c r="H53" s="34" t="s">
        <v>86</v>
      </c>
      <c r="I53" s="34" t="s">
        <v>87</v>
      </c>
      <c r="J53" s="34" t="s">
        <v>88</v>
      </c>
      <c r="K53" s="34" t="s">
        <v>89</v>
      </c>
      <c r="L53" s="34" t="s">
        <v>90</v>
      </c>
    </row>
    <row r="54" spans="2:20" x14ac:dyDescent="0.25">
      <c r="B54" s="60">
        <v>0</v>
      </c>
      <c r="C54" s="35">
        <f>SUMIFS(tblVerifyFlows[Capital spend],tblVerifyFlows[Year],$B$54)</f>
        <v>350000</v>
      </c>
      <c r="D54" s="35">
        <f>SUMIFS(tblVerifyFlows[Total savings],tblVerifyFlows[Year],$B$54)</f>
        <v>0</v>
      </c>
      <c r="E54" s="35">
        <f>SUMIFS(tblVerifyFlows[Added operating cost],tblVerifyFlows[Year],$B$54)</f>
        <v>0</v>
      </c>
      <c r="F54" s="35">
        <f>SUMIFS(tblVerifyFlows[Tax effect],tblVerifyFlows[Year],$B$54)</f>
        <v>0</v>
      </c>
      <c r="G54" s="35">
        <f>SUMIFS(tblVerifyFlows[Terminal value],tblVerifyFlows[Year],$B$54)</f>
        <v>0</v>
      </c>
      <c r="H54" s="35">
        <f>SUMIFS(tblVerifyFlows[Net cash flow],tblVerifyFlows[Year],$B$54)</f>
        <v>-350000</v>
      </c>
      <c r="I54" s="36">
        <f>1/(1+$E$33)^$B$54</f>
        <v>1</v>
      </c>
      <c r="J54" s="35">
        <f>$H$54*$I$54</f>
        <v>-350000</v>
      </c>
      <c r="K54" s="35">
        <f>SUMIFS(tblVerifyFlows[Net cash flow],tblVerifyFlows[Year],"&lt;="&amp;$B$54)</f>
        <v>-350000</v>
      </c>
      <c r="L54" s="35">
        <f>SUMIFS(tblVerifyFlows[Present value],tblVerifyFlows[Year],"&lt;="&amp;$B$54)</f>
        <v>-350000</v>
      </c>
    </row>
    <row r="55" spans="2:20" x14ac:dyDescent="0.25">
      <c r="B55" s="60">
        <f>$B$54+1</f>
        <v>1</v>
      </c>
      <c r="C55" s="35">
        <f>SUMIFS(tblVerifyFlows[Capital spend],tblVerifyFlows[Year],$B$55)</f>
        <v>0</v>
      </c>
      <c r="D55" s="35">
        <f>SUMIFS(tblVerifyFlows[Total savings],tblVerifyFlows[Year],$B$55)</f>
        <v>115000</v>
      </c>
      <c r="E55" s="35">
        <f>SUMIFS(tblVerifyFlows[Added operating cost],tblVerifyFlows[Year],$B$55)</f>
        <v>5000</v>
      </c>
      <c r="F55" s="35">
        <f>SUMIFS(tblVerifyFlows[Tax effect],tblVerifyFlows[Year],$B$55)</f>
        <v>15000</v>
      </c>
      <c r="G55" s="35">
        <f>SUMIFS(tblVerifyFlows[Terminal value],tblVerifyFlows[Year],$B$55)</f>
        <v>0</v>
      </c>
      <c r="H55" s="35">
        <f>SUMIFS(tblVerifyFlows[Net cash flow],tblVerifyFlows[Year],$B$55)</f>
        <v>95000</v>
      </c>
      <c r="I55" s="36">
        <f>1/(1+$E$33)^$B$55</f>
        <v>0.909090909090909</v>
      </c>
      <c r="J55" s="35">
        <f>$H$55*$I$55</f>
        <v>86363.6363636364</v>
      </c>
      <c r="K55" s="35">
        <f>SUMIFS(tblVerifyFlows[Net cash flow],tblVerifyFlows[Year],"&lt;="&amp;$B$55)</f>
        <v>-255000</v>
      </c>
      <c r="L55" s="35">
        <f>SUMIFS(tblVerifyFlows[Present value],tblVerifyFlows[Year],"&lt;="&amp;$B$55)</f>
        <v>-263636.363636364</v>
      </c>
    </row>
    <row r="56" spans="2:20" x14ac:dyDescent="0.25">
      <c r="B56" s="60">
        <f>$B$55+1</f>
        <v>2</v>
      </c>
      <c r="C56" s="35">
        <f>SUMIFS(tblVerifyFlows[Capital spend],tblVerifyFlows[Year],$B$56)</f>
        <v>0</v>
      </c>
      <c r="D56" s="35">
        <f>SUMIFS(tblVerifyFlows[Total savings],tblVerifyFlows[Year],$B$56)</f>
        <v>115000</v>
      </c>
      <c r="E56" s="35">
        <f>SUMIFS(tblVerifyFlows[Added operating cost],tblVerifyFlows[Year],$B$56)</f>
        <v>5000</v>
      </c>
      <c r="F56" s="35">
        <f>SUMIFS(tblVerifyFlows[Tax effect],tblVerifyFlows[Year],$B$56)</f>
        <v>15000</v>
      </c>
      <c r="G56" s="35">
        <f>SUMIFS(tblVerifyFlows[Terminal value],tblVerifyFlows[Year],$B$56)</f>
        <v>0</v>
      </c>
      <c r="H56" s="35">
        <f>SUMIFS(tblVerifyFlows[Net cash flow],tblVerifyFlows[Year],$B$56)</f>
        <v>95000</v>
      </c>
      <c r="I56" s="36">
        <f>1/(1+$E$33)^$B$56</f>
        <v>0.826446280991735</v>
      </c>
      <c r="J56" s="35">
        <f>$H$56*$I$56</f>
        <v>78512.3966942149</v>
      </c>
      <c r="K56" s="35">
        <f>SUMIFS(tblVerifyFlows[Net cash flow],tblVerifyFlows[Year],"&lt;="&amp;$B$56)</f>
        <v>-160000</v>
      </c>
      <c r="L56" s="35">
        <f>SUMIFS(tblVerifyFlows[Present value],tblVerifyFlows[Year],"&lt;="&amp;$B$56)</f>
        <v>-185123.966942149</v>
      </c>
    </row>
    <row r="57" spans="2:20" x14ac:dyDescent="0.25">
      <c r="B57" s="60">
        <f>$B$56+1</f>
        <v>3</v>
      </c>
      <c r="C57" s="35">
        <f>SUMIFS(tblVerifyFlows[Capital spend],tblVerifyFlows[Year],$B$57)</f>
        <v>0</v>
      </c>
      <c r="D57" s="35">
        <f>SUMIFS(tblVerifyFlows[Total savings],tblVerifyFlows[Year],$B$57)</f>
        <v>115000</v>
      </c>
      <c r="E57" s="35">
        <f>SUMIFS(tblVerifyFlows[Added operating cost],tblVerifyFlows[Year],$B$57)</f>
        <v>5000</v>
      </c>
      <c r="F57" s="35">
        <f>SUMIFS(tblVerifyFlows[Tax effect],tblVerifyFlows[Year],$B$57)</f>
        <v>15000</v>
      </c>
      <c r="G57" s="35">
        <f>SUMIFS(tblVerifyFlows[Terminal value],tblVerifyFlows[Year],$B$57)</f>
        <v>0</v>
      </c>
      <c r="H57" s="35">
        <f>SUMIFS(tblVerifyFlows[Net cash flow],tblVerifyFlows[Year],$B$57)</f>
        <v>95000</v>
      </c>
      <c r="I57" s="36">
        <f>1/(1+$E$33)^$B$57</f>
        <v>0.751314800901578</v>
      </c>
      <c r="J57" s="35">
        <f>$H$57*$I$57</f>
        <v>71374.9060856499</v>
      </c>
      <c r="K57" s="35">
        <f>SUMIFS(tblVerifyFlows[Net cash flow],tblVerifyFlows[Year],"&lt;="&amp;$B$57)</f>
        <v>-65000</v>
      </c>
      <c r="L57" s="35">
        <f>SUMIFS(tblVerifyFlows[Present value],tblVerifyFlows[Year],"&lt;="&amp;$B$57)</f>
        <v>-113749.060856499</v>
      </c>
    </row>
    <row r="58" spans="2:20" x14ac:dyDescent="0.25">
      <c r="B58" s="60">
        <f>$B$57+1</f>
        <v>4</v>
      </c>
      <c r="C58" s="35">
        <f>SUMIFS(tblVerifyFlows[Capital spend],tblVerifyFlows[Year],$B$58)</f>
        <v>0</v>
      </c>
      <c r="D58" s="35">
        <f>SUMIFS(tblVerifyFlows[Total savings],tblVerifyFlows[Year],$B$58)</f>
        <v>115000</v>
      </c>
      <c r="E58" s="35">
        <f>SUMIFS(tblVerifyFlows[Added operating cost],tblVerifyFlows[Year],$B$58)</f>
        <v>5000</v>
      </c>
      <c r="F58" s="35">
        <f>SUMIFS(tblVerifyFlows[Tax effect],tblVerifyFlows[Year],$B$58)</f>
        <v>15000</v>
      </c>
      <c r="G58" s="35">
        <f>SUMIFS(tblVerifyFlows[Terminal value],tblVerifyFlows[Year],$B$58)</f>
        <v>0</v>
      </c>
      <c r="H58" s="35">
        <f>SUMIFS(tblVerifyFlows[Net cash flow],tblVerifyFlows[Year],$B$58)</f>
        <v>95000</v>
      </c>
      <c r="I58" s="36">
        <f>1/(1+$E$33)^$B$58</f>
        <v>0.683013455365071</v>
      </c>
      <c r="J58" s="35">
        <f>$H$58*$I$58</f>
        <v>64886.2782596817</v>
      </c>
      <c r="K58" s="35">
        <f>SUMIFS(tblVerifyFlows[Net cash flow],tblVerifyFlows[Year],"&lt;="&amp;$B$58)</f>
        <v>30000</v>
      </c>
      <c r="L58" s="35">
        <f>SUMIFS(tblVerifyFlows[Present value],tblVerifyFlows[Year],"&lt;="&amp;$B$58)</f>
        <v>-48862.7825968172</v>
      </c>
    </row>
    <row r="59" spans="2:20" x14ac:dyDescent="0.25">
      <c r="B59" s="60">
        <f>$B$58+1</f>
        <v>5</v>
      </c>
      <c r="C59" s="35">
        <f>SUMIFS(tblVerifyFlows[Capital spend],tblVerifyFlows[Year],$B$59)</f>
        <v>0</v>
      </c>
      <c r="D59" s="35">
        <f>SUMIFS(tblVerifyFlows[Total savings],tblVerifyFlows[Year],$B$59)</f>
        <v>115000</v>
      </c>
      <c r="E59" s="35">
        <f>SUMIFS(tblVerifyFlows[Added operating cost],tblVerifyFlows[Year],$B$59)</f>
        <v>5000</v>
      </c>
      <c r="F59" s="35">
        <f>SUMIFS(tblVerifyFlows[Tax effect],tblVerifyFlows[Year],$B$59)</f>
        <v>15000</v>
      </c>
      <c r="G59" s="35">
        <f>SUMIFS(tblVerifyFlows[Terminal value],tblVerifyFlows[Year],$B$59)</f>
        <v>0</v>
      </c>
      <c r="H59" s="35">
        <f>SUMIFS(tblVerifyFlows[Net cash flow],tblVerifyFlows[Year],$B$59)</f>
        <v>95000</v>
      </c>
      <c r="I59" s="36">
        <f>1/(1+$E$33)^$B$59</f>
        <v>0.620921323059155</v>
      </c>
      <c r="J59" s="35">
        <f>$H$59*$I$59</f>
        <v>58987.5256906197</v>
      </c>
      <c r="K59" s="35">
        <f>SUMIFS(tblVerifyFlows[Net cash flow],tblVerifyFlows[Year],"&lt;="&amp;$B$59)</f>
        <v>125000</v>
      </c>
      <c r="L59" s="35">
        <f>SUMIFS(tblVerifyFlows[Present value],tblVerifyFlows[Year],"&lt;="&amp;$B$59)</f>
        <v>10124.7430938025</v>
      </c>
    </row>
    <row r="60" spans="2:20" x14ac:dyDescent="0.25">
      <c r="B60" s="60">
        <f>$B$59+1</f>
        <v>6</v>
      </c>
      <c r="C60" s="35">
        <f>SUMIFS(tblVerifyFlows[Capital spend],tblVerifyFlows[Year],$B$60)</f>
        <v>0</v>
      </c>
      <c r="D60" s="35">
        <f>SUMIFS(tblVerifyFlows[Total savings],tblVerifyFlows[Year],$B$60)</f>
        <v>115000</v>
      </c>
      <c r="E60" s="35">
        <f>SUMIFS(tblVerifyFlows[Added operating cost],tblVerifyFlows[Year],$B$60)</f>
        <v>5000</v>
      </c>
      <c r="F60" s="35">
        <f>SUMIFS(tblVerifyFlows[Tax effect],tblVerifyFlows[Year],$B$60)</f>
        <v>15000</v>
      </c>
      <c r="G60" s="35">
        <f>SUMIFS(tblVerifyFlows[Terminal value],tblVerifyFlows[Year],$B$60)</f>
        <v>0</v>
      </c>
      <c r="H60" s="35">
        <f>SUMIFS(tblVerifyFlows[Net cash flow],tblVerifyFlows[Year],$B$60)</f>
        <v>95000</v>
      </c>
      <c r="I60" s="36">
        <f>1/(1+$E$33)^$B$60</f>
        <v>0.564473930053777</v>
      </c>
      <c r="J60" s="35">
        <f>$H$60*$I$60</f>
        <v>53625.0233551088</v>
      </c>
      <c r="K60" s="35">
        <f>SUMIFS(tblVerifyFlows[Net cash flow],tblVerifyFlows[Year],"&lt;="&amp;$B$60)</f>
        <v>220000</v>
      </c>
      <c r="L60" s="35">
        <f>SUMIFS(tblVerifyFlows[Present value],tblVerifyFlows[Year],"&lt;="&amp;$B$60)</f>
        <v>63749.7664489114</v>
      </c>
    </row>
    <row r="61" spans="2:20" x14ac:dyDescent="0.25">
      <c r="B61" s="60">
        <f>$B$60+1</f>
        <v>7</v>
      </c>
      <c r="C61" s="35">
        <f>SUMIFS(tblVerifyFlows[Capital spend],tblVerifyFlows[Year],$B$61)</f>
        <v>0</v>
      </c>
      <c r="D61" s="35">
        <f>SUMIFS(tblVerifyFlows[Total savings],tblVerifyFlows[Year],$B$61)</f>
        <v>115000</v>
      </c>
      <c r="E61" s="35">
        <f>SUMIFS(tblVerifyFlows[Added operating cost],tblVerifyFlows[Year],$B$61)</f>
        <v>5000</v>
      </c>
      <c r="F61" s="35">
        <f>SUMIFS(tblVerifyFlows[Tax effect],tblVerifyFlows[Year],$B$61)</f>
        <v>15000</v>
      </c>
      <c r="G61" s="35">
        <f>SUMIFS(tblVerifyFlows[Terminal value],tblVerifyFlows[Year],$B$61)</f>
        <v>0</v>
      </c>
      <c r="H61" s="35">
        <f>SUMIFS(tblVerifyFlows[Net cash flow],tblVerifyFlows[Year],$B$61)</f>
        <v>95000</v>
      </c>
      <c r="I61" s="36">
        <f>1/(1+$E$33)^$B$61</f>
        <v>0.513158118230707</v>
      </c>
      <c r="J61" s="35">
        <f>$H$61*$I$61</f>
        <v>48750.0212319171</v>
      </c>
      <c r="K61" s="35">
        <f>SUMIFS(tblVerifyFlows[Net cash flow],tblVerifyFlows[Year],"&lt;="&amp;$B$61)</f>
        <v>315000</v>
      </c>
      <c r="L61" s="35">
        <f>SUMIFS(tblVerifyFlows[Present value],tblVerifyFlows[Year],"&lt;="&amp;$B$61)</f>
        <v>112499.787680828</v>
      </c>
    </row>
    <row r="62" spans="2:20" x14ac:dyDescent="0.25">
      <c r="B62" s="60">
        <f>$B$61+1</f>
        <v>8</v>
      </c>
      <c r="C62" s="35">
        <f>SUMIFS(tblVerifyFlows[Capital spend],tblVerifyFlows[Year],$B$62)</f>
        <v>0</v>
      </c>
      <c r="D62" s="35">
        <f>SUMIFS(tblVerifyFlows[Total savings],tblVerifyFlows[Year],$B$62)</f>
        <v>0</v>
      </c>
      <c r="E62" s="35">
        <f>SUMIFS(tblVerifyFlows[Added operating cost],tblVerifyFlows[Year],$B$62)</f>
        <v>0</v>
      </c>
      <c r="F62" s="35">
        <f>SUMIFS(tblVerifyFlows[Tax effect],tblVerifyFlows[Year],$B$62)</f>
        <v>0</v>
      </c>
      <c r="G62" s="35">
        <f>SUMIFS(tblVerifyFlows[Terminal value],tblVerifyFlows[Year],$B$62)</f>
        <v>0</v>
      </c>
      <c r="H62" s="35">
        <f>SUMIFS(tblVerifyFlows[Net cash flow],tblVerifyFlows[Year],$B$62)</f>
        <v>0</v>
      </c>
      <c r="I62" s="36">
        <f>1/(1+$E$33)^$B$62</f>
        <v>0.466507380209733</v>
      </c>
      <c r="J62" s="35">
        <f>$H$62*$I$62</f>
        <v>0</v>
      </c>
      <c r="K62" s="35">
        <f>SUMIFS(tblVerifyFlows[Net cash flow],tblVerifyFlows[Year],"&lt;="&amp;$B$62)</f>
        <v>315000</v>
      </c>
      <c r="L62" s="35">
        <f>SUMIFS(tblVerifyFlows[Present value],tblVerifyFlows[Year],"&lt;="&amp;$B$62)</f>
        <v>112499.787680828</v>
      </c>
    </row>
    <row r="63" spans="2:20" x14ac:dyDescent="0.25">
      <c r="B63" s="60">
        <f>$B$62+1</f>
        <v>9</v>
      </c>
      <c r="C63" s="35">
        <f>SUMIFS(tblVerifyFlows[Capital spend],tblVerifyFlows[Year],$B$63)</f>
        <v>0</v>
      </c>
      <c r="D63" s="35">
        <f>SUMIFS(tblVerifyFlows[Total savings],tblVerifyFlows[Year],$B$63)</f>
        <v>0</v>
      </c>
      <c r="E63" s="35">
        <f>SUMIFS(tblVerifyFlows[Added operating cost],tblVerifyFlows[Year],$B$63)</f>
        <v>0</v>
      </c>
      <c r="F63" s="35">
        <f>SUMIFS(tblVerifyFlows[Tax effect],tblVerifyFlows[Year],$B$63)</f>
        <v>0</v>
      </c>
      <c r="G63" s="35">
        <f>SUMIFS(tblVerifyFlows[Terminal value],tblVerifyFlows[Year],$B$63)</f>
        <v>0</v>
      </c>
      <c r="H63" s="35">
        <f>SUMIFS(tblVerifyFlows[Net cash flow],tblVerifyFlows[Year],$B$63)</f>
        <v>0</v>
      </c>
      <c r="I63" s="36">
        <f>1/(1+$E$33)^$B$63</f>
        <v>0.424097618372485</v>
      </c>
      <c r="J63" s="35">
        <f>$H$63*$I$63</f>
        <v>0</v>
      </c>
      <c r="K63" s="35">
        <f>SUMIFS(tblVerifyFlows[Net cash flow],tblVerifyFlows[Year],"&lt;="&amp;$B$63)</f>
        <v>315000</v>
      </c>
      <c r="L63" s="35">
        <f>SUMIFS(tblVerifyFlows[Present value],tblVerifyFlows[Year],"&lt;="&amp;$B$63)</f>
        <v>112499.787680828</v>
      </c>
    </row>
    <row r="64" spans="2:20" x14ac:dyDescent="0.25">
      <c r="B64" s="60">
        <f>$B$63+1</f>
        <v>10</v>
      </c>
      <c r="C64" s="35">
        <f>SUMIFS(tblVerifyFlows[Capital spend],tblVerifyFlows[Year],$B$64)</f>
        <v>0</v>
      </c>
      <c r="D64" s="35">
        <f>SUMIFS(tblVerifyFlows[Total savings],tblVerifyFlows[Year],$B$64)</f>
        <v>0</v>
      </c>
      <c r="E64" s="35">
        <f>SUMIFS(tblVerifyFlows[Added operating cost],tblVerifyFlows[Year],$B$64)</f>
        <v>0</v>
      </c>
      <c r="F64" s="35">
        <f>SUMIFS(tblVerifyFlows[Tax effect],tblVerifyFlows[Year],$B$64)</f>
        <v>0</v>
      </c>
      <c r="G64" s="35">
        <f>SUMIFS(tblVerifyFlows[Terminal value],tblVerifyFlows[Year],$B$64)</f>
        <v>0</v>
      </c>
      <c r="H64" s="35">
        <f>SUMIFS(tblVerifyFlows[Net cash flow],tblVerifyFlows[Year],$B$64)</f>
        <v>0</v>
      </c>
      <c r="I64" s="36">
        <f>1/(1+$E$33)^$B$64</f>
        <v>0.385543289429531</v>
      </c>
      <c r="J64" s="35">
        <f>$H$64*$I$64</f>
        <v>0</v>
      </c>
      <c r="K64" s="35">
        <f>SUMIFS(tblVerifyFlows[Net cash flow],tblVerifyFlows[Year],"&lt;="&amp;$B$64)</f>
        <v>315000</v>
      </c>
      <c r="L64" s="35">
        <f>SUMIFS(tblVerifyFlows[Present value],tblVerifyFlows[Year],"&lt;="&amp;$B$64)</f>
        <v>112499.787680828</v>
      </c>
    </row>
    <row r="65" spans="2:12" x14ac:dyDescent="0.25">
      <c r="B65" s="60">
        <f>$B$64+1</f>
        <v>11</v>
      </c>
      <c r="C65" s="35">
        <f>SUMIFS(tblVerifyFlows[Capital spend],tblVerifyFlows[Year],$B$65)</f>
        <v>0</v>
      </c>
      <c r="D65" s="35">
        <f>SUMIFS(tblVerifyFlows[Total savings],tblVerifyFlows[Year],$B$65)</f>
        <v>0</v>
      </c>
      <c r="E65" s="35">
        <f>SUMIFS(tblVerifyFlows[Added operating cost],tblVerifyFlows[Year],$B$65)</f>
        <v>0</v>
      </c>
      <c r="F65" s="35">
        <f>SUMIFS(tblVerifyFlows[Tax effect],tblVerifyFlows[Year],$B$65)</f>
        <v>0</v>
      </c>
      <c r="G65" s="35">
        <f>SUMIFS(tblVerifyFlows[Terminal value],tblVerifyFlows[Year],$B$65)</f>
        <v>0</v>
      </c>
      <c r="H65" s="35">
        <f>SUMIFS(tblVerifyFlows[Net cash flow],tblVerifyFlows[Year],$B$65)</f>
        <v>0</v>
      </c>
      <c r="I65" s="36">
        <f>1/(1+$E$33)^$B$65</f>
        <v>0.350493899481392</v>
      </c>
      <c r="J65" s="35">
        <f>$H$65*$I$65</f>
        <v>0</v>
      </c>
      <c r="K65" s="35">
        <f>SUMIFS(tblVerifyFlows[Net cash flow],tblVerifyFlows[Year],"&lt;="&amp;$B$65)</f>
        <v>315000</v>
      </c>
      <c r="L65" s="35">
        <f>SUMIFS(tblVerifyFlows[Present value],tblVerifyFlows[Year],"&lt;="&amp;$B$65)</f>
        <v>112499.787680828</v>
      </c>
    </row>
    <row r="66" spans="2:12" x14ac:dyDescent="0.25">
      <c r="B66" s="60">
        <f>$B$65+1</f>
        <v>12</v>
      </c>
      <c r="C66" s="35">
        <f>SUMIFS(tblVerifyFlows[Capital spend],tblVerifyFlows[Year],$B$66)</f>
        <v>0</v>
      </c>
      <c r="D66" s="35">
        <f>SUMIFS(tblVerifyFlows[Total savings],tblVerifyFlows[Year],$B$66)</f>
        <v>0</v>
      </c>
      <c r="E66" s="35">
        <f>SUMIFS(tblVerifyFlows[Added operating cost],tblVerifyFlows[Year],$B$66)</f>
        <v>0</v>
      </c>
      <c r="F66" s="35">
        <f>SUMIFS(tblVerifyFlows[Tax effect],tblVerifyFlows[Year],$B$66)</f>
        <v>0</v>
      </c>
      <c r="G66" s="35">
        <f>SUMIFS(tblVerifyFlows[Terminal value],tblVerifyFlows[Year],$B$66)</f>
        <v>0</v>
      </c>
      <c r="H66" s="35">
        <f>SUMIFS(tblVerifyFlows[Net cash flow],tblVerifyFlows[Year],$B$66)</f>
        <v>0</v>
      </c>
      <c r="I66" s="36">
        <f>1/(1+$E$33)^$B$66</f>
        <v>0.318630817710357</v>
      </c>
      <c r="J66" s="35">
        <f>$H$66*$I$66</f>
        <v>0</v>
      </c>
      <c r="K66" s="35">
        <f>SUMIFS(tblVerifyFlows[Net cash flow],tblVerifyFlows[Year],"&lt;="&amp;$B$66)</f>
        <v>315000</v>
      </c>
      <c r="L66" s="35">
        <f>SUMIFS(tblVerifyFlows[Present value],tblVerifyFlows[Year],"&lt;="&amp;$B$66)</f>
        <v>112499.787680828</v>
      </c>
    </row>
    <row r="67" spans="2:12" x14ac:dyDescent="0.25">
      <c r="B67" s="60">
        <f>$B$66+1</f>
        <v>13</v>
      </c>
      <c r="C67" s="35">
        <f>SUMIFS(tblVerifyFlows[Capital spend],tblVerifyFlows[Year],$B$67)</f>
        <v>0</v>
      </c>
      <c r="D67" s="35">
        <f>SUMIFS(tblVerifyFlows[Total savings],tblVerifyFlows[Year],$B$67)</f>
        <v>0</v>
      </c>
      <c r="E67" s="35">
        <f>SUMIFS(tblVerifyFlows[Added operating cost],tblVerifyFlows[Year],$B$67)</f>
        <v>0</v>
      </c>
      <c r="F67" s="35">
        <f>SUMIFS(tblVerifyFlows[Tax effect],tblVerifyFlows[Year],$B$67)</f>
        <v>0</v>
      </c>
      <c r="G67" s="35">
        <f>SUMIFS(tblVerifyFlows[Terminal value],tblVerifyFlows[Year],$B$67)</f>
        <v>0</v>
      </c>
      <c r="H67" s="35">
        <f>SUMIFS(tblVerifyFlows[Net cash flow],tblVerifyFlows[Year],$B$67)</f>
        <v>0</v>
      </c>
      <c r="I67" s="36">
        <f>1/(1+$E$33)^$B$67</f>
        <v>0.289664379736688</v>
      </c>
      <c r="J67" s="35">
        <f>$H$67*$I$67</f>
        <v>0</v>
      </c>
      <c r="K67" s="35">
        <f>SUMIFS(tblVerifyFlows[Net cash flow],tblVerifyFlows[Year],"&lt;="&amp;$B$67)</f>
        <v>315000</v>
      </c>
      <c r="L67" s="35">
        <f>SUMIFS(tblVerifyFlows[Present value],tblVerifyFlows[Year],"&lt;="&amp;$B$67)</f>
        <v>112499.787680828</v>
      </c>
    </row>
    <row r="68" spans="2:12" x14ac:dyDescent="0.25">
      <c r="B68" s="60">
        <f>$B$67+1</f>
        <v>14</v>
      </c>
      <c r="C68" s="35">
        <f>SUMIFS(tblVerifyFlows[Capital spend],tblVerifyFlows[Year],$B$68)</f>
        <v>0</v>
      </c>
      <c r="D68" s="35">
        <f>SUMIFS(tblVerifyFlows[Total savings],tblVerifyFlows[Year],$B$68)</f>
        <v>0</v>
      </c>
      <c r="E68" s="35">
        <f>SUMIFS(tblVerifyFlows[Added operating cost],tblVerifyFlows[Year],$B$68)</f>
        <v>0</v>
      </c>
      <c r="F68" s="35">
        <f>SUMIFS(tblVerifyFlows[Tax effect],tblVerifyFlows[Year],$B$68)</f>
        <v>0</v>
      </c>
      <c r="G68" s="35">
        <f>SUMIFS(tblVerifyFlows[Terminal value],tblVerifyFlows[Year],$B$68)</f>
        <v>0</v>
      </c>
      <c r="H68" s="35">
        <f>SUMIFS(tblVerifyFlows[Net cash flow],tblVerifyFlows[Year],$B$68)</f>
        <v>0</v>
      </c>
      <c r="I68" s="36">
        <f>1/(1+$E$33)^$B$68</f>
        <v>0.26333125430608</v>
      </c>
      <c r="J68" s="35">
        <f>$H$68*$I$68</f>
        <v>0</v>
      </c>
      <c r="K68" s="35">
        <f>SUMIFS(tblVerifyFlows[Net cash flow],tblVerifyFlows[Year],"&lt;="&amp;$B$68)</f>
        <v>315000</v>
      </c>
      <c r="L68" s="35">
        <f>SUMIFS(tblVerifyFlows[Present value],tblVerifyFlows[Year],"&lt;="&amp;$B$68)</f>
        <v>112499.787680828</v>
      </c>
    </row>
    <row r="69" spans="2:12" x14ac:dyDescent="0.25">
      <c r="B69" s="60">
        <f>$B$68+1</f>
        <v>15</v>
      </c>
      <c r="C69" s="35">
        <f>SUMIFS(tblVerifyFlows[Capital spend],tblVerifyFlows[Year],$B$69)</f>
        <v>0</v>
      </c>
      <c r="D69" s="35">
        <f>SUMIFS(tblVerifyFlows[Total savings],tblVerifyFlows[Year],$B$69)</f>
        <v>0</v>
      </c>
      <c r="E69" s="35">
        <f>SUMIFS(tblVerifyFlows[Added operating cost],tblVerifyFlows[Year],$B$69)</f>
        <v>0</v>
      </c>
      <c r="F69" s="35">
        <f>SUMIFS(tblVerifyFlows[Tax effect],tblVerifyFlows[Year],$B$69)</f>
        <v>0</v>
      </c>
      <c r="G69" s="35">
        <f>SUMIFS(tblVerifyFlows[Terminal value],tblVerifyFlows[Year],$B$69)</f>
        <v>0</v>
      </c>
      <c r="H69" s="35">
        <f>SUMIFS(tblVerifyFlows[Net cash flow],tblVerifyFlows[Year],$B$69)</f>
        <v>0</v>
      </c>
      <c r="I69" s="36">
        <f>1/(1+$E$33)^$B$69</f>
        <v>0.239392049369163</v>
      </c>
      <c r="J69" s="35">
        <f>$H$69*$I$69</f>
        <v>0</v>
      </c>
      <c r="K69" s="35">
        <f>SUMIFS(tblVerifyFlows[Net cash flow],tblVerifyFlows[Year],"&lt;="&amp;$B$69)</f>
        <v>315000</v>
      </c>
      <c r="L69" s="35">
        <f>SUMIFS(tblVerifyFlows[Present value],tblVerifyFlows[Year],"&lt;="&amp;$B$69)</f>
        <v>112499.787680828</v>
      </c>
    </row>
    <row r="71" spans="2:12" x14ac:dyDescent="0.25">
      <c r="B71" s="54" t="s">
        <v>221</v>
      </c>
      <c r="C71" s="54"/>
      <c r="D71" s="54"/>
      <c r="E71" s="54"/>
      <c r="F71" s="54"/>
      <c r="G71" s="54"/>
      <c r="H71" s="54"/>
      <c r="I71" s="54"/>
      <c r="J71" s="54"/>
      <c r="K71" s="54"/>
      <c r="L71" s="54"/>
    </row>
    <row r="72" spans="2:12" ht="20" customHeight="1" x14ac:dyDescent="0.25">
      <c r="B72" s="55" t="s">
        <v>113</v>
      </c>
      <c r="C72" s="34" t="s">
        <v>114</v>
      </c>
      <c r="D72" s="34" t="s">
        <v>115</v>
      </c>
      <c r="E72" s="34" t="s">
        <v>116</v>
      </c>
      <c r="F72" s="34" t="s">
        <v>117</v>
      </c>
    </row>
    <row r="73" spans="2:12" x14ac:dyDescent="0.25">
      <c r="B73" s="57" t="s">
        <v>77</v>
      </c>
      <c r="C73" s="35">
        <f>SUMPRODUCT(SUMIFS(tblVerifyFlows[Capital spend],tblVerifyFlows[Year],$B$54:$B$69),$I$54:$I$69)</f>
        <v>350000</v>
      </c>
      <c r="D73" s="35">
        <f>-1*$C$73*(1-0*$E$34)+1*$E$34*SUMPRODUCT(SUMIFS(tblVerifyFlows[Depreciation],tblVerifyFlows[Year],$B$54:$B$69),$I$54:$I$69)</f>
        <v>-289144.764778838</v>
      </c>
      <c r="E73" s="35">
        <f>ABS($D$73)*$E$36</f>
        <v>57828.9529557677</v>
      </c>
      <c r="F73" s="35">
        <f>COUNTIF($E$73:$E$78,"&gt;"&amp;$E$73)+SUMPRODUCT(($E$73:$E$78=$E$73)*(ROW($E$73:$E$78)&lt;ROW($E$73)))+1</f>
        <v>2</v>
      </c>
    </row>
    <row r="74" spans="2:12" x14ac:dyDescent="0.25">
      <c r="B74" s="57" t="s">
        <v>78</v>
      </c>
      <c r="C74" s="35">
        <f>SUMPRODUCT(SUMIFS(tblVerifyFlows[Labour savings],tblVerifyFlows[Year],$B$54:$B$69),$I$54:$I$69)</f>
        <v>418684.018321592</v>
      </c>
      <c r="D74" s="35">
        <f>1*$C$74*(1-1*$E$34)+0*$E$34*SUMPRODUCT(SUMIFS(tblVerifyFlows[Depreciation],tblVerifyFlows[Year],$B$54:$B$69),$I$54:$I$69)</f>
        <v>314013.013741194</v>
      </c>
      <c r="E74" s="35">
        <f>ABS($D$74)*$E$36</f>
        <v>62802.6027482388</v>
      </c>
      <c r="F74" s="35">
        <f>COUNTIF($E$73:$E$78,"&gt;"&amp;$E$74)+SUMPRODUCT(($E$73:$E$78=$E$74)*(ROW($E$73:$E$78)&lt;ROW($E$74)))+1</f>
        <v>1</v>
      </c>
    </row>
    <row r="75" spans="2:12" x14ac:dyDescent="0.25">
      <c r="B75" s="57" t="s">
        <v>119</v>
      </c>
      <c r="C75" s="35">
        <f>SUMPRODUCT(SUMIFS(tblVerifyFlows[Material and scrap savings],tblVerifyFlows[Year],$B$54:$B$69),$I$54:$I$69)</f>
        <v>102236.795171552</v>
      </c>
      <c r="D75" s="35">
        <f>1*$C$75*(1-1*$E$34)+0*$E$34*SUMPRODUCT(SUMIFS(tblVerifyFlows[Depreciation],tblVerifyFlows[Year],$B$54:$B$69),$I$54:$I$69)</f>
        <v>76677.5963786637</v>
      </c>
      <c r="E75" s="35">
        <f>ABS($D$75)*$E$36</f>
        <v>15335.5192757327</v>
      </c>
      <c r="F75" s="35">
        <f>COUNTIF($E$73:$E$78,"&gt;"&amp;$E$75)+SUMPRODUCT(($E$73:$E$78=$E$75)*(ROW($E$73:$E$78)&lt;ROW($E$75)))+1</f>
        <v>3</v>
      </c>
    </row>
    <row r="76" spans="2:12" x14ac:dyDescent="0.25">
      <c r="B76" s="57" t="s">
        <v>80</v>
      </c>
      <c r="C76" s="35">
        <f>SUMPRODUCT(SUMIFS(tblVerifyFlows[Other savings],tblVerifyFlows[Year],$B$54:$B$69),$I$54:$I$69)</f>
        <v>38947.3505415435</v>
      </c>
      <c r="D76" s="35">
        <f>1*$C$76*(1-1*$E$34)+0*$E$34*SUMPRODUCT(SUMIFS(tblVerifyFlows[Depreciation],tblVerifyFlows[Year],$B$54:$B$69),$I$54:$I$69)</f>
        <v>29210.5129061576</v>
      </c>
      <c r="E76" s="35">
        <f>ABS($D$76)*$E$36</f>
        <v>5842.10258123152</v>
      </c>
      <c r="F76" s="35">
        <f>COUNTIF($E$73:$E$78,"&gt;"&amp;$E$76)+SUMPRODUCT(($E$73:$E$78=$E$76)*(ROW($E$73:$E$78)&lt;ROW($E$76)))+1</f>
        <v>4</v>
      </c>
    </row>
    <row r="77" spans="2:12" x14ac:dyDescent="0.25">
      <c r="B77" s="57" t="s">
        <v>120</v>
      </c>
      <c r="C77" s="35">
        <f>SUMPRODUCT(SUMIFS(tblVerifyFlows[Added operating cost],tblVerifyFlows[Year],$B$54:$B$69),$I$54:$I$69)</f>
        <v>24342.0940884647</v>
      </c>
      <c r="D77" s="35">
        <f>-1*$C$77*(1-1*$E$34)+0*$E$34*SUMPRODUCT(SUMIFS(tblVerifyFlows[Depreciation],tblVerifyFlows[Year],$B$54:$B$69),$I$54:$I$69)</f>
        <v>-18256.5705663485</v>
      </c>
      <c r="E77" s="35">
        <f>ABS($D$77)*$E$36</f>
        <v>3651.3141132697</v>
      </c>
      <c r="F77" s="35">
        <f>COUNTIF($E$73:$E$78,"&gt;"&amp;$E$77)+SUMPRODUCT(($E$73:$E$78=$E$77)*(ROW($E$73:$E$78)&lt;ROW($E$77)))+1</f>
        <v>5</v>
      </c>
    </row>
    <row r="78" spans="2:12" x14ac:dyDescent="0.25">
      <c r="B78" s="57" t="s">
        <v>82</v>
      </c>
      <c r="C78" s="35">
        <f>SUMPRODUCT(SUMIFS(tblVerifyFlows[Terminal value],tblVerifyFlows[Year],$B$54:$B$69),$I$54:$I$69)</f>
        <v>0</v>
      </c>
      <c r="D78" s="35">
        <f>1*$C$78*(1-0*$E$34)+0*$E$34*SUMPRODUCT(SUMIFS(tblVerifyFlows[Depreciation],tblVerifyFlows[Year],$B$54:$B$69),$I$54:$I$69)</f>
        <v>0</v>
      </c>
      <c r="E78" s="35">
        <f>ABS($D$78)*$E$36</f>
        <v>0</v>
      </c>
      <c r="F78" s="35">
        <f>COUNTIF($E$73:$E$78,"&gt;"&amp;$E$78)+SUMPRODUCT(($E$73:$E$78=$E$78)*(ROW($E$73:$E$78)&lt;ROW($E$78)))+1</f>
        <v>6</v>
      </c>
    </row>
    <row r="80" spans="2:12" x14ac:dyDescent="0.25">
      <c r="B80" s="54" t="s">
        <v>222</v>
      </c>
      <c r="C80" s="54"/>
      <c r="D80" s="54"/>
      <c r="E80" s="54"/>
      <c r="F80" s="54"/>
      <c r="G80" s="54"/>
      <c r="H80" s="54"/>
      <c r="I80" s="54"/>
      <c r="J80" s="54"/>
      <c r="K80" s="54"/>
      <c r="L80" s="54"/>
    </row>
    <row r="81" spans="2:12" x14ac:dyDescent="0.25">
      <c r="B81" s="54" t="s">
        <v>112</v>
      </c>
      <c r="C81" s="54"/>
      <c r="D81" s="54"/>
      <c r="E81" s="54"/>
      <c r="F81" s="54"/>
    </row>
    <row r="82" spans="2:12" x14ac:dyDescent="0.25">
      <c r="B82" s="55" t="s">
        <v>118</v>
      </c>
      <c r="C82" s="56">
        <v>0.6</v>
      </c>
      <c r="D82" s="56">
        <v>0.8</v>
      </c>
      <c r="E82" s="56">
        <v>1</v>
      </c>
      <c r="F82" s="56">
        <v>1.2</v>
      </c>
    </row>
    <row r="83" spans="2:12" x14ac:dyDescent="0.25">
      <c r="B83" s="58">
        <f>$E$33-2*$E$37</f>
        <v>0.06</v>
      </c>
      <c r="C83" s="59">
        <f>SUMPRODUCT(($H$54:$H$69+($C$82-1)*(1-$E$34)*$D$54:$D$69)/(1+$B$83)^$B$54:$B$69)</f>
        <v>-12265.9229025226</v>
      </c>
      <c r="D83" s="59">
        <f>SUMPRODUCT(($H$54:$H$69+($D$82-1)*(1-$E$34)*$D$54:$D$69)/(1+$B$83)^$B$54:$B$69)</f>
        <v>84030.1569310557</v>
      </c>
      <c r="E83" s="59">
        <f>SUMPRODUCT(($H$54:$H$69+($E$82-1)*(1-$E$34)*$D$54:$D$69)/(1+$B$83)^$B$54:$B$69)</f>
        <v>180326.236764634</v>
      </c>
      <c r="F83" s="59">
        <f>SUMPRODUCT(($H$54:$H$69+($F$82-1)*(1-$E$34)*$D$54:$D$69)/(1+$B$83)^$B$54:$B$69)</f>
        <v>276622.316598212</v>
      </c>
    </row>
    <row r="84" spans="2:12" x14ac:dyDescent="0.25">
      <c r="B84" s="58">
        <f>$B$83+$E$37</f>
        <v>0.08</v>
      </c>
      <c r="C84" s="59">
        <f>SUMPRODUCT(($H$54:$H$69+($C$82-1)*(1-$E$34)*$D$54:$D$69)/(1+$B$84)^$B$54:$B$69)</f>
        <v>-35014.611416989</v>
      </c>
      <c r="D84" s="59">
        <f>SUMPRODUCT(($H$54:$H$69+($D$82-1)*(1-$E$34)*$D$54:$D$69)/(1+$B$84)^$B$54:$B$69)</f>
        <v>54795.2721046134</v>
      </c>
      <c r="E84" s="59">
        <f>SUMPRODUCT(($H$54:$H$69+($E$82-1)*(1-$E$34)*$D$54:$D$69)/(1+$B$84)^$B$54:$B$69)</f>
        <v>144605.155626216</v>
      </c>
      <c r="F84" s="59">
        <f>SUMPRODUCT(($H$54:$H$69+($F$82-1)*(1-$E$34)*$D$54:$D$69)/(1+$B$84)^$B$54:$B$69)</f>
        <v>234415.039147818</v>
      </c>
    </row>
    <row r="85" spans="2:12" x14ac:dyDescent="0.25">
      <c r="B85" s="58">
        <f>$B$84+$E$37</f>
        <v>0.1</v>
      </c>
      <c r="C85" s="59">
        <f>SUMPRODUCT(($H$54:$H$69+($C$82-1)*(1-$E$34)*$D$54:$D$69)/(1+$B$85)^$B$54:$B$69)</f>
        <v>-55460.6615295777</v>
      </c>
      <c r="D85" s="59">
        <f>SUMPRODUCT(($H$54:$H$69+($D$82-1)*(1-$E$34)*$D$54:$D$69)/(1+$B$85)^$B$54:$B$69)</f>
        <v>28519.5630756254</v>
      </c>
      <c r="E85" s="59">
        <f>SUMPRODUCT(($H$54:$H$69+($E$82-1)*(1-$E$34)*$D$54:$D$69)/(1+$B$85)^$B$54:$B$69)</f>
        <v>112499.787680828</v>
      </c>
      <c r="F85" s="59">
        <f>SUMPRODUCT(($H$54:$H$69+($F$82-1)*(1-$E$34)*$D$54:$D$69)/(1+$B$85)^$B$54:$B$69)</f>
        <v>196480.012286032</v>
      </c>
    </row>
    <row r="86" spans="2:12" x14ac:dyDescent="0.25">
      <c r="B86" s="58">
        <f>$B$85+$E$37</f>
        <v>0.12</v>
      </c>
      <c r="C86" s="59">
        <f>SUMPRODUCT(($H$54:$H$69+($C$82-1)*(1-$E$34)*$D$54:$D$69)/(1+$B$86)^$B$54:$B$69)</f>
        <v>-73892.7293990173</v>
      </c>
      <c r="D86" s="59">
        <f>SUMPRODUCT(($H$54:$H$69+($D$82-1)*(1-$E$34)*$D$54:$D$69)/(1+$B$86)^$B$54:$B$69)</f>
        <v>4832.07089630422</v>
      </c>
      <c r="E86" s="59">
        <f>SUMPRODUCT(($H$54:$H$69+($E$82-1)*(1-$E$34)*$D$54:$D$69)/(1+$B$86)^$B$54:$B$69)</f>
        <v>83556.8711916257</v>
      </c>
      <c r="F86" s="59">
        <f>SUMPRODUCT(($H$54:$H$69+($F$82-1)*(1-$E$34)*$D$54:$D$69)/(1+$B$86)^$B$54:$B$69)</f>
        <v>162281.671486947</v>
      </c>
    </row>
    <row r="87" spans="2:12" x14ac:dyDescent="0.25">
      <c r="B87" s="58">
        <f>$B$86+$E$37</f>
        <v>0.14</v>
      </c>
      <c r="C87" s="59">
        <f>SUMPRODUCT(($H$54:$H$69+($C$82-1)*(1-$E$34)*$D$54:$D$69)/(1+$B$87)^$B$54:$B$69)</f>
        <v>-90557.5572361214</v>
      </c>
      <c r="D87" s="59">
        <f>SUMPRODUCT(($H$54:$H$69+($D$82-1)*(1-$E$34)*$D$54:$D$69)/(1+$B$87)^$B$54:$B$69)</f>
        <v>-16584.2987621229</v>
      </c>
      <c r="E87" s="59">
        <f>SUMPRODUCT(($H$54:$H$69+($E$82-1)*(1-$E$34)*$D$54:$D$69)/(1+$B$87)^$B$54:$B$69)</f>
        <v>57388.9597118756</v>
      </c>
      <c r="F87" s="59">
        <f>SUMPRODUCT(($H$54:$H$69+($F$82-1)*(1-$E$34)*$D$54:$D$69)/(1+$B$87)^$B$54:$B$69)</f>
        <v>131362.218185874</v>
      </c>
    </row>
    <row r="89" spans="2:12" x14ac:dyDescent="0.25">
      <c r="B89" s="54" t="s">
        <v>223</v>
      </c>
      <c r="C89" s="54"/>
      <c r="D89" s="54"/>
      <c r="E89" s="54"/>
      <c r="F89" s="54"/>
      <c r="G89" s="54"/>
      <c r="H89" s="54"/>
      <c r="I89" s="54"/>
      <c r="J89" s="54"/>
      <c r="K89" s="54"/>
      <c r="L89" s="54"/>
    </row>
    <row r="90" spans="2:12" ht="32" customHeight="1" x14ac:dyDescent="0.25">
      <c r="B90" s="55" t="s">
        <v>117</v>
      </c>
      <c r="C90" s="34" t="s">
        <v>113</v>
      </c>
      <c r="D90" s="34"/>
      <c r="E90" s="34" t="s">
        <v>124</v>
      </c>
      <c r="F90" s="34" t="s">
        <v>125</v>
      </c>
    </row>
    <row r="91" spans="2:12" x14ac:dyDescent="0.25">
      <c r="B91" s="60">
        <v>1</v>
      </c>
      <c r="C91" s="61" t="str">
        <f>INDEX($B$73:$B$78,MATCH($B$91,$F$73:$F$78,0))</f>
        <v>Labour savings</v>
      </c>
      <c r="D91" s="61"/>
      <c r="E91" s="62">
        <f>-INDEX($E$73:$E$78,MATCH($B$91,$F$73:$F$78,0))</f>
        <v>-62802.6027482388</v>
      </c>
      <c r="F91" s="62">
        <f>INDEX($E$73:$E$78,MATCH($B$91,$F$73:$F$78,0))</f>
        <v>62802.6027482388</v>
      </c>
    </row>
    <row r="92" spans="2:12" x14ac:dyDescent="0.25">
      <c r="B92" s="60">
        <v>2</v>
      </c>
      <c r="C92" s="61" t="str">
        <f>INDEX($B$73:$B$78,MATCH($B$92,$F$73:$F$78,0))</f>
        <v>Capital spend</v>
      </c>
      <c r="D92" s="61"/>
      <c r="E92" s="62">
        <f>-INDEX($E$73:$E$78,MATCH($B$92,$F$73:$F$78,0))</f>
        <v>-57828.9529557677</v>
      </c>
      <c r="F92" s="62">
        <f>INDEX($E$73:$E$78,MATCH($B$92,$F$73:$F$78,0))</f>
        <v>57828.9529557677</v>
      </c>
    </row>
    <row r="93" spans="2:12" x14ac:dyDescent="0.25">
      <c r="B93" s="60">
        <v>3</v>
      </c>
      <c r="C93" s="61" t="str">
        <f>INDEX($B$73:$B$78,MATCH($B$93,$F$73:$F$78,0))</f>
        <v>Material and scrap</v>
      </c>
      <c r="D93" s="61"/>
      <c r="E93" s="62">
        <f>-INDEX($E$73:$E$78,MATCH($B$93,$F$73:$F$78,0))</f>
        <v>-15335.5192757327</v>
      </c>
      <c r="F93" s="62">
        <f>INDEX($E$73:$E$78,MATCH($B$93,$F$73:$F$78,0))</f>
        <v>15335.5192757327</v>
      </c>
    </row>
    <row r="94" spans="2:12" x14ac:dyDescent="0.25">
      <c r="B94" s="60">
        <v>4</v>
      </c>
      <c r="C94" s="61" t="str">
        <f>INDEX($B$73:$B$78,MATCH($B$94,$F$73:$F$78,0))</f>
        <v>Other savings</v>
      </c>
      <c r="D94" s="61"/>
      <c r="E94" s="62">
        <f>-INDEX($E$73:$E$78,MATCH($B$94,$F$73:$F$78,0))</f>
        <v>-5842.10258123152</v>
      </c>
      <c r="F94" s="62">
        <f>INDEX($E$73:$E$78,MATCH($B$94,$F$73:$F$78,0))</f>
        <v>5842.10258123152</v>
      </c>
    </row>
    <row r="95" spans="2:12" x14ac:dyDescent="0.25">
      <c r="B95" s="60">
        <v>5</v>
      </c>
      <c r="C95" s="61" t="str">
        <f>INDEX($B$73:$B$78,MATCH($B$95,$F$73:$F$78,0))</f>
        <v>Operating cost</v>
      </c>
      <c r="D95" s="61"/>
      <c r="E95" s="62">
        <f>-INDEX($E$73:$E$78,MATCH($B$95,$F$73:$F$78,0))</f>
        <v>-3651.3141132697</v>
      </c>
      <c r="F95" s="62">
        <f>INDEX($E$73:$E$78,MATCH($B$95,$F$73:$F$78,0))</f>
        <v>3651.3141132697</v>
      </c>
    </row>
    <row r="96" spans="2:12" x14ac:dyDescent="0.25">
      <c r="B96" s="60">
        <v>6</v>
      </c>
      <c r="C96" s="61" t="str">
        <f>INDEX($B$73:$B$78,MATCH($B$96,$F$73:$F$78,0))</f>
        <v>Terminal value</v>
      </c>
      <c r="D96" s="61"/>
      <c r="E96" s="62">
        <f>-INDEX($E$73:$E$78,MATCH($B$96,$F$73:$F$78,0))</f>
        <v>0</v>
      </c>
      <c r="F96" s="62">
        <f>INDEX($E$73:$E$78,MATCH($B$96,$F$73:$F$78,0))</f>
        <v>0</v>
      </c>
    </row>
  </sheetData>
  <sheetProtection sheet="1" formatColumns="0" formatRows="0"/>
  <mergeCells count="46">
    <mergeCell ref="A1:T1"/>
    <mergeCell ref="B2:S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B34:D34"/>
    <mergeCell ref="B35:D35"/>
    <mergeCell ref="B36:D36"/>
    <mergeCell ref="B37:D37"/>
    <mergeCell ref="B39:L39"/>
    <mergeCell ref="B52:L52"/>
    <mergeCell ref="B71:L71"/>
    <mergeCell ref="B80:L80"/>
    <mergeCell ref="B81:F81"/>
    <mergeCell ref="B89:L89"/>
    <mergeCell ref="C90:D90"/>
    <mergeCell ref="C91:D91"/>
    <mergeCell ref="C92:D92"/>
    <mergeCell ref="C93:D93"/>
    <mergeCell ref="C94:D94"/>
    <mergeCell ref="C95:D95"/>
    <mergeCell ref="C96:D96"/>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73:E78">
    <cfRule type="dataBar" priority="43">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S42:S50">
    <cfRule type="expression" dxfId="3" priority="41">
      <formula>$S42="OK"</formula>
    </cfRule>
    <cfRule type="expression" dxfId="1" priority="42">
      <formula>AND($S42&lt;&gt;"",$S42&lt;&gt;"OK")</formula>
    </cfRule>
  </conditionalFormatting>
  <hyperlinks>
    <hyperlink ref="T2" r:id="rId1" tooltip="Free manufacturing calculators and templates"/>
  </hyperlinks>
  <printOptions horizontalCentered="1"/>
  <pageMargins left="0.4" right="0.4" top="0.7" bottom="0.65" header="0.3" footer="0.3"/>
  <pageSetup fitToHeight="0" orientation="landscape"/>
  <headerFooter>
    <oddHeader>&amp;L&amp;8MFG Calcs - Capital Project NPV, IRR and Payback&amp;R&amp;8&amp;A</oddHeader>
    <oddFooter>&amp;L&amp;8mfgcalcs.com - free manufacturing templates&amp;R&amp;8Page &amp;P of &amp;N</oddFooter>
  </headerFooter>
  <rowBreaks count="1" manualBreakCount="1">
    <brk id="51" max="16383"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E73:E78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27</vt:i4>
      </vt:variant>
    </vt:vector>
  </HeadingPairs>
  <TitlesOfParts>
    <vt:vector size="33" baseType="lpstr">
      <vt:lpstr>Start Here</vt:lpstr>
      <vt:lpstr>Setup</vt:lpstr>
      <vt:lpstr>Cash Flows</vt:lpstr>
      <vt:lpstr>Dashboard</vt:lpstr>
      <vt:lpstr>Method</vt:lpstr>
      <vt:lpstr>Verify</vt:lpstr>
      <vt:lpstr>Currency</vt:lpstr>
      <vt:lpstr>DepYears</vt:lpstr>
      <vt:lpstr>DiscountRate</vt:lpstr>
      <vt:lpstr>KpiBreakEven</vt:lpstr>
      <vt:lpstr>KpiCapex</vt:lpstr>
      <vt:lpstr>KpiDPayback</vt:lpstr>
      <vt:lpstr>KpiIRR</vt:lpstr>
      <vt:lpstr>KpiNet</vt:lpstr>
      <vt:lpstr>KpiNPV</vt:lpstr>
      <vt:lpstr>KpiPayback</vt:lpstr>
      <vt:lpstr>KpiPI</vt:lpstr>
      <vt:lpstr>MaxPayback</vt:lpstr>
      <vt:lpstr>PlantName</vt:lpstr>
      <vt:lpstr>'Cash Flows'!Print_Area</vt:lpstr>
      <vt:lpstr>Dashboard!Print_Area</vt:lpstr>
      <vt:lpstr>Method!Print_Area</vt:lpstr>
      <vt:lpstr>Setup!Print_Area</vt:lpstr>
      <vt:lpstr>'Start Here'!Print_Area</vt:lpstr>
      <vt:lpstr>Verify!Print_Area</vt:lpstr>
      <vt:lpstr>'Cash Flows'!Print_Titles</vt:lpstr>
      <vt:lpstr>Method!Print_Titles</vt:lpstr>
      <vt:lpstr>ProjectName</vt:lpstr>
      <vt:lpstr>RateStep</vt:lpstr>
      <vt:lpstr>SelfCheck</vt:lpstr>
      <vt:lpstr>SelfCheckSummary</vt:lpstr>
      <vt:lpstr>SwingPct</vt:lpstr>
      <vt:lpstr>TaxRate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Capital Project NPV, IRR and Payback - free Excel template from MFG Calcs</dc:title>
  <dc:subject>Turn a capital project's year-by-year spend and savings into NPV, IRR, payback and a sensitivity view, ready for a capital request.</dc:subject>
  <dc:creator>MFG Calcs</dc:creator>
  <cp:keywords>NPV, IRR, payback, capital request, capex, discounted cash flow, profitability index, sensitivity, tornado</cp:keywords>
  <dc:description>https://www.mfgcalcs.com/templates/capex-npv-irr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capex-npv-irr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calculator</vt:lpwstr>
  </property>
  <property fmtid="{D5CDD505-2E9C-101B-9397-08002B2CF9AE}" pid="6" name="Template URL">
    <vt:lpwstr>https://www.mfgcalcs.com/templates/capex-npv-irr</vt:lpwstr>
  </property>
  <property fmtid="{D5CDD505-2E9C-101B-9397-08002B2CF9AE}" pid="7" name="Template sheet roles">
    <vt:lpwstr>Start Here=start;Setup=setup;Cash Flows=work;Dashboard=dashboard;Method=method;Verify=verify</vt:lpwstr>
  </property>
</Properties>
</file>