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Energy Log" sheetId="3" r:id="rId3"/>
    <sheet name="Production" sheetId="4" r:id="rId4"/>
    <sheet name="Projects" sheetId="5" r:id="rId5"/>
    <sheet name="Dashboard" sheetId="6" r:id="rId6"/>
    <sheet name="Method" sheetId="7" r:id="rId7"/>
    <sheet name="Verify" sheetId="8" r:id="rId8"/>
  </sheets>
  <definedNames>
    <definedName name="BaselineT">Setup!$C$13</definedName>
    <definedName name="BaseYear">Setup!$C$12</definedName>
    <definedName name="DbTarget">Dashboard!$J$4</definedName>
    <definedName name="DbYear">Dashboard!$D$4</definedName>
    <definedName name="KpiChange">Dashboard!$B$30</definedName>
    <definedName name="KpiGap">Dashboard!$G$30</definedName>
    <definedName name="KpiIntensity">Dashboard!$J$8</definedName>
    <definedName name="KpiMonths">Dashboard!$J$30</definedName>
    <definedName name="KpiOpen">Dashboard!$D$30</definedName>
    <definedName name="KpiS1">Dashboard!$D$8</definedName>
    <definedName name="KpiS2">Dashboard!$G$8</definedName>
    <definedName name="KpiTotal">Dashboard!$B$8</definedName>
    <definedName name="OutputUnit">Setup!$C$8</definedName>
    <definedName name="PlantName">Setup!$C$6</definedName>
    <definedName name="_xlnm.Print_Area" localSheetId="5">Dashboard!$A$1:$L$63</definedName>
    <definedName name="_xlnm.Print_Area" localSheetId="2">'Energy Log'!$A$1:$K$55</definedName>
    <definedName name="_xlnm.Print_Area" localSheetId="6">Method!$A$1:$D$58</definedName>
    <definedName name="_xlnm.Print_Area" localSheetId="3">Production!$A$1:$H$18</definedName>
    <definedName name="_xlnm.Print_Area" localSheetId="4">Projects!$A$1:$K$10</definedName>
    <definedName name="_xlnm.Print_Area" localSheetId="1">Setup!$A$1:$F$29</definedName>
    <definedName name="_xlnm.Print_Area" localSheetId="0">'Start Here'!$A$1:$F$58</definedName>
    <definedName name="_xlnm.Print_Area" localSheetId="7">Verify!$A$1:$L$58</definedName>
    <definedName name="_xlnm.Print_Titles" localSheetId="2">'Energy Log'!$1:$5</definedName>
    <definedName name="_xlnm.Print_Titles" localSheetId="6">Method!$1:$2</definedName>
    <definedName name="_xlnm.Print_Titles" localSheetId="3">Production!$1:$6</definedName>
    <definedName name="_xlnm.Print_Titles" localSheetId="4">Projects!$1:$5</definedName>
    <definedName name="ReductionPct">Setup!$C$14</definedName>
    <definedName name="ReportYear">Setup!$C$7</definedName>
    <definedName name="SelfCheck">Verify!$D$4</definedName>
    <definedName name="SelfCheckSummary">Verify!$F$4</definedName>
    <definedName name="Sources">tblSources[Source]</definedName>
    <definedName name="TargetIntensity">Setup!$C$16</definedName>
    <definedName name="TargetT">Setup!$C$15</definedName>
    <definedName name="YEnd">DATE(ReportYear+1,1,1)</definedName>
    <definedName name="YStart">DATE(ReportYear,1,1)</definedName>
  </definedNames>
  <calcPr calcId="124519" fullCalcOnLoad="1"/>
</workbook>
</file>

<file path=xl/sharedStrings.xml><?xml version="1.0" encoding="utf-8"?>
<sst xmlns="http://schemas.openxmlformats.org/spreadsheetml/2006/main" count="653" uniqueCount="283">
  <si>
    <t>Carbon Emissions Tracker</t>
  </si>
  <si>
    <t>Read this first: what the workbook does and how to use it.</t>
  </si>
  <si>
    <t>mfgcalcs.com</t>
  </si>
  <si>
    <t>Turn monthly energy bills, fuel deliveries and refrigerant top-ups into Scope 1 and 2 CO2e, intensity per unit of output, and progress against your reduction target.</t>
  </si>
  <si>
    <t>For: EHS and sustainability managers, plant managers and engineers answering customer carbon questionnaires or setting reduction targets.</t>
  </si>
  <si>
    <t>Version 1.0.0  ·  updated 15 October 2026</t>
  </si>
  <si>
    <t>Quick start</t>
  </si>
  <si>
    <t>1.</t>
  </si>
  <si>
    <t>On Setup, type the reporting year, your output unit, baseline, reduction and intensity targets, then replace the example sources with your own factors and where they came from.</t>
  </si>
  <si>
    <t>2.</t>
  </si>
  <si>
    <t>On Energy Log, add one row per source per month from your bills and delivery records (the 1st of the month, the quantity in the source's unit).</t>
  </si>
  <si>
    <t>3.</t>
  </si>
  <si>
    <t>On Production, add the output for each month.</t>
  </si>
  <si>
    <t>4.</t>
  </si>
  <si>
    <t>On Projects, list each reduction project with the energy or fuel it saves per year.</t>
  </si>
  <si>
    <t>5.</t>
  </si>
  <si>
    <t>Open the Dashboard to see the year's total against target, Scope 1 and 2, intensity and the gap the open projects would close.</t>
  </si>
  <si>
    <t>What is in this workbook</t>
  </si>
  <si>
    <t>Start Here</t>
  </si>
  <si>
    <t>Setup</t>
  </si>
  <si>
    <t>Reporting year, output unit, baseline and targets, and the emission sources with their factors.</t>
  </si>
  <si>
    <t>Energy Log</t>
  </si>
  <si>
    <t>One row per source per month: the quantity from the bill or record, its factor, and the emissions.</t>
  </si>
  <si>
    <t>Production</t>
  </si>
  <si>
    <t>Output per month, for emissions intensity.</t>
  </si>
  <si>
    <t>Projects</t>
  </si>
  <si>
    <t>Reduction projects priced in t CO2e per year from the energy or fuel they save.</t>
  </si>
  <si>
    <t>Dashboard</t>
  </si>
  <si>
    <t>The reporting year's Scope 1 and 2 emissions against target, by month and by source, and the projects that close the gap.</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</si>
  <si>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</si>
  <si>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</si>
  <si>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</si>
  <si>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</si>
  <si>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</si>
  <si>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</si>
  <si>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</si>
  <si>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</si>
  <si>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</si>
  <si>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</si>
  <si>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</si>
  <si>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</si>
  <si>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</si>
  <si>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</si>
  <si>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</si>
  <si>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</si>
  <si>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</si>
  <si>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</si>
  <si>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</si>
  <si>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</si>
  <si>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Carbon Emissions Calculator on mfgcalcs.com</t>
  </si>
  <si>
    <t>Latest version</t>
  </si>
  <si>
    <t>mfgcalcs.com/templates/carbon-emissions</t>
  </si>
  <si>
    <t>More free templates</t>
  </si>
  <si>
    <t>mfgcalcs.com/templates</t>
  </si>
  <si>
    <t>Version</t>
  </si>
  <si>
    <t>1.0.0 (updated 15 October 2026)</t>
  </si>
  <si>
    <t>About the example data</t>
  </si>
  <si>
    <t>Every number already in this workbook is example data for Eastvale Plastics, a fictional business invented for this template, so the dashboard and charts show something meaningful on day one. It covers calendar year 2025 for an injection moulding plant: monthly electricity, natural gas, diesel and gasoline, two refrigerant top-ups, monthly output and five reduction projects,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</si>
  <si>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</si>
  <si>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</si>
  <si>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</si>
  <si>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</si>
  <si>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</si>
  <si>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</si>
  <si>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</si>
  <si>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</si>
  <si>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Source</t>
  </si>
  <si>
    <t>Scope</t>
  </si>
  <si>
    <t>Activity unit</t>
  </si>
  <si>
    <t>Factor (kg CO2e/unit)</t>
  </si>
  <si>
    <t>Factor source</t>
  </si>
  <si>
    <t>Plant and reporting year</t>
  </si>
  <si>
    <t>Plant or site name</t>
  </si>
  <si>
    <t>Eastvale Plastics (example)</t>
  </si>
  <si>
    <t>Reporting year</t>
  </si>
  <si>
    <t>Output unit</t>
  </si>
  <si>
    <t>t product</t>
  </si>
  <si>
    <t>Baseline and targets</t>
  </si>
  <si>
    <t>Baseline year</t>
  </si>
  <si>
    <t>Baseline emissions (Scope 1 and 2)</t>
  </si>
  <si>
    <t>t CO2e</t>
  </si>
  <si>
    <t>Reduction target vs baseline</t>
  </si>
  <si>
    <t>Target for the reporting year</t>
  </si>
  <si>
    <t>Intensity target</t>
  </si>
  <si>
    <t>kg CO2e per output unit</t>
  </si>
  <si>
    <t>Baseline and targets are example values for a fictional plant: set your own. Nothing in this workbook assumes an industry benchmark.</t>
  </si>
  <si>
    <t>Emission sources and factors</t>
  </si>
  <si>
    <t>One row per source and factor. Factors are kg CO2e per activity unit; say where each came from. When a factor changes for a new year (grid factors are updated every year), add a new row such as 'Grid electricity 2026' rather than editing the old one, so earlier months keep the factor they were reported with. 'EPA Hub' is the US EPA GHG Emission Factors Hub.</t>
  </si>
  <si>
    <t>Sources</t>
  </si>
  <si>
    <t>Grid electricity</t>
  </si>
  <si>
    <t>Scope 2</t>
  </si>
  <si>
    <t>kWh</t>
  </si>
  <si>
    <t>Example value (calculator default): use your grid factor</t>
  </si>
  <si>
    <t>Natural gas</t>
  </si>
  <si>
    <t>Scope 1</t>
  </si>
  <si>
    <t>therm</t>
  </si>
  <si>
    <t>EPA Hub: 53.06 kg CO2/MMBtu x 0.1 MMBtu/therm, CO2 only</t>
  </si>
  <si>
    <t>Diesel</t>
  </si>
  <si>
    <t>US gal</t>
  </si>
  <si>
    <t>EPA Hub: 10.21 kg CO2/gal, CO2 only; generator, yard truck</t>
  </si>
  <si>
    <t>Gasoline</t>
  </si>
  <si>
    <t>EPA Hub: 8.78 kg CO2/gal, CO2 only; two company pickups</t>
  </si>
  <si>
    <t>Refrigerant R-410A</t>
  </si>
  <si>
    <t>kg</t>
  </si>
  <si>
    <t>GWP-100, IPCC AR4 (2,088); AR5 gives 1,924</t>
  </si>
  <si>
    <t>Month</t>
  </si>
  <si>
    <t>Quantity</t>
  </si>
  <si>
    <t>Unit</t>
  </si>
  <si>
    <t>Emissions (kg CO2e)</t>
  </si>
  <si>
    <t>Check</t>
  </si>
  <si>
    <t>Document</t>
  </si>
  <si>
    <t>Notes</t>
  </si>
  <si>
    <t>Example data for Eastvale Plastics (fictional). Replace it with your own: select the example rows, right-click, Delete &gt; Table Rows. Yellow = you type; blue = calculated or looked up from Setup; Check names any problem.</t>
  </si>
  <si>
    <t>Utility bill 2025-01</t>
  </si>
  <si>
    <t/>
  </si>
  <si>
    <t>Gas bill 2025-01</t>
  </si>
  <si>
    <t>Fuel delivery notes</t>
  </si>
  <si>
    <t>Fuel cards</t>
  </si>
  <si>
    <t>Utility bill 2025-02</t>
  </si>
  <si>
    <t>Gas bill 2025-02</t>
  </si>
  <si>
    <t>Generator test and storm outage</t>
  </si>
  <si>
    <t>Utility bill 2025-03</t>
  </si>
  <si>
    <t>Gas bill 2025-03</t>
  </si>
  <si>
    <t>F-gas service record</t>
  </si>
  <si>
    <t>Chiller 2 top-up after leak repair</t>
  </si>
  <si>
    <t>Utility bill 2025-04</t>
  </si>
  <si>
    <t>Gas bill 2025-04</t>
  </si>
  <si>
    <t>Utility bill 2025-05</t>
  </si>
  <si>
    <t>Gas bill 2025-05</t>
  </si>
  <si>
    <t>Utility bill 2025-06</t>
  </si>
  <si>
    <t>Gas bill 2025-06</t>
  </si>
  <si>
    <t>Utility bill 2025-07</t>
  </si>
  <si>
    <t>LED lighting live</t>
  </si>
  <si>
    <t>Gas bill 2025-07</t>
  </si>
  <si>
    <t>Utility bill 2025-08</t>
  </si>
  <si>
    <t>Gas bill 2025-08</t>
  </si>
  <si>
    <t>Utility bill 2025-09</t>
  </si>
  <si>
    <t>Gas bill 2025-09</t>
  </si>
  <si>
    <t>Utility bill 2025-10</t>
  </si>
  <si>
    <t>Gas bill 2025-10</t>
  </si>
  <si>
    <t>Utility bill 2025-11</t>
  </si>
  <si>
    <t>Gas bill 2025-11</t>
  </si>
  <si>
    <t>Utility bill 2025-12</t>
  </si>
  <si>
    <t>Gas bill 2025-12</t>
  </si>
  <si>
    <t>Output</t>
  </si>
  <si>
    <t>Intensity</t>
  </si>
  <si>
    <t>Intensity status</t>
  </si>
  <si>
    <t>Example data for Eastvale Plastics (fictional): tonnes of product shipped per month.</t>
  </si>
  <si>
    <t>Shutdown week</t>
  </si>
  <si>
    <t>Project</t>
  </si>
  <si>
    <t>Saved per year</t>
  </si>
  <si>
    <t>Status</t>
  </si>
  <si>
    <t>Owner</t>
  </si>
  <si>
    <t>Saving (t CO2e/yr)</t>
  </si>
  <si>
    <t>Example projects for Eastvale Plastics (fictional); savings are the project teams' estimates, not measurements.</t>
  </si>
  <si>
    <t>LED high-bay lighting</t>
  </si>
  <si>
    <t>Complete</t>
  </si>
  <si>
    <t>Facilities</t>
  </si>
  <si>
    <t>Finished June 2025</t>
  </si>
  <si>
    <t>Compressed air leak repairs</t>
  </si>
  <si>
    <t>In progress</t>
  </si>
  <si>
    <t>Maintenance</t>
  </si>
  <si>
    <t>Survey done, repairs under way</t>
  </si>
  <si>
    <t>Servo-electric retrofit, press IM-07</t>
  </si>
  <si>
    <t>Planned</t>
  </si>
  <si>
    <t>Engineering</t>
  </si>
  <si>
    <t>Capex request Q1 2026</t>
  </si>
  <si>
    <t>Chiller heat recovery to office heating</t>
  </si>
  <si>
    <t>Fix chiller leak points, add leak checks</t>
  </si>
  <si>
    <t>Quarterly leak checks</t>
  </si>
  <si>
    <t>Target for the year</t>
  </si>
  <si>
    <t>TOTAL EMISSIONS (T CO2E)</t>
  </si>
  <si>
    <t>SCOPE 1 (T CO2E)</t>
  </si>
  <si>
    <t>SCOPE 2 (T CO2E)</t>
  </si>
  <si>
    <t>Fuels and refrigerant on site</t>
  </si>
  <si>
    <t>Purchased electricity</t>
  </si>
  <si>
    <t>CHANGE VS BASELINE</t>
  </si>
  <si>
    <t>OPEN PROJECTS (T CO2E/YR)</t>
  </si>
  <si>
    <t>GAP AFTER OPEN PROJECTS (T)</t>
  </si>
  <si>
    <t>MONTHS LOGGED</t>
  </si>
  <si>
    <t>Total vs the baseline on Setup</t>
  </si>
  <si>
    <t>Planned and in progress</t>
  </si>
  <si>
    <t>Total - open projects - target</t>
  </si>
  <si>
    <t>Of 12 in the reporting year</t>
  </si>
  <si>
    <t>By month (reporting year)</t>
  </si>
  <si>
    <t>Reduction projects</t>
  </si>
  <si>
    <t>Total</t>
  </si>
  <si>
    <t>Saving</t>
  </si>
  <si>
    <t>t CO2e/yr</t>
  </si>
  <si>
    <t>By source (reporting year)</t>
  </si>
  <si>
    <t>Factor</t>
  </si>
  <si>
    <t>Emissions</t>
  </si>
  <si>
    <t>Share</t>
  </si>
  <si>
    <t>kg CO2e/unit</t>
  </si>
  <si>
    <t>%</t>
  </si>
  <si>
    <t>The Dashboard shows the 5 sources of the Setup list. If you add more, extend the 'By source' block (see Method) or they will not appear in it or its chart; the tiles and the monthly block still count every source.</t>
  </si>
  <si>
    <t>What this workbook calculates</t>
  </si>
  <si>
    <t>Scope 1 and 2 emissions are activity data multiplied by emission factors: each kWh, therm, gallon or kilogram you record on the Energy Log is multiplied by its source's factor in kg CO2e per unit, from Setup. Scope 1 covers fuel burned and refrigerant lost on site; Scope 2 covers purchased electricity. The Dashboard adds the rows of the reporting year by scope, month and source, divides by output for intensity, and compares the total with a target set as a reduction from your baseline, before and after the projects still to be delivered.</t>
  </si>
  <si>
    <t>Calculations</t>
  </si>
  <si>
    <t>How it is calculated</t>
  </si>
  <si>
    <t>Units</t>
  </si>
  <si>
    <t>Emissions (row)</t>
  </si>
  <si>
    <t>Quantity x factor (kg CO2e per activity unit, looked up from the source on Setup).</t>
  </si>
  <si>
    <t>kg CO2e</t>
  </si>
  <si>
    <t>Scope 1, Scope 2, total</t>
  </si>
  <si>
    <t>SUMIFS of row emissions by scope for months from 1 January to 31 December of the reporting year, / 1000.</t>
  </si>
  <si>
    <t>Baseline emissions x (1 - reduction target).</t>
  </si>
  <si>
    <t>Total emissions in kg / output in the same months (Production). Monthly: the month's emissions / the month's output.</t>
  </si>
  <si>
    <t>Change vs baseline</t>
  </si>
  <si>
    <t>(Total - baseline) / baseline. Negative is a reduction.</t>
  </si>
  <si>
    <t>Project saving</t>
  </si>
  <si>
    <t>Saved per year x the source's factor / 1000.</t>
  </si>
  <si>
    <t>Open projects</t>
  </si>
  <si>
    <t>Sum of project savings whose status is not Complete (completed projects are already in the logged quantities).</t>
  </si>
  <si>
    <t>Gap after open projects</t>
  </si>
  <si>
    <t>Total - open projects - target. Positive: still above the target after the open projects; negative: they would beat it.</t>
  </si>
  <si>
    <t>By month, by source</t>
  </si>
  <si>
    <t>The same SUMIFS per month (1st of the month to the next) and per source; share = a source's emissions / the year's total.</t>
  </si>
  <si>
    <t>t CO2e, %</t>
  </si>
  <si>
    <t>Assumptions</t>
  </si>
  <si>
    <t>Factors are already in CO2e per activity unit. The example fuel factors are EPA CO2-only values; frameworks that also count methane and nitrous oxide from combustion add a small amount.</t>
  </si>
  <si>
    <t>Scope 2 is location-based unless you type a supplier-specific (market-based) factor for electricity; keep one basis for the baseline and the reporting year.</t>
  </si>
  <si>
    <t>A bill is logged against the month it mostly covers, on the 1st of that month.</t>
  </si>
  <si>
    <t>Refrigerant emissions are the kilograms topped up, taken as the kilograms lost in the year.</t>
  </si>
  <si>
    <t>Project savings are the project teams' annual estimates; a project completed during the year is partly in the logged quantities already.</t>
  </si>
  <si>
    <t>Limitations</t>
  </si>
  <si>
    <t>Scope 3 (purchased goods, transport, waste, business travel) is not covered.</t>
  </si>
  <si>
    <t>This is a working tracker, not a verified inventory: for a formal report, follow the GHG Protocol's boundary, base-year recalculation and dual Scope 2 reporting rules.</t>
  </si>
  <si>
    <t>The Dashboard has a fixed block for the sources in the example list; a warning appears when the list is longer.</t>
  </si>
  <si>
    <t>Agreement with the live calculator</t>
  </si>
  <si>
    <t>Each Energy Log row is exactly the live Activity Carbon Emissions Calculator: activity quantity x an already-CO2e factor = kg CO2e. The calculator does one activity; this workbook logs every source and month, adds them by scope and source, and adds output, targets and projects. verify.py checks the reference against the calculator's engine for the calculator's default (125,000 kWh at 0.386 kg CO2e/kWh: 48,250 kg) and an example natural gas row.</t>
  </si>
  <si>
    <t>Open the Carbon Emissions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</si>
  <si>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</si>
  <si>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</si>
  <si>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World Resources Institute and WBCSD, The Greenhouse Gas Protocol: A Corporate Accounting and Reporting Standard (Revised Edition) and its Scope 2 Guidance.</t>
  </si>
  <si>
    <t>US EPA, GHG Emission Factors Hub (stationary and mobile combustion CO2 factors); use the edition for your reporting year.</t>
  </si>
  <si>
    <t>IPCC Fourth Assessment Report (AR4), 100-year global warming potentials (HFC-32 and HFC-125 in R-410A).</t>
  </si>
  <si>
    <t>ISO 14064-1:2018, Greenhouse gases - Part 1 (organisation-level quantification and reporting): named for reference, no text reproduced.</t>
  </si>
  <si>
    <t>MFG Calcs Activity Carbon Emissions Calculator (carbon-emissions-calculator): the same quantity x factor for one activity.</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</si>
  <si>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</si>
  <si>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</si>
  <si>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</si>
  <si>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</si>
  <si>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</si>
  <si>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</si>
  <si>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</si>
  <si>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</si>
  <si>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</si>
  <si>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</si>
  <si>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</si>
  <si>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</si>
  <si>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</si>
  <si>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</si>
  <si>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</si>
  <si>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</si>
  <si>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default, 125,000 kWh): emissions</t>
  </si>
  <si>
    <t>Row 2 (8,000 therms gas): emissions</t>
  </si>
  <si>
    <t>Row 3 (110,000 kWh): emissions</t>
  </si>
  <si>
    <t>Row 4 (3 kg R-410A): emissions</t>
  </si>
  <si>
    <t>Row 6: Check reports a date that is not the 1st</t>
  </si>
  <si>
    <t>Use the 1st of the month</t>
  </si>
  <si>
    <t>exact</t>
  </si>
  <si>
    <t>Production row 1: intensity (January)</t>
  </si>
  <si>
    <t>Production row 1: intensity status against a 640 target</t>
  </si>
  <si>
    <t>Above target</t>
  </si>
  <si>
    <t>Project A: saving</t>
  </si>
  <si>
    <t>All rows: total in the reporting year (Dashboard formula)</t>
  </si>
  <si>
    <t>All rows: Scope 1 (Dashboard formula)</t>
  </si>
  <si>
    <t>All rows: intensity (Dashboard formula)</t>
  </si>
  <si>
    <t>All rows: change vs baseline (Dashboard formula)</t>
  </si>
  <si>
    <t>All rows: open projects (Dashboard formula)</t>
  </si>
  <si>
    <t>All rows: gap after open projects (Dashboard formula)</t>
  </si>
  <si>
    <t>Fixed test inputs</t>
  </si>
  <si>
    <t>White cells are fixed test inputs; blue cells are the workbook's formulas evaluated on them.</t>
  </si>
  <si>
    <t>Parameters</t>
  </si>
  <si>
    <t>Reporting year start</t>
  </si>
  <si>
    <t>Next year start</t>
  </si>
  <si>
    <t>Test baseline and targets (example values)</t>
  </si>
  <si>
    <t>Test table: Activity</t>
  </si>
  <si>
    <t>Test table: Output</t>
  </si>
  <si>
    <t>Test table: Projects</t>
  </si>
  <si>
    <t>A</t>
  </si>
  <si>
    <t>B</t>
  </si>
</sst>
</file>

<file path=xl/styles.xml><?xml version="1.0" encoding="utf-8"?>
<styleSheet xmlns="http://schemas.openxmlformats.org/spreadsheetml/2006/main">
  <numFmts count="14">
    <numFmt numFmtId="164" formatCode="#,##0.0"/>
    <numFmt numFmtId="165" formatCode="0%"/>
    <numFmt numFmtId="166" formatCode="#,##0"/>
    <numFmt numFmtId="167" formatCode="#,##0.000"/>
    <numFmt numFmtId="168" formatCode="d mmm yyyy"/>
    <numFmt numFmtId="169" formatCode="&quot;Target &quot;#,##0.0"/>
    <numFmt numFmtId="170" formatCode="&quot;Target &quot;#,##0"/>
    <numFmt numFmtId="171" formatCode="+0.0%;-0.0%;0.0%"/>
    <numFmt numFmtId="172" formatCode="+#,##0.0;-#,##0.0;0.0"/>
    <numFmt numFmtId="173" formatCode="mmm yyyy"/>
    <numFmt numFmtId="174" formatCode="0.0%"/>
    <numFmt numFmtId="175" formatCode="0.0E+00"/>
    <numFmt numFmtId="176" formatCode="#,##0.00"/>
    <numFmt numFmtId="177"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4" fontId="9" fillId="4" borderId="3" xfId="0" applyNumberFormat="1" applyFont="1" applyFill="1" applyBorder="1" applyAlignment="1">
      <alignment vertical="center"/>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0" fontId="10" fillId="3" borderId="2" xfId="0" applyFont="1" applyFill="1" applyBorder="1" applyAlignment="1" applyProtection="1">
      <alignment vertical="top" wrapText="1"/>
      <protection locked="0"/>
    </xf>
    <xf numFmtId="0" fontId="19"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0" borderId="0" xfId="0" applyFont="1" applyAlignment="1">
      <alignment horizontal="center" vertical="center"/>
    </xf>
    <xf numFmtId="0" fontId="10" fillId="4" borderId="3" xfId="0" applyFont="1" applyFill="1" applyBorder="1" applyAlignment="1">
      <alignment horizontal="center" vertical="center"/>
    </xf>
    <xf numFmtId="164" fontId="10" fillId="4" borderId="3" xfId="0" applyNumberFormat="1"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71" fontId="4" fillId="9" borderId="7" xfId="0" applyNumberFormat="1" applyFont="1" applyFill="1" applyBorder="1" applyAlignment="1">
      <alignment horizontal="left" vertical="center"/>
    </xf>
    <xf numFmtId="172"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173" fontId="9" fillId="0" borderId="9" xfId="0" applyNumberFormat="1" applyFont="1" applyBorder="1" applyAlignment="1">
      <alignment vertical="center"/>
    </xf>
    <xf numFmtId="0" fontId="9" fillId="0" borderId="9" xfId="0" applyFont="1" applyBorder="1" applyAlignment="1">
      <alignment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164" fontId="9" fillId="4" borderId="10" xfId="0" applyNumberFormat="1" applyFont="1" applyFill="1" applyBorder="1" applyAlignment="1">
      <alignment vertical="center"/>
    </xf>
    <xf numFmtId="174"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75" fontId="10" fillId="4" borderId="3" xfId="0" applyNumberFormat="1" applyFont="1" applyFill="1" applyBorder="1" applyAlignment="1">
      <alignment vertical="center"/>
    </xf>
    <xf numFmtId="175" fontId="10" fillId="0" borderId="9" xfId="0" applyNumberFormat="1" applyFont="1" applyBorder="1" applyAlignment="1">
      <alignment vertical="center"/>
    </xf>
    <xf numFmtId="176" fontId="10" fillId="0" borderId="9" xfId="0" applyNumberFormat="1" applyFont="1" applyBorder="1" applyAlignment="1">
      <alignment vertical="center"/>
    </xf>
    <xf numFmtId="176" fontId="10" fillId="4" borderId="3" xfId="0" applyNumberFormat="1" applyFont="1" applyFill="1" applyBorder="1" applyAlignment="1">
      <alignment vertical="center"/>
    </xf>
    <xf numFmtId="167" fontId="10" fillId="0" borderId="9" xfId="0" applyNumberFormat="1" applyFont="1" applyBorder="1" applyAlignment="1">
      <alignment vertical="center"/>
    </xf>
    <xf numFmtId="177" fontId="10" fillId="0" borderId="9" xfId="0" applyNumberFormat="1" applyFont="1" applyBorder="1" applyAlignment="1">
      <alignment vertical="center"/>
    </xf>
    <xf numFmtId="177" fontId="10" fillId="4" borderId="3" xfId="0" applyNumberFormat="1" applyFont="1" applyFill="1" applyBorder="1" applyAlignment="1">
      <alignment vertical="center"/>
    </xf>
    <xf numFmtId="168" fontId="10" fillId="0" borderId="9" xfId="0" applyNumberFormat="1" applyFont="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Emissions by month and scope (t CO2e)</a:t>
            </a:r>
          </a:p>
        </c:rich>
      </c:tx>
      <c:layout/>
    </c:title>
    <c:plotArea>
      <c:layout/>
      <c:barChart>
        <c:barDir val="col"/>
        <c:grouping val="stacked"/>
        <c:ser>
          <c:idx val="0"/>
          <c:order val="0"/>
          <c:tx>
            <c:v>Scope 1</c:v>
          </c:tx>
          <c:spPr>
            <a:solidFill>
              <a:srgbClr val="3B64D8"/>
            </a:solidFill>
            <a:ln w="9525">
              <a:solidFill>
                <a:srgbClr val="FFFFFF"/>
              </a:solidFill>
            </a:ln>
          </c:spPr>
          <c:cat>
            <c:numRef>
              <c:f>Dashboard!$B$38:$B$49</c:f>
              <c:numCache>
                <c:formatCode>General</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Dashboard!$C$38:$C$49</c:f>
              <c:numCache>
                <c:formatCode>General</c:formatCode>
                <c:ptCount val="12"/>
                <c:pt idx="0">
                  <c:v>51.00036</c:v>
                </c:pt>
                <c:pt idx="1">
                  <c:v>51.95647</c:v>
                </c:pt>
                <c:pt idx="2">
                  <c:v>49.39748</c:v>
                </c:pt>
                <c:pt idx="3">
                  <c:v>27.33142</c:v>
                </c:pt>
                <c:pt idx="4">
                  <c:v>16.42706</c:v>
                </c:pt>
                <c:pt idx="5">
                  <c:v>12.63204</c:v>
                </c:pt>
                <c:pt idx="6">
                  <c:v>11.06327</c:v>
                </c:pt>
                <c:pt idx="7">
                  <c:v>22.70506</c:v>
                </c:pt>
                <c:pt idx="8">
                  <c:v>15.58414</c:v>
                </c:pt>
                <c:pt idx="9">
                  <c:v>25.38514</c:v>
                </c:pt>
                <c:pt idx="10">
                  <c:v>40.20212</c:v>
                </c:pt>
                <c:pt idx="11">
                  <c:v>50.21265</c:v>
                </c:pt>
              </c:numCache>
            </c:numRef>
          </c:val>
        </c:ser>
        <c:ser>
          <c:idx val="1"/>
          <c:order val="1"/>
          <c:tx>
            <c:v>Scope 2</c:v>
          </c:tx>
          <c:spPr>
            <a:solidFill>
              <a:srgbClr val="E8702A"/>
            </a:solidFill>
            <a:ln w="9525">
              <a:solidFill>
                <a:srgbClr val="FFFFFF"/>
              </a:solidFill>
            </a:ln>
          </c:spPr>
          <c:cat>
            <c:numRef>
              <c:f>Dashboard!$B$38:$B$49</c:f>
              <c:numCache>
                <c:formatCode>General</c:formatCode>
                <c:ptCount val="12"/>
                <c:pt idx="0">
                  <c:v>45658</c:v>
                </c:pt>
                <c:pt idx="1">
                  <c:v>45689</c:v>
                </c:pt>
                <c:pt idx="2">
                  <c:v>45717</c:v>
                </c:pt>
                <c:pt idx="3">
                  <c:v>45748</c:v>
                </c:pt>
                <c:pt idx="4">
                  <c:v>45778</c:v>
                </c:pt>
                <c:pt idx="5">
                  <c:v>45809</c:v>
                </c:pt>
                <c:pt idx="6">
                  <c:v>45839</c:v>
                </c:pt>
                <c:pt idx="7">
                  <c:v>45870</c:v>
                </c:pt>
                <c:pt idx="8">
                  <c:v>45901</c:v>
                </c:pt>
                <c:pt idx="9">
                  <c:v>45931</c:v>
                </c:pt>
                <c:pt idx="10">
                  <c:v>45962</c:v>
                </c:pt>
                <c:pt idx="11">
                  <c:v>45992</c:v>
                </c:pt>
              </c:numCache>
            </c:numRef>
          </c:cat>
          <c:val>
            <c:numRef>
              <c:f>Dashboard!$D$38:$D$49</c:f>
              <c:numCache>
                <c:formatCode>General</c:formatCode>
                <c:ptCount val="12"/>
                <c:pt idx="0">
                  <c:v>343.1154</c:v>
                </c:pt>
                <c:pt idx="1">
                  <c:v>336.0902</c:v>
                </c:pt>
                <c:pt idx="2">
                  <c:v>323.1592</c:v>
                </c:pt>
                <c:pt idx="3">
                  <c:v>325.591</c:v>
                </c:pt>
                <c:pt idx="4">
                  <c:v>319.4922</c:v>
                </c:pt>
                <c:pt idx="5">
                  <c:v>330.995</c:v>
                </c:pt>
                <c:pt idx="6">
                  <c:v>368.1668</c:v>
                </c:pt>
                <c:pt idx="7">
                  <c:v>297.6832</c:v>
                </c:pt>
                <c:pt idx="8">
                  <c:v>334.083</c:v>
                </c:pt>
                <c:pt idx="9">
                  <c:v>338.3676</c:v>
                </c:pt>
                <c:pt idx="10">
                  <c:v>334.662</c:v>
                </c:pt>
                <c:pt idx="11">
                  <c:v>315.8638</c:v>
                </c:pt>
              </c:numCache>
            </c:numRef>
          </c:val>
        </c:ser>
        <c:gapWidth val="60"/>
        <c:overlap val="10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Emissions by source (t CO2e)</a:t>
            </a:r>
          </a:p>
        </c:rich>
      </c:tx>
      <c:layout/>
    </c:title>
    <c:plotArea>
      <c:layout/>
      <c:barChart>
        <c:barDir val="bar"/>
        <c:grouping val="clustered"/>
        <c:ser>
          <c:idx val="0"/>
          <c:order val="0"/>
          <c:tx>
            <c:v>Emissions</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Dashboard!$B$55:$B$59</c:f>
              <c:strCache>
                <c:ptCount val="5"/>
                <c:pt idx="0">
                  <c:v>Grid electricity</c:v>
                </c:pt>
                <c:pt idx="1">
                  <c:v>Natural gas</c:v>
                </c:pt>
                <c:pt idx="2">
                  <c:v>Diesel</c:v>
                </c:pt>
                <c:pt idx="3">
                  <c:v>Gasoline</c:v>
                </c:pt>
                <c:pt idx="4">
                  <c:v>Refrigerant R-410A</c:v>
                </c:pt>
              </c:strCache>
            </c:strRef>
          </c:cat>
          <c:val>
            <c:numRef>
              <c:f>Dashboard!$G$55:$G$59</c:f>
              <c:numCache>
                <c:formatCode>General</c:formatCode>
                <c:ptCount val="5"/>
                <c:pt idx="0">
                  <c:v>3967.2694</c:v>
                </c:pt>
                <c:pt idx="1">
                  <c:v>288.69946</c:v>
                </c:pt>
                <c:pt idx="2">
                  <c:v>47.30293</c:v>
                </c:pt>
                <c:pt idx="3">
                  <c:v>15.97082</c:v>
                </c:pt>
                <c:pt idx="4">
                  <c:v>21.924</c:v>
                </c:pt>
              </c:numCache>
            </c:numRef>
          </c:val>
        </c:ser>
        <c:gapWidth val="60"/>
        <c:overlap val="-1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column chart of each month's Scope 1 and Scope 2 emissions in tonnes CO2e for the reporting yea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Horizontal bar chart of the reporting year's emissions in tonnes CO2e for each source on the Setup lis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ources" displayName="tblSources" ref="B24:F29" totalsRowShown="0">
  <autoFilter ref="B24:F29"/>
  <tableColumns count="5">
    <tableColumn id="1" name="Source"/>
    <tableColumn id="2" name="Scope"/>
    <tableColumn id="3" name="Activity unit"/>
    <tableColumn id="4" name="Factor (kg CO2e/unit)"/>
    <tableColumn id="5" name="Factor source"/>
  </tableColumns>
  <tableStyleInfo name="TableStyleLight1" showFirstColumn="0" showLastColumn="0" showRowStripes="0" showColumnStripes="0"/>
</table>
</file>

<file path=xl/tables/table2.xml><?xml version="1.0" encoding="utf-8"?>
<table xmlns="http://schemas.openxmlformats.org/spreadsheetml/2006/main" id="2" name="tblActivity" displayName="tblActivity" ref="B5:K55" totalsRowShown="0">
  <autoFilter ref="B5:K55"/>
  <tableColumns count="10">
    <tableColumn id="1" name="Month"/>
    <tableColumn id="2" name="Source"/>
    <tableColumn id="3" name="Quantity"/>
    <tableColumn id="4" name="Unit">
      <calculatedColumnFormula>IF(tblActivity[[#This Row],[Month]]="","",IFERROR(INDEX(tblSources[Activity unit],MATCH(tblActivity[[#This Row],[Source]],tblSources[Source],0)),""))</calculatedColumnFormula>
    </tableColumn>
    <tableColumn id="5" name="Scope">
      <calculatedColumnFormula>IF(tblActivity[[#This Row],[Month]]="","",IFERROR(INDEX(tblSources[Scope],MATCH(tblActivity[[#This Row],[Source]],tblSources[Source],0)),""))</calculatedColumnFormula>
    </tableColumn>
    <tableColumn id="6" name="Factor (kg CO2e/unit)">
      <calculatedColumnFormula>IF(tblActivity[[#This Row],[Month]]="","",IFERROR(INDEX(tblSources[Factor (kg CO2e/unit)],MATCH(tblActivity[[#This Row],[Source]],tblSources[Source],0)),""))</calculatedColumnFormula>
    </tableColumn>
    <tableColumn id="7" name="Emissions (kg CO2e)">
      <calculatedColumnFormula>IF(tblActivity[[#This Row],[Month]]="","",IF(AND(ISNUMBER(tblActivity[[#This Row],[Quantity]]),ISNUMBER(tblActivity[[#This Row],[Factor (kg CO2e/unit)]])),tblActivity[[#This Row],[Quantity]]*tblActivity[[#This Row],[Factor (kg CO2e/unit)]],""))</calculatedColumnFormula>
    </tableColumn>
    <tableColumn id="8" name="Check">
      <calculatedColumnFormula>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calculatedColumnFormula>
    </tableColumn>
    <tableColumn id="9" name="Document"/>
    <tableColumn id="10" name="Notes"/>
  </tableColumns>
  <tableStyleInfo name="TableStyleLight1" showFirstColumn="0" showLastColumn="0" showRowStripes="0" showColumnStripes="0"/>
</table>
</file>

<file path=xl/tables/table3.xml><?xml version="1.0" encoding="utf-8"?>
<table xmlns="http://schemas.openxmlformats.org/spreadsheetml/2006/main" id="3" name="tblOutput" displayName="tblOutput" ref="B6:H18" totalsRowShown="0">
  <autoFilter ref="B6:H18"/>
  <tableColumns count="7">
    <tableColumn id="1" name="Month"/>
    <tableColumn id="2" name="Output"/>
    <tableColumn id="3" name="Emissions (kg CO2e)">
      <calculatedColumnFormula>IF(tblOutput[[#This Row],[Month]]="","",SUMIFS(tblActivity[Emissions (kg CO2e)],tblActivity[Month],tblOutput[[#This Row],[Month]]))</calculatedColumnFormula>
    </tableColumn>
    <tableColumn id="4" name="Intensity">
      <calculatedColumnFormula>IF(tblOutput[[#This Row],[Month]]="","",IF(N(tblOutput[[#This Row],[Output]])&gt;0,tblOutput[[#This Row],[Emissions (kg CO2e)]]/tblOutput[[#This Row],[Output]],""))</calculatedColumnFormula>
    </tableColumn>
    <tableColumn id="5" name="Intensity status">
      <calculatedColumnFormula>IF(NOT(ISNUMBER(tblOutput[[#This Row],[Intensity]])),"",IF(tblOutput[[#This Row],[Intensity]]&lt;=TargetIntensity,"On target",IF(tblOutput[[#This Row],[Intensity]]&lt;=TargetIntensity*(1+0.05),"Near target","Above target")))</calculatedColumnFormula>
    </tableColumn>
    <tableColumn id="6" name="Check">
      <calculatedColumnFormula>IF(tblOutput[[#This Row],[Month]]="","",IF(tblOutput[[#This Row],[Output]]="","Missing output",IF(DAY(tblOutput[[#This Row],[Month]])&lt;&gt;1,"Use the 1st of the month",IF(COUNTIFS(tblOutput[Month],tblOutput[[#This Row],[Month]])&gt;1,"Duplicate month",IF(COUNTIFS(tblActivity[Month],tblOutput[[#This Row],[Month]])=0,"No Energy Log rows this month","OK")))))</calculatedColumnFormula>
    </tableColumn>
    <tableColumn id="7" name="Notes"/>
  </tableColumns>
  <tableStyleInfo name="TableStyleLight1" showFirstColumn="0" showLastColumn="0" showRowStripes="0" showColumnStripes="0"/>
</table>
</file>

<file path=xl/tables/table4.xml><?xml version="1.0" encoding="utf-8"?>
<table xmlns="http://schemas.openxmlformats.org/spreadsheetml/2006/main" id="4" name="tblProjects" displayName="tblProjects" ref="B5:K10" totalsRowShown="0">
  <autoFilter ref="B5:K10"/>
  <tableColumns count="10">
    <tableColumn id="1" name="Project"/>
    <tableColumn id="2" name="Source"/>
    <tableColumn id="3" name="Saved per year"/>
    <tableColumn id="4" name="Status"/>
    <tableColumn id="5" name="Owner"/>
    <tableColumn id="6" name="Unit">
      <calculatedColumnFormula>IF(tblProjects[[#This Row],[Project]]="","",IFERROR(INDEX(tblSources[Activity unit],MATCH(tblProjects[[#This Row],[Source]],tblSources[Source],0)),""))</calculatedColumnFormula>
    </tableColumn>
    <tableColumn id="7" name="Factor (kg CO2e/unit)">
      <calculatedColumnFormula>IF(tblProjects[[#This Row],[Project]]="","",IFERROR(INDEX(tblSources[Factor (kg CO2e/unit)],MATCH(tblProjects[[#This Row],[Source]],tblSources[Source],0)),""))</calculatedColumnFormula>
    </tableColumn>
    <tableColumn id="8" name="Saving (t CO2e/yr)">
      <calculatedColumnFormula>IF(tblProjects[[#This Row],[Project]]="","",IF(AND(ISNUMBER(tblProjects[[#This Row],[Saved per year]]),ISNUMBER(tblProjects[[#This Row],[Factor (kg CO2e/unit)]])),tblProjects[[#This Row],[Saved per year]]*tblProjects[[#This Row],[Factor (kg CO2e/unit)]]/1000,""))</calculatedColumnFormula>
    </tableColumn>
    <tableColumn id="9" name="Check">
      <calculatedColumnFormula>IF(tblProjects[[#This Row],[Project]]="","",IF(tblProjects[[#This Row],[Source]]="","Missing source",IF(tblProjects[[#This Row],[Saved per year]]="","Missing saved per year",IF(tblProjects[[#This Row],[Status]]="","Missing status",IF(tblProjects[[#This Row],[Factor (kg CO2e/unit)]]="","Source not on Setup list","OK")))))</calculatedColumnFormula>
    </tableColumn>
    <tableColumn id="10" name="Notes"/>
  </tableColumns>
  <tableStyleInfo name="TableStyleLight1" showFirstColumn="0" showLastColumn="0" showRowStripes="0" showColumnStripes="0"/>
</table>
</file>

<file path=xl/tables/table5.xml><?xml version="1.0" encoding="utf-8"?>
<table xmlns="http://schemas.openxmlformats.org/spreadsheetml/2006/main" id="5" name="tblVerifyActivity" displayName="tblVerifyActivity" ref="B41:K47" totalsRowShown="0">
  <tableColumns count="10">
    <tableColumn id="1" name="Month"/>
    <tableColumn id="2" name="Source"/>
    <tableColumn id="3" name="Quantity"/>
    <tableColumn id="4" name="Unit"/>
    <tableColumn id="5" name="Scope"/>
    <tableColumn id="6" name="Factor (kg CO2e/unit)"/>
    <tableColumn id="7" name="Emissions (kg CO2e)">
      <calculatedColumnFormula>IF(tblVerifyActivity[[#This Row],[Month]]="","",IF(AND(ISNUMBER(tblVerifyActivity[[#This Row],[Quantity]]),ISNUMBER(tblVerifyActivity[[#This Row],[Factor (kg CO2e/unit)]])),tblVerifyActivity[[#This Row],[Quantity]]*tblVerifyActivity[[#This Row],[Factor (kg CO2e/unit)]],""))</calculatedColumnFormula>
    </tableColumn>
    <tableColumn id="8" name="Check">
      <calculatedColumnFormula>IF(tblVerifyActivity[[#This Row],[Month]]="","",IF(tblVerifyActivity[[#This Row],[Source]]="","Missing source",IF(tblVerifyActivity[[#This Row],[Quantity]]="","Missing quantity",IF(tblVerifyActivity[[#This Row],[Factor (kg CO2e/unit)]]="","Source not on Setup list",IF(DAY(tblVerifyActivity[[#This Row],[Month]])&lt;&gt;1,"Use the 1st of the month",IF(COUNTIFS(tblVerifyActivity[Month],tblVerifyActivity[[#This Row],[Month]],tblVerifyActivity[Source],tblVerifyActivity[[#This Row],[Source]])&gt;1,"Duplicate month and source","OK"))))))</calculatedColumnFormula>
    </tableColumn>
    <tableColumn id="9" name="Document"/>
    <tableColumn id="10" name="Notes"/>
  </tableColumns>
  <tableStyleInfo name="TableStyleLight1" showFirstColumn="0" showLastColumn="0" showRowStripes="0" showColumnStripes="0"/>
</table>
</file>

<file path=xl/tables/table6.xml><?xml version="1.0" encoding="utf-8"?>
<table xmlns="http://schemas.openxmlformats.org/spreadsheetml/2006/main" id="6" name="tblVerifyOutput" displayName="tblVerifyOutput" ref="B51:H53" totalsRowShown="0">
  <tableColumns count="7">
    <tableColumn id="1" name="Month"/>
    <tableColumn id="2" name="Output"/>
    <tableColumn id="3" name="Emissions (kg CO2e)">
      <calculatedColumnFormula>IF(tblVerifyOutput[[#This Row],[Month]]="","",SUMIFS(tblVerifyActivity[Emissions (kg CO2e)],tblVerifyActivity[Month],tblVerifyOutput[[#This Row],[Month]]))</calculatedColumnFormula>
    </tableColumn>
    <tableColumn id="4" name="Intensity">
      <calculatedColumnFormula>IF(tblVerifyOutput[[#This Row],[Month]]="","",IF(N(tblVerifyOutput[[#This Row],[Output]])&gt;0,tblVerifyOutput[[#This Row],[Emissions (kg CO2e)]]/tblVerifyOutput[[#This Row],[Output]],""))</calculatedColumnFormula>
    </tableColumn>
    <tableColumn id="5" name="Intensity status">
      <calculatedColumnFormula>IF(NOT(ISNUMBER(tblVerifyOutput[[#This Row],[Intensity]])),"",IF(tblVerifyOutput[[#This Row],[Intensity]]&lt;=$E$38,"On target",IF(tblVerifyOutput[[#This Row],[Intensity]]&lt;=$E$38*(1+0.05),"Near target","Above target")))</calculatedColumnFormula>
    </tableColumn>
    <tableColumn id="6" name="Check">
      <calculatedColumnFormula>IF(tblVerifyOutput[[#This Row],[Month]]="","",IF(tblVerifyOutput[[#This Row],[Output]]="","Missing output",IF(DAY(tblVerifyOutput[[#This Row],[Month]])&lt;&gt;1,"Use the 1st of the month",IF(COUNTIFS(tblVerifyOutput[Month],tblVerifyOutput[[#This Row],[Month]])&gt;1,"Duplicate month",IF(COUNTIFS(tblVerifyActivity[Month],tblVerifyOutput[[#This Row],[Month]])=0,"No Energy Log rows this month","OK")))))</calculatedColumnFormula>
    </tableColumn>
    <tableColumn id="7" name="Notes"/>
  </tableColumns>
  <tableStyleInfo name="TableStyleLight1" showFirstColumn="0" showLastColumn="0" showRowStripes="0" showColumnStripes="0"/>
</table>
</file>

<file path=xl/tables/table7.xml><?xml version="1.0" encoding="utf-8"?>
<table xmlns="http://schemas.openxmlformats.org/spreadsheetml/2006/main" id="7" name="tblVerifyProjects" displayName="tblVerifyProjects" ref="B56:K58" totalsRowShown="0">
  <tableColumns count="10">
    <tableColumn id="1" name="Project"/>
    <tableColumn id="2" name="Source"/>
    <tableColumn id="3" name="Saved per year"/>
    <tableColumn id="4" name="Status"/>
    <tableColumn id="5" name="Owner"/>
    <tableColumn id="6" name="Unit"/>
    <tableColumn id="7" name="Factor (kg CO2e/unit)"/>
    <tableColumn id="8" name="Saving (t CO2e/yr)">
      <calculatedColumnFormula>IF(tblVerifyProjects[[#This Row],[Project]]="","",IF(AND(ISNUMBER(tblVerifyProjects[[#This Row],[Saved per year]]),ISNUMBER(tblVerifyProjects[[#This Row],[Factor (kg CO2e/unit)]])),tblVerifyProjects[[#This Row],[Saved per year]]*tblVerifyProjects[[#This Row],[Factor (kg CO2e/unit)]]/1000,""))</calculatedColumnFormula>
    </tableColumn>
    <tableColumn id="9" name="Check">
      <calculatedColumnFormula>IF(tblVerifyProjects[[#This Row],[Project]]="","",IF(tblVerifyProjects[[#This Row],[Source]]="","Missing source",IF(tblVerifyProjects[[#This Row],[Saved per year]]="","Missing saved per year",IF(tblVerifyProjects[[#This Row],[Status]]="","Missing status",IF(tblVerifyProjects[[#This Row],[Factor (kg CO2e/unit)]]="","Source not on Setup list","OK")))))</calculatedColumnFormula>
    </tableColumn>
    <tableColumn id="10"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hyperlink" Target="https://www.mfgcalcs.com/calculators/energy-carbon-sustainability/carbon-emissions-calculator?utm_source=mfgcalcs-template&amp;utm_medium=xlsx&amp;utm_campaign=carbon-emissions" TargetMode="External"/><Relationship Id="rId3" Type="http://schemas.openxmlformats.org/officeDocument/2006/relationships/hyperlink" Target="https://www.mfgcalcs.com/templates/carbon-emissions?utm_source=mfgcalcs-template&amp;utm_medium=xlsx&amp;utm_campaign=carbon-emissions" TargetMode="External"/><Relationship Id="rId4" Type="http://schemas.openxmlformats.org/officeDocument/2006/relationships/hyperlink" Target="https://www.mfgcalcs.com/templates?utm_source=mfgcalcs-template&amp;utm_medium=xlsx&amp;utm_campaign=carbon-emission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hyperlink" Target="https://www.mfgcalcs.com/calculators/energy-carbon-sustainability/carbon-emissions-calculator?utm_source=mfgcalcs-template&amp;utm_medium=xlsx&amp;utm_campaign=carbon-emission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arbon-emissions"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8"/>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6" spans="2:6" ht="16.2" customHeight="1">
      <c r="B26" s="11"/>
      <c r="C26" s="12" t="s">
        <v>29</v>
      </c>
      <c r="D26" s="10" t="s">
        <v>30</v>
      </c>
      <c r="E26" s="10"/>
      <c r="F26" s="10"/>
    </row>
    <row r="27" spans="2:6" ht="29.4" customHeight="1">
      <c r="B27" s="11"/>
      <c r="C27" s="12" t="s">
        <v>31</v>
      </c>
      <c r="D27" s="10" t="s">
        <v>32</v>
      </c>
      <c r="E27" s="10"/>
      <c r="F27" s="10"/>
    </row>
    <row r="29" spans="2:6" ht="21" customHeight="1">
      <c r="B29" s="8" t="s">
        <v>33</v>
      </c>
      <c r="C29" s="8"/>
      <c r="D29" s="8"/>
      <c r="E29" s="8"/>
      <c r="F29" s="8"/>
    </row>
    <row r="30" spans="2:6" ht="5" customHeight="1"/>
    <row r="31" spans="2:6" ht="29.4" customHeight="1">
      <c r="C31" s="13" t="s">
        <v>34</v>
      </c>
      <c r="D31" s="14" t="s">
        <v>35</v>
      </c>
      <c r="E31" s="14"/>
      <c r="F31" s="14"/>
    </row>
    <row r="32" spans="2:6" ht="29.4" customHeight="1">
      <c r="C32" s="15" t="s">
        <v>36</v>
      </c>
      <c r="D32" s="14" t="s">
        <v>37</v>
      </c>
      <c r="E32" s="14"/>
      <c r="F32" s="14"/>
    </row>
    <row r="33" spans="2:6" ht="16.2" customHeight="1">
      <c r="C33" s="16" t="s">
        <v>38</v>
      </c>
      <c r="D33" s="14" t="s">
        <v>39</v>
      </c>
      <c r="E33" s="14"/>
      <c r="F33" s="14"/>
    </row>
    <row r="34" spans="2:6" ht="18" customHeight="1">
      <c r="C34" s="17" t="s">
        <v>40</v>
      </c>
      <c r="D34" s="18" t="s">
        <v>41</v>
      </c>
      <c r="E34" s="19" t="s">
        <v>42</v>
      </c>
      <c r="F34" s="20" t="s">
        <v>43</v>
      </c>
    </row>
    <row r="35" spans="2:6" ht="26.76" customHeight="1">
      <c r="C35" s="21" t="s">
        <v>44</v>
      </c>
      <c r="D35" s="21"/>
      <c r="E35" s="21"/>
      <c r="F35" s="21"/>
    </row>
    <row r="37" spans="2:6" ht="21" customHeight="1">
      <c r="B37" s="8" t="s">
        <v>45</v>
      </c>
      <c r="C37" s="8"/>
      <c r="D37" s="8"/>
      <c r="E37" s="8"/>
      <c r="F37" s="8"/>
    </row>
    <row r="38" spans="2:6" ht="5" customHeight="1"/>
    <row r="39" spans="2:6" ht="26" customHeight="1">
      <c r="C39" s="17" t="s">
        <v>46</v>
      </c>
      <c r="D39" s="22" t="str">
        <f>SelfCheck</f>
        <v>PASS</v>
      </c>
      <c r="E39" s="23" t="str">
        <f>SelfCheckSummary</f>
        <v>14 of 14 checks pass</v>
      </c>
      <c r="F39" s="23"/>
    </row>
    <row r="40" spans="2:6" ht="26.76" customHeight="1">
      <c r="C40" s="21" t="s">
        <v>47</v>
      </c>
      <c r="D40" s="21"/>
      <c r="E40" s="21"/>
      <c r="F40" s="21"/>
    </row>
    <row r="41" spans="2:6">
      <c r="C41" s="17" t="s">
        <v>48</v>
      </c>
      <c r="D41" s="24" t="s">
        <v>49</v>
      </c>
      <c r="E41" s="24"/>
      <c r="F41" s="24"/>
    </row>
    <row r="42" spans="2:6">
      <c r="C42" s="17" t="s">
        <v>50</v>
      </c>
      <c r="D42" s="24" t="s">
        <v>51</v>
      </c>
      <c r="E42" s="24"/>
      <c r="F42" s="24"/>
    </row>
    <row r="43" spans="2:6">
      <c r="C43" s="17" t="s">
        <v>52</v>
      </c>
      <c r="D43" s="24" t="s">
        <v>53</v>
      </c>
      <c r="E43" s="24"/>
      <c r="F43" s="24"/>
    </row>
    <row r="44" spans="2:6">
      <c r="C44" s="17" t="s">
        <v>54</v>
      </c>
      <c r="D44" s="11" t="s">
        <v>55</v>
      </c>
      <c r="E44" s="11"/>
      <c r="F44" s="11"/>
    </row>
    <row r="46" spans="2:6" ht="21" customHeight="1">
      <c r="B46" s="8" t="s">
        <v>56</v>
      </c>
      <c r="C46" s="8"/>
      <c r="D46" s="8"/>
      <c r="E46" s="8"/>
      <c r="F46" s="8"/>
    </row>
    <row r="47" spans="2:6" ht="5" customHeight="1"/>
    <row r="48" spans="2:6" ht="75" customHeight="1">
      <c r="B48" s="25" t="s">
        <v>57</v>
      </c>
      <c r="C48" s="25"/>
      <c r="D48" s="25"/>
      <c r="E48" s="25"/>
      <c r="F48" s="25"/>
    </row>
    <row r="50" spans="2:6" ht="21" customHeight="1">
      <c r="B50" s="8" t="s">
        <v>58</v>
      </c>
      <c r="C50" s="8"/>
      <c r="D50" s="8"/>
      <c r="E50" s="8"/>
      <c r="F50" s="8"/>
    </row>
    <row r="51" spans="2:6" ht="5" customHeight="1"/>
    <row r="52" spans="2:6" ht="29.4" customHeight="1">
      <c r="B52" s="26" t="s">
        <v>59</v>
      </c>
      <c r="C52" s="10" t="s">
        <v>60</v>
      </c>
      <c r="D52" s="10"/>
      <c r="E52" s="10"/>
      <c r="F52" s="10"/>
    </row>
    <row r="53" spans="2:6" ht="16.2" customHeight="1">
      <c r="B53" s="26" t="s">
        <v>59</v>
      </c>
      <c r="C53" s="10" t="s">
        <v>61</v>
      </c>
      <c r="D53" s="10"/>
      <c r="E53" s="10"/>
      <c r="F53" s="10"/>
    </row>
    <row r="54" spans="2:6" ht="29.4" customHeight="1">
      <c r="B54" s="26" t="s">
        <v>59</v>
      </c>
      <c r="C54" s="10" t="s">
        <v>62</v>
      </c>
      <c r="D54" s="10"/>
      <c r="E54" s="10"/>
      <c r="F54" s="10"/>
    </row>
    <row r="55" spans="2:6" ht="16.2" customHeight="1">
      <c r="B55" s="26" t="s">
        <v>59</v>
      </c>
      <c r="C55" s="10" t="s">
        <v>63</v>
      </c>
      <c r="D55" s="10"/>
      <c r="E55" s="10"/>
      <c r="F55" s="10"/>
    </row>
    <row r="57" spans="2:6" ht="16.2" customHeight="1">
      <c r="B57" s="17" t="s">
        <v>64</v>
      </c>
      <c r="C57" s="17"/>
      <c r="D57" s="17"/>
      <c r="E57" s="17"/>
      <c r="F57" s="17"/>
    </row>
    <row r="58" spans="2:6" ht="26.76" customHeight="1">
      <c r="B58" s="21" t="s">
        <v>65</v>
      </c>
      <c r="C58" s="21"/>
      <c r="D58" s="21"/>
      <c r="E58" s="21"/>
      <c r="F58" s="21"/>
    </row>
  </sheetData>
  <sheetProtection sheet="1" formatColumns="0" formatRows="0"/>
  <mergeCells count="42">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D27:F27"/>
    <mergeCell ref="B29:F29"/>
    <mergeCell ref="D31:F31"/>
    <mergeCell ref="D32:F32"/>
    <mergeCell ref="D33:F33"/>
    <mergeCell ref="C35:F35"/>
    <mergeCell ref="B37:F37"/>
    <mergeCell ref="E39:F39"/>
    <mergeCell ref="C40:F40"/>
    <mergeCell ref="D41:F41"/>
    <mergeCell ref="D42:F42"/>
    <mergeCell ref="D43:F43"/>
    <mergeCell ref="D44:F44"/>
    <mergeCell ref="B46:F46"/>
    <mergeCell ref="B48:F48"/>
    <mergeCell ref="B50:F50"/>
    <mergeCell ref="C52:F52"/>
    <mergeCell ref="C53:F53"/>
    <mergeCell ref="C54:F54"/>
    <mergeCell ref="C55:F55"/>
    <mergeCell ref="B57:F57"/>
    <mergeCell ref="B58:F58"/>
  </mergeCells>
  <conditionalFormatting sqref="D3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Energy Log'!A1" tooltip="Go to Energy Log" display="Energy Log"/>
    <hyperlink ref="C23" location="Production!A1" tooltip="Go to Production" display="Production"/>
    <hyperlink ref="C24" location="Projects!A1" tooltip="Go to Projects" display="Projects"/>
    <hyperlink ref="C25" location="Dashboard!A1" tooltip="Go to Dashboard" display="Dashboard"/>
    <hyperlink ref="C26" location="Method!A1" tooltip="Go to Method" display="Method"/>
    <hyperlink ref="C27" location="Verify!A1" tooltip="Go to Verify" display="Verify"/>
    <hyperlink ref="D41" r:id="rId2"/>
    <hyperlink ref="D42" r:id="rId3"/>
    <hyperlink ref="D43" r:id="rId4"/>
  </hyperlinks>
  <printOptions horizontalCentered="1"/>
  <pageMargins left="0.4" right="0.4" top="0.7" bottom="0.65" header="0.3" footer="0.3"/>
  <pageSetup fitToHeight="0" orientation="portrait"/>
  <headerFooter>
    <oddHeader>&amp;L&amp;8MFG Calcs - Carbon Emissions Tracker&amp;R&amp;8&amp;A</oddHeader>
    <oddFooter>&amp;L&amp;8mfgcalcs.com - free manufacturing templates&amp;R&amp;8Page &amp;P of &amp;N</oddFooter>
  </headerFooter>
  <rowBreaks count="1" manualBreakCount="1">
    <brk id="28"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29"/>
  <sheetViews>
    <sheetView showGridLines="0" workbookViewId="0"/>
  </sheetViews>
  <sheetFormatPr defaultRowHeight="15"/>
  <cols>
    <col min="1" max="1" width="2.7109375" customWidth="1"/>
    <col min="2" max="2" width="30.7109375" customWidth="1"/>
    <col min="3" max="3" width="14.7109375" customWidth="1"/>
    <col min="4" max="4" width="12.7109375" customWidth="1"/>
    <col min="5" max="5" width="14.7109375" customWidth="1"/>
    <col min="6" max="6" width="58.7109375" customWidth="1"/>
  </cols>
  <sheetData>
    <row r="1" spans="1:6" ht="30" customHeight="1">
      <c r="A1" s="1" t="s">
        <v>0</v>
      </c>
      <c r="B1" s="1"/>
      <c r="C1" s="1"/>
      <c r="D1" s="1"/>
      <c r="E1" s="1"/>
      <c r="F1" s="1"/>
    </row>
    <row r="2" spans="1:6" ht="32.4" customHeight="1">
      <c r="B2" s="2" t="s">
        <v>20</v>
      </c>
      <c r="C2" s="2"/>
      <c r="D2" s="2"/>
      <c r="E2" s="2"/>
      <c r="F2" s="3" t="s">
        <v>2</v>
      </c>
    </row>
    <row r="3" spans="1:6" ht="6" customHeight="1"/>
    <row r="4" spans="1:6" ht="21" customHeight="1">
      <c r="B4" s="8" t="s">
        <v>71</v>
      </c>
      <c r="C4" s="8"/>
      <c r="D4" s="8"/>
      <c r="E4" s="8"/>
      <c r="F4" s="8"/>
    </row>
    <row r="5" spans="1:6" ht="5" customHeight="1"/>
    <row r="6" spans="1:6">
      <c r="B6" s="27" t="s">
        <v>72</v>
      </c>
      <c r="C6" s="28" t="s">
        <v>73</v>
      </c>
      <c r="D6" s="28"/>
    </row>
    <row r="7" spans="1:6">
      <c r="B7" s="27" t="s">
        <v>74</v>
      </c>
      <c r="C7" s="28">
        <v>2025</v>
      </c>
      <c r="D7" s="7"/>
    </row>
    <row r="8" spans="1:6">
      <c r="B8" s="27" t="s">
        <v>75</v>
      </c>
      <c r="C8" s="28" t="s">
        <v>76</v>
      </c>
      <c r="D8" s="28"/>
    </row>
    <row r="10" spans="1:6" ht="21" customHeight="1">
      <c r="B10" s="8" t="s">
        <v>77</v>
      </c>
      <c r="C10" s="8"/>
      <c r="D10" s="8"/>
      <c r="E10" s="8"/>
      <c r="F10" s="8"/>
    </row>
    <row r="11" spans="1:6" ht="5" customHeight="1"/>
    <row r="12" spans="1:6">
      <c r="B12" s="27" t="s">
        <v>78</v>
      </c>
      <c r="C12" s="28">
        <v>2023</v>
      </c>
      <c r="D12" s="7"/>
    </row>
    <row r="13" spans="1:6">
      <c r="B13" s="27" t="s">
        <v>79</v>
      </c>
      <c r="C13" s="29">
        <v>4450</v>
      </c>
      <c r="D13" s="7" t="s">
        <v>80</v>
      </c>
    </row>
    <row r="14" spans="1:6">
      <c r="B14" s="27" t="s">
        <v>81</v>
      </c>
      <c r="C14" s="30">
        <v>0.15</v>
      </c>
      <c r="D14" s="7"/>
    </row>
    <row r="15" spans="1:6">
      <c r="B15" s="17" t="s">
        <v>82</v>
      </c>
      <c r="C15" s="31">
        <f>BaselineT*(1-ReductionPct)</f>
        <v>3782.5</v>
      </c>
      <c r="D15" s="7" t="s">
        <v>80</v>
      </c>
    </row>
    <row r="16" spans="1:6">
      <c r="B16" s="27" t="s">
        <v>83</v>
      </c>
      <c r="C16" s="32">
        <v>640</v>
      </c>
      <c r="D16" s="7" t="s">
        <v>84</v>
      </c>
    </row>
    <row r="18" spans="2:6" ht="22.2" customHeight="1">
      <c r="B18" s="25" t="s">
        <v>85</v>
      </c>
      <c r="C18" s="25"/>
      <c r="D18" s="25"/>
      <c r="E18" s="25"/>
      <c r="F18" s="25"/>
    </row>
    <row r="20" spans="2:6" ht="21" customHeight="1">
      <c r="B20" s="8" t="s">
        <v>86</v>
      </c>
      <c r="C20" s="8"/>
      <c r="D20" s="8"/>
      <c r="E20" s="8"/>
      <c r="F20" s="8"/>
    </row>
    <row r="21" spans="2:6" ht="5" customHeight="1"/>
    <row r="22" spans="2:6" ht="26.76" customHeight="1">
      <c r="B22" s="21" t="s">
        <v>87</v>
      </c>
      <c r="C22" s="21"/>
      <c r="D22" s="21"/>
      <c r="E22" s="21"/>
      <c r="F22" s="21"/>
    </row>
    <row r="23" spans="2:6">
      <c r="B23" s="33" t="s">
        <v>88</v>
      </c>
      <c r="C23" s="33"/>
      <c r="D23" s="33"/>
      <c r="E23" s="33"/>
      <c r="F23" s="33"/>
    </row>
    <row r="24" spans="2:6" ht="32" customHeight="1">
      <c r="B24" s="34" t="s">
        <v>66</v>
      </c>
      <c r="C24" s="34" t="s">
        <v>67</v>
      </c>
      <c r="D24" s="34" t="s">
        <v>68</v>
      </c>
      <c r="E24" s="34" t="s">
        <v>69</v>
      </c>
      <c r="F24" s="34" t="s">
        <v>70</v>
      </c>
    </row>
    <row r="25" spans="2:6">
      <c r="B25" s="28" t="s">
        <v>89</v>
      </c>
      <c r="C25" s="28" t="s">
        <v>90</v>
      </c>
      <c r="D25" s="28" t="s">
        <v>91</v>
      </c>
      <c r="E25" s="35">
        <v>0.386</v>
      </c>
      <c r="F25" s="36" t="s">
        <v>92</v>
      </c>
    </row>
    <row r="26" spans="2:6">
      <c r="B26" s="28" t="s">
        <v>93</v>
      </c>
      <c r="C26" s="28" t="s">
        <v>94</v>
      </c>
      <c r="D26" s="28" t="s">
        <v>95</v>
      </c>
      <c r="E26" s="35">
        <v>5.306</v>
      </c>
      <c r="F26" s="36" t="s">
        <v>96</v>
      </c>
    </row>
    <row r="27" spans="2:6">
      <c r="B27" s="28" t="s">
        <v>97</v>
      </c>
      <c r="C27" s="28" t="s">
        <v>94</v>
      </c>
      <c r="D27" s="28" t="s">
        <v>98</v>
      </c>
      <c r="E27" s="35">
        <v>10.21</v>
      </c>
      <c r="F27" s="36" t="s">
        <v>99</v>
      </c>
    </row>
    <row r="28" spans="2:6">
      <c r="B28" s="28" t="s">
        <v>100</v>
      </c>
      <c r="C28" s="28" t="s">
        <v>94</v>
      </c>
      <c r="D28" s="28" t="s">
        <v>98</v>
      </c>
      <c r="E28" s="35">
        <v>8.779999999999999</v>
      </c>
      <c r="F28" s="36" t="s">
        <v>101</v>
      </c>
    </row>
    <row r="29" spans="2:6">
      <c r="B29" s="28" t="s">
        <v>102</v>
      </c>
      <c r="C29" s="28" t="s">
        <v>94</v>
      </c>
      <c r="D29" s="28" t="s">
        <v>103</v>
      </c>
      <c r="E29" s="35">
        <v>2088</v>
      </c>
      <c r="F29" s="36" t="s">
        <v>104</v>
      </c>
    </row>
  </sheetData>
  <mergeCells count="10">
    <mergeCell ref="A1:F1"/>
    <mergeCell ref="B2:E2"/>
    <mergeCell ref="B4:F4"/>
    <mergeCell ref="C6:D6"/>
    <mergeCell ref="C8:D8"/>
    <mergeCell ref="B10:F10"/>
    <mergeCell ref="B18:F18"/>
    <mergeCell ref="B20:F20"/>
    <mergeCell ref="B22:F22"/>
    <mergeCell ref="B23:F23"/>
  </mergeCells>
  <dataValidations count="12">
    <dataValidation type="textLength" allowBlank="1" showInputMessage="1" showErrorMessage="1" errorTitle="Check this entry" error="Text up to 80 characters." promptTitle="Plant or site name" prompt="Shown on the Dashboard header. Text up to 80 characters." sqref="C6">
      <formula1>0</formula1>
      <formula2>80</formula2>
    </dataValidation>
    <dataValidation type="whole" allowBlank="1" showInputMessage="1" showErrorMessage="1" errorTitle="Check this entry" error="Enter a whole number from 2,000 to 2,100." promptTitle="Reporting year" prompt="The calendar year the Dashboard reports. The logs can hold other years. Enter a whole number from 2,000 to 2,100." sqref="C7">
      <formula1>2000</formula1>
      <formula2>2100</formula2>
    </dataValidation>
    <dataValidation type="textLength" allowBlank="1" showInputMessage="1" showErrorMessage="1" errorTitle="Check this entry" error="Text up to 20 characters." promptTitle="Output unit" prompt="What you count output in: t product, units, parts, m2. Intensity is kg CO2e per this unit. Text up to 20 characters." sqref="C8">
      <formula1>0</formula1>
      <formula2>20</formula2>
    </dataValidation>
    <dataValidation type="whole" allowBlank="1" showInputMessage="1" showErrorMessage="1" errorTitle="Check this entry" error="Enter a whole number from 1,990 to 2,100." promptTitle="Baseline year" prompt="The year your reduction target is measured from. Enter a whole number from 1,990 to 2,100." sqref="C12">
      <formula1>1990</formula1>
      <formula2>2100</formula2>
    </dataValidation>
    <dataValidation type="decimal" allowBlank="1" showInputMessage="1" showErrorMessage="1" errorTitle="Check this entry" error="Enter a number of at least 0." promptTitle="Baseline emissions (Scope 1 a..." prompt="Total for the baseline year, from your earlier inventory, on the same sources and factors basis. Enter a number of at least 0." sqref="C13">
      <formula1>0</formula1>
      <formula2>1000000000.0</formula2>
    </dataValidation>
    <dataValidation type="decimal" allowBlank="1" showInputMessage="1" showErrorMessage="1" errorTitle="Check this entry" error="Enter a percentage from 0% to 100% (type 85% or 0.85)." promptTitle="Reduction target vs baseline" prompt="Your own commitment, e.g. 15% below the baseline by the reporting year. Enter a percentage from 0% to 100% (type 85% or 0.85)." sqref="C14">
      <formula1>0</formula1>
      <formula2>1</formula2>
    </dataValidation>
    <dataValidation type="decimal" allowBlank="1" showInputMessage="1" showErrorMessage="1" errorTitle="Check this entry" error="Enter a number of at least 0." promptTitle="Intensity target" prompt="Your own target for kg CO2e per unit of output. Enter a number of at least 0." sqref="C16">
      <formula1>0</formula1>
      <formula2>1000000000.0</formula2>
    </dataValidation>
    <dataValidation type="textLength" allowBlank="1" showInputMessage="1" showErrorMessage="1" errorTitle="Check this entry" error="Text up to 60 characters." promptTitle="Source" prompt="Text up to 60 characters." sqref="B25:B129">
      <formula1>0</formula1>
      <formula2>60</formula2>
    </dataValidation>
    <dataValidation type="list" allowBlank="1" showInputMessage="1" showErrorMessage="1" errorTitle="Check this entry" error="Pick one of: Scope 1, Scope 2." promptTitle="Scope" prompt="Scope 1: fuel burned and refrigerant lost on site. Scope 2: purchased electricity, steam, heat or cooling. Pick one of: Scope 1, Scope 2." sqref="C25:C129">
      <formula1>"Scope 1,Scope 2"</formula1>
    </dataValidation>
    <dataValidation type="textLength" allowBlank="1" showInputMessage="1" showErrorMessage="1" errorTitle="Check this entry" error="Text up to 20 characters." promptTitle="Activity unit" prompt="The unit you log quantities in: kWh, therm, m3, litre, US gal, kg. Text up to 20 characters." sqref="D25:D129">
      <formula1>0</formula1>
      <formula2>20</formula2>
    </dataValidation>
    <dataValidation type="decimal" allowBlank="1" showInputMessage="1" showErrorMessage="1" errorTitle="Check this entry" error="Enter a number from 0 to 1,000,000." promptTitle="Factor (kg CO2e/unit)" prompt="kg CO2e per activity unit, from your factor source. Enter a number from 0 to 1,000,000." sqref="E25:E129">
      <formula1>0</formula1>
      <formula2>1000000</formula2>
    </dataValidation>
    <dataValidation type="textLength" allowBlank="1" showInputMessage="1" showErrorMessage="1" errorTitle="Check this entry" error="Text up to 255 characters." promptTitle="Factor source" prompt="Where the factor came from: publication, table, edition and year, so a reviewer can check it. Text up to 255 characters." sqref="F25:F129">
      <formula1>0</formula1>
      <formula2>255</formula2>
    </dataValidation>
  </dataValidations>
  <hyperlinks>
    <hyperlink ref="F2" r:id="rId1" tooltip="Free manufacturing calculators and templates"/>
  </hyperlinks>
  <pageMargins left="0.4" right="0.4" top="0.7" bottom="0.65" header="0.3" footer="0.3"/>
  <pageSetup fitToHeight="0" orientation="landscape"/>
  <headerFooter>
    <oddHeader>&amp;L&amp;8MFG Calcs - Carbon Emissions Tracker&amp;R&amp;8&amp;A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K55"/>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12.28515625" customWidth="1"/>
    <col min="3" max="3" width="18.7109375" customWidth="1"/>
    <col min="4" max="4" width="12.7109375" customWidth="1"/>
    <col min="5" max="6" width="8.7109375" customWidth="1"/>
    <col min="7" max="7" width="10.7109375" customWidth="1"/>
    <col min="8" max="8" width="12.7109375" customWidth="1"/>
    <col min="9" max="9" width="24.7109375" customWidth="1"/>
    <col min="10" max="10" width="20.7109375" customWidth="1"/>
    <col min="11" max="11" width="26.7109375" customWidth="1"/>
  </cols>
  <sheetData>
    <row r="1" spans="1:11" ht="30" customHeight="1" x14ac:dyDescent="0.25">
      <c r="A1" s="1" t="s">
        <v>0</v>
      </c>
      <c r="B1" s="1"/>
      <c r="C1" s="1"/>
      <c r="D1" s="1"/>
      <c r="E1" s="1"/>
      <c r="F1" s="1"/>
      <c r="G1" s="1"/>
      <c r="H1" s="1"/>
      <c r="I1" s="1"/>
      <c r="J1" s="1"/>
      <c r="K1" s="1"/>
    </row>
    <row r="2" spans="1:11" ht="21" customHeight="1" x14ac:dyDescent="0.25">
      <c r="B2" s="2" t="s">
        <v>22</v>
      </c>
      <c r="C2" s="2"/>
      <c r="D2" s="2"/>
      <c r="E2" s="2"/>
      <c r="F2" s="2"/>
      <c r="G2" s="2"/>
      <c r="H2" s="2"/>
      <c r="I2" s="2"/>
      <c r="J2" s="2"/>
      <c r="K2" s="3" t="s">
        <v>2</v>
      </c>
    </row>
    <row r="3" spans="1:11" ht="6" customHeight="1" x14ac:dyDescent="0.25"/>
    <row r="4" spans="1:11" ht="29.76" customHeight="1" x14ac:dyDescent="0.25">
      <c r="B4" s="37" t="s">
        <v>112</v>
      </c>
      <c r="C4" s="37"/>
      <c r="D4" s="37"/>
      <c r="E4" s="37"/>
      <c r="F4" s="37"/>
      <c r="G4" s="37"/>
      <c r="H4" s="37"/>
      <c r="I4" s="37"/>
      <c r="J4" s="37"/>
      <c r="K4" s="37"/>
    </row>
    <row r="5" spans="1:11" ht="32" customHeight="1" x14ac:dyDescent="0.25">
      <c r="B5" s="34" t="s">
        <v>105</v>
      </c>
      <c r="C5" s="34" t="s">
        <v>66</v>
      </c>
      <c r="D5" s="34" t="s">
        <v>106</v>
      </c>
      <c r="E5" s="34" t="s">
        <v>107</v>
      </c>
      <c r="F5" s="34" t="s">
        <v>67</v>
      </c>
      <c r="G5" s="34" t="s">
        <v>69</v>
      </c>
      <c r="H5" s="34" t="s">
        <v>108</v>
      </c>
      <c r="I5" s="34" t="s">
        <v>109</v>
      </c>
      <c r="J5" s="34" t="s">
        <v>110</v>
      </c>
      <c r="K5" s="34" t="s">
        <v>111</v>
      </c>
    </row>
    <row r="6" spans="1:11" x14ac:dyDescent="0.25">
      <c r="B6" s="38">
        <v>45658</v>
      </c>
      <c r="C6" s="28" t="s">
        <v>89</v>
      </c>
      <c r="D6" s="29">
        <v>888900</v>
      </c>
      <c r="E6" s="39" t="str">
        <f>IF(tblActivity[[#This Row],[Month]]="","",IFERROR(INDEX(tblSources[Activity unit],MATCH(tblActivity[[#This Row],[Source]],tblSources[Source],0)),""))</f>
        <v>kWh</v>
      </c>
      <c r="F6" s="39" t="str">
        <f>IF(tblActivity[[#This Row],[Month]]="","",IFERROR(INDEX(tblSources[Scope],MATCH(tblActivity[[#This Row],[Source]],tblSources[Source],0)),""))</f>
        <v>Scope 2</v>
      </c>
      <c r="G6" s="40">
        <f>IF(tblActivity[[#This Row],[Month]]="","",IFERROR(INDEX(tblSources[Factor (kg CO2e/unit)],MATCH(tblActivity[[#This Row],[Source]],tblSources[Source],0)),""))</f>
        <v>0.386</v>
      </c>
      <c r="H6" s="41">
        <f>IF(tblActivity[[#This Row],[Month]]="","",IF(AND(ISNUMBER(tblActivity[[#This Row],[Quantity]]),ISNUMBER(tblActivity[[#This Row],[Factor (kg CO2e/unit)]])),tblActivity[[#This Row],[Quantity]]*tblActivity[[#This Row],[Factor (kg CO2e/unit)]],""))</f>
        <v>343115.4</v>
      </c>
      <c r="I6"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6" s="28" t="s">
        <v>113</v>
      </c>
      <c r="K6" s="28" t="s">
        <v>114</v>
      </c>
    </row>
    <row r="7" spans="1:11" x14ac:dyDescent="0.25">
      <c r="B7" s="38">
        <v>45658</v>
      </c>
      <c r="C7" s="28" t="s">
        <v>93</v>
      </c>
      <c r="D7" s="29">
        <v>8660</v>
      </c>
      <c r="E7" s="39" t="str">
        <f>IF(tblActivity[[#This Row],[Month]]="","",IFERROR(INDEX(tblSources[Activity unit],MATCH(tblActivity[[#This Row],[Source]],tblSources[Source],0)),""))</f>
        <v>therm</v>
      </c>
      <c r="F7" s="39" t="str">
        <f>IF(tblActivity[[#This Row],[Month]]="","",IFERROR(INDEX(tblSources[Scope],MATCH(tblActivity[[#This Row],[Source]],tblSources[Source],0)),""))</f>
        <v>Scope 1</v>
      </c>
      <c r="G7" s="40">
        <f>IF(tblActivity[[#This Row],[Month]]="","",IFERROR(INDEX(tblSources[Factor (kg CO2e/unit)],MATCH(tblActivity[[#This Row],[Source]],tblSources[Source],0)),""))</f>
        <v>5.306</v>
      </c>
      <c r="H7" s="41">
        <f>IF(tblActivity[[#This Row],[Month]]="","",IF(AND(ISNUMBER(tblActivity[[#This Row],[Quantity]]),ISNUMBER(tblActivity[[#This Row],[Factor (kg CO2e/unit)]])),tblActivity[[#This Row],[Quantity]]*tblActivity[[#This Row],[Factor (kg CO2e/unit)]],""))</f>
        <v>45949.96</v>
      </c>
      <c r="I7"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7" s="28" t="s">
        <v>115</v>
      </c>
      <c r="K7" s="28" t="s">
        <v>114</v>
      </c>
    </row>
    <row r="8" spans="1:11" x14ac:dyDescent="0.25">
      <c r="B8" s="38">
        <v>45658</v>
      </c>
      <c r="C8" s="28" t="s">
        <v>97</v>
      </c>
      <c r="D8" s="29">
        <v>382</v>
      </c>
      <c r="E8" s="39" t="str">
        <f>IF(tblActivity[[#This Row],[Month]]="","",IFERROR(INDEX(tblSources[Activity unit],MATCH(tblActivity[[#This Row],[Source]],tblSources[Source],0)),""))</f>
        <v>US gal</v>
      </c>
      <c r="F8" s="39" t="str">
        <f>IF(tblActivity[[#This Row],[Month]]="","",IFERROR(INDEX(tblSources[Scope],MATCH(tblActivity[[#This Row],[Source]],tblSources[Source],0)),""))</f>
        <v>Scope 1</v>
      </c>
      <c r="G8" s="40">
        <f>IF(tblActivity[[#This Row],[Month]]="","",IFERROR(INDEX(tblSources[Factor (kg CO2e/unit)],MATCH(tblActivity[[#This Row],[Source]],tblSources[Source],0)),""))</f>
        <v>10.21</v>
      </c>
      <c r="H8" s="41">
        <f>IF(tblActivity[[#This Row],[Month]]="","",IF(AND(ISNUMBER(tblActivity[[#This Row],[Quantity]]),ISNUMBER(tblActivity[[#This Row],[Factor (kg CO2e/unit)]])),tblActivity[[#This Row],[Quantity]]*tblActivity[[#This Row],[Factor (kg CO2e/unit)]],""))</f>
        <v>3900.22</v>
      </c>
      <c r="I8"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8" s="28" t="s">
        <v>116</v>
      </c>
      <c r="K8" s="28" t="s">
        <v>114</v>
      </c>
    </row>
    <row r="9" spans="1:11" x14ac:dyDescent="0.25">
      <c r="B9" s="38">
        <v>45658</v>
      </c>
      <c r="C9" s="28" t="s">
        <v>100</v>
      </c>
      <c r="D9" s="29">
        <v>131</v>
      </c>
      <c r="E9" s="39" t="str">
        <f>IF(tblActivity[[#This Row],[Month]]="","",IFERROR(INDEX(tblSources[Activity unit],MATCH(tblActivity[[#This Row],[Source]],tblSources[Source],0)),""))</f>
        <v>US gal</v>
      </c>
      <c r="F9" s="39" t="str">
        <f>IF(tblActivity[[#This Row],[Month]]="","",IFERROR(INDEX(tblSources[Scope],MATCH(tblActivity[[#This Row],[Source]],tblSources[Source],0)),""))</f>
        <v>Scope 1</v>
      </c>
      <c r="G9" s="40">
        <f>IF(tblActivity[[#This Row],[Month]]="","",IFERROR(INDEX(tblSources[Factor (kg CO2e/unit)],MATCH(tblActivity[[#This Row],[Source]],tblSources[Source],0)),""))</f>
        <v>8.78</v>
      </c>
      <c r="H9" s="41">
        <f>IF(tblActivity[[#This Row],[Month]]="","",IF(AND(ISNUMBER(tblActivity[[#This Row],[Quantity]]),ISNUMBER(tblActivity[[#This Row],[Factor (kg CO2e/unit)]])),tblActivity[[#This Row],[Quantity]]*tblActivity[[#This Row],[Factor (kg CO2e/unit)]],""))</f>
        <v>1150.18</v>
      </c>
      <c r="I9"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9" s="28" t="s">
        <v>117</v>
      </c>
      <c r="K9" s="28" t="s">
        <v>114</v>
      </c>
    </row>
    <row r="10" spans="1:11" x14ac:dyDescent="0.25">
      <c r="B10" s="38">
        <v>45689</v>
      </c>
      <c r="C10" s="28" t="s">
        <v>89</v>
      </c>
      <c r="D10" s="29">
        <v>870700</v>
      </c>
      <c r="E10" s="39" t="str">
        <f>IF(tblActivity[[#This Row],[Month]]="","",IFERROR(INDEX(tblSources[Activity unit],MATCH(tblActivity[[#This Row],[Source]],tblSources[Source],0)),""))</f>
        <v>kWh</v>
      </c>
      <c r="F10" s="39" t="str">
        <f>IF(tblActivity[[#This Row],[Month]]="","",IFERROR(INDEX(tblSources[Scope],MATCH(tblActivity[[#This Row],[Source]],tblSources[Source],0)),""))</f>
        <v>Scope 2</v>
      </c>
      <c r="G10" s="40">
        <f>IF(tblActivity[[#This Row],[Month]]="","",IFERROR(INDEX(tblSources[Factor (kg CO2e/unit)],MATCH(tblActivity[[#This Row],[Source]],tblSources[Source],0)),""))</f>
        <v>0.386</v>
      </c>
      <c r="H10" s="41">
        <f>IF(tblActivity[[#This Row],[Month]]="","",IF(AND(ISNUMBER(tblActivity[[#This Row],[Quantity]]),ISNUMBER(tblActivity[[#This Row],[Factor (kg CO2e/unit)]])),tblActivity[[#This Row],[Quantity]]*tblActivity[[#This Row],[Factor (kg CO2e/unit)]],""))</f>
        <v>336090.2</v>
      </c>
      <c r="I10"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0" s="28" t="s">
        <v>118</v>
      </c>
      <c r="K10" s="28" t="s">
        <v>114</v>
      </c>
    </row>
    <row r="11" spans="1:11" x14ac:dyDescent="0.25">
      <c r="B11" s="38">
        <v>45689</v>
      </c>
      <c r="C11" s="28" t="s">
        <v>93</v>
      </c>
      <c r="D11" s="29">
        <v>8450</v>
      </c>
      <c r="E11" s="39" t="str">
        <f>IF(tblActivity[[#This Row],[Month]]="","",IFERROR(INDEX(tblSources[Activity unit],MATCH(tblActivity[[#This Row],[Source]],tblSources[Source],0)),""))</f>
        <v>therm</v>
      </c>
      <c r="F11" s="39" t="str">
        <f>IF(tblActivity[[#This Row],[Month]]="","",IFERROR(INDEX(tblSources[Scope],MATCH(tblActivity[[#This Row],[Source]],tblSources[Source],0)),""))</f>
        <v>Scope 1</v>
      </c>
      <c r="G11" s="40">
        <f>IF(tblActivity[[#This Row],[Month]]="","",IFERROR(INDEX(tblSources[Factor (kg CO2e/unit)],MATCH(tblActivity[[#This Row],[Source]],tblSources[Source],0)),""))</f>
        <v>5.306</v>
      </c>
      <c r="H11" s="41">
        <f>IF(tblActivity[[#This Row],[Month]]="","",IF(AND(ISNUMBER(tblActivity[[#This Row],[Quantity]]),ISNUMBER(tblActivity[[#This Row],[Factor (kg CO2e/unit)]])),tblActivity[[#This Row],[Quantity]]*tblActivity[[#This Row],[Factor (kg CO2e/unit)]],""))</f>
        <v>44835.7</v>
      </c>
      <c r="I11"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1" s="28" t="s">
        <v>119</v>
      </c>
      <c r="K11" s="28" t="s">
        <v>114</v>
      </c>
    </row>
    <row r="12" spans="1:11" x14ac:dyDescent="0.25">
      <c r="B12" s="38">
        <v>45689</v>
      </c>
      <c r="C12" s="28" t="s">
        <v>97</v>
      </c>
      <c r="D12" s="29">
        <v>565</v>
      </c>
      <c r="E12" s="39" t="str">
        <f>IF(tblActivity[[#This Row],[Month]]="","",IFERROR(INDEX(tblSources[Activity unit],MATCH(tblActivity[[#This Row],[Source]],tblSources[Source],0)),""))</f>
        <v>US gal</v>
      </c>
      <c r="F12" s="39" t="str">
        <f>IF(tblActivity[[#This Row],[Month]]="","",IFERROR(INDEX(tblSources[Scope],MATCH(tblActivity[[#This Row],[Source]],tblSources[Source],0)),""))</f>
        <v>Scope 1</v>
      </c>
      <c r="G12" s="40">
        <f>IF(tblActivity[[#This Row],[Month]]="","",IFERROR(INDEX(tblSources[Factor (kg CO2e/unit)],MATCH(tblActivity[[#This Row],[Source]],tblSources[Source],0)),""))</f>
        <v>10.21</v>
      </c>
      <c r="H12" s="41">
        <f>IF(tblActivity[[#This Row],[Month]]="","",IF(AND(ISNUMBER(tblActivity[[#This Row],[Quantity]]),ISNUMBER(tblActivity[[#This Row],[Factor (kg CO2e/unit)]])),tblActivity[[#This Row],[Quantity]]*tblActivity[[#This Row],[Factor (kg CO2e/unit)]],""))</f>
        <v>5768.65</v>
      </c>
      <c r="I12"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2" s="28" t="s">
        <v>116</v>
      </c>
      <c r="K12" s="28" t="s">
        <v>120</v>
      </c>
    </row>
    <row r="13" spans="1:11" x14ac:dyDescent="0.25">
      <c r="B13" s="38">
        <v>45689</v>
      </c>
      <c r="C13" s="28" t="s">
        <v>100</v>
      </c>
      <c r="D13" s="29">
        <v>154</v>
      </c>
      <c r="E13" s="39" t="str">
        <f>IF(tblActivity[[#This Row],[Month]]="","",IFERROR(INDEX(tblSources[Activity unit],MATCH(tblActivity[[#This Row],[Source]],tblSources[Source],0)),""))</f>
        <v>US gal</v>
      </c>
      <c r="F13" s="39" t="str">
        <f>IF(tblActivity[[#This Row],[Month]]="","",IFERROR(INDEX(tblSources[Scope],MATCH(tblActivity[[#This Row],[Source]],tblSources[Source],0)),""))</f>
        <v>Scope 1</v>
      </c>
      <c r="G13" s="40">
        <f>IF(tblActivity[[#This Row],[Month]]="","",IFERROR(INDEX(tblSources[Factor (kg CO2e/unit)],MATCH(tblActivity[[#This Row],[Source]],tblSources[Source],0)),""))</f>
        <v>8.78</v>
      </c>
      <c r="H13" s="41">
        <f>IF(tblActivity[[#This Row],[Month]]="","",IF(AND(ISNUMBER(tblActivity[[#This Row],[Quantity]]),ISNUMBER(tblActivity[[#This Row],[Factor (kg CO2e/unit)]])),tblActivity[[#This Row],[Quantity]]*tblActivity[[#This Row],[Factor (kg CO2e/unit)]],""))</f>
        <v>1352.12</v>
      </c>
      <c r="I13"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3" s="28" t="s">
        <v>117</v>
      </c>
      <c r="K13" s="28" t="s">
        <v>114</v>
      </c>
    </row>
    <row r="14" spans="1:11" x14ac:dyDescent="0.25">
      <c r="B14" s="38">
        <v>45717</v>
      </c>
      <c r="C14" s="28" t="s">
        <v>89</v>
      </c>
      <c r="D14" s="29">
        <v>837200</v>
      </c>
      <c r="E14" s="39" t="str">
        <f>IF(tblActivity[[#This Row],[Month]]="","",IFERROR(INDEX(tblSources[Activity unit],MATCH(tblActivity[[#This Row],[Source]],tblSources[Source],0)),""))</f>
        <v>kWh</v>
      </c>
      <c r="F14" s="39" t="str">
        <f>IF(tblActivity[[#This Row],[Month]]="","",IFERROR(INDEX(tblSources[Scope],MATCH(tblActivity[[#This Row],[Source]],tblSources[Source],0)),""))</f>
        <v>Scope 2</v>
      </c>
      <c r="G14" s="40">
        <f>IF(tblActivity[[#This Row],[Month]]="","",IFERROR(INDEX(tblSources[Factor (kg CO2e/unit)],MATCH(tblActivity[[#This Row],[Source]],tblSources[Source],0)),""))</f>
        <v>0.386</v>
      </c>
      <c r="H14" s="41">
        <f>IF(tblActivity[[#This Row],[Month]]="","",IF(AND(ISNUMBER(tblActivity[[#This Row],[Quantity]]),ISNUMBER(tblActivity[[#This Row],[Factor (kg CO2e/unit)]])),tblActivity[[#This Row],[Quantity]]*tblActivity[[#This Row],[Factor (kg CO2e/unit)]],""))</f>
        <v>323159.2</v>
      </c>
      <c r="I14"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4" s="28" t="s">
        <v>121</v>
      </c>
      <c r="K14" s="28" t="s">
        <v>114</v>
      </c>
    </row>
    <row r="15" spans="1:11" x14ac:dyDescent="0.25">
      <c r="B15" s="38">
        <v>45717</v>
      </c>
      <c r="C15" s="28" t="s">
        <v>93</v>
      </c>
      <c r="D15" s="29">
        <v>6570</v>
      </c>
      <c r="E15" s="39" t="str">
        <f>IF(tblActivity[[#This Row],[Month]]="","",IFERROR(INDEX(tblSources[Activity unit],MATCH(tblActivity[[#This Row],[Source]],tblSources[Source],0)),""))</f>
        <v>therm</v>
      </c>
      <c r="F15" s="39" t="str">
        <f>IF(tblActivity[[#This Row],[Month]]="","",IFERROR(INDEX(tblSources[Scope],MATCH(tblActivity[[#This Row],[Source]],tblSources[Source],0)),""))</f>
        <v>Scope 1</v>
      </c>
      <c r="G15" s="40">
        <f>IF(tblActivity[[#This Row],[Month]]="","",IFERROR(INDEX(tblSources[Factor (kg CO2e/unit)],MATCH(tblActivity[[#This Row],[Source]],tblSources[Source],0)),""))</f>
        <v>5.306</v>
      </c>
      <c r="H15" s="41">
        <f>IF(tblActivity[[#This Row],[Month]]="","",IF(AND(ISNUMBER(tblActivity[[#This Row],[Quantity]]),ISNUMBER(tblActivity[[#This Row],[Factor (kg CO2e/unit)]])),tblActivity[[#This Row],[Quantity]]*tblActivity[[#This Row],[Factor (kg CO2e/unit)]],""))</f>
        <v>34860.42</v>
      </c>
      <c r="I15"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5" s="28" t="s">
        <v>122</v>
      </c>
      <c r="K15" s="28" t="s">
        <v>114</v>
      </c>
    </row>
    <row r="16" spans="1:11" x14ac:dyDescent="0.25">
      <c r="B16" s="38">
        <v>45717</v>
      </c>
      <c r="C16" s="28" t="s">
        <v>97</v>
      </c>
      <c r="D16" s="29">
        <v>384</v>
      </c>
      <c r="E16" s="39" t="str">
        <f>IF(tblActivity[[#This Row],[Month]]="","",IFERROR(INDEX(tblSources[Activity unit],MATCH(tblActivity[[#This Row],[Source]],tblSources[Source],0)),""))</f>
        <v>US gal</v>
      </c>
      <c r="F16" s="39" t="str">
        <f>IF(tblActivity[[#This Row],[Month]]="","",IFERROR(INDEX(tblSources[Scope],MATCH(tblActivity[[#This Row],[Source]],tblSources[Source],0)),""))</f>
        <v>Scope 1</v>
      </c>
      <c r="G16" s="40">
        <f>IF(tblActivity[[#This Row],[Month]]="","",IFERROR(INDEX(tblSources[Factor (kg CO2e/unit)],MATCH(tblActivity[[#This Row],[Source]],tblSources[Source],0)),""))</f>
        <v>10.21</v>
      </c>
      <c r="H16" s="41">
        <f>IF(tblActivity[[#This Row],[Month]]="","",IF(AND(ISNUMBER(tblActivity[[#This Row],[Quantity]]),ISNUMBER(tblActivity[[#This Row],[Factor (kg CO2e/unit)]])),tblActivity[[#This Row],[Quantity]]*tblActivity[[#This Row],[Factor (kg CO2e/unit)]],""))</f>
        <v>3920.64</v>
      </c>
      <c r="I16"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6" s="28" t="s">
        <v>116</v>
      </c>
      <c r="K16" s="28" t="s">
        <v>114</v>
      </c>
    </row>
    <row r="17" spans="2:11" x14ac:dyDescent="0.25">
      <c r="B17" s="38">
        <v>45717</v>
      </c>
      <c r="C17" s="28" t="s">
        <v>100</v>
      </c>
      <c r="D17" s="29">
        <v>139</v>
      </c>
      <c r="E17" s="39" t="str">
        <f>IF(tblActivity[[#This Row],[Month]]="","",IFERROR(INDEX(tblSources[Activity unit],MATCH(tblActivity[[#This Row],[Source]],tblSources[Source],0)),""))</f>
        <v>US gal</v>
      </c>
      <c r="F17" s="39" t="str">
        <f>IF(tblActivity[[#This Row],[Month]]="","",IFERROR(INDEX(tblSources[Scope],MATCH(tblActivity[[#This Row],[Source]],tblSources[Source],0)),""))</f>
        <v>Scope 1</v>
      </c>
      <c r="G17" s="40">
        <f>IF(tblActivity[[#This Row],[Month]]="","",IFERROR(INDEX(tblSources[Factor (kg CO2e/unit)],MATCH(tblActivity[[#This Row],[Source]],tblSources[Source],0)),""))</f>
        <v>8.78</v>
      </c>
      <c r="H17" s="41">
        <f>IF(tblActivity[[#This Row],[Month]]="","",IF(AND(ISNUMBER(tblActivity[[#This Row],[Quantity]]),ISNUMBER(tblActivity[[#This Row],[Factor (kg CO2e/unit)]])),tblActivity[[#This Row],[Quantity]]*tblActivity[[#This Row],[Factor (kg CO2e/unit)]],""))</f>
        <v>1220.42</v>
      </c>
      <c r="I17"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7" s="28" t="s">
        <v>117</v>
      </c>
      <c r="K17" s="28" t="s">
        <v>114</v>
      </c>
    </row>
    <row r="18" spans="2:11" x14ac:dyDescent="0.25">
      <c r="B18" s="38">
        <v>45717</v>
      </c>
      <c r="C18" s="28" t="s">
        <v>102</v>
      </c>
      <c r="D18" s="29">
        <v>4.5</v>
      </c>
      <c r="E18" s="39" t="str">
        <f>IF(tblActivity[[#This Row],[Month]]="","",IFERROR(INDEX(tblSources[Activity unit],MATCH(tblActivity[[#This Row],[Source]],tblSources[Source],0)),""))</f>
        <v>kg</v>
      </c>
      <c r="F18" s="39" t="str">
        <f>IF(tblActivity[[#This Row],[Month]]="","",IFERROR(INDEX(tblSources[Scope],MATCH(tblActivity[[#This Row],[Source]],tblSources[Source],0)),""))</f>
        <v>Scope 1</v>
      </c>
      <c r="G18" s="40">
        <f>IF(tblActivity[[#This Row],[Month]]="","",IFERROR(INDEX(tblSources[Factor (kg CO2e/unit)],MATCH(tblActivity[[#This Row],[Source]],tblSources[Source],0)),""))</f>
        <v>2088</v>
      </c>
      <c r="H18" s="41">
        <f>IF(tblActivity[[#This Row],[Month]]="","",IF(AND(ISNUMBER(tblActivity[[#This Row],[Quantity]]),ISNUMBER(tblActivity[[#This Row],[Factor (kg CO2e/unit)]])),tblActivity[[#This Row],[Quantity]]*tblActivity[[#This Row],[Factor (kg CO2e/unit)]],""))</f>
        <v>9396</v>
      </c>
      <c r="I18"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8" s="28" t="s">
        <v>123</v>
      </c>
      <c r="K18" s="28" t="s">
        <v>124</v>
      </c>
    </row>
    <row r="19" spans="2:11" x14ac:dyDescent="0.25">
      <c r="B19" s="38">
        <v>45748</v>
      </c>
      <c r="C19" s="28" t="s">
        <v>89</v>
      </c>
      <c r="D19" s="29">
        <v>843500</v>
      </c>
      <c r="E19" s="39" t="str">
        <f>IF(tblActivity[[#This Row],[Month]]="","",IFERROR(INDEX(tblSources[Activity unit],MATCH(tblActivity[[#This Row],[Source]],tblSources[Source],0)),""))</f>
        <v>kWh</v>
      </c>
      <c r="F19" s="39" t="str">
        <f>IF(tblActivity[[#This Row],[Month]]="","",IFERROR(INDEX(tblSources[Scope],MATCH(tblActivity[[#This Row],[Source]],tblSources[Source],0)),""))</f>
        <v>Scope 2</v>
      </c>
      <c r="G19" s="40">
        <f>IF(tblActivity[[#This Row],[Month]]="","",IFERROR(INDEX(tblSources[Factor (kg CO2e/unit)],MATCH(tblActivity[[#This Row],[Source]],tblSources[Source],0)),""))</f>
        <v>0.386</v>
      </c>
      <c r="H19" s="41">
        <f>IF(tblActivity[[#This Row],[Month]]="","",IF(AND(ISNUMBER(tblActivity[[#This Row],[Quantity]]),ISNUMBER(tblActivity[[#This Row],[Factor (kg CO2e/unit)]])),tblActivity[[#This Row],[Quantity]]*tblActivity[[#This Row],[Factor (kg CO2e/unit)]],""))</f>
        <v>325591</v>
      </c>
      <c r="I19"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19" s="28" t="s">
        <v>125</v>
      </c>
      <c r="K19" s="28" t="s">
        <v>114</v>
      </c>
    </row>
    <row r="20" spans="2:11" x14ac:dyDescent="0.25">
      <c r="B20" s="38">
        <v>45748</v>
      </c>
      <c r="C20" s="28" t="s">
        <v>93</v>
      </c>
      <c r="D20" s="29">
        <v>4160</v>
      </c>
      <c r="E20" s="39" t="str">
        <f>IF(tblActivity[[#This Row],[Month]]="","",IFERROR(INDEX(tblSources[Activity unit],MATCH(tblActivity[[#This Row],[Source]],tblSources[Source],0)),""))</f>
        <v>therm</v>
      </c>
      <c r="F20" s="39" t="str">
        <f>IF(tblActivity[[#This Row],[Month]]="","",IFERROR(INDEX(tblSources[Scope],MATCH(tblActivity[[#This Row],[Source]],tblSources[Source],0)),""))</f>
        <v>Scope 1</v>
      </c>
      <c r="G20" s="40">
        <f>IF(tblActivity[[#This Row],[Month]]="","",IFERROR(INDEX(tblSources[Factor (kg CO2e/unit)],MATCH(tblActivity[[#This Row],[Source]],tblSources[Source],0)),""))</f>
        <v>5.306</v>
      </c>
      <c r="H20" s="41">
        <f>IF(tblActivity[[#This Row],[Month]]="","",IF(AND(ISNUMBER(tblActivity[[#This Row],[Quantity]]),ISNUMBER(tblActivity[[#This Row],[Factor (kg CO2e/unit)]])),tblActivity[[#This Row],[Quantity]]*tblActivity[[#This Row],[Factor (kg CO2e/unit)]],""))</f>
        <v>22072.96</v>
      </c>
      <c r="I20"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0" s="28" t="s">
        <v>126</v>
      </c>
      <c r="K20" s="28" t="s">
        <v>114</v>
      </c>
    </row>
    <row r="21" spans="2:11" x14ac:dyDescent="0.25">
      <c r="B21" s="38">
        <v>45748</v>
      </c>
      <c r="C21" s="28" t="s">
        <v>97</v>
      </c>
      <c r="D21" s="29">
        <v>374</v>
      </c>
      <c r="E21" s="39" t="str">
        <f>IF(tblActivity[[#This Row],[Month]]="","",IFERROR(INDEX(tblSources[Activity unit],MATCH(tblActivity[[#This Row],[Source]],tblSources[Source],0)),""))</f>
        <v>US gal</v>
      </c>
      <c r="F21" s="39" t="str">
        <f>IF(tblActivity[[#This Row],[Month]]="","",IFERROR(INDEX(tblSources[Scope],MATCH(tblActivity[[#This Row],[Source]],tblSources[Source],0)),""))</f>
        <v>Scope 1</v>
      </c>
      <c r="G21" s="40">
        <f>IF(tblActivity[[#This Row],[Month]]="","",IFERROR(INDEX(tblSources[Factor (kg CO2e/unit)],MATCH(tblActivity[[#This Row],[Source]],tblSources[Source],0)),""))</f>
        <v>10.21</v>
      </c>
      <c r="H21" s="41">
        <f>IF(tblActivity[[#This Row],[Month]]="","",IF(AND(ISNUMBER(tblActivity[[#This Row],[Quantity]]),ISNUMBER(tblActivity[[#This Row],[Factor (kg CO2e/unit)]])),tblActivity[[#This Row],[Quantity]]*tblActivity[[#This Row],[Factor (kg CO2e/unit)]],""))</f>
        <v>3818.54</v>
      </c>
      <c r="I21"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1" s="28" t="s">
        <v>116</v>
      </c>
      <c r="K21" s="28" t="s">
        <v>114</v>
      </c>
    </row>
    <row r="22" spans="2:11" x14ac:dyDescent="0.25">
      <c r="B22" s="38">
        <v>45748</v>
      </c>
      <c r="C22" s="28" t="s">
        <v>100</v>
      </c>
      <c r="D22" s="29">
        <v>164</v>
      </c>
      <c r="E22" s="39" t="str">
        <f>IF(tblActivity[[#This Row],[Month]]="","",IFERROR(INDEX(tblSources[Activity unit],MATCH(tblActivity[[#This Row],[Source]],tblSources[Source],0)),""))</f>
        <v>US gal</v>
      </c>
      <c r="F22" s="39" t="str">
        <f>IF(tblActivity[[#This Row],[Month]]="","",IFERROR(INDEX(tblSources[Scope],MATCH(tblActivity[[#This Row],[Source]],tblSources[Source],0)),""))</f>
        <v>Scope 1</v>
      </c>
      <c r="G22" s="40">
        <f>IF(tblActivity[[#This Row],[Month]]="","",IFERROR(INDEX(tblSources[Factor (kg CO2e/unit)],MATCH(tblActivity[[#This Row],[Source]],tblSources[Source],0)),""))</f>
        <v>8.78</v>
      </c>
      <c r="H22" s="41">
        <f>IF(tblActivity[[#This Row],[Month]]="","",IF(AND(ISNUMBER(tblActivity[[#This Row],[Quantity]]),ISNUMBER(tblActivity[[#This Row],[Factor (kg CO2e/unit)]])),tblActivity[[#This Row],[Quantity]]*tblActivity[[#This Row],[Factor (kg CO2e/unit)]],""))</f>
        <v>1439.92</v>
      </c>
      <c r="I22"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2" s="28" t="s">
        <v>117</v>
      </c>
      <c r="K22" s="28" t="s">
        <v>114</v>
      </c>
    </row>
    <row r="23" spans="2:11" x14ac:dyDescent="0.25">
      <c r="B23" s="38">
        <v>45778</v>
      </c>
      <c r="C23" s="28" t="s">
        <v>89</v>
      </c>
      <c r="D23" s="29">
        <v>827700</v>
      </c>
      <c r="E23" s="39" t="str">
        <f>IF(tblActivity[[#This Row],[Month]]="","",IFERROR(INDEX(tblSources[Activity unit],MATCH(tblActivity[[#This Row],[Source]],tblSources[Source],0)),""))</f>
        <v>kWh</v>
      </c>
      <c r="F23" s="39" t="str">
        <f>IF(tblActivity[[#This Row],[Month]]="","",IFERROR(INDEX(tblSources[Scope],MATCH(tblActivity[[#This Row],[Source]],tblSources[Source],0)),""))</f>
        <v>Scope 2</v>
      </c>
      <c r="G23" s="40">
        <f>IF(tblActivity[[#This Row],[Month]]="","",IFERROR(INDEX(tblSources[Factor (kg CO2e/unit)],MATCH(tblActivity[[#This Row],[Source]],tblSources[Source],0)),""))</f>
        <v>0.386</v>
      </c>
      <c r="H23" s="41">
        <f>IF(tblActivity[[#This Row],[Month]]="","",IF(AND(ISNUMBER(tblActivity[[#This Row],[Quantity]]),ISNUMBER(tblActivity[[#This Row],[Factor (kg CO2e/unit)]])),tblActivity[[#This Row],[Quantity]]*tblActivity[[#This Row],[Factor (kg CO2e/unit)]],""))</f>
        <v>319492.2</v>
      </c>
      <c r="I23"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3" s="28" t="s">
        <v>127</v>
      </c>
      <c r="K23" s="28" t="s">
        <v>114</v>
      </c>
    </row>
    <row r="24" spans="2:11" x14ac:dyDescent="0.25">
      <c r="B24" s="38">
        <v>45778</v>
      </c>
      <c r="C24" s="28" t="s">
        <v>93</v>
      </c>
      <c r="D24" s="29">
        <v>2210</v>
      </c>
      <c r="E24" s="39" t="str">
        <f>IF(tblActivity[[#This Row],[Month]]="","",IFERROR(INDEX(tblSources[Activity unit],MATCH(tblActivity[[#This Row],[Source]],tblSources[Source],0)),""))</f>
        <v>therm</v>
      </c>
      <c r="F24" s="39" t="str">
        <f>IF(tblActivity[[#This Row],[Month]]="","",IFERROR(INDEX(tblSources[Scope],MATCH(tblActivity[[#This Row],[Source]],tblSources[Source],0)),""))</f>
        <v>Scope 1</v>
      </c>
      <c r="G24" s="40">
        <f>IF(tblActivity[[#This Row],[Month]]="","",IFERROR(INDEX(tblSources[Factor (kg CO2e/unit)],MATCH(tblActivity[[#This Row],[Source]],tblSources[Source],0)),""))</f>
        <v>5.306</v>
      </c>
      <c r="H24" s="41">
        <f>IF(tblActivity[[#This Row],[Month]]="","",IF(AND(ISNUMBER(tblActivity[[#This Row],[Quantity]]),ISNUMBER(tblActivity[[#This Row],[Factor (kg CO2e/unit)]])),tblActivity[[#This Row],[Quantity]]*tblActivity[[#This Row],[Factor (kg CO2e/unit)]],""))</f>
        <v>11726.26</v>
      </c>
      <c r="I24"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4" s="28" t="s">
        <v>128</v>
      </c>
      <c r="K24" s="28" t="s">
        <v>114</v>
      </c>
    </row>
    <row r="25" spans="2:11" x14ac:dyDescent="0.25">
      <c r="B25" s="38">
        <v>45778</v>
      </c>
      <c r="C25" s="28" t="s">
        <v>97</v>
      </c>
      <c r="D25" s="29">
        <v>334</v>
      </c>
      <c r="E25" s="39" t="str">
        <f>IF(tblActivity[[#This Row],[Month]]="","",IFERROR(INDEX(tblSources[Activity unit],MATCH(tblActivity[[#This Row],[Source]],tblSources[Source],0)),""))</f>
        <v>US gal</v>
      </c>
      <c r="F25" s="39" t="str">
        <f>IF(tblActivity[[#This Row],[Month]]="","",IFERROR(INDEX(tblSources[Scope],MATCH(tblActivity[[#This Row],[Source]],tblSources[Source],0)),""))</f>
        <v>Scope 1</v>
      </c>
      <c r="G25" s="40">
        <f>IF(tblActivity[[#This Row],[Month]]="","",IFERROR(INDEX(tblSources[Factor (kg CO2e/unit)],MATCH(tblActivity[[#This Row],[Source]],tblSources[Source],0)),""))</f>
        <v>10.21</v>
      </c>
      <c r="H25" s="41">
        <f>IF(tblActivity[[#This Row],[Month]]="","",IF(AND(ISNUMBER(tblActivity[[#This Row],[Quantity]]),ISNUMBER(tblActivity[[#This Row],[Factor (kg CO2e/unit)]])),tblActivity[[#This Row],[Quantity]]*tblActivity[[#This Row],[Factor (kg CO2e/unit)]],""))</f>
        <v>3410.14</v>
      </c>
      <c r="I25"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5" s="28" t="s">
        <v>116</v>
      </c>
      <c r="K25" s="28" t="s">
        <v>114</v>
      </c>
    </row>
    <row r="26" spans="2:11" x14ac:dyDescent="0.25">
      <c r="B26" s="38">
        <v>45778</v>
      </c>
      <c r="C26" s="28" t="s">
        <v>100</v>
      </c>
      <c r="D26" s="29">
        <v>147</v>
      </c>
      <c r="E26" s="39" t="str">
        <f>IF(tblActivity[[#This Row],[Month]]="","",IFERROR(INDEX(tblSources[Activity unit],MATCH(tblActivity[[#This Row],[Source]],tblSources[Source],0)),""))</f>
        <v>US gal</v>
      </c>
      <c r="F26" s="39" t="str">
        <f>IF(tblActivity[[#This Row],[Month]]="","",IFERROR(INDEX(tblSources[Scope],MATCH(tblActivity[[#This Row],[Source]],tblSources[Source],0)),""))</f>
        <v>Scope 1</v>
      </c>
      <c r="G26" s="40">
        <f>IF(tblActivity[[#This Row],[Month]]="","",IFERROR(INDEX(tblSources[Factor (kg CO2e/unit)],MATCH(tblActivity[[#This Row],[Source]],tblSources[Source],0)),""))</f>
        <v>8.78</v>
      </c>
      <c r="H26" s="41">
        <f>IF(tblActivity[[#This Row],[Month]]="","",IF(AND(ISNUMBER(tblActivity[[#This Row],[Quantity]]),ISNUMBER(tblActivity[[#This Row],[Factor (kg CO2e/unit)]])),tblActivity[[#This Row],[Quantity]]*tblActivity[[#This Row],[Factor (kg CO2e/unit)]],""))</f>
        <v>1290.66</v>
      </c>
      <c r="I26"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6" s="28" t="s">
        <v>117</v>
      </c>
      <c r="K26" s="28" t="s">
        <v>114</v>
      </c>
    </row>
    <row r="27" spans="2:11" x14ac:dyDescent="0.25">
      <c r="B27" s="38">
        <v>45809</v>
      </c>
      <c r="C27" s="28" t="s">
        <v>89</v>
      </c>
      <c r="D27" s="29">
        <v>857500</v>
      </c>
      <c r="E27" s="39" t="str">
        <f>IF(tblActivity[[#This Row],[Month]]="","",IFERROR(INDEX(tblSources[Activity unit],MATCH(tblActivity[[#This Row],[Source]],tblSources[Source],0)),""))</f>
        <v>kWh</v>
      </c>
      <c r="F27" s="39" t="str">
        <f>IF(tblActivity[[#This Row],[Month]]="","",IFERROR(INDEX(tblSources[Scope],MATCH(tblActivity[[#This Row],[Source]],tblSources[Source],0)),""))</f>
        <v>Scope 2</v>
      </c>
      <c r="G27" s="40">
        <f>IF(tblActivity[[#This Row],[Month]]="","",IFERROR(INDEX(tblSources[Factor (kg CO2e/unit)],MATCH(tblActivity[[#This Row],[Source]],tblSources[Source],0)),""))</f>
        <v>0.386</v>
      </c>
      <c r="H27" s="41">
        <f>IF(tblActivity[[#This Row],[Month]]="","",IF(AND(ISNUMBER(tblActivity[[#This Row],[Quantity]]),ISNUMBER(tblActivity[[#This Row],[Factor (kg CO2e/unit)]])),tblActivity[[#This Row],[Quantity]]*tblActivity[[#This Row],[Factor (kg CO2e/unit)]],""))</f>
        <v>330995</v>
      </c>
      <c r="I27"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7" s="28" t="s">
        <v>129</v>
      </c>
      <c r="K27" s="28" t="s">
        <v>114</v>
      </c>
    </row>
    <row r="28" spans="2:11" x14ac:dyDescent="0.25">
      <c r="B28" s="38">
        <v>45809</v>
      </c>
      <c r="C28" s="28" t="s">
        <v>93</v>
      </c>
      <c r="D28" s="29">
        <v>1300</v>
      </c>
      <c r="E28" s="39" t="str">
        <f>IF(tblActivity[[#This Row],[Month]]="","",IFERROR(INDEX(tblSources[Activity unit],MATCH(tblActivity[[#This Row],[Source]],tblSources[Source],0)),""))</f>
        <v>therm</v>
      </c>
      <c r="F28" s="39" t="str">
        <f>IF(tblActivity[[#This Row],[Month]]="","",IFERROR(INDEX(tblSources[Scope],MATCH(tblActivity[[#This Row],[Source]],tblSources[Source],0)),""))</f>
        <v>Scope 1</v>
      </c>
      <c r="G28" s="40">
        <f>IF(tblActivity[[#This Row],[Month]]="","",IFERROR(INDEX(tblSources[Factor (kg CO2e/unit)],MATCH(tblActivity[[#This Row],[Source]],tblSources[Source],0)),""))</f>
        <v>5.306</v>
      </c>
      <c r="H28" s="41">
        <f>IF(tblActivity[[#This Row],[Month]]="","",IF(AND(ISNUMBER(tblActivity[[#This Row],[Quantity]]),ISNUMBER(tblActivity[[#This Row],[Factor (kg CO2e/unit)]])),tblActivity[[#This Row],[Quantity]]*tblActivity[[#This Row],[Factor (kg CO2e/unit)]],""))</f>
        <v>6897.8</v>
      </c>
      <c r="I28"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8" s="28" t="s">
        <v>130</v>
      </c>
      <c r="K28" s="28" t="s">
        <v>114</v>
      </c>
    </row>
    <row r="29" spans="2:11" x14ac:dyDescent="0.25">
      <c r="B29" s="38">
        <v>45809</v>
      </c>
      <c r="C29" s="28" t="s">
        <v>97</v>
      </c>
      <c r="D29" s="29">
        <v>412</v>
      </c>
      <c r="E29" s="39" t="str">
        <f>IF(tblActivity[[#This Row],[Month]]="","",IFERROR(INDEX(tblSources[Activity unit],MATCH(tblActivity[[#This Row],[Source]],tblSources[Source],0)),""))</f>
        <v>US gal</v>
      </c>
      <c r="F29" s="39" t="str">
        <f>IF(tblActivity[[#This Row],[Month]]="","",IFERROR(INDEX(tblSources[Scope],MATCH(tblActivity[[#This Row],[Source]],tblSources[Source],0)),""))</f>
        <v>Scope 1</v>
      </c>
      <c r="G29" s="40">
        <f>IF(tblActivity[[#This Row],[Month]]="","",IFERROR(INDEX(tblSources[Factor (kg CO2e/unit)],MATCH(tblActivity[[#This Row],[Source]],tblSources[Source],0)),""))</f>
        <v>10.21</v>
      </c>
      <c r="H29" s="41">
        <f>IF(tblActivity[[#This Row],[Month]]="","",IF(AND(ISNUMBER(tblActivity[[#This Row],[Quantity]]),ISNUMBER(tblActivity[[#This Row],[Factor (kg CO2e/unit)]])),tblActivity[[#This Row],[Quantity]]*tblActivity[[#This Row],[Factor (kg CO2e/unit)]],""))</f>
        <v>4206.52</v>
      </c>
      <c r="I29"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29" s="28" t="s">
        <v>116</v>
      </c>
      <c r="K29" s="28" t="s">
        <v>114</v>
      </c>
    </row>
    <row r="30" spans="2:11" x14ac:dyDescent="0.25">
      <c r="B30" s="38">
        <v>45809</v>
      </c>
      <c r="C30" s="28" t="s">
        <v>100</v>
      </c>
      <c r="D30" s="29">
        <v>174</v>
      </c>
      <c r="E30" s="39" t="str">
        <f>IF(tblActivity[[#This Row],[Month]]="","",IFERROR(INDEX(tblSources[Activity unit],MATCH(tblActivity[[#This Row],[Source]],tblSources[Source],0)),""))</f>
        <v>US gal</v>
      </c>
      <c r="F30" s="39" t="str">
        <f>IF(tblActivity[[#This Row],[Month]]="","",IFERROR(INDEX(tblSources[Scope],MATCH(tblActivity[[#This Row],[Source]],tblSources[Source],0)),""))</f>
        <v>Scope 1</v>
      </c>
      <c r="G30" s="40">
        <f>IF(tblActivity[[#This Row],[Month]]="","",IFERROR(INDEX(tblSources[Factor (kg CO2e/unit)],MATCH(tblActivity[[#This Row],[Source]],tblSources[Source],0)),""))</f>
        <v>8.78</v>
      </c>
      <c r="H30" s="41">
        <f>IF(tblActivity[[#This Row],[Month]]="","",IF(AND(ISNUMBER(tblActivity[[#This Row],[Quantity]]),ISNUMBER(tblActivity[[#This Row],[Factor (kg CO2e/unit)]])),tblActivity[[#This Row],[Quantity]]*tblActivity[[#This Row],[Factor (kg CO2e/unit)]],""))</f>
        <v>1527.72</v>
      </c>
      <c r="I30"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0" s="28" t="s">
        <v>117</v>
      </c>
      <c r="K30" s="28" t="s">
        <v>114</v>
      </c>
    </row>
    <row r="31" spans="2:11" x14ac:dyDescent="0.25">
      <c r="B31" s="38">
        <v>45839</v>
      </c>
      <c r="C31" s="28" t="s">
        <v>89</v>
      </c>
      <c r="D31" s="29">
        <v>953800</v>
      </c>
      <c r="E31" s="39" t="str">
        <f>IF(tblActivity[[#This Row],[Month]]="","",IFERROR(INDEX(tblSources[Activity unit],MATCH(tblActivity[[#This Row],[Source]],tblSources[Source],0)),""))</f>
        <v>kWh</v>
      </c>
      <c r="F31" s="39" t="str">
        <f>IF(tblActivity[[#This Row],[Month]]="","",IFERROR(INDEX(tblSources[Scope],MATCH(tblActivity[[#This Row],[Source]],tblSources[Source],0)),""))</f>
        <v>Scope 2</v>
      </c>
      <c r="G31" s="40">
        <f>IF(tblActivity[[#This Row],[Month]]="","",IFERROR(INDEX(tblSources[Factor (kg CO2e/unit)],MATCH(tblActivity[[#This Row],[Source]],tblSources[Source],0)),""))</f>
        <v>0.386</v>
      </c>
      <c r="H31" s="41">
        <f>IF(tblActivity[[#This Row],[Month]]="","",IF(AND(ISNUMBER(tblActivity[[#This Row],[Quantity]]),ISNUMBER(tblActivity[[#This Row],[Factor (kg CO2e/unit)]])),tblActivity[[#This Row],[Quantity]]*tblActivity[[#This Row],[Factor (kg CO2e/unit)]],""))</f>
        <v>368166.8</v>
      </c>
      <c r="I31"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1" s="28" t="s">
        <v>131</v>
      </c>
      <c r="K31" s="28" t="s">
        <v>132</v>
      </c>
    </row>
    <row r="32" spans="2:11" x14ac:dyDescent="0.25">
      <c r="B32" s="38">
        <v>45839</v>
      </c>
      <c r="C32" s="28" t="s">
        <v>93</v>
      </c>
      <c r="D32" s="29">
        <v>1080</v>
      </c>
      <c r="E32" s="39" t="str">
        <f>IF(tblActivity[[#This Row],[Month]]="","",IFERROR(INDEX(tblSources[Activity unit],MATCH(tblActivity[[#This Row],[Source]],tblSources[Source],0)),""))</f>
        <v>therm</v>
      </c>
      <c r="F32" s="39" t="str">
        <f>IF(tblActivity[[#This Row],[Month]]="","",IFERROR(INDEX(tblSources[Scope],MATCH(tblActivity[[#This Row],[Source]],tblSources[Source],0)),""))</f>
        <v>Scope 1</v>
      </c>
      <c r="G32" s="40">
        <f>IF(tblActivity[[#This Row],[Month]]="","",IFERROR(INDEX(tblSources[Factor (kg CO2e/unit)],MATCH(tblActivity[[#This Row],[Source]],tblSources[Source],0)),""))</f>
        <v>5.306</v>
      </c>
      <c r="H32" s="41">
        <f>IF(tblActivity[[#This Row],[Month]]="","",IF(AND(ISNUMBER(tblActivity[[#This Row],[Quantity]]),ISNUMBER(tblActivity[[#This Row],[Factor (kg CO2e/unit)]])),tblActivity[[#This Row],[Quantity]]*tblActivity[[#This Row],[Factor (kg CO2e/unit)]],""))</f>
        <v>5730.48</v>
      </c>
      <c r="I32"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2" s="28" t="s">
        <v>133</v>
      </c>
      <c r="K32" s="28" t="s">
        <v>114</v>
      </c>
    </row>
    <row r="33" spans="2:11" x14ac:dyDescent="0.25">
      <c r="B33" s="38">
        <v>45839</v>
      </c>
      <c r="C33" s="28" t="s">
        <v>97</v>
      </c>
      <c r="D33" s="29">
        <v>383</v>
      </c>
      <c r="E33" s="39" t="str">
        <f>IF(tblActivity[[#This Row],[Month]]="","",IFERROR(INDEX(tblSources[Activity unit],MATCH(tblActivity[[#This Row],[Source]],tblSources[Source],0)),""))</f>
        <v>US gal</v>
      </c>
      <c r="F33" s="39" t="str">
        <f>IF(tblActivity[[#This Row],[Month]]="","",IFERROR(INDEX(tblSources[Scope],MATCH(tblActivity[[#This Row],[Source]],tblSources[Source],0)),""))</f>
        <v>Scope 1</v>
      </c>
      <c r="G33" s="40">
        <f>IF(tblActivity[[#This Row],[Month]]="","",IFERROR(INDEX(tblSources[Factor (kg CO2e/unit)],MATCH(tblActivity[[#This Row],[Source]],tblSources[Source],0)),""))</f>
        <v>10.21</v>
      </c>
      <c r="H33" s="41">
        <f>IF(tblActivity[[#This Row],[Month]]="","",IF(AND(ISNUMBER(tblActivity[[#This Row],[Quantity]]),ISNUMBER(tblActivity[[#This Row],[Factor (kg CO2e/unit)]])),tblActivity[[#This Row],[Quantity]]*tblActivity[[#This Row],[Factor (kg CO2e/unit)]],""))</f>
        <v>3910.43</v>
      </c>
      <c r="I33"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3" s="28" t="s">
        <v>116</v>
      </c>
      <c r="K33" s="28" t="s">
        <v>114</v>
      </c>
    </row>
    <row r="34" spans="2:11" x14ac:dyDescent="0.25">
      <c r="B34" s="38">
        <v>45839</v>
      </c>
      <c r="C34" s="28" t="s">
        <v>100</v>
      </c>
      <c r="D34" s="29">
        <v>162</v>
      </c>
      <c r="E34" s="39" t="str">
        <f>IF(tblActivity[[#This Row],[Month]]="","",IFERROR(INDEX(tblSources[Activity unit],MATCH(tblActivity[[#This Row],[Source]],tblSources[Source],0)),""))</f>
        <v>US gal</v>
      </c>
      <c r="F34" s="39" t="str">
        <f>IF(tblActivity[[#This Row],[Month]]="","",IFERROR(INDEX(tblSources[Scope],MATCH(tblActivity[[#This Row],[Source]],tblSources[Source],0)),""))</f>
        <v>Scope 1</v>
      </c>
      <c r="G34" s="40">
        <f>IF(tblActivity[[#This Row],[Month]]="","",IFERROR(INDEX(tblSources[Factor (kg CO2e/unit)],MATCH(tblActivity[[#This Row],[Source]],tblSources[Source],0)),""))</f>
        <v>8.78</v>
      </c>
      <c r="H34" s="41">
        <f>IF(tblActivity[[#This Row],[Month]]="","",IF(AND(ISNUMBER(tblActivity[[#This Row],[Quantity]]),ISNUMBER(tblActivity[[#This Row],[Factor (kg CO2e/unit)]])),tblActivity[[#This Row],[Quantity]]*tblActivity[[#This Row],[Factor (kg CO2e/unit)]],""))</f>
        <v>1422.36</v>
      </c>
      <c r="I34"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4" s="28" t="s">
        <v>117</v>
      </c>
      <c r="K34" s="28" t="s">
        <v>114</v>
      </c>
    </row>
    <row r="35" spans="2:11" x14ac:dyDescent="0.25">
      <c r="B35" s="38">
        <v>45870</v>
      </c>
      <c r="C35" s="28" t="s">
        <v>89</v>
      </c>
      <c r="D35" s="29">
        <v>771200</v>
      </c>
      <c r="E35" s="39" t="str">
        <f>IF(tblActivity[[#This Row],[Month]]="","",IFERROR(INDEX(tblSources[Activity unit],MATCH(tblActivity[[#This Row],[Source]],tblSources[Source],0)),""))</f>
        <v>kWh</v>
      </c>
      <c r="F35" s="39" t="str">
        <f>IF(tblActivity[[#This Row],[Month]]="","",IFERROR(INDEX(tblSources[Scope],MATCH(tblActivity[[#This Row],[Source]],tblSources[Source],0)),""))</f>
        <v>Scope 2</v>
      </c>
      <c r="G35" s="40">
        <f>IF(tblActivity[[#This Row],[Month]]="","",IFERROR(INDEX(tblSources[Factor (kg CO2e/unit)],MATCH(tblActivity[[#This Row],[Source]],tblSources[Source],0)),""))</f>
        <v>0.386</v>
      </c>
      <c r="H35" s="41">
        <f>IF(tblActivity[[#This Row],[Month]]="","",IF(AND(ISNUMBER(tblActivity[[#This Row],[Quantity]]),ISNUMBER(tblActivity[[#This Row],[Factor (kg CO2e/unit)]])),tblActivity[[#This Row],[Quantity]]*tblActivity[[#This Row],[Factor (kg CO2e/unit)]],""))</f>
        <v>297683.2</v>
      </c>
      <c r="I35"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5" s="28" t="s">
        <v>134</v>
      </c>
      <c r="K35" s="28" t="s">
        <v>114</v>
      </c>
    </row>
    <row r="36" spans="2:11" x14ac:dyDescent="0.25">
      <c r="B36" s="38">
        <v>45870</v>
      </c>
      <c r="C36" s="28" t="s">
        <v>93</v>
      </c>
      <c r="D36" s="29">
        <v>1010</v>
      </c>
      <c r="E36" s="39" t="str">
        <f>IF(tblActivity[[#This Row],[Month]]="","",IFERROR(INDEX(tblSources[Activity unit],MATCH(tblActivity[[#This Row],[Source]],tblSources[Source],0)),""))</f>
        <v>therm</v>
      </c>
      <c r="F36" s="39" t="str">
        <f>IF(tblActivity[[#This Row],[Month]]="","",IFERROR(INDEX(tblSources[Scope],MATCH(tblActivity[[#This Row],[Source]],tblSources[Source],0)),""))</f>
        <v>Scope 1</v>
      </c>
      <c r="G36" s="40">
        <f>IF(tblActivity[[#This Row],[Month]]="","",IFERROR(INDEX(tblSources[Factor (kg CO2e/unit)],MATCH(tblActivity[[#This Row],[Source]],tblSources[Source],0)),""))</f>
        <v>5.306</v>
      </c>
      <c r="H36" s="41">
        <f>IF(tblActivity[[#This Row],[Month]]="","",IF(AND(ISNUMBER(tblActivity[[#This Row],[Quantity]]),ISNUMBER(tblActivity[[#This Row],[Factor (kg CO2e/unit)]])),tblActivity[[#This Row],[Quantity]]*tblActivity[[#This Row],[Factor (kg CO2e/unit)]],""))</f>
        <v>5359.06</v>
      </c>
      <c r="I36"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6" s="28" t="s">
        <v>135</v>
      </c>
      <c r="K36" s="28" t="s">
        <v>114</v>
      </c>
    </row>
    <row r="37" spans="2:11" x14ac:dyDescent="0.25">
      <c r="B37" s="38">
        <v>45870</v>
      </c>
      <c r="C37" s="28" t="s">
        <v>97</v>
      </c>
      <c r="D37" s="29">
        <v>330</v>
      </c>
      <c r="E37" s="39" t="str">
        <f>IF(tblActivity[[#This Row],[Month]]="","",IFERROR(INDEX(tblSources[Activity unit],MATCH(tblActivity[[#This Row],[Source]],tblSources[Source],0)),""))</f>
        <v>US gal</v>
      </c>
      <c r="F37" s="39" t="str">
        <f>IF(tblActivity[[#This Row],[Month]]="","",IFERROR(INDEX(tblSources[Scope],MATCH(tblActivity[[#This Row],[Source]],tblSources[Source],0)),""))</f>
        <v>Scope 1</v>
      </c>
      <c r="G37" s="40">
        <f>IF(tblActivity[[#This Row],[Month]]="","",IFERROR(INDEX(tblSources[Factor (kg CO2e/unit)],MATCH(tblActivity[[#This Row],[Source]],tblSources[Source],0)),""))</f>
        <v>10.21</v>
      </c>
      <c r="H37" s="41">
        <f>IF(tblActivity[[#This Row],[Month]]="","",IF(AND(ISNUMBER(tblActivity[[#This Row],[Quantity]]),ISNUMBER(tblActivity[[#This Row],[Factor (kg CO2e/unit)]])),tblActivity[[#This Row],[Quantity]]*tblActivity[[#This Row],[Factor (kg CO2e/unit)]],""))</f>
        <v>3369.3</v>
      </c>
      <c r="I37"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7" s="28" t="s">
        <v>116</v>
      </c>
      <c r="K37" s="28" t="s">
        <v>114</v>
      </c>
    </row>
    <row r="38" spans="2:11" x14ac:dyDescent="0.25">
      <c r="B38" s="38">
        <v>45870</v>
      </c>
      <c r="C38" s="28" t="s">
        <v>100</v>
      </c>
      <c r="D38" s="29">
        <v>165</v>
      </c>
      <c r="E38" s="39" t="str">
        <f>IF(tblActivity[[#This Row],[Month]]="","",IFERROR(INDEX(tblSources[Activity unit],MATCH(tblActivity[[#This Row],[Source]],tblSources[Source],0)),""))</f>
        <v>US gal</v>
      </c>
      <c r="F38" s="39" t="str">
        <f>IF(tblActivity[[#This Row],[Month]]="","",IFERROR(INDEX(tblSources[Scope],MATCH(tblActivity[[#This Row],[Source]],tblSources[Source],0)),""))</f>
        <v>Scope 1</v>
      </c>
      <c r="G38" s="40">
        <f>IF(tblActivity[[#This Row],[Month]]="","",IFERROR(INDEX(tblSources[Factor (kg CO2e/unit)],MATCH(tblActivity[[#This Row],[Source]],tblSources[Source],0)),""))</f>
        <v>8.78</v>
      </c>
      <c r="H38" s="41">
        <f>IF(tblActivity[[#This Row],[Month]]="","",IF(AND(ISNUMBER(tblActivity[[#This Row],[Quantity]]),ISNUMBER(tblActivity[[#This Row],[Factor (kg CO2e/unit)]])),tblActivity[[#This Row],[Quantity]]*tblActivity[[#This Row],[Factor (kg CO2e/unit)]],""))</f>
        <v>1448.7</v>
      </c>
      <c r="I38"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8" s="28" t="s">
        <v>117</v>
      </c>
      <c r="K38" s="28" t="s">
        <v>114</v>
      </c>
    </row>
    <row r="39" spans="2:11" x14ac:dyDescent="0.25">
      <c r="B39" s="38">
        <v>45870</v>
      </c>
      <c r="C39" s="28" t="s">
        <v>102</v>
      </c>
      <c r="D39" s="29">
        <v>6</v>
      </c>
      <c r="E39" s="39" t="str">
        <f>IF(tblActivity[[#This Row],[Month]]="","",IFERROR(INDEX(tblSources[Activity unit],MATCH(tblActivity[[#This Row],[Source]],tblSources[Source],0)),""))</f>
        <v>kg</v>
      </c>
      <c r="F39" s="39" t="str">
        <f>IF(tblActivity[[#This Row],[Month]]="","",IFERROR(INDEX(tblSources[Scope],MATCH(tblActivity[[#This Row],[Source]],tblSources[Source],0)),""))</f>
        <v>Scope 1</v>
      </c>
      <c r="G39" s="40">
        <f>IF(tblActivity[[#This Row],[Month]]="","",IFERROR(INDEX(tblSources[Factor (kg CO2e/unit)],MATCH(tblActivity[[#This Row],[Source]],tblSources[Source],0)),""))</f>
        <v>2088</v>
      </c>
      <c r="H39" s="41">
        <f>IF(tblActivity[[#This Row],[Month]]="","",IF(AND(ISNUMBER(tblActivity[[#This Row],[Quantity]]),ISNUMBER(tblActivity[[#This Row],[Factor (kg CO2e/unit)]])),tblActivity[[#This Row],[Quantity]]*tblActivity[[#This Row],[Factor (kg CO2e/unit)]],""))</f>
        <v>12528</v>
      </c>
      <c r="I39"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39" s="28" t="s">
        <v>123</v>
      </c>
      <c r="K39" s="28" t="s">
        <v>124</v>
      </c>
    </row>
    <row r="40" spans="2:11" x14ac:dyDescent="0.25">
      <c r="B40" s="38">
        <v>45901</v>
      </c>
      <c r="C40" s="28" t="s">
        <v>89</v>
      </c>
      <c r="D40" s="29">
        <v>865500</v>
      </c>
      <c r="E40" s="39" t="str">
        <f>IF(tblActivity[[#This Row],[Month]]="","",IFERROR(INDEX(tblSources[Activity unit],MATCH(tblActivity[[#This Row],[Source]],tblSources[Source],0)),""))</f>
        <v>kWh</v>
      </c>
      <c r="F40" s="39" t="str">
        <f>IF(tblActivity[[#This Row],[Month]]="","",IFERROR(INDEX(tblSources[Scope],MATCH(tblActivity[[#This Row],[Source]],tblSources[Source],0)),""))</f>
        <v>Scope 2</v>
      </c>
      <c r="G40" s="40">
        <f>IF(tblActivity[[#This Row],[Month]]="","",IFERROR(INDEX(tblSources[Factor (kg CO2e/unit)],MATCH(tblActivity[[#This Row],[Source]],tblSources[Source],0)),""))</f>
        <v>0.386</v>
      </c>
      <c r="H40" s="41">
        <f>IF(tblActivity[[#This Row],[Month]]="","",IF(AND(ISNUMBER(tblActivity[[#This Row],[Quantity]]),ISNUMBER(tblActivity[[#This Row],[Factor (kg CO2e/unit)]])),tblActivity[[#This Row],[Quantity]]*tblActivity[[#This Row],[Factor (kg CO2e/unit)]],""))</f>
        <v>334083</v>
      </c>
      <c r="I40"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0" s="28" t="s">
        <v>136</v>
      </c>
      <c r="K40" s="28" t="s">
        <v>114</v>
      </c>
    </row>
    <row r="41" spans="2:11" x14ac:dyDescent="0.25">
      <c r="B41" s="38">
        <v>45901</v>
      </c>
      <c r="C41" s="28" t="s">
        <v>93</v>
      </c>
      <c r="D41" s="29">
        <v>1950</v>
      </c>
      <c r="E41" s="39" t="str">
        <f>IF(tblActivity[[#This Row],[Month]]="","",IFERROR(INDEX(tblSources[Activity unit],MATCH(tblActivity[[#This Row],[Source]],tblSources[Source],0)),""))</f>
        <v>therm</v>
      </c>
      <c r="F41" s="39" t="str">
        <f>IF(tblActivity[[#This Row],[Month]]="","",IFERROR(INDEX(tblSources[Scope],MATCH(tblActivity[[#This Row],[Source]],tblSources[Source],0)),""))</f>
        <v>Scope 1</v>
      </c>
      <c r="G41" s="40">
        <f>IF(tblActivity[[#This Row],[Month]]="","",IFERROR(INDEX(tblSources[Factor (kg CO2e/unit)],MATCH(tblActivity[[#This Row],[Source]],tblSources[Source],0)),""))</f>
        <v>5.306</v>
      </c>
      <c r="H41" s="41">
        <f>IF(tblActivity[[#This Row],[Month]]="","",IF(AND(ISNUMBER(tblActivity[[#This Row],[Quantity]]),ISNUMBER(tblActivity[[#This Row],[Factor (kg CO2e/unit)]])),tblActivity[[#This Row],[Quantity]]*tblActivity[[#This Row],[Factor (kg CO2e/unit)]],""))</f>
        <v>10346.7</v>
      </c>
      <c r="I41"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1" s="28" t="s">
        <v>137</v>
      </c>
      <c r="K41" s="28" t="s">
        <v>114</v>
      </c>
    </row>
    <row r="42" spans="2:11" x14ac:dyDescent="0.25">
      <c r="B42" s="38">
        <v>45901</v>
      </c>
      <c r="C42" s="28" t="s">
        <v>97</v>
      </c>
      <c r="D42" s="29">
        <v>390</v>
      </c>
      <c r="E42" s="39" t="str">
        <f>IF(tblActivity[[#This Row],[Month]]="","",IFERROR(INDEX(tblSources[Activity unit],MATCH(tblActivity[[#This Row],[Source]],tblSources[Source],0)),""))</f>
        <v>US gal</v>
      </c>
      <c r="F42" s="39" t="str">
        <f>IF(tblActivity[[#This Row],[Month]]="","",IFERROR(INDEX(tblSources[Scope],MATCH(tblActivity[[#This Row],[Source]],tblSources[Source],0)),""))</f>
        <v>Scope 1</v>
      </c>
      <c r="G42" s="40">
        <f>IF(tblActivity[[#This Row],[Month]]="","",IFERROR(INDEX(tblSources[Factor (kg CO2e/unit)],MATCH(tblActivity[[#This Row],[Source]],tblSources[Source],0)),""))</f>
        <v>10.21</v>
      </c>
      <c r="H42" s="41">
        <f>IF(tblActivity[[#This Row],[Month]]="","",IF(AND(ISNUMBER(tblActivity[[#This Row],[Quantity]]),ISNUMBER(tblActivity[[#This Row],[Factor (kg CO2e/unit)]])),tblActivity[[#This Row],[Quantity]]*tblActivity[[#This Row],[Factor (kg CO2e/unit)]],""))</f>
        <v>3981.9</v>
      </c>
      <c r="I42"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2" s="28" t="s">
        <v>116</v>
      </c>
      <c r="K42" s="28" t="s">
        <v>114</v>
      </c>
    </row>
    <row r="43" spans="2:11" x14ac:dyDescent="0.25">
      <c r="B43" s="38">
        <v>45901</v>
      </c>
      <c r="C43" s="28" t="s">
        <v>100</v>
      </c>
      <c r="D43" s="29">
        <v>143</v>
      </c>
      <c r="E43" s="39" t="str">
        <f>IF(tblActivity[[#This Row],[Month]]="","",IFERROR(INDEX(tblSources[Activity unit],MATCH(tblActivity[[#This Row],[Source]],tblSources[Source],0)),""))</f>
        <v>US gal</v>
      </c>
      <c r="F43" s="39" t="str">
        <f>IF(tblActivity[[#This Row],[Month]]="","",IFERROR(INDEX(tblSources[Scope],MATCH(tblActivity[[#This Row],[Source]],tblSources[Source],0)),""))</f>
        <v>Scope 1</v>
      </c>
      <c r="G43" s="40">
        <f>IF(tblActivity[[#This Row],[Month]]="","",IFERROR(INDEX(tblSources[Factor (kg CO2e/unit)],MATCH(tblActivity[[#This Row],[Source]],tblSources[Source],0)),""))</f>
        <v>8.78</v>
      </c>
      <c r="H43" s="41">
        <f>IF(tblActivity[[#This Row],[Month]]="","",IF(AND(ISNUMBER(tblActivity[[#This Row],[Quantity]]),ISNUMBER(tblActivity[[#This Row],[Factor (kg CO2e/unit)]])),tblActivity[[#This Row],[Quantity]]*tblActivity[[#This Row],[Factor (kg CO2e/unit)]],""))</f>
        <v>1255.54</v>
      </c>
      <c r="I43"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3" s="28" t="s">
        <v>117</v>
      </c>
      <c r="K43" s="28" t="s">
        <v>114</v>
      </c>
    </row>
    <row r="44" spans="2:11" x14ac:dyDescent="0.25">
      <c r="B44" s="38">
        <v>45931</v>
      </c>
      <c r="C44" s="28" t="s">
        <v>89</v>
      </c>
      <c r="D44" s="29">
        <v>876600</v>
      </c>
      <c r="E44" s="39" t="str">
        <f>IF(tblActivity[[#This Row],[Month]]="","",IFERROR(INDEX(tblSources[Activity unit],MATCH(tblActivity[[#This Row],[Source]],tblSources[Source],0)),""))</f>
        <v>kWh</v>
      </c>
      <c r="F44" s="39" t="str">
        <f>IF(tblActivity[[#This Row],[Month]]="","",IFERROR(INDEX(tblSources[Scope],MATCH(tblActivity[[#This Row],[Source]],tblSources[Source],0)),""))</f>
        <v>Scope 2</v>
      </c>
      <c r="G44" s="40">
        <f>IF(tblActivity[[#This Row],[Month]]="","",IFERROR(INDEX(tblSources[Factor (kg CO2e/unit)],MATCH(tblActivity[[#This Row],[Source]],tblSources[Source],0)),""))</f>
        <v>0.386</v>
      </c>
      <c r="H44" s="41">
        <f>IF(tblActivity[[#This Row],[Month]]="","",IF(AND(ISNUMBER(tblActivity[[#This Row],[Quantity]]),ISNUMBER(tblActivity[[#This Row],[Factor (kg CO2e/unit)]])),tblActivity[[#This Row],[Quantity]]*tblActivity[[#This Row],[Factor (kg CO2e/unit)]],""))</f>
        <v>338367.6</v>
      </c>
      <c r="I44"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4" s="28" t="s">
        <v>138</v>
      </c>
      <c r="K44" s="28" t="s">
        <v>114</v>
      </c>
    </row>
    <row r="45" spans="2:11" x14ac:dyDescent="0.25">
      <c r="B45" s="38">
        <v>45931</v>
      </c>
      <c r="C45" s="28" t="s">
        <v>93</v>
      </c>
      <c r="D45" s="29">
        <v>3730</v>
      </c>
      <c r="E45" s="39" t="str">
        <f>IF(tblActivity[[#This Row],[Month]]="","",IFERROR(INDEX(tblSources[Activity unit],MATCH(tblActivity[[#This Row],[Source]],tblSources[Source],0)),""))</f>
        <v>therm</v>
      </c>
      <c r="F45" s="39" t="str">
        <f>IF(tblActivity[[#This Row],[Month]]="","",IFERROR(INDEX(tblSources[Scope],MATCH(tblActivity[[#This Row],[Source]],tblSources[Source],0)),""))</f>
        <v>Scope 1</v>
      </c>
      <c r="G45" s="40">
        <f>IF(tblActivity[[#This Row],[Month]]="","",IFERROR(INDEX(tblSources[Factor (kg CO2e/unit)],MATCH(tblActivity[[#This Row],[Source]],tblSources[Source],0)),""))</f>
        <v>5.306</v>
      </c>
      <c r="H45" s="41">
        <f>IF(tblActivity[[#This Row],[Month]]="","",IF(AND(ISNUMBER(tblActivity[[#This Row],[Quantity]]),ISNUMBER(tblActivity[[#This Row],[Factor (kg CO2e/unit)]])),tblActivity[[#This Row],[Quantity]]*tblActivity[[#This Row],[Factor (kg CO2e/unit)]],""))</f>
        <v>19791.38</v>
      </c>
      <c r="I45"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5" s="28" t="s">
        <v>139</v>
      </c>
      <c r="K45" s="28" t="s">
        <v>114</v>
      </c>
    </row>
    <row r="46" spans="2:11" x14ac:dyDescent="0.25">
      <c r="B46" s="38">
        <v>45931</v>
      </c>
      <c r="C46" s="28" t="s">
        <v>97</v>
      </c>
      <c r="D46" s="29">
        <v>412</v>
      </c>
      <c r="E46" s="39" t="str">
        <f>IF(tblActivity[[#This Row],[Month]]="","",IFERROR(INDEX(tblSources[Activity unit],MATCH(tblActivity[[#This Row],[Source]],tblSources[Source],0)),""))</f>
        <v>US gal</v>
      </c>
      <c r="F46" s="39" t="str">
        <f>IF(tblActivity[[#This Row],[Month]]="","",IFERROR(INDEX(tblSources[Scope],MATCH(tblActivity[[#This Row],[Source]],tblSources[Source],0)),""))</f>
        <v>Scope 1</v>
      </c>
      <c r="G46" s="40">
        <f>IF(tblActivity[[#This Row],[Month]]="","",IFERROR(INDEX(tblSources[Factor (kg CO2e/unit)],MATCH(tblActivity[[#This Row],[Source]],tblSources[Source],0)),""))</f>
        <v>10.21</v>
      </c>
      <c r="H46" s="41">
        <f>IF(tblActivity[[#This Row],[Month]]="","",IF(AND(ISNUMBER(tblActivity[[#This Row],[Quantity]]),ISNUMBER(tblActivity[[#This Row],[Factor (kg CO2e/unit)]])),tblActivity[[#This Row],[Quantity]]*tblActivity[[#This Row],[Factor (kg CO2e/unit)]],""))</f>
        <v>4206.52</v>
      </c>
      <c r="I46"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6" s="28" t="s">
        <v>116</v>
      </c>
      <c r="K46" s="28" t="s">
        <v>114</v>
      </c>
    </row>
    <row r="47" spans="2:11" x14ac:dyDescent="0.25">
      <c r="B47" s="38">
        <v>45931</v>
      </c>
      <c r="C47" s="28" t="s">
        <v>100</v>
      </c>
      <c r="D47" s="29">
        <v>158</v>
      </c>
      <c r="E47" s="39" t="str">
        <f>IF(tblActivity[[#This Row],[Month]]="","",IFERROR(INDEX(tblSources[Activity unit],MATCH(tblActivity[[#This Row],[Source]],tblSources[Source],0)),""))</f>
        <v>US gal</v>
      </c>
      <c r="F47" s="39" t="str">
        <f>IF(tblActivity[[#This Row],[Month]]="","",IFERROR(INDEX(tblSources[Scope],MATCH(tblActivity[[#This Row],[Source]],tblSources[Source],0)),""))</f>
        <v>Scope 1</v>
      </c>
      <c r="G47" s="40">
        <f>IF(tblActivity[[#This Row],[Month]]="","",IFERROR(INDEX(tblSources[Factor (kg CO2e/unit)],MATCH(tblActivity[[#This Row],[Source]],tblSources[Source],0)),""))</f>
        <v>8.78</v>
      </c>
      <c r="H47" s="41">
        <f>IF(tblActivity[[#This Row],[Month]]="","",IF(AND(ISNUMBER(tblActivity[[#This Row],[Quantity]]),ISNUMBER(tblActivity[[#This Row],[Factor (kg CO2e/unit)]])),tblActivity[[#This Row],[Quantity]]*tblActivity[[#This Row],[Factor (kg CO2e/unit)]],""))</f>
        <v>1387.24</v>
      </c>
      <c r="I47"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7" s="28" t="s">
        <v>117</v>
      </c>
      <c r="K47" s="28" t="s">
        <v>114</v>
      </c>
    </row>
    <row r="48" spans="2:11" x14ac:dyDescent="0.25">
      <c r="B48" s="38">
        <v>45962</v>
      </c>
      <c r="C48" s="28" t="s">
        <v>89</v>
      </c>
      <c r="D48" s="29">
        <v>867000</v>
      </c>
      <c r="E48" s="39" t="str">
        <f>IF(tblActivity[[#This Row],[Month]]="","",IFERROR(INDEX(tblSources[Activity unit],MATCH(tblActivity[[#This Row],[Source]],tblSources[Source],0)),""))</f>
        <v>kWh</v>
      </c>
      <c r="F48" s="39" t="str">
        <f>IF(tblActivity[[#This Row],[Month]]="","",IFERROR(INDEX(tblSources[Scope],MATCH(tblActivity[[#This Row],[Source]],tblSources[Source],0)),""))</f>
        <v>Scope 2</v>
      </c>
      <c r="G48" s="40">
        <f>IF(tblActivity[[#This Row],[Month]]="","",IFERROR(INDEX(tblSources[Factor (kg CO2e/unit)],MATCH(tblActivity[[#This Row],[Source]],tblSources[Source],0)),""))</f>
        <v>0.386</v>
      </c>
      <c r="H48" s="41">
        <f>IF(tblActivity[[#This Row],[Month]]="","",IF(AND(ISNUMBER(tblActivity[[#This Row],[Quantity]]),ISNUMBER(tblActivity[[#This Row],[Factor (kg CO2e/unit)]])),tblActivity[[#This Row],[Quantity]]*tblActivity[[#This Row],[Factor (kg CO2e/unit)]],""))</f>
        <v>334662</v>
      </c>
      <c r="I48"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8" s="28" t="s">
        <v>140</v>
      </c>
      <c r="K48" s="28" t="s">
        <v>114</v>
      </c>
    </row>
    <row r="49" spans="2:11" x14ac:dyDescent="0.25">
      <c r="B49" s="38">
        <v>45962</v>
      </c>
      <c r="C49" s="28" t="s">
        <v>93</v>
      </c>
      <c r="D49" s="29">
        <v>6660</v>
      </c>
      <c r="E49" s="39" t="str">
        <f>IF(tblActivity[[#This Row],[Month]]="","",IFERROR(INDEX(tblSources[Activity unit],MATCH(tblActivity[[#This Row],[Source]],tblSources[Source],0)),""))</f>
        <v>therm</v>
      </c>
      <c r="F49" s="39" t="str">
        <f>IF(tblActivity[[#This Row],[Month]]="","",IFERROR(INDEX(tblSources[Scope],MATCH(tblActivity[[#This Row],[Source]],tblSources[Source],0)),""))</f>
        <v>Scope 1</v>
      </c>
      <c r="G49" s="40">
        <f>IF(tblActivity[[#This Row],[Month]]="","",IFERROR(INDEX(tblSources[Factor (kg CO2e/unit)],MATCH(tblActivity[[#This Row],[Source]],tblSources[Source],0)),""))</f>
        <v>5.306</v>
      </c>
      <c r="H49" s="41">
        <f>IF(tblActivity[[#This Row],[Month]]="","",IF(AND(ISNUMBER(tblActivity[[#This Row],[Quantity]]),ISNUMBER(tblActivity[[#This Row],[Factor (kg CO2e/unit)]])),tblActivity[[#This Row],[Quantity]]*tblActivity[[#This Row],[Factor (kg CO2e/unit)]],""))</f>
        <v>35337.96</v>
      </c>
      <c r="I49"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49" s="28" t="s">
        <v>141</v>
      </c>
      <c r="K49" s="28" t="s">
        <v>114</v>
      </c>
    </row>
    <row r="50" spans="2:11" x14ac:dyDescent="0.25">
      <c r="B50" s="38">
        <v>45962</v>
      </c>
      <c r="C50" s="28" t="s">
        <v>97</v>
      </c>
      <c r="D50" s="29">
        <v>350</v>
      </c>
      <c r="E50" s="39" t="str">
        <f>IF(tblActivity[[#This Row],[Month]]="","",IFERROR(INDEX(tblSources[Activity unit],MATCH(tblActivity[[#This Row],[Source]],tblSources[Source],0)),""))</f>
        <v>US gal</v>
      </c>
      <c r="F50" s="39" t="str">
        <f>IF(tblActivity[[#This Row],[Month]]="","",IFERROR(INDEX(tblSources[Scope],MATCH(tblActivity[[#This Row],[Source]],tblSources[Source],0)),""))</f>
        <v>Scope 1</v>
      </c>
      <c r="G50" s="40">
        <f>IF(tblActivity[[#This Row],[Month]]="","",IFERROR(INDEX(tblSources[Factor (kg CO2e/unit)],MATCH(tblActivity[[#This Row],[Source]],tblSources[Source],0)),""))</f>
        <v>10.21</v>
      </c>
      <c r="H50" s="41">
        <f>IF(tblActivity[[#This Row],[Month]]="","",IF(AND(ISNUMBER(tblActivity[[#This Row],[Quantity]]),ISNUMBER(tblActivity[[#This Row],[Factor (kg CO2e/unit)]])),tblActivity[[#This Row],[Quantity]]*tblActivity[[#This Row],[Factor (kg CO2e/unit)]],""))</f>
        <v>3573.5</v>
      </c>
      <c r="I50"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50" s="28" t="s">
        <v>116</v>
      </c>
      <c r="K50" s="28" t="s">
        <v>114</v>
      </c>
    </row>
    <row r="51" spans="2:11" x14ac:dyDescent="0.25">
      <c r="B51" s="38">
        <v>45962</v>
      </c>
      <c r="C51" s="28" t="s">
        <v>100</v>
      </c>
      <c r="D51" s="29">
        <v>147</v>
      </c>
      <c r="E51" s="39" t="str">
        <f>IF(tblActivity[[#This Row],[Month]]="","",IFERROR(INDEX(tblSources[Activity unit],MATCH(tblActivity[[#This Row],[Source]],tblSources[Source],0)),""))</f>
        <v>US gal</v>
      </c>
      <c r="F51" s="39" t="str">
        <f>IF(tblActivity[[#This Row],[Month]]="","",IFERROR(INDEX(tblSources[Scope],MATCH(tblActivity[[#This Row],[Source]],tblSources[Source],0)),""))</f>
        <v>Scope 1</v>
      </c>
      <c r="G51" s="40">
        <f>IF(tblActivity[[#This Row],[Month]]="","",IFERROR(INDEX(tblSources[Factor (kg CO2e/unit)],MATCH(tblActivity[[#This Row],[Source]],tblSources[Source],0)),""))</f>
        <v>8.78</v>
      </c>
      <c r="H51" s="41">
        <f>IF(tblActivity[[#This Row],[Month]]="","",IF(AND(ISNUMBER(tblActivity[[#This Row],[Quantity]]),ISNUMBER(tblActivity[[#This Row],[Factor (kg CO2e/unit)]])),tblActivity[[#This Row],[Quantity]]*tblActivity[[#This Row],[Factor (kg CO2e/unit)]],""))</f>
        <v>1290.66</v>
      </c>
      <c r="I51"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51" s="28" t="s">
        <v>117</v>
      </c>
      <c r="K51" s="28" t="s">
        <v>114</v>
      </c>
    </row>
    <row r="52" spans="2:11" x14ac:dyDescent="0.25">
      <c r="B52" s="38">
        <v>45992</v>
      </c>
      <c r="C52" s="28" t="s">
        <v>89</v>
      </c>
      <c r="D52" s="29">
        <v>818300</v>
      </c>
      <c r="E52" s="39" t="str">
        <f>IF(tblActivity[[#This Row],[Month]]="","",IFERROR(INDEX(tblSources[Activity unit],MATCH(tblActivity[[#This Row],[Source]],tblSources[Source],0)),""))</f>
        <v>kWh</v>
      </c>
      <c r="F52" s="39" t="str">
        <f>IF(tblActivity[[#This Row],[Month]]="","",IFERROR(INDEX(tblSources[Scope],MATCH(tblActivity[[#This Row],[Source]],tblSources[Source],0)),""))</f>
        <v>Scope 2</v>
      </c>
      <c r="G52" s="40">
        <f>IF(tblActivity[[#This Row],[Month]]="","",IFERROR(INDEX(tblSources[Factor (kg CO2e/unit)],MATCH(tblActivity[[#This Row],[Source]],tblSources[Source],0)),""))</f>
        <v>0.386</v>
      </c>
      <c r="H52" s="41">
        <f>IF(tblActivity[[#This Row],[Month]]="","",IF(AND(ISNUMBER(tblActivity[[#This Row],[Quantity]]),ISNUMBER(tblActivity[[#This Row],[Factor (kg CO2e/unit)]])),tblActivity[[#This Row],[Quantity]]*tblActivity[[#This Row],[Factor (kg CO2e/unit)]],""))</f>
        <v>315863.8</v>
      </c>
      <c r="I52"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52" s="28" t="s">
        <v>142</v>
      </c>
      <c r="K52" s="28" t="s">
        <v>114</v>
      </c>
    </row>
    <row r="53" spans="2:11" x14ac:dyDescent="0.25">
      <c r="B53" s="38">
        <v>45992</v>
      </c>
      <c r="C53" s="28" t="s">
        <v>93</v>
      </c>
      <c r="D53" s="29">
        <v>8630</v>
      </c>
      <c r="E53" s="39" t="str">
        <f>IF(tblActivity[[#This Row],[Month]]="","",IFERROR(INDEX(tblSources[Activity unit],MATCH(tblActivity[[#This Row],[Source]],tblSources[Source],0)),""))</f>
        <v>therm</v>
      </c>
      <c r="F53" s="39" t="str">
        <f>IF(tblActivity[[#This Row],[Month]]="","",IFERROR(INDEX(tblSources[Scope],MATCH(tblActivity[[#This Row],[Source]],tblSources[Source],0)),""))</f>
        <v>Scope 1</v>
      </c>
      <c r="G53" s="40">
        <f>IF(tblActivity[[#This Row],[Month]]="","",IFERROR(INDEX(tblSources[Factor (kg CO2e/unit)],MATCH(tblActivity[[#This Row],[Source]],tblSources[Source],0)),""))</f>
        <v>5.306</v>
      </c>
      <c r="H53" s="41">
        <f>IF(tblActivity[[#This Row],[Month]]="","",IF(AND(ISNUMBER(tblActivity[[#This Row],[Quantity]]),ISNUMBER(tblActivity[[#This Row],[Factor (kg CO2e/unit)]])),tblActivity[[#This Row],[Quantity]]*tblActivity[[#This Row],[Factor (kg CO2e/unit)]],""))</f>
        <v>45790.78</v>
      </c>
      <c r="I53"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53" s="28" t="s">
        <v>143</v>
      </c>
      <c r="K53" s="28" t="s">
        <v>114</v>
      </c>
    </row>
    <row r="54" spans="2:11" x14ac:dyDescent="0.25">
      <c r="B54" s="38">
        <v>45992</v>
      </c>
      <c r="C54" s="28" t="s">
        <v>97</v>
      </c>
      <c r="D54" s="29">
        <v>317</v>
      </c>
      <c r="E54" s="39" t="str">
        <f>IF(tblActivity[[#This Row],[Month]]="","",IFERROR(INDEX(tblSources[Activity unit],MATCH(tblActivity[[#This Row],[Source]],tblSources[Source],0)),""))</f>
        <v>US gal</v>
      </c>
      <c r="F54" s="39" t="str">
        <f>IF(tblActivity[[#This Row],[Month]]="","",IFERROR(INDEX(tblSources[Scope],MATCH(tblActivity[[#This Row],[Source]],tblSources[Source],0)),""))</f>
        <v>Scope 1</v>
      </c>
      <c r="G54" s="40">
        <f>IF(tblActivity[[#This Row],[Month]]="","",IFERROR(INDEX(tblSources[Factor (kg CO2e/unit)],MATCH(tblActivity[[#This Row],[Source]],tblSources[Source],0)),""))</f>
        <v>10.21</v>
      </c>
      <c r="H54" s="41">
        <f>IF(tblActivity[[#This Row],[Month]]="","",IF(AND(ISNUMBER(tblActivity[[#This Row],[Quantity]]),ISNUMBER(tblActivity[[#This Row],[Factor (kg CO2e/unit)]])),tblActivity[[#This Row],[Quantity]]*tblActivity[[#This Row],[Factor (kg CO2e/unit)]],""))</f>
        <v>3236.57</v>
      </c>
      <c r="I54"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54" s="28" t="s">
        <v>116</v>
      </c>
      <c r="K54" s="28" t="s">
        <v>114</v>
      </c>
    </row>
    <row r="55" spans="2:11" x14ac:dyDescent="0.25">
      <c r="B55" s="38">
        <v>45992</v>
      </c>
      <c r="C55" s="28" t="s">
        <v>100</v>
      </c>
      <c r="D55" s="29">
        <v>135</v>
      </c>
      <c r="E55" s="39" t="str">
        <f>IF(tblActivity[[#This Row],[Month]]="","",IFERROR(INDEX(tblSources[Activity unit],MATCH(tblActivity[[#This Row],[Source]],tblSources[Source],0)),""))</f>
        <v>US gal</v>
      </c>
      <c r="F55" s="39" t="str">
        <f>IF(tblActivity[[#This Row],[Month]]="","",IFERROR(INDEX(tblSources[Scope],MATCH(tblActivity[[#This Row],[Source]],tblSources[Source],0)),""))</f>
        <v>Scope 1</v>
      </c>
      <c r="G55" s="40">
        <f>IF(tblActivity[[#This Row],[Month]]="","",IFERROR(INDEX(tblSources[Factor (kg CO2e/unit)],MATCH(tblActivity[[#This Row],[Source]],tblSources[Source],0)),""))</f>
        <v>8.78</v>
      </c>
      <c r="H55" s="41">
        <f>IF(tblActivity[[#This Row],[Month]]="","",IF(AND(ISNUMBER(tblActivity[[#This Row],[Quantity]]),ISNUMBER(tblActivity[[#This Row],[Factor (kg CO2e/unit)]])),tblActivity[[#This Row],[Quantity]]*tblActivity[[#This Row],[Factor (kg CO2e/unit)]],""))</f>
        <v>1185.3</v>
      </c>
      <c r="I55" s="42" t="str">
        <f>IF(tblActivity[[#This Row],[Month]]="","",IF(tblActivity[[#This Row],[Source]]="","Missing source",IF(tblActivity[[#This Row],[Quantity]]="","Missing quantity",IF(tblActivity[[#This Row],[Factor (kg CO2e/unit)]]="","Source not on Setup list",IF(DAY(tblActivity[[#This Row],[Month]])&lt;&gt;1,"Use the 1st of the month",IF(COUNTIFS(tblActivity[Month],tblActivity[[#This Row],[Month]],tblActivity[Source],tblActivity[[#This Row],[Source]])&gt;1,"Duplicate month and source","OK"))))))</f>
        <v>OK</v>
      </c>
      <c r="J55" s="28" t="s">
        <v>117</v>
      </c>
      <c r="K55" s="28" t="s">
        <v>114</v>
      </c>
    </row>
  </sheetData>
  <mergeCells count="3">
    <mergeCell ref="A1:K1"/>
    <mergeCell ref="B2:J2"/>
    <mergeCell ref="B4:K4"/>
  </mergeCells>
  <conditionalFormatting sqref="H6:H555">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I6:I555">
    <cfRule type="expression" dxfId="3" priority="2">
      <formula>$I6="OK"</formula>
    </cfRule>
    <cfRule type="expression" dxfId="1" priority="3">
      <formula>AND($I6&lt;&gt;"",$I6&lt;&gt;"OK")</formula>
    </cfRule>
  </conditionalFormatting>
  <dataValidations count="5">
    <dataValidation type="date" allowBlank="1" showInputMessage="1" showErrorMessage="1" errorTitle="Check this entry" error="Enter a date between 01 Jan 2000 and 31 Dec 2100." promptTitle="Month" prompt="The 1st of the month the bill or record covers. Enter a date between 01 Jan 2000 and 31 Dec 2100." sqref="B6:B555">
      <formula1>36526</formula1>
      <formula2>73415</formula2>
    </dataValidation>
    <dataValidation type="list" allowBlank="1" showInputMessage="1" showErrorMessage="1" errorTitle="Check this entry" error="Pick from the list (edit the list on Setup: Sources)." promptTitle="Source" prompt="Pick from the list (edit the list on Setup: Sources)." sqref="C6:C555">
      <formula1>Sources</formula1>
    </dataValidation>
    <dataValidation type="decimal" allowBlank="1" showInputMessage="1" showErrorMessage="1" errorTitle="Check this entry" error="Enter a number of at least 0." promptTitle="Quantity" prompt="Quantity in the source's activity unit (see the Unit column), from the bill, delivery note or service record. Enter a number of at least 0." sqref="D6:D555">
      <formula1>0</formula1>
      <formula2>1000000000000.0</formula2>
    </dataValidation>
    <dataValidation type="textLength" allowBlank="1" showInputMessage="1" showErrorMessage="1" errorTitle="Check this entry" error="Text up to 120 characters." promptTitle="Document" prompt="Where the number came from: bill number, delivery note, service record. Text up to 120 characters." sqref="J6:J555">
      <formula1>0</formula1>
      <formula2>120</formula2>
    </dataValidation>
    <dataValidation type="textLength" allowBlank="1" showInputMessage="1" showErrorMessage="1" errorTitle="Check this entry" error="Text up to 255 characters." promptTitle="Notes" prompt="Text up to 255 characters." sqref="K6:K555">
      <formula1>0</formula1>
      <formula2>255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Carbon Emissions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H6:H555</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H18"/>
  <sheetViews>
    <sheetView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2.7109375" customWidth="1"/>
    <col min="2" max="2" width="12.28515625" customWidth="1"/>
    <col min="3" max="4" width="12.7109375" customWidth="1"/>
    <col min="5" max="5" width="11.7109375" customWidth="1"/>
    <col min="6" max="6" width="12.7109375" customWidth="1"/>
    <col min="7" max="8" width="26.7109375" customWidth="1"/>
  </cols>
  <sheetData>
    <row r="1" spans="1:8" ht="30" customHeight="1">
      <c r="A1" s="1" t="s">
        <v>0</v>
      </c>
      <c r="B1" s="1"/>
      <c r="C1" s="1"/>
      <c r="D1" s="1"/>
      <c r="E1" s="1"/>
      <c r="F1" s="1"/>
      <c r="G1" s="1"/>
      <c r="H1" s="1"/>
    </row>
    <row r="2" spans="1:8" ht="21" customHeight="1">
      <c r="B2" s="2" t="s">
        <v>24</v>
      </c>
      <c r="C2" s="2"/>
      <c r="D2" s="2"/>
      <c r="E2" s="2"/>
      <c r="F2" s="2"/>
      <c r="G2" s="2"/>
      <c r="H2" s="3" t="s">
        <v>2</v>
      </c>
    </row>
    <row r="3" spans="1:8" ht="6" customHeight="1"/>
    <row r="4" spans="1:8" ht="18" customHeight="1">
      <c r="B4" s="37" t="s">
        <v>147</v>
      </c>
      <c r="C4" s="37"/>
      <c r="D4" s="37"/>
      <c r="E4" s="37"/>
      <c r="F4" s="37"/>
      <c r="G4" s="37"/>
      <c r="H4" s="37"/>
    </row>
    <row r="5" spans="1:8" ht="14" customHeight="1">
      <c r="B5" s="43"/>
      <c r="C5" s="43" t="str">
        <f>OutputUnit</f>
        <v>t product</v>
      </c>
      <c r="D5" s="43"/>
      <c r="E5" s="43" t="str">
        <f>"kg CO2e/"&amp;OutputUnit</f>
        <v>kg CO2e/t product</v>
      </c>
      <c r="F5" s="43"/>
      <c r="G5" s="43"/>
      <c r="H5" s="43"/>
    </row>
    <row r="6" spans="1:8" ht="32" customHeight="1">
      <c r="B6" s="34" t="s">
        <v>105</v>
      </c>
      <c r="C6" s="34" t="s">
        <v>144</v>
      </c>
      <c r="D6" s="34" t="s">
        <v>108</v>
      </c>
      <c r="E6" s="34" t="s">
        <v>145</v>
      </c>
      <c r="F6" s="34" t="s">
        <v>146</v>
      </c>
      <c r="G6" s="34" t="s">
        <v>109</v>
      </c>
      <c r="H6" s="34" t="s">
        <v>111</v>
      </c>
    </row>
    <row r="7" spans="1:8">
      <c r="B7" s="38">
        <v>45658</v>
      </c>
      <c r="C7" s="29">
        <v>523.7</v>
      </c>
      <c r="D7" s="41">
        <f>IF(tblOutput[[#This Row],[Month]]="","",SUMIFS(tblActivity[Emissions (kg CO2e)],tblActivity[Month],tblOutput[[#This Row],[Month]]))</f>
        <v>394115.76</v>
      </c>
      <c r="E7" s="41">
        <f>IF(tblOutput[[#This Row],[Month]]="","",IF(N(tblOutput[[#This Row],[Output]])&gt;0,tblOutput[[#This Row],[Emissions (kg CO2e)]]/tblOutput[[#This Row],[Output]],""))</f>
        <v>752.560168035135</v>
      </c>
      <c r="F7" s="44" t="str">
        <f>IF(NOT(ISNUMBER(tblOutput[[#This Row],[Intensity]])),"",IF(tblOutput[[#This Row],[Intensity]]&lt;=TargetIntensity,"On target",IF(tblOutput[[#This Row],[Intensity]]&lt;=TargetIntensity*(1+0.05),"Near target","Above target")))</f>
        <v>Above target</v>
      </c>
      <c r="G7"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7" s="28" t="s">
        <v>114</v>
      </c>
    </row>
    <row r="8" spans="1:8">
      <c r="B8" s="38">
        <v>45689</v>
      </c>
      <c r="C8" s="29">
        <v>508.1</v>
      </c>
      <c r="D8" s="41">
        <f>IF(tblOutput[[#This Row],[Month]]="","",SUMIFS(tblActivity[Emissions (kg CO2e)],tblActivity[Month],tblOutput[[#This Row],[Month]]))</f>
        <v>388046.67</v>
      </c>
      <c r="E8" s="41">
        <f>IF(tblOutput[[#This Row],[Month]]="","",IF(N(tblOutput[[#This Row],[Output]])&gt;0,tblOutput[[#This Row],[Emissions (kg CO2e)]]/tblOutput[[#This Row],[Output]],""))</f>
        <v>763.721058846684</v>
      </c>
      <c r="F8" s="44" t="str">
        <f>IF(NOT(ISNUMBER(tblOutput[[#This Row],[Intensity]])),"",IF(tblOutput[[#This Row],[Intensity]]&lt;=TargetIntensity,"On target",IF(tblOutput[[#This Row],[Intensity]]&lt;=TargetIntensity*(1+0.05),"Near target","Above target")))</f>
        <v>Above target</v>
      </c>
      <c r="G8"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8" s="28" t="s">
        <v>114</v>
      </c>
    </row>
    <row r="9" spans="1:8">
      <c r="B9" s="38">
        <v>45717</v>
      </c>
      <c r="C9" s="29">
        <v>483.6</v>
      </c>
      <c r="D9" s="41">
        <f>IF(tblOutput[[#This Row],[Month]]="","",SUMIFS(tblActivity[Emissions (kg CO2e)],tblActivity[Month],tblOutput[[#This Row],[Month]]))</f>
        <v>372556.68</v>
      </c>
      <c r="E9" s="41">
        <f>IF(tblOutput[[#This Row],[Month]]="","",IF(N(tblOutput[[#This Row],[Output]])&gt;0,tblOutput[[#This Row],[Emissions (kg CO2e)]]/tblOutput[[#This Row],[Output]],""))</f>
        <v>770.381885856079</v>
      </c>
      <c r="F9" s="44" t="str">
        <f>IF(NOT(ISNUMBER(tblOutput[[#This Row],[Intensity]])),"",IF(tblOutput[[#This Row],[Intensity]]&lt;=TargetIntensity,"On target",IF(tblOutput[[#This Row],[Intensity]]&lt;=TargetIntensity*(1+0.05),"Near target","Above target")))</f>
        <v>Above target</v>
      </c>
      <c r="G9"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9" s="28" t="s">
        <v>114</v>
      </c>
    </row>
    <row r="10" spans="1:8">
      <c r="B10" s="38">
        <v>45748</v>
      </c>
      <c r="C10" s="29">
        <v>499.9</v>
      </c>
      <c r="D10" s="41">
        <f>IF(tblOutput[[#This Row],[Month]]="","",SUMIFS(tblActivity[Emissions (kg CO2e)],tblActivity[Month],tblOutput[[#This Row],[Month]]))</f>
        <v>352922.42</v>
      </c>
      <c r="E10" s="41">
        <f>IF(tblOutput[[#This Row],[Month]]="","",IF(N(tblOutput[[#This Row],[Output]])&gt;0,tblOutput[[#This Row],[Emissions (kg CO2e)]]/tblOutput[[#This Row],[Output]],""))</f>
        <v>705.986037207442</v>
      </c>
      <c r="F10" s="44" t="str">
        <f>IF(NOT(ISNUMBER(tblOutput[[#This Row],[Intensity]])),"",IF(tblOutput[[#This Row],[Intensity]]&lt;=TargetIntensity,"On target",IF(tblOutput[[#This Row],[Intensity]]&lt;=TargetIntensity*(1+0.05),"Near target","Above target")))</f>
        <v>Above target</v>
      </c>
      <c r="G10"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0" s="28" t="s">
        <v>114</v>
      </c>
    </row>
    <row r="11" spans="1:8">
      <c r="B11" s="38">
        <v>45778</v>
      </c>
      <c r="C11" s="29">
        <v>490.5</v>
      </c>
      <c r="D11" s="41">
        <f>IF(tblOutput[[#This Row],[Month]]="","",SUMIFS(tblActivity[Emissions (kg CO2e)],tblActivity[Month],tblOutput[[#This Row],[Month]]))</f>
        <v>335919.26</v>
      </c>
      <c r="E11" s="41">
        <f>IF(tblOutput[[#This Row],[Month]]="","",IF(N(tblOutput[[#This Row],[Output]])&gt;0,tblOutput[[#This Row],[Emissions (kg CO2e)]]/tblOutput[[#This Row],[Output]],""))</f>
        <v>684.850682976555</v>
      </c>
      <c r="F11" s="44" t="str">
        <f>IF(NOT(ISNUMBER(tblOutput[[#This Row],[Intensity]])),"",IF(tblOutput[[#This Row],[Intensity]]&lt;=TargetIntensity,"On target",IF(tblOutput[[#This Row],[Intensity]]&lt;=TargetIntensity*(1+0.05),"Near target","Above target")))</f>
        <v>Above target</v>
      </c>
      <c r="G11"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1" s="28" t="s">
        <v>114</v>
      </c>
    </row>
    <row r="12" spans="1:8">
      <c r="B12" s="38">
        <v>45809</v>
      </c>
      <c r="C12" s="29">
        <v>479.2</v>
      </c>
      <c r="D12" s="41">
        <f>IF(tblOutput[[#This Row],[Month]]="","",SUMIFS(tblActivity[Emissions (kg CO2e)],tblActivity[Month],tblOutput[[#This Row],[Month]]))</f>
        <v>343627.04</v>
      </c>
      <c r="E12" s="41">
        <f>IF(tblOutput[[#This Row],[Month]]="","",IF(N(tblOutput[[#This Row],[Output]])&gt;0,tblOutput[[#This Row],[Emissions (kg CO2e)]]/tblOutput[[#This Row],[Output]],""))</f>
        <v>717.084808013356</v>
      </c>
      <c r="F12" s="44" t="str">
        <f>IF(NOT(ISNUMBER(tblOutput[[#This Row],[Intensity]])),"",IF(tblOutput[[#This Row],[Intensity]]&lt;=TargetIntensity,"On target",IF(tblOutput[[#This Row],[Intensity]]&lt;=TargetIntensity*(1+0.05),"Near target","Above target")))</f>
        <v>Above target</v>
      </c>
      <c r="G12"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2" s="28" t="s">
        <v>114</v>
      </c>
    </row>
    <row r="13" spans="1:8">
      <c r="B13" s="38">
        <v>45839</v>
      </c>
      <c r="C13" s="29">
        <v>546.4</v>
      </c>
      <c r="D13" s="41">
        <f>IF(tblOutput[[#This Row],[Month]]="","",SUMIFS(tblActivity[Emissions (kg CO2e)],tblActivity[Month],tblOutput[[#This Row],[Month]]))</f>
        <v>379230.07</v>
      </c>
      <c r="E13" s="41">
        <f>IF(tblOutput[[#This Row],[Month]]="","",IF(N(tblOutput[[#This Row],[Output]])&gt;0,tblOutput[[#This Row],[Emissions (kg CO2e)]]/tblOutput[[#This Row],[Output]],""))</f>
        <v>694.052104685212</v>
      </c>
      <c r="F13" s="44" t="str">
        <f>IF(NOT(ISNUMBER(tblOutput[[#This Row],[Intensity]])),"",IF(tblOutput[[#This Row],[Intensity]]&lt;=TargetIntensity,"On target",IF(tblOutput[[#This Row],[Intensity]]&lt;=TargetIntensity*(1+0.05),"Near target","Above target")))</f>
        <v>Above target</v>
      </c>
      <c r="G13"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3" s="28" t="s">
        <v>114</v>
      </c>
    </row>
    <row r="14" spans="1:8">
      <c r="B14" s="38">
        <v>45870</v>
      </c>
      <c r="C14" s="29">
        <v>425.4</v>
      </c>
      <c r="D14" s="41">
        <f>IF(tblOutput[[#This Row],[Month]]="","",SUMIFS(tblActivity[Emissions (kg CO2e)],tblActivity[Month],tblOutput[[#This Row],[Month]]))</f>
        <v>320388.26</v>
      </c>
      <c r="E14" s="41">
        <f>IF(tblOutput[[#This Row],[Month]]="","",IF(N(tblOutput[[#This Row],[Output]])&gt;0,tblOutput[[#This Row],[Emissions (kg CO2e)]]/tblOutput[[#This Row],[Output]],""))</f>
        <v>753.14588622473</v>
      </c>
      <c r="F14" s="44" t="str">
        <f>IF(NOT(ISNUMBER(tblOutput[[#This Row],[Intensity]])),"",IF(tblOutput[[#This Row],[Intensity]]&lt;=TargetIntensity,"On target",IF(tblOutput[[#This Row],[Intensity]]&lt;=TargetIntensity*(1+0.05),"Near target","Above target")))</f>
        <v>Above target</v>
      </c>
      <c r="G14"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4" s="28" t="s">
        <v>148</v>
      </c>
    </row>
    <row r="15" spans="1:8">
      <c r="B15" s="38">
        <v>45901</v>
      </c>
      <c r="C15" s="29">
        <v>485.4</v>
      </c>
      <c r="D15" s="41">
        <f>IF(tblOutput[[#This Row],[Month]]="","",SUMIFS(tblActivity[Emissions (kg CO2e)],tblActivity[Month],tblOutput[[#This Row],[Month]]))</f>
        <v>349667.14</v>
      </c>
      <c r="E15" s="41">
        <f>IF(tblOutput[[#This Row],[Month]]="","",IF(N(tblOutput[[#This Row],[Output]])&gt;0,tblOutput[[#This Row],[Emissions (kg CO2e)]]/tblOutput[[#This Row],[Output]],""))</f>
        <v>720.36905644829</v>
      </c>
      <c r="F15" s="44" t="str">
        <f>IF(NOT(ISNUMBER(tblOutput[[#This Row],[Intensity]])),"",IF(tblOutput[[#This Row],[Intensity]]&lt;=TargetIntensity,"On target",IF(tblOutput[[#This Row],[Intensity]]&lt;=TargetIntensity*(1+0.05),"Near target","Above target")))</f>
        <v>Above target</v>
      </c>
      <c r="G15"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5" s="28" t="s">
        <v>114</v>
      </c>
    </row>
    <row r="16" spans="1:8">
      <c r="B16" s="38">
        <v>45931</v>
      </c>
      <c r="C16" s="29">
        <v>537.3</v>
      </c>
      <c r="D16" s="41">
        <f>IF(tblOutput[[#This Row],[Month]]="","",SUMIFS(tblActivity[Emissions (kg CO2e)],tblActivity[Month],tblOutput[[#This Row],[Month]]))</f>
        <v>363752.74</v>
      </c>
      <c r="E16" s="41">
        <f>IF(tblOutput[[#This Row],[Month]]="","",IF(N(tblOutput[[#This Row],[Output]])&gt;0,tblOutput[[#This Row],[Emissions (kg CO2e)]]/tblOutput[[#This Row],[Output]],""))</f>
        <v>677.00119114089</v>
      </c>
      <c r="F16" s="44" t="str">
        <f>IF(NOT(ISNUMBER(tblOutput[[#This Row],[Intensity]])),"",IF(tblOutput[[#This Row],[Intensity]]&lt;=TargetIntensity,"On target",IF(tblOutput[[#This Row],[Intensity]]&lt;=TargetIntensity*(1+0.05),"Near target","Above target")))</f>
        <v>Above target</v>
      </c>
      <c r="G16"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6" s="28" t="s">
        <v>114</v>
      </c>
    </row>
    <row r="17" spans="2:8">
      <c r="B17" s="38">
        <v>45962</v>
      </c>
      <c r="C17" s="29">
        <v>533.3</v>
      </c>
      <c r="D17" s="41">
        <f>IF(tblOutput[[#This Row],[Month]]="","",SUMIFS(tblActivity[Emissions (kg CO2e)],tblActivity[Month],tblOutput[[#This Row],[Month]]))</f>
        <v>374864.12</v>
      </c>
      <c r="E17" s="41">
        <f>IF(tblOutput[[#This Row],[Month]]="","",IF(N(tblOutput[[#This Row],[Output]])&gt;0,tblOutput[[#This Row],[Emissions (kg CO2e)]]/tblOutput[[#This Row],[Output]],""))</f>
        <v>702.914157134821</v>
      </c>
      <c r="F17" s="44" t="str">
        <f>IF(NOT(ISNUMBER(tblOutput[[#This Row],[Intensity]])),"",IF(tblOutput[[#This Row],[Intensity]]&lt;=TargetIntensity,"On target",IF(tblOutput[[#This Row],[Intensity]]&lt;=TargetIntensity*(1+0.05),"Near target","Above target")))</f>
        <v>Above target</v>
      </c>
      <c r="G17"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7" s="28" t="s">
        <v>114</v>
      </c>
    </row>
    <row r="18" spans="2:8">
      <c r="B18" s="38">
        <v>45992</v>
      </c>
      <c r="C18" s="29">
        <v>498.1</v>
      </c>
      <c r="D18" s="41">
        <f>IF(tblOutput[[#This Row],[Month]]="","",SUMIFS(tblActivity[Emissions (kg CO2e)],tblActivity[Month],tblOutput[[#This Row],[Month]]))</f>
        <v>366076.45</v>
      </c>
      <c r="E18" s="41">
        <f>IF(tblOutput[[#This Row],[Month]]="","",IF(N(tblOutput[[#This Row],[Output]])&gt;0,tblOutput[[#This Row],[Emissions (kg CO2e)]]/tblOutput[[#This Row],[Output]],""))</f>
        <v>734.945693635816</v>
      </c>
      <c r="F18" s="44" t="str">
        <f>IF(NOT(ISNUMBER(tblOutput[[#This Row],[Intensity]])),"",IF(tblOutput[[#This Row],[Intensity]]&lt;=TargetIntensity,"On target",IF(tblOutput[[#This Row],[Intensity]]&lt;=TargetIntensity*(1+0.05),"Near target","Above target")))</f>
        <v>Above target</v>
      </c>
      <c r="G18" s="42" t="str">
        <f>IF(tblOutput[[#This Row],[Month]]="","",IF(tblOutput[[#This Row],[Output]]="","Missing output",IF(DAY(tblOutput[[#This Row],[Month]])&lt;&gt;1,"Use the 1st of the month",IF(COUNTIFS(tblOutput[Month],tblOutput[[#This Row],[Month]])&gt;1,"Duplicate month",IF(COUNTIFS(tblActivity[Month],tblOutput[[#This Row],[Month]])=0,"No Energy Log rows this month","OK")))))</f>
        <v>OK</v>
      </c>
      <c r="H18" s="28" t="s">
        <v>148</v>
      </c>
    </row>
  </sheetData>
  <mergeCells count="3">
    <mergeCell ref="A1:H1"/>
    <mergeCell ref="B2:G2"/>
    <mergeCell ref="B4:H4"/>
  </mergeCells>
  <conditionalFormatting sqref="E7:E518">
    <cfRule type="expression" dxfId="3" priority="1" stopIfTrue="1">
      <formula>AND(ISNUMBER(E7),E7&lt;=(TargetIntensity))</formula>
    </cfRule>
    <cfRule type="expression" dxfId="4" priority="2" stopIfTrue="1">
      <formula>AND(ISNUMBER(E7),E7&lt;=(TargetIntensity)*(1+0.05))</formula>
    </cfRule>
    <cfRule type="expression" dxfId="5" priority="3">
      <formula>ISNUMBER(E7)</formula>
    </cfRule>
  </conditionalFormatting>
  <conditionalFormatting sqref="F7:F51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G7:G518">
    <cfRule type="expression" dxfId="3" priority="24">
      <formula>$G7="OK"</formula>
    </cfRule>
    <cfRule type="expression" dxfId="1" priority="25">
      <formula>AND($G7&lt;&gt;"",$G7&lt;&gt;"OK")</formula>
    </cfRule>
  </conditionalFormatting>
  <dataValidations count="3">
    <dataValidation type="date" allowBlank="1" showInputMessage="1" showErrorMessage="1" errorTitle="Check this entry" error="Enter a date between 01 Jan 2000 and 31 Dec 2100." promptTitle="Month" prompt="The 1st of the month. Enter a date between 01 Jan 2000 and 31 Dec 2100." sqref="B7:B518">
      <formula1>36526</formula1>
      <formula2>73415</formula2>
    </dataValidation>
    <dataValidation type="decimal" allowBlank="1" showInputMessage="1" showErrorMessage="1" errorTitle="Check this entry" error="Enter a number of at least 0." promptTitle="Output" prompt="Good output in the month, in the output unit on Setup. Enter a number of at least 0." sqref="C7:C518">
      <formula1>0</formula1>
      <formula2>1000000000000.0</formula2>
    </dataValidation>
    <dataValidation type="textLength" allowBlank="1" showInputMessage="1" showErrorMessage="1" errorTitle="Check this entry" error="Text up to 255 characters." promptTitle="Notes" prompt="Text up to 255 characters." sqref="H7:H518">
      <formula1>0</formula1>
      <formula2>255</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Carbon Emissions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K10"/>
  <sheetViews>
    <sheetView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2.7109375" customWidth="1"/>
    <col min="2" max="2" width="30.7109375" customWidth="1"/>
    <col min="3" max="3" width="18.7109375" customWidth="1"/>
    <col min="4" max="5" width="11.7109375" customWidth="1"/>
    <col min="6" max="6" width="13.7109375" customWidth="1"/>
    <col min="7" max="7" width="8.7109375" customWidth="1"/>
    <col min="8" max="8" width="10.7109375" customWidth="1"/>
    <col min="9" max="9" width="11.7109375" customWidth="1"/>
    <col min="10" max="10" width="22.7109375" customWidth="1"/>
    <col min="11" max="11" width="28.7109375" customWidth="1"/>
  </cols>
  <sheetData>
    <row r="1" spans="1:11" ht="30" customHeight="1" x14ac:dyDescent="0.25">
      <c r="A1" s="1" t="s">
        <v>0</v>
      </c>
      <c r="B1" s="1"/>
      <c r="C1" s="1"/>
      <c r="D1" s="1"/>
      <c r="E1" s="1"/>
      <c r="F1" s="1"/>
      <c r="G1" s="1"/>
      <c r="H1" s="1"/>
      <c r="I1" s="1"/>
      <c r="J1" s="1"/>
      <c r="K1" s="1"/>
    </row>
    <row r="2" spans="1:11" ht="21" customHeight="1" x14ac:dyDescent="0.25">
      <c r="B2" s="2" t="s">
        <v>26</v>
      </c>
      <c r="C2" s="2"/>
      <c r="D2" s="2"/>
      <c r="E2" s="2"/>
      <c r="F2" s="2"/>
      <c r="G2" s="2"/>
      <c r="H2" s="2"/>
      <c r="I2" s="2"/>
      <c r="J2" s="2"/>
      <c r="K2" s="3" t="s">
        <v>2</v>
      </c>
    </row>
    <row r="3" spans="1:11" ht="6" customHeight="1" x14ac:dyDescent="0.25"/>
    <row r="4" spans="1:11" ht="18" customHeight="1" x14ac:dyDescent="0.25">
      <c r="B4" s="37" t="s">
        <v>154</v>
      </c>
      <c r="C4" s="37"/>
      <c r="D4" s="37"/>
      <c r="E4" s="37"/>
      <c r="F4" s="37"/>
      <c r="G4" s="37"/>
      <c r="H4" s="37"/>
      <c r="I4" s="37"/>
      <c r="J4" s="37"/>
      <c r="K4" s="37"/>
    </row>
    <row r="5" spans="1:11" ht="32" customHeight="1" x14ac:dyDescent="0.25">
      <c r="B5" s="34" t="s">
        <v>149</v>
      </c>
      <c r="C5" s="34" t="s">
        <v>66</v>
      </c>
      <c r="D5" s="34" t="s">
        <v>150</v>
      </c>
      <c r="E5" s="34" t="s">
        <v>151</v>
      </c>
      <c r="F5" s="34" t="s">
        <v>152</v>
      </c>
      <c r="G5" s="34" t="s">
        <v>107</v>
      </c>
      <c r="H5" s="34" t="s">
        <v>69</v>
      </c>
      <c r="I5" s="34" t="s">
        <v>153</v>
      </c>
      <c r="J5" s="34" t="s">
        <v>109</v>
      </c>
      <c r="K5" s="34" t="s">
        <v>111</v>
      </c>
    </row>
    <row r="6" spans="1:11" x14ac:dyDescent="0.25">
      <c r="B6" s="36" t="s">
        <v>155</v>
      </c>
      <c r="C6" s="28" t="s">
        <v>89</v>
      </c>
      <c r="D6" s="29">
        <v>250000</v>
      </c>
      <c r="E6" s="28" t="s">
        <v>156</v>
      </c>
      <c r="F6" s="28" t="s">
        <v>157</v>
      </c>
      <c r="G6" s="39" t="str">
        <f>IF(tblProjects[[#This Row],[Project]]="","",IFERROR(INDEX(tblSources[Activity unit],MATCH(tblProjects[[#This Row],[Source]],tblSources[Source],0)),""))</f>
        <v>kWh</v>
      </c>
      <c r="H6" s="40">
        <f>IF(tblProjects[[#This Row],[Project]]="","",IFERROR(INDEX(tblSources[Factor (kg CO2e/unit)],MATCH(tblProjects[[#This Row],[Source]],tblSources[Source],0)),""))</f>
        <v>0.386</v>
      </c>
      <c r="I6" s="45">
        <f>IF(tblProjects[[#This Row],[Project]]="","",IF(AND(ISNUMBER(tblProjects[[#This Row],[Saved per year]]),ISNUMBER(tblProjects[[#This Row],[Factor (kg CO2e/unit)]])),tblProjects[[#This Row],[Saved per year]]*tblProjects[[#This Row],[Factor (kg CO2e/unit)]]/1000,""))</f>
        <v>96.5</v>
      </c>
      <c r="J6" s="42" t="str">
        <f>IF(tblProjects[[#This Row],[Project]]="","",IF(tblProjects[[#This Row],[Source]]="","Missing source",IF(tblProjects[[#This Row],[Saved per year]]="","Missing saved per year",IF(tblProjects[[#This Row],[Status]]="","Missing status",IF(tblProjects[[#This Row],[Factor (kg CO2e/unit)]]="","Source not on Setup list","OK")))))</f>
        <v>OK</v>
      </c>
      <c r="K6" s="28" t="s">
        <v>158</v>
      </c>
    </row>
    <row r="7" spans="1:11" x14ac:dyDescent="0.25">
      <c r="B7" s="36" t="s">
        <v>159</v>
      </c>
      <c r="C7" s="28" t="s">
        <v>89</v>
      </c>
      <c r="D7" s="29">
        <v>180000</v>
      </c>
      <c r="E7" s="28" t="s">
        <v>160</v>
      </c>
      <c r="F7" s="28" t="s">
        <v>161</v>
      </c>
      <c r="G7" s="39" t="str">
        <f>IF(tblProjects[[#This Row],[Project]]="","",IFERROR(INDEX(tblSources[Activity unit],MATCH(tblProjects[[#This Row],[Source]],tblSources[Source],0)),""))</f>
        <v>kWh</v>
      </c>
      <c r="H7" s="40">
        <f>IF(tblProjects[[#This Row],[Project]]="","",IFERROR(INDEX(tblSources[Factor (kg CO2e/unit)],MATCH(tblProjects[[#This Row],[Source]],tblSources[Source],0)),""))</f>
        <v>0.386</v>
      </c>
      <c r="I7" s="45">
        <f>IF(tblProjects[[#This Row],[Project]]="","",IF(AND(ISNUMBER(tblProjects[[#This Row],[Saved per year]]),ISNUMBER(tblProjects[[#This Row],[Factor (kg CO2e/unit)]])),tblProjects[[#This Row],[Saved per year]]*tblProjects[[#This Row],[Factor (kg CO2e/unit)]]/1000,""))</f>
        <v>69.48</v>
      </c>
      <c r="J7" s="42" t="str">
        <f>IF(tblProjects[[#This Row],[Project]]="","",IF(tblProjects[[#This Row],[Source]]="","Missing source",IF(tblProjects[[#This Row],[Saved per year]]="","Missing saved per year",IF(tblProjects[[#This Row],[Status]]="","Missing status",IF(tblProjects[[#This Row],[Factor (kg CO2e/unit)]]="","Source not on Setup list","OK")))))</f>
        <v>OK</v>
      </c>
      <c r="K7" s="28" t="s">
        <v>162</v>
      </c>
    </row>
    <row r="8" spans="1:11" x14ac:dyDescent="0.25">
      <c r="B8" s="36" t="s">
        <v>163</v>
      </c>
      <c r="C8" s="28" t="s">
        <v>89</v>
      </c>
      <c r="D8" s="29">
        <v>300000</v>
      </c>
      <c r="E8" s="28" t="s">
        <v>164</v>
      </c>
      <c r="F8" s="28" t="s">
        <v>165</v>
      </c>
      <c r="G8" s="39" t="str">
        <f>IF(tblProjects[[#This Row],[Project]]="","",IFERROR(INDEX(tblSources[Activity unit],MATCH(tblProjects[[#This Row],[Source]],tblSources[Source],0)),""))</f>
        <v>kWh</v>
      </c>
      <c r="H8" s="40">
        <f>IF(tblProjects[[#This Row],[Project]]="","",IFERROR(INDEX(tblSources[Factor (kg CO2e/unit)],MATCH(tblProjects[[#This Row],[Source]],tblSources[Source],0)),""))</f>
        <v>0.386</v>
      </c>
      <c r="I8" s="45">
        <f>IF(tblProjects[[#This Row],[Project]]="","",IF(AND(ISNUMBER(tblProjects[[#This Row],[Saved per year]]),ISNUMBER(tblProjects[[#This Row],[Factor (kg CO2e/unit)]])),tblProjects[[#This Row],[Saved per year]]*tblProjects[[#This Row],[Factor (kg CO2e/unit)]]/1000,""))</f>
        <v>115.8</v>
      </c>
      <c r="J8" s="42" t="str">
        <f>IF(tblProjects[[#This Row],[Project]]="","",IF(tblProjects[[#This Row],[Source]]="","Missing source",IF(tblProjects[[#This Row],[Saved per year]]="","Missing saved per year",IF(tblProjects[[#This Row],[Status]]="","Missing status",IF(tblProjects[[#This Row],[Factor (kg CO2e/unit)]]="","Source not on Setup list","OK")))))</f>
        <v>OK</v>
      </c>
      <c r="K8" s="28" t="s">
        <v>166</v>
      </c>
    </row>
    <row r="9" spans="1:11" x14ac:dyDescent="0.25">
      <c r="B9" s="36" t="s">
        <v>167</v>
      </c>
      <c r="C9" s="28" t="s">
        <v>93</v>
      </c>
      <c r="D9" s="29">
        <v>12000</v>
      </c>
      <c r="E9" s="28" t="s">
        <v>164</v>
      </c>
      <c r="F9" s="28" t="s">
        <v>157</v>
      </c>
      <c r="G9" s="39" t="str">
        <f>IF(tblProjects[[#This Row],[Project]]="","",IFERROR(INDEX(tblSources[Activity unit],MATCH(tblProjects[[#This Row],[Source]],tblSources[Source],0)),""))</f>
        <v>therm</v>
      </c>
      <c r="H9" s="40">
        <f>IF(tblProjects[[#This Row],[Project]]="","",IFERROR(INDEX(tblSources[Factor (kg CO2e/unit)],MATCH(tblProjects[[#This Row],[Source]],tblSources[Source],0)),""))</f>
        <v>5.306</v>
      </c>
      <c r="I9" s="45">
        <f>IF(tblProjects[[#This Row],[Project]]="","",IF(AND(ISNUMBER(tblProjects[[#This Row],[Saved per year]]),ISNUMBER(tblProjects[[#This Row],[Factor (kg CO2e/unit)]])),tblProjects[[#This Row],[Saved per year]]*tblProjects[[#This Row],[Factor (kg CO2e/unit)]]/1000,""))</f>
        <v>63.672</v>
      </c>
      <c r="J9" s="42" t="str">
        <f>IF(tblProjects[[#This Row],[Project]]="","",IF(tblProjects[[#This Row],[Source]]="","Missing source",IF(tblProjects[[#This Row],[Saved per year]]="","Missing saved per year",IF(tblProjects[[#This Row],[Status]]="","Missing status",IF(tblProjects[[#This Row],[Factor (kg CO2e/unit)]]="","Source not on Setup list","OK")))))</f>
        <v>OK</v>
      </c>
      <c r="K9" s="28" t="s">
        <v>114</v>
      </c>
    </row>
    <row r="10" spans="1:11" x14ac:dyDescent="0.25">
      <c r="B10" s="36" t="s">
        <v>168</v>
      </c>
      <c r="C10" s="28" t="s">
        <v>102</v>
      </c>
      <c r="D10" s="29">
        <v>8</v>
      </c>
      <c r="E10" s="28" t="s">
        <v>160</v>
      </c>
      <c r="F10" s="28" t="s">
        <v>161</v>
      </c>
      <c r="G10" s="39" t="str">
        <f>IF(tblProjects[[#This Row],[Project]]="","",IFERROR(INDEX(tblSources[Activity unit],MATCH(tblProjects[[#This Row],[Source]],tblSources[Source],0)),""))</f>
        <v>kg</v>
      </c>
      <c r="H10" s="40">
        <f>IF(tblProjects[[#This Row],[Project]]="","",IFERROR(INDEX(tblSources[Factor (kg CO2e/unit)],MATCH(tblProjects[[#This Row],[Source]],tblSources[Source],0)),""))</f>
        <v>2088</v>
      </c>
      <c r="I10" s="45">
        <f>IF(tblProjects[[#This Row],[Project]]="","",IF(AND(ISNUMBER(tblProjects[[#This Row],[Saved per year]]),ISNUMBER(tblProjects[[#This Row],[Factor (kg CO2e/unit)]])),tblProjects[[#This Row],[Saved per year]]*tblProjects[[#This Row],[Factor (kg CO2e/unit)]]/1000,""))</f>
        <v>16.704</v>
      </c>
      <c r="J10" s="42" t="str">
        <f>IF(tblProjects[[#This Row],[Project]]="","",IF(tblProjects[[#This Row],[Source]]="","Missing source",IF(tblProjects[[#This Row],[Saved per year]]="","Missing saved per year",IF(tblProjects[[#This Row],[Status]]="","Missing status",IF(tblProjects[[#This Row],[Factor (kg CO2e/unit)]]="","Source not on Setup list","OK")))))</f>
        <v>OK</v>
      </c>
      <c r="K10" s="28" t="s">
        <v>169</v>
      </c>
    </row>
  </sheetData>
  <mergeCells count="3">
    <mergeCell ref="A1:K1"/>
    <mergeCell ref="B2:J2"/>
    <mergeCell ref="B4:K4"/>
  </mergeCells>
  <conditionalFormatting sqref="I6:I510">
    <cfRule type="dataBar" priority="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J6:J510">
    <cfRule type="expression" dxfId="3" priority="2">
      <formula>$J6="OK"</formula>
    </cfRule>
    <cfRule type="expression" dxfId="1" priority="3">
      <formula>AND($J6&lt;&gt;"",$J6&lt;&gt;"OK")</formula>
    </cfRule>
  </conditionalFormatting>
  <dataValidations count="6">
    <dataValidation type="textLength" allowBlank="1" showInputMessage="1" showErrorMessage="1" errorTitle="Check this entry" error="Text up to 80 characters." promptTitle="Project" prompt="Text up to 80 characters." sqref="B6:B510">
      <formula1>0</formula1>
      <formula2>80</formula2>
    </dataValidation>
    <dataValidation type="list" allowBlank="1" showInputMessage="1" showErrorMessage="1" errorTitle="Check this entry" error="Pick from the list (edit the list on Setup: Sources)." promptTitle="Source" prompt="Pick from the list (edit the list on Setup: Sources)." sqref="C6:C510">
      <formula1>Sources</formula1>
    </dataValidation>
    <dataValidation type="decimal" allowBlank="1" showInputMessage="1" showErrorMessage="1" errorTitle="Check this entry" error="Enter a number of at least 0." promptTitle="Saved per year" prompt="Energy, fuel or refrigerant the project saves per year, in the source's unit (see Unit). Enter a number of at least 0." sqref="D6:D510">
      <formula1>0</formula1>
      <formula2>1000000000000.0</formula2>
    </dataValidation>
    <dataValidation type="list" allowBlank="1" showInputMessage="1" showErrorMessage="1" errorTitle="Check this entry" error="Pick one of: Planned, In progress, Complete." promptTitle="Status" prompt="Planned, In progress or Complete. Complete projects are already in the logged figures; the Dashboard counts only the others as savings to come. Pick one of: Planned, In progress, Complete." sqref="E6:E510">
      <formula1>"Planned,In progress,Complete"</formula1>
    </dataValidation>
    <dataValidation type="textLength" allowBlank="1" showInputMessage="1" showErrorMessage="1" errorTitle="Check this entry" error="Text up to 40 characters." promptTitle="Owner" prompt="Text up to 40 characters." sqref="F6:F510">
      <formula1>0</formula1>
      <formula2>40</formula2>
    </dataValidation>
    <dataValidation type="textLength" allowBlank="1" showInputMessage="1" showErrorMessage="1" errorTitle="Check this entry" error="Text up to 255 characters." promptTitle="Notes" prompt="Text up to 255 characters." sqref="K6:K510">
      <formula1>0</formula1>
      <formula2>255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Carbon Emissions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I6:I510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63"/>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28</v>
      </c>
      <c r="C2" s="2"/>
      <c r="D2" s="2"/>
      <c r="E2" s="2"/>
      <c r="F2" s="2"/>
      <c r="G2" s="2"/>
      <c r="H2" s="2"/>
      <c r="I2" s="2"/>
      <c r="J2" s="2"/>
      <c r="K2" s="3" t="s">
        <v>2</v>
      </c>
      <c r="L2" s="3"/>
    </row>
    <row r="3" spans="1:12" ht="6" customHeight="1" x14ac:dyDescent="0.25"/>
    <row r="4" spans="1:12" x14ac:dyDescent="0.25">
      <c r="B4" s="27" t="s">
        <v>74</v>
      </c>
      <c r="C4" s="27"/>
      <c r="D4" s="39" t="str">
        <f>""&amp;ReportYear</f>
        <v>2025</v>
      </c>
      <c r="E4" s="39"/>
      <c r="F4" s="7"/>
      <c r="H4" s="27" t="s">
        <v>170</v>
      </c>
      <c r="I4" s="27"/>
      <c r="J4" s="45">
        <f>TargetT</f>
        <v>3782.5</v>
      </c>
      <c r="K4" s="45"/>
      <c r="L4" s="7" t="s">
        <v>80</v>
      </c>
    </row>
    <row r="5" spans="1:12" x14ac:dyDescent="0.25">
      <c r="B5" s="46" t="str">
        <f>"Emissions in t CO2e for the calendar year on Setup; intensity in kg CO2e per "&amp;OutputUnit&amp;". "&amp;KpiMonths&amp;" of 12 months have Energy Log rows."</f>
        <v>Emissions in t CO2e for the calendar year on Setup; intensity in kg CO2e per t product. 12 of 12 months have Energy Log rows.</v>
      </c>
      <c r="C5" s="46"/>
      <c r="D5" s="46"/>
      <c r="E5" s="46"/>
      <c r="F5" s="46"/>
      <c r="G5" s="46"/>
      <c r="H5" s="46"/>
      <c r="I5" s="46"/>
      <c r="J5" s="46"/>
      <c r="K5" s="46"/>
      <c r="L5" s="46"/>
    </row>
    <row r="7" spans="1:12" ht="18" customHeight="1" x14ac:dyDescent="0.25">
      <c r="B7" s="47" t="s">
        <v>171</v>
      </c>
      <c r="C7" s="47"/>
      <c r="D7" s="47" t="s">
        <v>172</v>
      </c>
      <c r="E7" s="47"/>
      <c r="F7" s="47"/>
      <c r="G7" s="47" t="s">
        <v>173</v>
      </c>
      <c r="H7" s="47"/>
      <c r="I7" s="47"/>
      <c r="J7" s="47" t="str">
        <f>"INTENSITY (KG CO2E/"&amp;UPPER(OutputUnit)&amp;")"</f>
        <v>INTENSITY (KG CO2E/T PRODUCT)</v>
      </c>
      <c r="K7" s="47"/>
      <c r="L7" s="47"/>
    </row>
    <row r="8" spans="1:12" ht="21" customHeight="1" x14ac:dyDescent="0.25">
      <c r="B8" s="48">
        <f>SUMIFS(tblActivity[Emissions (kg CO2e)],tblActivity[Month],"&gt;="&amp;YStart,tblActivity[Month],"&lt;"&amp;YEnd)/1000</f>
        <v>4341.16661</v>
      </c>
      <c r="C8" s="48"/>
      <c r="D8" s="48">
        <f>SUMIFS(tblActivity[Emissions (kg CO2e)],tblActivity[Scope],"Scope 1",tblActivity[Month],"&gt;="&amp;YStart,tblActivity[Month],"&lt;"&amp;YEnd)/1000</f>
        <v>373.89721</v>
      </c>
      <c r="E8" s="48"/>
      <c r="F8" s="48"/>
      <c r="G8" s="48">
        <f>SUMIFS(tblActivity[Emissions (kg CO2e)],tblActivity[Scope],"Scope 2",tblActivity[Month],"&gt;="&amp;YStart,tblActivity[Month],"&lt;"&amp;YEnd)/1000</f>
        <v>3967.2694</v>
      </c>
      <c r="H8" s="48"/>
      <c r="I8" s="48"/>
      <c r="J8" s="49">
        <f>IF((SUMIFS(tblOutput[Output],tblOutput[Month],"&gt;="&amp;YStart,tblOutput[Month],"&lt;"&amp;YEnd))=0,"",(SUMIFS(tblActivity[Emissions (kg CO2e)],tblActivity[Month],"&gt;="&amp;YStart,tblActivity[Month],"&lt;"&amp;YEnd))/(SUMIFS(tblOutput[Output],tblOutput[Month],"&gt;="&amp;YStart,tblOutput[Month],"&lt;"&amp;YEnd)))</f>
        <v>722.215743066762</v>
      </c>
      <c r="K8" s="49"/>
      <c r="L8" s="49"/>
    </row>
    <row r="9" spans="1:12" ht="21" customHeight="1" x14ac:dyDescent="0.25">
      <c r="B9" s="48"/>
      <c r="C9" s="48"/>
      <c r="D9" s="48"/>
      <c r="E9" s="48"/>
      <c r="F9" s="48"/>
      <c r="G9" s="48"/>
      <c r="H9" s="48"/>
      <c r="I9" s="48"/>
      <c r="J9" s="49"/>
      <c r="K9" s="49"/>
      <c r="L9" s="49"/>
    </row>
    <row r="10" spans="1:12" x14ac:dyDescent="0.25">
      <c r="B10" s="50">
        <f>TargetT</f>
        <v>3782.5</v>
      </c>
      <c r="C10" s="50"/>
      <c r="D10" s="51" t="s">
        <v>174</v>
      </c>
      <c r="E10" s="51"/>
      <c r="F10" s="51"/>
      <c r="G10" s="51" t="s">
        <v>175</v>
      </c>
      <c r="H10" s="51"/>
      <c r="I10" s="51"/>
      <c r="J10" s="52">
        <f>TargetIntensity</f>
        <v>640</v>
      </c>
      <c r="K10" s="52"/>
      <c r="L10" s="52"/>
    </row>
    <row r="11" spans="1:12" ht="18" customHeight="1" x14ac:dyDescent="0.25">
      <c r="B11" s="53" t="str">
        <f>IF(NOT(ISNUMBER(KpiTotal)),"No data",IF(KpiTotal&lt;=(TargetT),"On target",IF(KpiTotal&lt;=(TargetT)*(1+0.05),"Near target","Above target")))</f>
        <v>Above target</v>
      </c>
      <c r="C11" s="53"/>
      <c r="D11" s="53"/>
      <c r="E11" s="53"/>
      <c r="F11" s="53"/>
      <c r="G11" s="53"/>
      <c r="H11" s="53"/>
      <c r="I11" s="53"/>
      <c r="J11" s="53" t="str">
        <f>IF(NOT(ISNUMBER(KpiIntensity)),"No data",IF(KpiIntensity&lt;=(TargetIntensity),"On target",IF(KpiIntensity&lt;=(TargetIntensity)*(1+0.05),"Near target","Above target")))</f>
        <v>Above target</v>
      </c>
      <c r="K11" s="53"/>
      <c r="L11" s="53"/>
    </row>
    <row r="29" spans="2:12" ht="18" customHeight="1" x14ac:dyDescent="0.25">
      <c r="B29" s="47" t="s">
        <v>176</v>
      </c>
      <c r="C29" s="47"/>
      <c r="D29" s="47" t="s">
        <v>177</v>
      </c>
      <c r="E29" s="47"/>
      <c r="F29" s="47"/>
      <c r="G29" s="47" t="s">
        <v>178</v>
      </c>
      <c r="H29" s="47"/>
      <c r="I29" s="47"/>
      <c r="J29" s="47" t="s">
        <v>179</v>
      </c>
      <c r="K29" s="47"/>
      <c r="L29" s="47"/>
    </row>
    <row r="30" spans="2:12" ht="21" customHeight="1" x14ac:dyDescent="0.25">
      <c r="B30" s="54">
        <f>IF((BaselineT)=0,"",(SUMIFS(tblActivity[Emissions (kg CO2e)],tblActivity[Month],"&gt;="&amp;YStart,tblActivity[Month],"&lt;"&amp;YEnd)/1000-BaselineT)/(BaselineT))</f>
        <v>-0.0244569415730337</v>
      </c>
      <c r="C30" s="54"/>
      <c r="D30" s="48">
        <f>SUMIFS(tblProjects[Saving (t CO2e/yr)],tblProjects[Status],"&lt;&gt;Complete")</f>
        <v>265.656</v>
      </c>
      <c r="E30" s="48"/>
      <c r="F30" s="48"/>
      <c r="G30" s="55">
        <f>IF(SUMIFS(tblActivity[Emissions (kg CO2e)],tblActivity[Month],"&gt;="&amp;YStart,tblActivity[Month],"&lt;"&amp;YEnd)/1000=0,"",SUMIFS(tblActivity[Emissions (kg CO2e)],tblActivity[Month],"&gt;="&amp;YStart,tblActivity[Month],"&lt;"&amp;YEnd)/1000-SUMIFS(tblProjects[Saving (t CO2e/yr)],tblProjects[Status],"&lt;&gt;Complete")-TargetT)</f>
        <v>293.01061</v>
      </c>
      <c r="H30" s="55"/>
      <c r="I30" s="55"/>
      <c r="J30" s="49">
        <f>COUNTIF($E$38:$E$49,"&gt;0")</f>
        <v>12</v>
      </c>
      <c r="K30" s="49"/>
      <c r="L30" s="49"/>
    </row>
    <row r="31" spans="2:12" ht="21" customHeight="1" x14ac:dyDescent="0.25">
      <c r="B31" s="54"/>
      <c r="C31" s="54"/>
      <c r="D31" s="48"/>
      <c r="E31" s="48"/>
      <c r="F31" s="48"/>
      <c r="G31" s="55"/>
      <c r="H31" s="55"/>
      <c r="I31" s="55"/>
      <c r="J31" s="49"/>
      <c r="K31" s="49"/>
      <c r="L31" s="49"/>
    </row>
    <row r="32" spans="2:12" x14ac:dyDescent="0.25">
      <c r="B32" s="51" t="s">
        <v>180</v>
      </c>
      <c r="C32" s="51"/>
      <c r="D32" s="51" t="s">
        <v>181</v>
      </c>
      <c r="E32" s="51"/>
      <c r="F32" s="51"/>
      <c r="G32" s="51" t="s">
        <v>182</v>
      </c>
      <c r="H32" s="51"/>
      <c r="I32" s="51"/>
      <c r="J32" s="51" t="s">
        <v>183</v>
      </c>
      <c r="K32" s="51"/>
      <c r="L32" s="51"/>
    </row>
    <row r="33" spans="2:12" ht="18" customHeight="1" x14ac:dyDescent="0.25">
      <c r="B33" s="53"/>
      <c r="C33" s="53"/>
      <c r="D33" s="53"/>
      <c r="E33" s="53"/>
      <c r="F33" s="53"/>
      <c r="G33" s="53"/>
      <c r="H33" s="53"/>
      <c r="I33" s="53"/>
      <c r="J33" s="53"/>
      <c r="K33" s="53"/>
      <c r="L33" s="53"/>
    </row>
    <row r="35" spans="2:12" x14ac:dyDescent="0.25">
      <c r="B35" s="33" t="s">
        <v>184</v>
      </c>
      <c r="C35" s="33"/>
      <c r="D35" s="33"/>
      <c r="E35" s="33"/>
      <c r="F35" s="33"/>
      <c r="G35" s="33"/>
      <c r="J35" s="33" t="s">
        <v>185</v>
      </c>
      <c r="K35" s="33"/>
      <c r="L35" s="33"/>
    </row>
    <row r="36" spans="2:12" ht="20" customHeight="1" x14ac:dyDescent="0.25">
      <c r="B36" s="56" t="s">
        <v>105</v>
      </c>
      <c r="C36" s="34" t="s">
        <v>94</v>
      </c>
      <c r="D36" s="34" t="s">
        <v>90</v>
      </c>
      <c r="E36" s="34" t="s">
        <v>186</v>
      </c>
      <c r="F36" s="34" t="s">
        <v>144</v>
      </c>
      <c r="G36" s="34" t="s">
        <v>145</v>
      </c>
      <c r="J36" s="56" t="s">
        <v>151</v>
      </c>
      <c r="K36" s="34" t="s">
        <v>25</v>
      </c>
      <c r="L36" s="34" t="s">
        <v>187</v>
      </c>
    </row>
    <row r="37" spans="2:12" ht="14" customHeight="1" x14ac:dyDescent="0.25">
      <c r="B37" s="43"/>
      <c r="C37" s="43" t="s">
        <v>80</v>
      </c>
      <c r="D37" s="43" t="s">
        <v>80</v>
      </c>
      <c r="E37" s="43" t="s">
        <v>80</v>
      </c>
      <c r="F37" s="43" t="str">
        <f>OutputUnit</f>
        <v>t product</v>
      </c>
      <c r="G37" s="43" t="str">
        <f>"kg/"&amp;OutputUnit</f>
        <v>kg/t product</v>
      </c>
      <c r="J37" s="43"/>
      <c r="K37" s="43"/>
      <c r="L37" s="43" t="s">
        <v>188</v>
      </c>
    </row>
    <row r="38" spans="2:12" x14ac:dyDescent="0.25">
      <c r="B38" s="57">
        <f>YStart</f>
        <v>45658</v>
      </c>
      <c r="C38" s="45">
        <f>IF($B$38="","",SUMIFS(tblActivity[Emissions (kg CO2e)],tblActivity[Scope],"Scope 1",tblActivity[Month],"&gt;="&amp;$B$38,tblActivity[Month],"&lt;"&amp;EDATE($B$38,1))/1000)</f>
        <v>51.00036</v>
      </c>
      <c r="D38" s="45">
        <f>IF($B$38="","",SUMIFS(tblActivity[Emissions (kg CO2e)],tblActivity[Scope],"Scope 2",tblActivity[Month],"&gt;="&amp;$B$38,tblActivity[Month],"&lt;"&amp;EDATE($B$38,1))/1000)</f>
        <v>343.1154</v>
      </c>
      <c r="E38" s="45">
        <f>IF($B$38="","",SUMIFS(tblActivity[Emissions (kg CO2e)],tblActivity[Month],"&gt;="&amp;$B$38,tblActivity[Month],"&lt;"&amp;EDATE($B$38,1))/1000)</f>
        <v>394.11576</v>
      </c>
      <c r="F38" s="45">
        <f>IF($B$38="","",SUMIFS(tblOutput[Output],tblOutput[Month],"&gt;="&amp;$B$38,tblOutput[Month],"&lt;"&amp;EDATE($B$38,1)))</f>
        <v>523.7</v>
      </c>
      <c r="G38" s="41">
        <f>IF($B$38="","",IF(($F$38)=0,"",($E$38*1000)/($F$38)))</f>
        <v>752.560168035135</v>
      </c>
      <c r="J38" s="58" t="s">
        <v>164</v>
      </c>
      <c r="K38" s="41">
        <f>COUNTIFS(tblProjects[Status],$J$38)</f>
        <v>2</v>
      </c>
      <c r="L38" s="45">
        <f>SUMIFS(tblProjects[Saving (t CO2e/yr)],tblProjects[Status],$J$38)</f>
        <v>179.472</v>
      </c>
    </row>
    <row r="39" spans="2:12" x14ac:dyDescent="0.25">
      <c r="B39" s="57">
        <f>EDATE($B$38,1)</f>
        <v>45689</v>
      </c>
      <c r="C39" s="45">
        <f>IF($B$39="","",SUMIFS(tblActivity[Emissions (kg CO2e)],tblActivity[Scope],"Scope 1",tblActivity[Month],"&gt;="&amp;$B$39,tblActivity[Month],"&lt;"&amp;EDATE($B$39,1))/1000)</f>
        <v>51.95647</v>
      </c>
      <c r="D39" s="45">
        <f>IF($B$39="","",SUMIFS(tblActivity[Emissions (kg CO2e)],tblActivity[Scope],"Scope 2",tblActivity[Month],"&gt;="&amp;$B$39,tblActivity[Month],"&lt;"&amp;EDATE($B$39,1))/1000)</f>
        <v>336.0902</v>
      </c>
      <c r="E39" s="45">
        <f>IF($B$39="","",SUMIFS(tblActivity[Emissions (kg CO2e)],tblActivity[Month],"&gt;="&amp;$B$39,tblActivity[Month],"&lt;"&amp;EDATE($B$39,1))/1000)</f>
        <v>388.04667</v>
      </c>
      <c r="F39" s="45">
        <f>IF($B$39="","",SUMIFS(tblOutput[Output],tblOutput[Month],"&gt;="&amp;$B$39,tblOutput[Month],"&lt;"&amp;EDATE($B$39,1)))</f>
        <v>508.1</v>
      </c>
      <c r="G39" s="41">
        <f>IF($B$39="","",IF(($F$39)=0,"",($E$39*1000)/($F$39)))</f>
        <v>763.721058846684</v>
      </c>
      <c r="J39" s="58" t="s">
        <v>160</v>
      </c>
      <c r="K39" s="41">
        <f>COUNTIFS(tblProjects[Status],$J$39)</f>
        <v>2</v>
      </c>
      <c r="L39" s="45">
        <f>SUMIFS(tblProjects[Saving (t CO2e/yr)],tblProjects[Status],$J$39)</f>
        <v>86.184</v>
      </c>
    </row>
    <row r="40" spans="2:12" x14ac:dyDescent="0.25">
      <c r="B40" s="57">
        <f>EDATE($B$39,1)</f>
        <v>45717</v>
      </c>
      <c r="C40" s="45">
        <f>IF($B$40="","",SUMIFS(tblActivity[Emissions (kg CO2e)],tblActivity[Scope],"Scope 1",tblActivity[Month],"&gt;="&amp;$B$40,tblActivity[Month],"&lt;"&amp;EDATE($B$40,1))/1000)</f>
        <v>49.39748</v>
      </c>
      <c r="D40" s="45">
        <f>IF($B$40="","",SUMIFS(tblActivity[Emissions (kg CO2e)],tblActivity[Scope],"Scope 2",tblActivity[Month],"&gt;="&amp;$B$40,tblActivity[Month],"&lt;"&amp;EDATE($B$40,1))/1000)</f>
        <v>323.1592</v>
      </c>
      <c r="E40" s="45">
        <f>IF($B$40="","",SUMIFS(tblActivity[Emissions (kg CO2e)],tblActivity[Month],"&gt;="&amp;$B$40,tblActivity[Month],"&lt;"&amp;EDATE($B$40,1))/1000)</f>
        <v>372.55668</v>
      </c>
      <c r="F40" s="45">
        <f>IF($B$40="","",SUMIFS(tblOutput[Output],tblOutput[Month],"&gt;="&amp;$B$40,tblOutput[Month],"&lt;"&amp;EDATE($B$40,1)))</f>
        <v>483.6</v>
      </c>
      <c r="G40" s="41">
        <f>IF($B$40="","",IF(($F$40)=0,"",($E$40*1000)/($F$40)))</f>
        <v>770.381885856079</v>
      </c>
      <c r="J40" s="58" t="s">
        <v>156</v>
      </c>
      <c r="K40" s="41">
        <f>COUNTIFS(tblProjects[Status],$J$40)</f>
        <v>1</v>
      </c>
      <c r="L40" s="45">
        <f>SUMIFS(tblProjects[Saving (t CO2e/yr)],tblProjects[Status],$J$40)</f>
        <v>96.5</v>
      </c>
    </row>
    <row r="41" spans="2:12" x14ac:dyDescent="0.25">
      <c r="B41" s="57">
        <f>EDATE($B$40,1)</f>
        <v>45748</v>
      </c>
      <c r="C41" s="45">
        <f>IF($B$41="","",SUMIFS(tblActivity[Emissions (kg CO2e)],tblActivity[Scope],"Scope 1",tblActivity[Month],"&gt;="&amp;$B$41,tblActivity[Month],"&lt;"&amp;EDATE($B$41,1))/1000)</f>
        <v>27.33142</v>
      </c>
      <c r="D41" s="45">
        <f>IF($B$41="","",SUMIFS(tblActivity[Emissions (kg CO2e)],tblActivity[Scope],"Scope 2",tblActivity[Month],"&gt;="&amp;$B$41,tblActivity[Month],"&lt;"&amp;EDATE($B$41,1))/1000)</f>
        <v>325.591</v>
      </c>
      <c r="E41" s="45">
        <f>IF($B$41="","",SUMIFS(tblActivity[Emissions (kg CO2e)],tblActivity[Month],"&gt;="&amp;$B$41,tblActivity[Month],"&lt;"&amp;EDATE($B$41,1))/1000)</f>
        <v>352.92242</v>
      </c>
      <c r="F41" s="45">
        <f>IF($B$41="","",SUMIFS(tblOutput[Output],tblOutput[Month],"&gt;="&amp;$B$41,tblOutput[Month],"&lt;"&amp;EDATE($B$41,1)))</f>
        <v>499.9</v>
      </c>
      <c r="G41" s="41">
        <f>IF($B$41="","",IF(($F$41)=0,"",($E$41*1000)/($F$41)))</f>
        <v>705.986037207442</v>
      </c>
      <c r="J41" s="59" t="s">
        <v>186</v>
      </c>
      <c r="K41" s="60">
        <f>SUM($K$38:$K$40)</f>
        <v>5</v>
      </c>
      <c r="L41" s="61">
        <f>SUM($L$38:$L$40)</f>
        <v>362.156</v>
      </c>
    </row>
    <row r="42" spans="2:12" x14ac:dyDescent="0.25">
      <c r="B42" s="57">
        <f>EDATE($B$41,1)</f>
        <v>45778</v>
      </c>
      <c r="C42" s="45">
        <f>IF($B$42="","",SUMIFS(tblActivity[Emissions (kg CO2e)],tblActivity[Scope],"Scope 1",tblActivity[Month],"&gt;="&amp;$B$42,tblActivity[Month],"&lt;"&amp;EDATE($B$42,1))/1000)</f>
        <v>16.42706</v>
      </c>
      <c r="D42" s="45">
        <f>IF($B$42="","",SUMIFS(tblActivity[Emissions (kg CO2e)],tblActivity[Scope],"Scope 2",tblActivity[Month],"&gt;="&amp;$B$42,tblActivity[Month],"&lt;"&amp;EDATE($B$42,1))/1000)</f>
        <v>319.4922</v>
      </c>
      <c r="E42" s="45">
        <f>IF($B$42="","",SUMIFS(tblActivity[Emissions (kg CO2e)],tblActivity[Month],"&gt;="&amp;$B$42,tblActivity[Month],"&lt;"&amp;EDATE($B$42,1))/1000)</f>
        <v>335.91926</v>
      </c>
      <c r="F42" s="45">
        <f>IF($B$42="","",SUMIFS(tblOutput[Output],tblOutput[Month],"&gt;="&amp;$B$42,tblOutput[Month],"&lt;"&amp;EDATE($B$42,1)))</f>
        <v>490.5</v>
      </c>
      <c r="G42" s="41">
        <f>IF($B$42="","",IF(($F$42)=0,"",($E$42*1000)/($F$42)))</f>
        <v>684.850682976555</v>
      </c>
    </row>
    <row r="43" spans="2:12" x14ac:dyDescent="0.25">
      <c r="B43" s="57">
        <f>EDATE($B$42,1)</f>
        <v>45809</v>
      </c>
      <c r="C43" s="45">
        <f>IF($B$43="","",SUMIFS(tblActivity[Emissions (kg CO2e)],tblActivity[Scope],"Scope 1",tblActivity[Month],"&gt;="&amp;$B$43,tblActivity[Month],"&lt;"&amp;EDATE($B$43,1))/1000)</f>
        <v>12.63204</v>
      </c>
      <c r="D43" s="45">
        <f>IF($B$43="","",SUMIFS(tblActivity[Emissions (kg CO2e)],tblActivity[Scope],"Scope 2",tblActivity[Month],"&gt;="&amp;$B$43,tblActivity[Month],"&lt;"&amp;EDATE($B$43,1))/1000)</f>
        <v>330.995</v>
      </c>
      <c r="E43" s="45">
        <f>IF($B$43="","",SUMIFS(tblActivity[Emissions (kg CO2e)],tblActivity[Month],"&gt;="&amp;$B$43,tblActivity[Month],"&lt;"&amp;EDATE($B$43,1))/1000)</f>
        <v>343.62704</v>
      </c>
      <c r="F43" s="45">
        <f>IF($B$43="","",SUMIFS(tblOutput[Output],tblOutput[Month],"&gt;="&amp;$B$43,tblOutput[Month],"&lt;"&amp;EDATE($B$43,1)))</f>
        <v>479.2</v>
      </c>
      <c r="G43" s="41">
        <f>IF($B$43="","",IF(($F$43)=0,"",($E$43*1000)/($F$43)))</f>
        <v>717.084808013356</v>
      </c>
    </row>
    <row r="44" spans="2:12" x14ac:dyDescent="0.25">
      <c r="B44" s="57">
        <f>EDATE($B$43,1)</f>
        <v>45839</v>
      </c>
      <c r="C44" s="45">
        <f>IF($B$44="","",SUMIFS(tblActivity[Emissions (kg CO2e)],tblActivity[Scope],"Scope 1",tblActivity[Month],"&gt;="&amp;$B$44,tblActivity[Month],"&lt;"&amp;EDATE($B$44,1))/1000)</f>
        <v>11.06327</v>
      </c>
      <c r="D44" s="45">
        <f>IF($B$44="","",SUMIFS(tblActivity[Emissions (kg CO2e)],tblActivity[Scope],"Scope 2",tblActivity[Month],"&gt;="&amp;$B$44,tblActivity[Month],"&lt;"&amp;EDATE($B$44,1))/1000)</f>
        <v>368.1668</v>
      </c>
      <c r="E44" s="45">
        <f>IF($B$44="","",SUMIFS(tblActivity[Emissions (kg CO2e)],tblActivity[Month],"&gt;="&amp;$B$44,tblActivity[Month],"&lt;"&amp;EDATE($B$44,1))/1000)</f>
        <v>379.23007</v>
      </c>
      <c r="F44" s="45">
        <f>IF($B$44="","",SUMIFS(tblOutput[Output],tblOutput[Month],"&gt;="&amp;$B$44,tblOutput[Month],"&lt;"&amp;EDATE($B$44,1)))</f>
        <v>546.4</v>
      </c>
      <c r="G44" s="41">
        <f>IF($B$44="","",IF(($F$44)=0,"",($E$44*1000)/($F$44)))</f>
        <v>694.052104685212</v>
      </c>
    </row>
    <row r="45" spans="2:12" x14ac:dyDescent="0.25">
      <c r="B45" s="57">
        <f>EDATE($B$44,1)</f>
        <v>45870</v>
      </c>
      <c r="C45" s="45">
        <f>IF($B$45="","",SUMIFS(tblActivity[Emissions (kg CO2e)],tblActivity[Scope],"Scope 1",tblActivity[Month],"&gt;="&amp;$B$45,tblActivity[Month],"&lt;"&amp;EDATE($B$45,1))/1000)</f>
        <v>22.70506</v>
      </c>
      <c r="D45" s="45">
        <f>IF($B$45="","",SUMIFS(tblActivity[Emissions (kg CO2e)],tblActivity[Scope],"Scope 2",tblActivity[Month],"&gt;="&amp;$B$45,tblActivity[Month],"&lt;"&amp;EDATE($B$45,1))/1000)</f>
        <v>297.6832</v>
      </c>
      <c r="E45" s="45">
        <f>IF($B$45="","",SUMIFS(tblActivity[Emissions (kg CO2e)],tblActivity[Month],"&gt;="&amp;$B$45,tblActivity[Month],"&lt;"&amp;EDATE($B$45,1))/1000)</f>
        <v>320.38826</v>
      </c>
      <c r="F45" s="45">
        <f>IF($B$45="","",SUMIFS(tblOutput[Output],tblOutput[Month],"&gt;="&amp;$B$45,tblOutput[Month],"&lt;"&amp;EDATE($B$45,1)))</f>
        <v>425.4</v>
      </c>
      <c r="G45" s="41">
        <f>IF($B$45="","",IF(($F$45)=0,"",($E$45*1000)/($F$45)))</f>
        <v>753.14588622473</v>
      </c>
    </row>
    <row r="46" spans="2:12" x14ac:dyDescent="0.25">
      <c r="B46" s="57">
        <f>EDATE($B$45,1)</f>
        <v>45901</v>
      </c>
      <c r="C46" s="45">
        <f>IF($B$46="","",SUMIFS(tblActivity[Emissions (kg CO2e)],tblActivity[Scope],"Scope 1",tblActivity[Month],"&gt;="&amp;$B$46,tblActivity[Month],"&lt;"&amp;EDATE($B$46,1))/1000)</f>
        <v>15.58414</v>
      </c>
      <c r="D46" s="45">
        <f>IF($B$46="","",SUMIFS(tblActivity[Emissions (kg CO2e)],tblActivity[Scope],"Scope 2",tblActivity[Month],"&gt;="&amp;$B$46,tblActivity[Month],"&lt;"&amp;EDATE($B$46,1))/1000)</f>
        <v>334.083</v>
      </c>
      <c r="E46" s="45">
        <f>IF($B$46="","",SUMIFS(tblActivity[Emissions (kg CO2e)],tblActivity[Month],"&gt;="&amp;$B$46,tblActivity[Month],"&lt;"&amp;EDATE($B$46,1))/1000)</f>
        <v>349.66714</v>
      </c>
      <c r="F46" s="45">
        <f>IF($B$46="","",SUMIFS(tblOutput[Output],tblOutput[Month],"&gt;="&amp;$B$46,tblOutput[Month],"&lt;"&amp;EDATE($B$46,1)))</f>
        <v>485.4</v>
      </c>
      <c r="G46" s="41">
        <f>IF($B$46="","",IF(($F$46)=0,"",($E$46*1000)/($F$46)))</f>
        <v>720.36905644829</v>
      </c>
    </row>
    <row r="47" spans="2:12" x14ac:dyDescent="0.25">
      <c r="B47" s="57">
        <f>EDATE($B$46,1)</f>
        <v>45931</v>
      </c>
      <c r="C47" s="45">
        <f>IF($B$47="","",SUMIFS(tblActivity[Emissions (kg CO2e)],tblActivity[Scope],"Scope 1",tblActivity[Month],"&gt;="&amp;$B$47,tblActivity[Month],"&lt;"&amp;EDATE($B$47,1))/1000)</f>
        <v>25.38514</v>
      </c>
      <c r="D47" s="45">
        <f>IF($B$47="","",SUMIFS(tblActivity[Emissions (kg CO2e)],tblActivity[Scope],"Scope 2",tblActivity[Month],"&gt;="&amp;$B$47,tblActivity[Month],"&lt;"&amp;EDATE($B$47,1))/1000)</f>
        <v>338.3676</v>
      </c>
      <c r="E47" s="45">
        <f>IF($B$47="","",SUMIFS(tblActivity[Emissions (kg CO2e)],tblActivity[Month],"&gt;="&amp;$B$47,tblActivity[Month],"&lt;"&amp;EDATE($B$47,1))/1000)</f>
        <v>363.75274</v>
      </c>
      <c r="F47" s="45">
        <f>IF($B$47="","",SUMIFS(tblOutput[Output],tblOutput[Month],"&gt;="&amp;$B$47,tblOutput[Month],"&lt;"&amp;EDATE($B$47,1)))</f>
        <v>537.3</v>
      </c>
      <c r="G47" s="41">
        <f>IF($B$47="","",IF(($F$47)=0,"",($E$47*1000)/($F$47)))</f>
        <v>677.00119114089</v>
      </c>
    </row>
    <row r="48" spans="2:12" x14ac:dyDescent="0.25">
      <c r="B48" s="57">
        <f>EDATE($B$47,1)</f>
        <v>45962</v>
      </c>
      <c r="C48" s="45">
        <f>IF($B$48="","",SUMIFS(tblActivity[Emissions (kg CO2e)],tblActivity[Scope],"Scope 1",tblActivity[Month],"&gt;="&amp;$B$48,tblActivity[Month],"&lt;"&amp;EDATE($B$48,1))/1000)</f>
        <v>40.20212</v>
      </c>
      <c r="D48" s="45">
        <f>IF($B$48="","",SUMIFS(tblActivity[Emissions (kg CO2e)],tblActivity[Scope],"Scope 2",tblActivity[Month],"&gt;="&amp;$B$48,tblActivity[Month],"&lt;"&amp;EDATE($B$48,1))/1000)</f>
        <v>334.662</v>
      </c>
      <c r="E48" s="45">
        <f>IF($B$48="","",SUMIFS(tblActivity[Emissions (kg CO2e)],tblActivity[Month],"&gt;="&amp;$B$48,tblActivity[Month],"&lt;"&amp;EDATE($B$48,1))/1000)</f>
        <v>374.86412</v>
      </c>
      <c r="F48" s="45">
        <f>IF($B$48="","",SUMIFS(tblOutput[Output],tblOutput[Month],"&gt;="&amp;$B$48,tblOutput[Month],"&lt;"&amp;EDATE($B$48,1)))</f>
        <v>533.3</v>
      </c>
      <c r="G48" s="41">
        <f>IF($B$48="","",IF(($F$48)=0,"",($E$48*1000)/($F$48)))</f>
        <v>702.914157134821</v>
      </c>
    </row>
    <row r="49" spans="2:12" x14ac:dyDescent="0.25">
      <c r="B49" s="57">
        <f>EDATE($B$48,1)</f>
        <v>45992</v>
      </c>
      <c r="C49" s="45">
        <f>IF($B$49="","",SUMIFS(tblActivity[Emissions (kg CO2e)],tblActivity[Scope],"Scope 1",tblActivity[Month],"&gt;="&amp;$B$49,tblActivity[Month],"&lt;"&amp;EDATE($B$49,1))/1000)</f>
        <v>50.21265</v>
      </c>
      <c r="D49" s="45">
        <f>IF($B$49="","",SUMIFS(tblActivity[Emissions (kg CO2e)],tblActivity[Scope],"Scope 2",tblActivity[Month],"&gt;="&amp;$B$49,tblActivity[Month],"&lt;"&amp;EDATE($B$49,1))/1000)</f>
        <v>315.8638</v>
      </c>
      <c r="E49" s="45">
        <f>IF($B$49="","",SUMIFS(tblActivity[Emissions (kg CO2e)],tblActivity[Month],"&gt;="&amp;$B$49,tblActivity[Month],"&lt;"&amp;EDATE($B$49,1))/1000)</f>
        <v>366.07645</v>
      </c>
      <c r="F49" s="45">
        <f>IF($B$49="","",SUMIFS(tblOutput[Output],tblOutput[Month],"&gt;="&amp;$B$49,tblOutput[Month],"&lt;"&amp;EDATE($B$49,1)))</f>
        <v>498.1</v>
      </c>
      <c r="G49" s="41">
        <f>IF($B$49="","",IF(($F$49)=0,"",($E$49*1000)/($F$49)))</f>
        <v>734.945693635816</v>
      </c>
    </row>
    <row r="50" spans="2:12" x14ac:dyDescent="0.25">
      <c r="B50" s="59" t="s">
        <v>186</v>
      </c>
      <c r="C50" s="61">
        <f>SUM($C$38:$C$49)</f>
        <v>373.89721</v>
      </c>
      <c r="D50" s="61">
        <f>SUM($D$38:$D$49)</f>
        <v>3967.2694</v>
      </c>
      <c r="E50" s="61">
        <f>SUM($E$38:$E$49)</f>
        <v>4341.16661</v>
      </c>
      <c r="F50" s="61">
        <f>SUM($F$38:$F$49)</f>
        <v>6010.9</v>
      </c>
    </row>
    <row r="52" spans="2:12" x14ac:dyDescent="0.25">
      <c r="B52" s="33" t="s">
        <v>189</v>
      </c>
      <c r="C52" s="33"/>
      <c r="D52" s="33"/>
      <c r="E52" s="33"/>
      <c r="F52" s="33"/>
      <c r="G52" s="33"/>
      <c r="H52" s="33"/>
      <c r="I52" s="33"/>
    </row>
    <row r="53" spans="2:12" ht="20" customHeight="1" x14ac:dyDescent="0.25">
      <c r="B53" s="56" t="s">
        <v>66</v>
      </c>
      <c r="C53" s="34" t="s">
        <v>67</v>
      </c>
      <c r="D53" s="34" t="s">
        <v>106</v>
      </c>
      <c r="E53" s="34" t="s">
        <v>107</v>
      </c>
      <c r="F53" s="34" t="s">
        <v>190</v>
      </c>
      <c r="G53" s="34" t="s">
        <v>191</v>
      </c>
      <c r="H53" s="34" t="s">
        <v>192</v>
      </c>
      <c r="I53" s="34"/>
    </row>
    <row r="54" spans="2:12" ht="14" customHeight="1" x14ac:dyDescent="0.25">
      <c r="B54" s="43"/>
      <c r="C54" s="43"/>
      <c r="D54" s="43"/>
      <c r="E54" s="43"/>
      <c r="F54" s="43" t="s">
        <v>193</v>
      </c>
      <c r="G54" s="43" t="s">
        <v>80</v>
      </c>
      <c r="H54" s="43" t="s">
        <v>194</v>
      </c>
      <c r="I54" s="43"/>
    </row>
    <row r="55" spans="2:12" x14ac:dyDescent="0.25">
      <c r="B55" s="58" t="str">
        <f>IFERROR(INDEX(tblSources[Source],1)&amp;"","")</f>
        <v>Grid electricity</v>
      </c>
      <c r="C55" s="39" t="str">
        <f>IF($B$55="","",INDEX(tblSources[Scope],1))</f>
        <v>Scope 2</v>
      </c>
      <c r="D55" s="41">
        <f>IF($B$55="","",SUMIFS(tblActivity[Quantity],tblActivity[Source],$B$55,tblActivity[Month],"&gt;="&amp;YStart,tblActivity[Month],"&lt;"&amp;YEnd))</f>
        <v>10277900</v>
      </c>
      <c r="E55" s="39" t="str">
        <f>IF($B$55="","",INDEX(tblSources[Activity unit],1))</f>
        <v>kWh</v>
      </c>
      <c r="F55" s="40">
        <f>IF($B$55="","",INDEX(tblSources[Factor (kg CO2e/unit)],1))</f>
        <v>0.386</v>
      </c>
      <c r="G55" s="45">
        <f>IF($B$55="","",SUMIFS(tblActivity[Emissions (kg CO2e)],tblActivity[Source],$B$55,tblActivity[Month],"&gt;="&amp;YStart,tblActivity[Month],"&lt;"&amp;YEnd)/1000)</f>
        <v>3967.2694</v>
      </c>
      <c r="H55" s="62">
        <f>IF($B$55="","",IF((SUMIFS(tblActivity[Emissions (kg CO2e)],tblActivity[Month],"&gt;="&amp;YStart,tblActivity[Month],"&lt;"&amp;YEnd)/1000)=0,"",($G$55)/(SUMIFS(tblActivity[Emissions (kg CO2e)],tblActivity[Month],"&gt;="&amp;YStart,tblActivity[Month],"&lt;"&amp;YEnd)/1000)))</f>
        <v>0.913871720763097</v>
      </c>
      <c r="I55" s="62"/>
    </row>
    <row r="56" spans="2:12" x14ac:dyDescent="0.25">
      <c r="B56" s="58" t="str">
        <f>IFERROR(INDEX(tblSources[Source],2)&amp;"","")</f>
        <v>Natural gas</v>
      </c>
      <c r="C56" s="39" t="str">
        <f>IF($B$56="","",INDEX(tblSources[Scope],2))</f>
        <v>Scope 1</v>
      </c>
      <c r="D56" s="41">
        <f>IF($B$56="","",SUMIFS(tblActivity[Quantity],tblActivity[Source],$B$56,tblActivity[Month],"&gt;="&amp;YStart,tblActivity[Month],"&lt;"&amp;YEnd))</f>
        <v>54410</v>
      </c>
      <c r="E56" s="39" t="str">
        <f>IF($B$56="","",INDEX(tblSources[Activity unit],2))</f>
        <v>therm</v>
      </c>
      <c r="F56" s="40">
        <f>IF($B$56="","",INDEX(tblSources[Factor (kg CO2e/unit)],2))</f>
        <v>5.306</v>
      </c>
      <c r="G56" s="45">
        <f>IF($B$56="","",SUMIFS(tblActivity[Emissions (kg CO2e)],tblActivity[Source],$B$56,tblActivity[Month],"&gt;="&amp;YStart,tblActivity[Month],"&lt;"&amp;YEnd)/1000)</f>
        <v>288.69946</v>
      </c>
      <c r="H56" s="62">
        <f>IF($B$56="","",IF((SUMIFS(tblActivity[Emissions (kg CO2e)],tblActivity[Month],"&gt;="&amp;YStart,tblActivity[Month],"&lt;"&amp;YEnd)/1000)=0,"",($G$56)/(SUMIFS(tblActivity[Emissions (kg CO2e)],tblActivity[Month],"&gt;="&amp;YStart,tblActivity[Month],"&lt;"&amp;YEnd)/1000)))</f>
        <v>0.0665027366917853</v>
      </c>
      <c r="I56" s="62"/>
    </row>
    <row r="57" spans="2:12" x14ac:dyDescent="0.25">
      <c r="B57" s="58" t="str">
        <f>IFERROR(INDEX(tblSources[Source],3)&amp;"","")</f>
        <v>Diesel</v>
      </c>
      <c r="C57" s="39" t="str">
        <f>IF($B$57="","",INDEX(tblSources[Scope],3))</f>
        <v>Scope 1</v>
      </c>
      <c r="D57" s="41">
        <f>IF($B$57="","",SUMIFS(tblActivity[Quantity],tblActivity[Source],$B$57,tblActivity[Month],"&gt;="&amp;YStart,tblActivity[Month],"&lt;"&amp;YEnd))</f>
        <v>4633</v>
      </c>
      <c r="E57" s="39" t="str">
        <f>IF($B$57="","",INDEX(tblSources[Activity unit],3))</f>
        <v>US gal</v>
      </c>
      <c r="F57" s="40">
        <f>IF($B$57="","",INDEX(tblSources[Factor (kg CO2e/unit)],3))</f>
        <v>10.21</v>
      </c>
      <c r="G57" s="45">
        <f>IF($B$57="","",SUMIFS(tblActivity[Emissions (kg CO2e)],tblActivity[Source],$B$57,tblActivity[Month],"&gt;="&amp;YStart,tblActivity[Month],"&lt;"&amp;YEnd)/1000)</f>
        <v>47.30293</v>
      </c>
      <c r="H57" s="62">
        <f>IF($B$57="","",IF((SUMIFS(tblActivity[Emissions (kg CO2e)],tblActivity[Month],"&gt;="&amp;YStart,tblActivity[Month],"&lt;"&amp;YEnd)/1000)=0,"",($G$57)/(SUMIFS(tblActivity[Emissions (kg CO2e)],tblActivity[Month],"&gt;="&amp;YStart,tblActivity[Month],"&lt;"&amp;YEnd)/1000)))</f>
        <v>0.0108963636389897</v>
      </c>
      <c r="I57" s="62"/>
    </row>
    <row r="58" spans="2:12" x14ac:dyDescent="0.25">
      <c r="B58" s="58" t="str">
        <f>IFERROR(INDEX(tblSources[Source],4)&amp;"","")</f>
        <v>Gasoline</v>
      </c>
      <c r="C58" s="39" t="str">
        <f>IF($B$58="","",INDEX(tblSources[Scope],4))</f>
        <v>Scope 1</v>
      </c>
      <c r="D58" s="41">
        <f>IF($B$58="","",SUMIFS(tblActivity[Quantity],tblActivity[Source],$B$58,tblActivity[Month],"&gt;="&amp;YStart,tblActivity[Month],"&lt;"&amp;YEnd))</f>
        <v>1819</v>
      </c>
      <c r="E58" s="39" t="str">
        <f>IF($B$58="","",INDEX(tblSources[Activity unit],4))</f>
        <v>US gal</v>
      </c>
      <c r="F58" s="40">
        <f>IF($B$58="","",INDEX(tblSources[Factor (kg CO2e/unit)],4))</f>
        <v>8.78</v>
      </c>
      <c r="G58" s="45">
        <f>IF($B$58="","",SUMIFS(tblActivity[Emissions (kg CO2e)],tblActivity[Source],$B$58,tblActivity[Month],"&gt;="&amp;YStart,tblActivity[Month],"&lt;"&amp;YEnd)/1000)</f>
        <v>15.97082</v>
      </c>
      <c r="H58" s="62">
        <f>IF($B$58="","",IF((SUMIFS(tblActivity[Emissions (kg CO2e)],tblActivity[Month],"&gt;="&amp;YStart,tblActivity[Month],"&lt;"&amp;YEnd)/1000)=0,"",($G$58)/(SUMIFS(tblActivity[Emissions (kg CO2e)],tblActivity[Month],"&gt;="&amp;YStart,tblActivity[Month],"&lt;"&amp;YEnd)/1000)))</f>
        <v>0.00367892353249257</v>
      </c>
      <c r="I58" s="62"/>
    </row>
    <row r="59" spans="2:12" x14ac:dyDescent="0.25">
      <c r="B59" s="58" t="str">
        <f>IFERROR(INDEX(tblSources[Source],5)&amp;"","")</f>
        <v>Refrigerant R-410A</v>
      </c>
      <c r="C59" s="39" t="str">
        <f>IF($B$59="","",INDEX(tblSources[Scope],5))</f>
        <v>Scope 1</v>
      </c>
      <c r="D59" s="41">
        <f>IF($B$59="","",SUMIFS(tblActivity[Quantity],tblActivity[Source],$B$59,tblActivity[Month],"&gt;="&amp;YStart,tblActivity[Month],"&lt;"&amp;YEnd))</f>
        <v>10.5</v>
      </c>
      <c r="E59" s="39" t="str">
        <f>IF($B$59="","",INDEX(tblSources[Activity unit],5))</f>
        <v>kg</v>
      </c>
      <c r="F59" s="40">
        <f>IF($B$59="","",INDEX(tblSources[Factor (kg CO2e/unit)],5))</f>
        <v>2088</v>
      </c>
      <c r="G59" s="45">
        <f>IF($B$59="","",SUMIFS(tblActivity[Emissions (kg CO2e)],tblActivity[Source],$B$59,tblActivity[Month],"&gt;="&amp;YStart,tblActivity[Month],"&lt;"&amp;YEnd)/1000)</f>
        <v>21.924</v>
      </c>
      <c r="H59" s="62">
        <f>IF($B$59="","",IF((SUMIFS(tblActivity[Emissions (kg CO2e)],tblActivity[Month],"&gt;="&amp;YStart,tblActivity[Month],"&lt;"&amp;YEnd)/1000)=0,"",($G$59)/(SUMIFS(tblActivity[Emissions (kg CO2e)],tblActivity[Month],"&gt;="&amp;YStart,tblActivity[Month],"&lt;"&amp;YEnd)/1000)))</f>
        <v>0.00505025537363561</v>
      </c>
      <c r="I59" s="62"/>
    </row>
    <row r="60" spans="2:12" x14ac:dyDescent="0.25">
      <c r="B60" s="59" t="s">
        <v>186</v>
      </c>
      <c r="G60" s="61">
        <f>SUM($G$55:$G$59)</f>
        <v>4341.16661</v>
      </c>
    </row>
    <row r="62" spans="2:12" ht="26.76" customHeight="1" x14ac:dyDescent="0.25">
      <c r="B62" s="21" t="s">
        <v>195</v>
      </c>
      <c r="C62" s="21"/>
      <c r="D62" s="21"/>
      <c r="E62" s="21"/>
      <c r="F62" s="21"/>
      <c r="G62" s="21"/>
      <c r="H62" s="21"/>
      <c r="I62" s="21"/>
      <c r="J62" s="21"/>
      <c r="K62" s="21"/>
      <c r="L62" s="21"/>
    </row>
    <row r="63" spans="2:12" x14ac:dyDescent="0.25">
      <c r="B63" s="63">
        <f>IF(COUNTA(tblSources[Source])&gt;5,"The Setup list has more sources than the By source block shows.","")</f>
        <v/>
      </c>
      <c r="C63" s="63"/>
      <c r="D63" s="63"/>
      <c r="E63" s="63"/>
      <c r="F63" s="63"/>
      <c r="G63" s="63"/>
      <c r="H63" s="63"/>
      <c r="I63" s="63"/>
      <c r="J63" s="63"/>
      <c r="K63" s="63"/>
      <c r="L63" s="63"/>
    </row>
  </sheetData>
  <sheetProtection sheet="1" formatColumns="0" formatRows="0"/>
  <mergeCells count="52">
    <mergeCell ref="A1:L1"/>
    <mergeCell ref="B2:J2"/>
    <mergeCell ref="K2:L2"/>
    <mergeCell ref="B4:C4"/>
    <mergeCell ref="D4:E4"/>
    <mergeCell ref="H4:I4"/>
    <mergeCell ref="J4:K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G35"/>
    <mergeCell ref="J35:L35"/>
    <mergeCell ref="B52:I52"/>
    <mergeCell ref="H53:I53"/>
    <mergeCell ref="H54:I54"/>
    <mergeCell ref="H55:I55"/>
    <mergeCell ref="H56:I56"/>
    <mergeCell ref="H57:I57"/>
    <mergeCell ref="H58:I58"/>
    <mergeCell ref="H59:I59"/>
    <mergeCell ref="B62:L62"/>
    <mergeCell ref="B63:L63"/>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G38:G49">
    <cfRule type="expression" dxfId="3" priority="41" stopIfTrue="1">
      <formula>AND(ISNUMBER(G38),G38&lt;=(TargetIntensity))</formula>
    </cfRule>
    <cfRule type="expression" dxfId="4" priority="42" stopIfTrue="1">
      <formula>AND(ISNUMBER(G38),G38&lt;=(TargetIntensity)*(1+0.05))</formula>
    </cfRule>
    <cfRule type="expression" dxfId="5" priority="43">
      <formula>ISNUMBER(G38)</formula>
    </cfRule>
  </conditionalFormatting>
  <conditionalFormatting sqref="H55:H59">
    <cfRule type="dataBar" priority="44">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J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Carbon Emissions Tracker&amp;R&amp;8&amp;A</oddHeader>
    <oddFooter>&amp;L&amp;8mfgcalcs.com - free manufacturing templates&amp;R&amp;8Page &amp;P of &amp;N</oddFooter>
  </headerFooter>
  <rowBreaks count="2" manualBreakCount="2">
    <brk id="28" max="16383" man="1"/>
    <brk id="51"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H55:H59</xm:sqref>
        </x14:conditionalFormatting>
      </x14:conditionalFormattings>
    </ext>
  </extLst>
</worksheet>
</file>

<file path=xl/worksheets/sheet7.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30</v>
      </c>
      <c r="C2" s="2"/>
      <c r="D2" s="3" t="s">
        <v>2</v>
      </c>
    </row>
    <row r="3" spans="1:4" ht="6" customHeight="1"/>
    <row r="4" spans="1:4" ht="21" customHeight="1">
      <c r="B4" s="8" t="s">
        <v>196</v>
      </c>
      <c r="C4" s="8"/>
      <c r="D4" s="8"/>
    </row>
    <row r="5" spans="1:4" ht="5" customHeight="1"/>
    <row r="6" spans="1:4" ht="55.8" customHeight="1">
      <c r="B6" s="10" t="s">
        <v>197</v>
      </c>
      <c r="C6" s="10"/>
      <c r="D6" s="10"/>
    </row>
    <row r="8" spans="1:4" ht="21" customHeight="1">
      <c r="B8" s="8" t="s">
        <v>198</v>
      </c>
      <c r="C8" s="8"/>
      <c r="D8" s="8"/>
    </row>
    <row r="9" spans="1:4" ht="5" customHeight="1"/>
    <row r="10" spans="1:4" ht="20" customHeight="1">
      <c r="B10" s="56" t="s">
        <v>106</v>
      </c>
      <c r="C10" s="56" t="s">
        <v>199</v>
      </c>
      <c r="D10" s="34" t="s">
        <v>200</v>
      </c>
    </row>
    <row r="11" spans="1:4" ht="30.4" customHeight="1">
      <c r="B11" s="64" t="s">
        <v>201</v>
      </c>
      <c r="C11" s="65" t="s">
        <v>202</v>
      </c>
      <c r="D11" s="66" t="s">
        <v>203</v>
      </c>
    </row>
    <row r="12" spans="1:4" ht="30.4" customHeight="1">
      <c r="B12" s="64" t="s">
        <v>204</v>
      </c>
      <c r="C12" s="65" t="s">
        <v>205</v>
      </c>
      <c r="D12" s="66" t="s">
        <v>80</v>
      </c>
    </row>
    <row r="13" spans="1:4" ht="17.2" customHeight="1">
      <c r="B13" s="64" t="s">
        <v>170</v>
      </c>
      <c r="C13" s="65" t="s">
        <v>206</v>
      </c>
      <c r="D13" s="66" t="s">
        <v>80</v>
      </c>
    </row>
    <row r="14" spans="1:4" ht="30.4" customHeight="1">
      <c r="B14" s="64" t="s">
        <v>145</v>
      </c>
      <c r="C14" s="65" t="s">
        <v>207</v>
      </c>
      <c r="D14" s="66" t="s">
        <v>193</v>
      </c>
    </row>
    <row r="15" spans="1:4" ht="17.2" customHeight="1">
      <c r="B15" s="64" t="s">
        <v>208</v>
      </c>
      <c r="C15" s="65" t="s">
        <v>209</v>
      </c>
      <c r="D15" s="66" t="s">
        <v>194</v>
      </c>
    </row>
    <row r="16" spans="1:4" ht="17.2" customHeight="1">
      <c r="B16" s="64" t="s">
        <v>210</v>
      </c>
      <c r="C16" s="65" t="s">
        <v>211</v>
      </c>
      <c r="D16" s="66" t="s">
        <v>188</v>
      </c>
    </row>
    <row r="17" spans="2:4" ht="30.4" customHeight="1">
      <c r="B17" s="64" t="s">
        <v>212</v>
      </c>
      <c r="C17" s="65" t="s">
        <v>213</v>
      </c>
      <c r="D17" s="66" t="s">
        <v>188</v>
      </c>
    </row>
    <row r="18" spans="2:4" ht="30.4" customHeight="1">
      <c r="B18" s="64" t="s">
        <v>214</v>
      </c>
      <c r="C18" s="65" t="s">
        <v>215</v>
      </c>
      <c r="D18" s="66" t="s">
        <v>80</v>
      </c>
    </row>
    <row r="19" spans="2:4" ht="30.4" customHeight="1">
      <c r="B19" s="64" t="s">
        <v>216</v>
      </c>
      <c r="C19" s="65" t="s">
        <v>217</v>
      </c>
      <c r="D19" s="66" t="s">
        <v>218</v>
      </c>
    </row>
    <row r="21" spans="2:4" ht="21" customHeight="1">
      <c r="B21" s="8" t="s">
        <v>219</v>
      </c>
      <c r="C21" s="8"/>
      <c r="D21" s="8"/>
    </row>
    <row r="22" spans="2:4" ht="5" customHeight="1"/>
    <row r="23" spans="2:4" ht="29.4" customHeight="1">
      <c r="B23" s="26" t="s">
        <v>59</v>
      </c>
      <c r="C23" s="10" t="s">
        <v>220</v>
      </c>
      <c r="D23" s="10"/>
    </row>
    <row r="24" spans="2:4" ht="29.4" customHeight="1">
      <c r="B24" s="26" t="s">
        <v>59</v>
      </c>
      <c r="C24" s="10" t="s">
        <v>221</v>
      </c>
      <c r="D24" s="10"/>
    </row>
    <row r="25" spans="2:4" ht="16.2" customHeight="1">
      <c r="B25" s="26" t="s">
        <v>59</v>
      </c>
      <c r="C25" s="10" t="s">
        <v>222</v>
      </c>
      <c r="D25" s="10"/>
    </row>
    <row r="26" spans="2:4" ht="16.2" customHeight="1">
      <c r="B26" s="26" t="s">
        <v>59</v>
      </c>
      <c r="C26" s="10" t="s">
        <v>223</v>
      </c>
      <c r="D26" s="10"/>
    </row>
    <row r="27" spans="2:4" ht="29.4" customHeight="1">
      <c r="B27" s="26" t="s">
        <v>59</v>
      </c>
      <c r="C27" s="10" t="s">
        <v>224</v>
      </c>
      <c r="D27" s="10"/>
    </row>
    <row r="29" spans="2:4" ht="21" customHeight="1">
      <c r="B29" s="8" t="s">
        <v>225</v>
      </c>
      <c r="C29" s="8"/>
      <c r="D29" s="8"/>
    </row>
    <row r="30" spans="2:4" ht="5" customHeight="1"/>
    <row r="31" spans="2:4" ht="16.2" customHeight="1">
      <c r="B31" s="26" t="s">
        <v>59</v>
      </c>
      <c r="C31" s="10" t="s">
        <v>226</v>
      </c>
      <c r="D31" s="10"/>
    </row>
    <row r="32" spans="2:4" ht="29.4" customHeight="1">
      <c r="B32" s="26" t="s">
        <v>59</v>
      </c>
      <c r="C32" s="10" t="s">
        <v>227</v>
      </c>
      <c r="D32" s="10"/>
    </row>
    <row r="33" spans="2:4" ht="29.4" customHeight="1">
      <c r="B33" s="26" t="s">
        <v>59</v>
      </c>
      <c r="C33" s="10" t="s">
        <v>228</v>
      </c>
      <c r="D33" s="10"/>
    </row>
    <row r="35" spans="2:4" ht="21" customHeight="1">
      <c r="B35" s="8" t="s">
        <v>229</v>
      </c>
      <c r="C35" s="8"/>
      <c r="D35" s="8"/>
    </row>
    <row r="36" spans="2:4" ht="5" customHeight="1"/>
    <row r="37" spans="2:4" ht="55.8" customHeight="1">
      <c r="B37" s="10" t="s">
        <v>230</v>
      </c>
      <c r="C37" s="10"/>
      <c r="D37" s="10"/>
    </row>
    <row r="38" spans="2:4">
      <c r="B38" s="24" t="s">
        <v>231</v>
      </c>
      <c r="C38" s="24"/>
      <c r="D38" s="24"/>
    </row>
    <row r="40" spans="2:4" ht="21" customHeight="1">
      <c r="B40" s="8" t="s">
        <v>46</v>
      </c>
      <c r="C40" s="8"/>
      <c r="D40" s="8"/>
    </row>
    <row r="41" spans="2:4" ht="5" customHeight="1"/>
    <row r="42" spans="2:4" ht="42.6" customHeight="1">
      <c r="B42" s="10" t="s">
        <v>232</v>
      </c>
      <c r="C42" s="10"/>
      <c r="D42" s="10"/>
    </row>
    <row r="44" spans="2:4" ht="21" customHeight="1">
      <c r="B44" s="8" t="s">
        <v>233</v>
      </c>
      <c r="C44" s="8"/>
      <c r="D44" s="8"/>
    </row>
    <row r="45" spans="2:4" ht="5" customHeight="1"/>
    <row r="46" spans="2:4" ht="29.4" customHeight="1">
      <c r="B46" s="26" t="s">
        <v>59</v>
      </c>
      <c r="C46" s="10" t="s">
        <v>234</v>
      </c>
      <c r="D46" s="10"/>
    </row>
    <row r="47" spans="2:4" ht="29.4" customHeight="1">
      <c r="B47" s="26" t="s">
        <v>59</v>
      </c>
      <c r="C47" s="10" t="s">
        <v>235</v>
      </c>
      <c r="D47" s="10"/>
    </row>
    <row r="48" spans="2:4" ht="29.4" customHeight="1">
      <c r="B48" s="26" t="s">
        <v>59</v>
      </c>
      <c r="C48" s="10" t="s">
        <v>236</v>
      </c>
      <c r="D48" s="10"/>
    </row>
    <row r="49" spans="2:4" ht="29.4" customHeight="1">
      <c r="B49" s="26" t="s">
        <v>59</v>
      </c>
      <c r="C49" s="10" t="s">
        <v>237</v>
      </c>
      <c r="D49" s="10"/>
    </row>
    <row r="50" spans="2:4" ht="29.4" customHeight="1">
      <c r="B50" s="26" t="s">
        <v>59</v>
      </c>
      <c r="C50" s="10" t="s">
        <v>238</v>
      </c>
      <c r="D50" s="10"/>
    </row>
    <row r="51" spans="2:4">
      <c r="B51" s="21" t="s">
        <v>239</v>
      </c>
      <c r="C51" s="21"/>
      <c r="D51" s="21"/>
    </row>
    <row r="53" spans="2:4" ht="21" customHeight="1">
      <c r="B53" s="8" t="s">
        <v>240</v>
      </c>
      <c r="C53" s="8"/>
      <c r="D53" s="8"/>
    </row>
    <row r="54" spans="2:4" ht="5" customHeight="1"/>
    <row r="55" spans="2:4">
      <c r="B55" s="56" t="s">
        <v>54</v>
      </c>
      <c r="C55" s="56" t="s">
        <v>241</v>
      </c>
      <c r="D55" s="34" t="s">
        <v>242</v>
      </c>
    </row>
    <row r="56" spans="2:4" ht="16.2" customHeight="1">
      <c r="B56" s="67" t="s">
        <v>243</v>
      </c>
      <c r="C56" s="68" t="s">
        <v>244</v>
      </c>
      <c r="D56" s="69" t="s">
        <v>245</v>
      </c>
    </row>
    <row r="58" spans="2:4">
      <c r="B58" s="21" t="s">
        <v>65</v>
      </c>
      <c r="C58" s="21"/>
      <c r="D58" s="21"/>
    </row>
  </sheetData>
  <sheetProtection sheet="1" formatColumns="0" formatRows="0"/>
  <mergeCells count="29">
    <mergeCell ref="A1:D1"/>
    <mergeCell ref="B2:C2"/>
    <mergeCell ref="B4:D4"/>
    <mergeCell ref="B6:D6"/>
    <mergeCell ref="B8:D8"/>
    <mergeCell ref="B21:D21"/>
    <mergeCell ref="C23:D23"/>
    <mergeCell ref="C24:D24"/>
    <mergeCell ref="C25:D25"/>
    <mergeCell ref="C26:D26"/>
    <mergeCell ref="C27:D27"/>
    <mergeCell ref="B29:D29"/>
    <mergeCell ref="C31:D31"/>
    <mergeCell ref="C32:D32"/>
    <mergeCell ref="C33:D33"/>
    <mergeCell ref="B35:D35"/>
    <mergeCell ref="B37:D37"/>
    <mergeCell ref="B38:D38"/>
    <mergeCell ref="B40:D40"/>
    <mergeCell ref="B42:D42"/>
    <mergeCell ref="B44:D44"/>
    <mergeCell ref="C46:D46"/>
    <mergeCell ref="C47:D47"/>
    <mergeCell ref="C48:D48"/>
    <mergeCell ref="C49:D49"/>
    <mergeCell ref="C50:D50"/>
    <mergeCell ref="B51:D51"/>
    <mergeCell ref="B53:D53"/>
    <mergeCell ref="B58:D58"/>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Carbon Emissions Tracker&amp;R&amp;8&amp;A</oddHeader>
    <oddFooter>&amp;L&amp;8mfgcalcs.com - free manufacturing templates&amp;R&amp;8Page &amp;P of &amp;N</oddFooter>
  </headerFooter>
  <rowBreaks count="1" manualBreakCount="1">
    <brk id="28" max="16383" man="1"/>
  </rowBreaks>
</worksheet>
</file>

<file path=xl/worksheets/sheet8.xml><?xml version="1.0" encoding="utf-8"?>
<worksheet xmlns="http://schemas.openxmlformats.org/spreadsheetml/2006/main" xmlns:r="http://schemas.openxmlformats.org/officeDocument/2006/relationships">
  <sheetPr>
    <tabColor rgb="FF2C3440"/>
    <pageSetUpPr fitToPage="1"/>
  </sheetPr>
  <dimension ref="A1:L58"/>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32</v>
      </c>
      <c r="C2" s="2"/>
      <c r="D2" s="2"/>
      <c r="E2" s="2"/>
      <c r="F2" s="2"/>
      <c r="G2" s="2"/>
      <c r="H2" s="2"/>
      <c r="I2" s="2"/>
      <c r="J2" s="2"/>
      <c r="K2" s="2"/>
      <c r="L2" s="3" t="s">
        <v>2</v>
      </c>
    </row>
    <row r="3" spans="1:12" ht="6" customHeight="1"/>
    <row r="4" spans="1:12" ht="30" customHeight="1">
      <c r="B4" s="70" t="s">
        <v>246</v>
      </c>
      <c r="C4" s="70"/>
      <c r="D4" s="22" t="str">
        <f>IF(COUNTIF($K$11:$K$24,"PASS")=14,"PASS","FAIL")</f>
        <v>PASS</v>
      </c>
      <c r="E4" s="22"/>
      <c r="F4" s="23" t="str">
        <f>COUNTIF($K$11:$K$24,"PASS")&amp;" of 14 checks pass"</f>
        <v>14 of 14 checks pass</v>
      </c>
      <c r="G4" s="23"/>
      <c r="H4" s="23"/>
      <c r="I4" s="23"/>
      <c r="J4" s="23"/>
    </row>
    <row r="6" spans="1:12" ht="29.4" customHeight="1">
      <c r="B6" s="10" t="s">
        <v>247</v>
      </c>
      <c r="C6" s="10"/>
      <c r="D6" s="10"/>
      <c r="E6" s="10"/>
      <c r="F6" s="10"/>
      <c r="G6" s="10"/>
      <c r="H6" s="10"/>
      <c r="I6" s="10"/>
      <c r="J6" s="10"/>
      <c r="K6" s="10"/>
      <c r="L6" s="10"/>
    </row>
    <row r="8" spans="1:12" ht="21" customHeight="1">
      <c r="B8" s="8" t="s">
        <v>248</v>
      </c>
      <c r="C8" s="8"/>
      <c r="D8" s="8"/>
      <c r="E8" s="8"/>
      <c r="F8" s="8"/>
      <c r="G8" s="8"/>
      <c r="H8" s="8"/>
      <c r="I8" s="8"/>
      <c r="J8" s="8"/>
      <c r="K8" s="8"/>
      <c r="L8" s="8"/>
    </row>
    <row r="9" spans="1:12" ht="5" customHeight="1"/>
    <row r="10" spans="1:12" ht="30" customHeight="1">
      <c r="B10" s="34" t="s">
        <v>249</v>
      </c>
      <c r="C10" s="56" t="s">
        <v>109</v>
      </c>
      <c r="D10" s="56"/>
      <c r="E10" s="56"/>
      <c r="F10" s="56"/>
      <c r="G10" s="34" t="s">
        <v>250</v>
      </c>
      <c r="H10" s="34" t="s">
        <v>251</v>
      </c>
      <c r="I10" s="34" t="s">
        <v>252</v>
      </c>
      <c r="J10" s="34" t="s">
        <v>253</v>
      </c>
      <c r="K10" s="34" t="s">
        <v>254</v>
      </c>
    </row>
    <row r="11" spans="1:12" ht="16.2" customHeight="1">
      <c r="B11" s="71">
        <v>1</v>
      </c>
      <c r="C11" s="68" t="s">
        <v>255</v>
      </c>
      <c r="D11" s="68"/>
      <c r="E11" s="68"/>
      <c r="F11" s="68"/>
      <c r="G11" s="72">
        <v>48250</v>
      </c>
      <c r="H11" s="41">
        <f>$H$42</f>
        <v>48250</v>
      </c>
      <c r="I11" s="73">
        <f>IF(AND(ISNUMBER($G$11),ISNUMBER($H$11)),ABS($H$11-$G$11),"")</f>
        <v>0</v>
      </c>
      <c r="J11" s="74">
        <v>1E-06</v>
      </c>
      <c r="K11" s="44" t="str">
        <f>IF(AND(ISNUMBER($G$11),ISNUMBER($H$11)),IF(ABS($H$11-$G$11)&lt;=$J$11,"PASS","FAIL"),"FAIL")</f>
        <v>PASS</v>
      </c>
    </row>
    <row r="12" spans="1:12" ht="16.2" customHeight="1">
      <c r="B12" s="71">
        <v>2</v>
      </c>
      <c r="C12" s="68" t="s">
        <v>256</v>
      </c>
      <c r="D12" s="68"/>
      <c r="E12" s="68"/>
      <c r="F12" s="68"/>
      <c r="G12" s="72">
        <v>42448</v>
      </c>
      <c r="H12" s="41">
        <f>$H$43</f>
        <v>42448</v>
      </c>
      <c r="I12" s="73">
        <f>IF(AND(ISNUMBER($G$12),ISNUMBER($H$12)),ABS($H$12-$G$12),"")</f>
        <v>0</v>
      </c>
      <c r="J12" s="74">
        <v>1E-06</v>
      </c>
      <c r="K12" s="44" t="str">
        <f>IF(AND(ISNUMBER($G$12),ISNUMBER($H$12)),IF(ABS($H$12-$G$12)&lt;=$J$12,"PASS","FAIL"),"FAIL")</f>
        <v>PASS</v>
      </c>
    </row>
    <row r="13" spans="1:12" ht="16.2" customHeight="1">
      <c r="B13" s="71">
        <v>3</v>
      </c>
      <c r="C13" s="68" t="s">
        <v>257</v>
      </c>
      <c r="D13" s="68"/>
      <c r="E13" s="68"/>
      <c r="F13" s="68"/>
      <c r="G13" s="72">
        <v>42460</v>
      </c>
      <c r="H13" s="41">
        <f>$H$44</f>
        <v>42460</v>
      </c>
      <c r="I13" s="73">
        <f>IF(AND(ISNUMBER($G$13),ISNUMBER($H$13)),ABS($H$13-$G$13),"")</f>
        <v>0</v>
      </c>
      <c r="J13" s="74">
        <v>1E-06</v>
      </c>
      <c r="K13" s="44" t="str">
        <f>IF(AND(ISNUMBER($G$13),ISNUMBER($H$13)),IF(ABS($H$13-$G$13)&lt;=$J$13,"PASS","FAIL"),"FAIL")</f>
        <v>PASS</v>
      </c>
    </row>
    <row r="14" spans="1:12" ht="16.2" customHeight="1">
      <c r="B14" s="71">
        <v>4</v>
      </c>
      <c r="C14" s="68" t="s">
        <v>258</v>
      </c>
      <c r="D14" s="68"/>
      <c r="E14" s="68"/>
      <c r="F14" s="68"/>
      <c r="G14" s="72">
        <v>6264</v>
      </c>
      <c r="H14" s="41">
        <f>$H$45</f>
        <v>6264</v>
      </c>
      <c r="I14" s="73">
        <f>IF(AND(ISNUMBER($G$14),ISNUMBER($H$14)),ABS($H$14-$G$14),"")</f>
        <v>0</v>
      </c>
      <c r="J14" s="74">
        <v>1E-06</v>
      </c>
      <c r="K14" s="44" t="str">
        <f>IF(AND(ISNUMBER($G$14),ISNUMBER($H$14)),IF(ABS($H$14-$G$14)&lt;=$J$14,"PASS","FAIL"),"FAIL")</f>
        <v>PASS</v>
      </c>
    </row>
    <row r="15" spans="1:12" ht="16.2" customHeight="1">
      <c r="B15" s="71">
        <v>5</v>
      </c>
      <c r="C15" s="68" t="s">
        <v>259</v>
      </c>
      <c r="D15" s="68"/>
      <c r="E15" s="68"/>
      <c r="F15" s="68"/>
      <c r="G15" s="67" t="s">
        <v>260</v>
      </c>
      <c r="H15" s="39" t="str">
        <f>$I$47</f>
        <v>Use the 1st of the month</v>
      </c>
      <c r="I15" s="39"/>
      <c r="J15" s="69" t="s">
        <v>261</v>
      </c>
      <c r="K15" s="44" t="str">
        <f>IF($H$15&amp;""=$G$15&amp;"","PASS","FAIL")</f>
        <v>PASS</v>
      </c>
    </row>
    <row r="16" spans="1:12" ht="16.2" customHeight="1">
      <c r="B16" s="71">
        <v>6</v>
      </c>
      <c r="C16" s="68" t="s">
        <v>262</v>
      </c>
      <c r="D16" s="68"/>
      <c r="E16" s="68"/>
      <c r="F16" s="68"/>
      <c r="G16" s="75">
        <v>906.98</v>
      </c>
      <c r="H16" s="76">
        <f>$E$52</f>
        <v>906.98</v>
      </c>
      <c r="I16" s="73">
        <f>IF(AND(ISNUMBER($G$16),ISNUMBER($H$16)),ABS($H$16-$G$16),"")</f>
        <v>0</v>
      </c>
      <c r="J16" s="74">
        <v>1E-09</v>
      </c>
      <c r="K16" s="44" t="str">
        <f>IF(AND(ISNUMBER($G$16),ISNUMBER($H$16)),IF(ABS($H$16-$G$16)&lt;=$J$16,"PASS","FAIL"),"FAIL")</f>
        <v>PASS</v>
      </c>
    </row>
    <row r="17" spans="2:12" ht="16.2" customHeight="1">
      <c r="B17" s="71">
        <v>7</v>
      </c>
      <c r="C17" s="68" t="s">
        <v>263</v>
      </c>
      <c r="D17" s="68"/>
      <c r="E17" s="68"/>
      <c r="F17" s="68"/>
      <c r="G17" s="67" t="s">
        <v>264</v>
      </c>
      <c r="H17" s="39" t="str">
        <f>$F$52</f>
        <v>Above target</v>
      </c>
      <c r="I17" s="39"/>
      <c r="J17" s="69" t="s">
        <v>261</v>
      </c>
      <c r="K17" s="44" t="str">
        <f>IF($H$17&amp;""=$G$17&amp;"","PASS","FAIL")</f>
        <v>PASS</v>
      </c>
    </row>
    <row r="18" spans="2:12" ht="16.2" customHeight="1">
      <c r="B18" s="71">
        <v>8</v>
      </c>
      <c r="C18" s="68" t="s">
        <v>265</v>
      </c>
      <c r="D18" s="68"/>
      <c r="E18" s="68"/>
      <c r="F18" s="68"/>
      <c r="G18" s="77">
        <v>19.3</v>
      </c>
      <c r="H18" s="40">
        <f>$I$57</f>
        <v>19.3</v>
      </c>
      <c r="I18" s="73">
        <f>IF(AND(ISNUMBER($G$18),ISNUMBER($H$18)),ABS($H$18-$G$18),"")</f>
        <v>0</v>
      </c>
      <c r="J18" s="74">
        <v>1E-09</v>
      </c>
      <c r="K18" s="44" t="str">
        <f>IF(AND(ISNUMBER($G$18),ISNUMBER($H$18)),IF(ABS($H$18-$G$18)&lt;=$J$18,"PASS","FAIL"),"FAIL")</f>
        <v>PASS</v>
      </c>
    </row>
    <row r="19" spans="2:12" ht="16.2" customHeight="1">
      <c r="B19" s="71">
        <v>9</v>
      </c>
      <c r="C19" s="68" t="s">
        <v>266</v>
      </c>
      <c r="D19" s="68"/>
      <c r="E19" s="68"/>
      <c r="F19" s="68"/>
      <c r="G19" s="77">
        <v>139.9325</v>
      </c>
      <c r="H19" s="40">
        <f>SUMIFS(tblVerifyActivity[Emissions (kg CO2e)],tblVerifyActivity[Month],"&gt;="&amp;$E$30,tblVerifyActivity[Month],"&lt;"&amp;$E$31)/1000</f>
        <v>139.9325</v>
      </c>
      <c r="I19" s="73">
        <f>IF(AND(ISNUMBER($G$19),ISNUMBER($H$19)),ABS($H$19-$G$19),"")</f>
        <v>0</v>
      </c>
      <c r="J19" s="74">
        <v>1E-09</v>
      </c>
      <c r="K19" s="44" t="str">
        <f>IF(AND(ISNUMBER($G$19),ISNUMBER($H$19)),IF(ABS($H$19-$G$19)&lt;=$J$19,"PASS","FAIL"),"FAIL")</f>
        <v>PASS</v>
      </c>
    </row>
    <row r="20" spans="2:12" ht="16.2" customHeight="1">
      <c r="B20" s="71">
        <v>10</v>
      </c>
      <c r="C20" s="68" t="s">
        <v>267</v>
      </c>
      <c r="D20" s="68"/>
      <c r="E20" s="68"/>
      <c r="F20" s="68"/>
      <c r="G20" s="77">
        <v>49.2225</v>
      </c>
      <c r="H20" s="40">
        <f>SUMIFS(tblVerifyActivity[Emissions (kg CO2e)],tblVerifyActivity[Scope],"Scope 1",tblVerifyActivity[Month],"&gt;="&amp;$E$30,tblVerifyActivity[Month],"&lt;"&amp;$E$31)/1000</f>
        <v>49.2225</v>
      </c>
      <c r="I20" s="73">
        <f>IF(AND(ISNUMBER($G$20),ISNUMBER($H$20)),ABS($H$20-$G$20),"")</f>
        <v>0</v>
      </c>
      <c r="J20" s="74">
        <v>1E-09</v>
      </c>
      <c r="K20" s="44" t="str">
        <f>IF(AND(ISNUMBER($G$20),ISNUMBER($H$20)),IF(ABS($H$20-$G$20)&lt;=$J$20,"PASS","FAIL"),"FAIL")</f>
        <v>PASS</v>
      </c>
    </row>
    <row r="21" spans="2:12" ht="16.2" customHeight="1">
      <c r="B21" s="71">
        <v>11</v>
      </c>
      <c r="C21" s="68" t="s">
        <v>268</v>
      </c>
      <c r="D21" s="68"/>
      <c r="E21" s="68"/>
      <c r="F21" s="68"/>
      <c r="G21" s="75">
        <v>777.4027777777778</v>
      </c>
      <c r="H21" s="76">
        <f>IF((SUMIFS(tblVerifyOutput[Output],tblVerifyOutput[Month],"&gt;="&amp;$E$30,tblVerifyOutput[Month],"&lt;"&amp;$E$31))=0,"",(SUMIFS(tblVerifyActivity[Emissions (kg CO2e)],tblVerifyActivity[Month],"&gt;="&amp;$E$30,tblVerifyActivity[Month],"&lt;"&amp;$E$31))/(SUMIFS(tblVerifyOutput[Output],tblVerifyOutput[Month],"&gt;="&amp;$E$30,tblVerifyOutput[Month],"&lt;"&amp;$E$31)))</f>
        <v>777.402777777778</v>
      </c>
      <c r="I21" s="73">
        <f>IF(AND(ISNUMBER($G$21),ISNUMBER($H$21)),ABS($H$21-$G$21),"")</f>
        <v>0</v>
      </c>
      <c r="J21" s="74">
        <v>1E-09</v>
      </c>
      <c r="K21" s="44" t="str">
        <f>IF(AND(ISNUMBER($G$21),ISNUMBER($H$21)),IF(ABS($H$21-$G$21)&lt;=$J$21,"PASS","FAIL"),"FAIL")</f>
        <v>PASS</v>
      </c>
    </row>
    <row r="22" spans="2:12" ht="16.2" customHeight="1">
      <c r="B22" s="71">
        <v>12</v>
      </c>
      <c r="C22" s="68" t="s">
        <v>269</v>
      </c>
      <c r="D22" s="68"/>
      <c r="E22" s="68"/>
      <c r="F22" s="68"/>
      <c r="G22" s="78">
        <v>-0.9685544943820225</v>
      </c>
      <c r="H22" s="79">
        <f>IF(($E$35)=0,"",(SUMIFS(tblVerifyActivity[Emissions (kg CO2e)],tblVerifyActivity[Month],"&gt;="&amp;$E$30,tblVerifyActivity[Month],"&lt;"&amp;$E$31)/1000-$E$35)/($E$35))</f>
        <v>-0.968554494382023</v>
      </c>
      <c r="I22" s="73">
        <f>IF(AND(ISNUMBER($G$22),ISNUMBER($H$22)),ABS($H$22-$G$22),"")</f>
        <v>0</v>
      </c>
      <c r="J22" s="74">
        <v>1E-09</v>
      </c>
      <c r="K22" s="44" t="str">
        <f>IF(AND(ISNUMBER($G$22),ISNUMBER($H$22)),IF(ABS($H$22-$G$22)&lt;=$J$22,"PASS","FAIL"),"FAIL")</f>
        <v>PASS</v>
      </c>
    </row>
    <row r="23" spans="2:12" ht="16.2" customHeight="1">
      <c r="B23" s="71">
        <v>13</v>
      </c>
      <c r="C23" s="68" t="s">
        <v>270</v>
      </c>
      <c r="D23" s="68"/>
      <c r="E23" s="68"/>
      <c r="F23" s="68"/>
      <c r="G23" s="77">
        <v>19.3</v>
      </c>
      <c r="H23" s="40">
        <f>SUMIFS(tblVerifyProjects[Saving (t CO2e/yr)],tblVerifyProjects[Status],"&lt;&gt;Complete")</f>
        <v>19.3</v>
      </c>
      <c r="I23" s="73">
        <f>IF(AND(ISNUMBER($G$23),ISNUMBER($H$23)),ABS($H$23-$G$23),"")</f>
        <v>0</v>
      </c>
      <c r="J23" s="74">
        <v>1E-09</v>
      </c>
      <c r="K23" s="44" t="str">
        <f>IF(AND(ISNUMBER($G$23),ISNUMBER($H$23)),IF(ABS($H$23-$G$23)&lt;=$J$23,"PASS","FAIL"),"FAIL")</f>
        <v>PASS</v>
      </c>
    </row>
    <row r="24" spans="2:12" ht="16.2" customHeight="1">
      <c r="B24" s="71">
        <v>14</v>
      </c>
      <c r="C24" s="68" t="s">
        <v>271</v>
      </c>
      <c r="D24" s="68"/>
      <c r="E24" s="68"/>
      <c r="F24" s="68"/>
      <c r="G24" s="77">
        <v>-3661.8675</v>
      </c>
      <c r="H24" s="40">
        <f>IF(SUMIFS(tblVerifyActivity[Emissions (kg CO2e)],tblVerifyActivity[Month],"&gt;="&amp;$E$30,tblVerifyActivity[Month],"&lt;"&amp;$E$31)/1000=0,"",SUMIFS(tblVerifyActivity[Emissions (kg CO2e)],tblVerifyActivity[Month],"&gt;="&amp;$E$30,tblVerifyActivity[Month],"&lt;"&amp;$E$31)/1000-SUMIFS(tblVerifyProjects[Saving (t CO2e/yr)],tblVerifyProjects[Status],"&lt;&gt;Complete")-$E$37)</f>
        <v>-3661.8675</v>
      </c>
      <c r="I24" s="73">
        <f>IF(AND(ISNUMBER($G$24),ISNUMBER($H$24)),ABS($H$24-$G$24),"")</f>
        <v>0</v>
      </c>
      <c r="J24" s="74">
        <v>1E-09</v>
      </c>
      <c r="K24" s="44" t="str">
        <f>IF(AND(ISNUMBER($G$24),ISNUMBER($H$24)),IF(ABS($H$24-$G$24)&lt;=$J$24,"PASS","FAIL"),"FAIL")</f>
        <v>PASS</v>
      </c>
    </row>
    <row r="26" spans="2:12" ht="21" customHeight="1">
      <c r="B26" s="8" t="s">
        <v>272</v>
      </c>
      <c r="C26" s="8"/>
      <c r="D26" s="8"/>
      <c r="E26" s="8"/>
      <c r="F26" s="8"/>
      <c r="G26" s="8"/>
      <c r="H26" s="8"/>
      <c r="I26" s="8"/>
      <c r="J26" s="8"/>
      <c r="K26" s="8"/>
      <c r="L26" s="8"/>
    </row>
    <row r="27" spans="2:12" ht="5" customHeight="1"/>
    <row r="28" spans="2:12">
      <c r="B28" s="21" t="s">
        <v>273</v>
      </c>
      <c r="C28" s="21"/>
      <c r="D28" s="21"/>
      <c r="E28" s="21"/>
      <c r="F28" s="21"/>
      <c r="G28" s="21"/>
      <c r="H28" s="21"/>
      <c r="I28" s="21"/>
      <c r="J28" s="21"/>
      <c r="K28" s="21"/>
      <c r="L28" s="21"/>
    </row>
    <row r="29" spans="2:12">
      <c r="B29" s="33" t="s">
        <v>274</v>
      </c>
      <c r="C29" s="33"/>
      <c r="D29" s="33"/>
      <c r="E29" s="33"/>
      <c r="F29" s="33"/>
    </row>
    <row r="30" spans="2:12">
      <c r="B30" s="27" t="s">
        <v>275</v>
      </c>
      <c r="C30" s="27"/>
      <c r="D30" s="27"/>
      <c r="E30" s="80">
        <v>45658</v>
      </c>
      <c r="F30" s="7"/>
    </row>
    <row r="31" spans="2:12">
      <c r="B31" s="27" t="s">
        <v>276</v>
      </c>
      <c r="C31" s="27"/>
      <c r="D31" s="27"/>
      <c r="E31" s="80">
        <v>46023</v>
      </c>
      <c r="F31" s="7"/>
    </row>
    <row r="33" spans="2:12">
      <c r="B33" s="33" t="s">
        <v>277</v>
      </c>
      <c r="C33" s="33"/>
      <c r="D33" s="33"/>
      <c r="E33" s="33"/>
      <c r="F33" s="33"/>
      <c r="G33" s="33"/>
      <c r="H33" s="33"/>
      <c r="I33" s="33"/>
      <c r="J33" s="33"/>
      <c r="K33" s="33"/>
      <c r="L33" s="33"/>
    </row>
    <row r="34" spans="2:12">
      <c r="B34" s="27" t="s">
        <v>78</v>
      </c>
      <c r="C34" s="27"/>
      <c r="D34" s="27"/>
      <c r="E34" s="67">
        <v>2023</v>
      </c>
      <c r="F34" s="7"/>
    </row>
    <row r="35" spans="2:12">
      <c r="B35" s="27" t="s">
        <v>79</v>
      </c>
      <c r="C35" s="27"/>
      <c r="D35" s="27"/>
      <c r="E35" s="81">
        <v>4450</v>
      </c>
      <c r="F35" s="7" t="s">
        <v>80</v>
      </c>
    </row>
    <row r="36" spans="2:12">
      <c r="B36" s="27" t="s">
        <v>81</v>
      </c>
      <c r="C36" s="27"/>
      <c r="D36" s="27"/>
      <c r="E36" s="82">
        <v>0.15</v>
      </c>
      <c r="F36" s="7"/>
    </row>
    <row r="37" spans="2:12">
      <c r="B37" s="17" t="s">
        <v>82</v>
      </c>
      <c r="C37" s="17"/>
      <c r="D37" s="17"/>
      <c r="E37" s="31">
        <f>$E$35*(1-$E$36)</f>
        <v>3782.5</v>
      </c>
      <c r="F37" s="7" t="s">
        <v>80</v>
      </c>
    </row>
    <row r="38" spans="2:12">
      <c r="B38" s="27" t="s">
        <v>83</v>
      </c>
      <c r="C38" s="27"/>
      <c r="D38" s="27"/>
      <c r="E38" s="72">
        <v>640</v>
      </c>
      <c r="F38" s="7" t="s">
        <v>84</v>
      </c>
    </row>
    <row r="40" spans="2:12">
      <c r="B40" s="33" t="s">
        <v>278</v>
      </c>
      <c r="C40" s="33"/>
      <c r="D40" s="33"/>
      <c r="E40" s="33"/>
      <c r="F40" s="33"/>
      <c r="G40" s="33"/>
      <c r="H40" s="33"/>
      <c r="I40" s="33"/>
      <c r="J40" s="33"/>
      <c r="K40" s="33"/>
      <c r="L40" s="33"/>
    </row>
    <row r="41" spans="2:12" ht="32" customHeight="1">
      <c r="B41" s="34" t="s">
        <v>105</v>
      </c>
      <c r="C41" s="34" t="s">
        <v>66</v>
      </c>
      <c r="D41" s="34" t="s">
        <v>106</v>
      </c>
      <c r="E41" s="34" t="s">
        <v>107</v>
      </c>
      <c r="F41" s="34" t="s">
        <v>67</v>
      </c>
      <c r="G41" s="34" t="s">
        <v>69</v>
      </c>
      <c r="H41" s="34" t="s">
        <v>108</v>
      </c>
      <c r="I41" s="34" t="s">
        <v>109</v>
      </c>
      <c r="J41" s="34" t="s">
        <v>110</v>
      </c>
      <c r="K41" s="34" t="s">
        <v>111</v>
      </c>
    </row>
    <row r="42" spans="2:12">
      <c r="B42" s="80">
        <v>45658</v>
      </c>
      <c r="C42" s="67" t="s">
        <v>89</v>
      </c>
      <c r="D42" s="81">
        <v>125000</v>
      </c>
      <c r="E42" s="67" t="s">
        <v>91</v>
      </c>
      <c r="F42" s="67" t="s">
        <v>90</v>
      </c>
      <c r="G42" s="77">
        <v>0.386</v>
      </c>
      <c r="H42" s="41">
        <f>IF(tblVerifyActivity[[#This Row],[Month]]="","",IF(AND(ISNUMBER(tblVerifyActivity[[#This Row],[Quantity]]),ISNUMBER(tblVerifyActivity[[#This Row],[Factor (kg CO2e/unit)]])),tblVerifyActivity[[#This Row],[Quantity]]*tblVerifyActivity[[#This Row],[Factor (kg CO2e/unit)]],""))</f>
        <v>48250</v>
      </c>
      <c r="I42" s="42" t="str">
        <f>IF(tblVerifyActivity[[#This Row],[Month]]="","",IF(tblVerifyActivity[[#This Row],[Source]]="","Missing source",IF(tblVerifyActivity[[#This Row],[Quantity]]="","Missing quantity",IF(tblVerifyActivity[[#This Row],[Factor (kg CO2e/unit)]]="","Source not on Setup list",IF(DAY(tblVerifyActivity[[#This Row],[Month]])&lt;&gt;1,"Use the 1st of the month",IF(COUNTIFS(tblVerifyActivity[Month],tblVerifyActivity[[#This Row],[Month]],tblVerifyActivity[Source],tblVerifyActivity[[#This Row],[Source]])&gt;1,"Duplicate month and source","OK"))))))</f>
        <v>OK</v>
      </c>
      <c r="J42" s="67" t="s">
        <v>114</v>
      </c>
      <c r="K42" s="67" t="s">
        <v>114</v>
      </c>
    </row>
    <row r="43" spans="2:12">
      <c r="B43" s="80">
        <v>45658</v>
      </c>
      <c r="C43" s="67" t="s">
        <v>93</v>
      </c>
      <c r="D43" s="81">
        <v>8000</v>
      </c>
      <c r="E43" s="67" t="s">
        <v>95</v>
      </c>
      <c r="F43" s="67" t="s">
        <v>94</v>
      </c>
      <c r="G43" s="77">
        <v>5.306</v>
      </c>
      <c r="H43" s="41">
        <f>IF(tblVerifyActivity[[#This Row],[Month]]="","",IF(AND(ISNUMBER(tblVerifyActivity[[#This Row],[Quantity]]),ISNUMBER(tblVerifyActivity[[#This Row],[Factor (kg CO2e/unit)]])),tblVerifyActivity[[#This Row],[Quantity]]*tblVerifyActivity[[#This Row],[Factor (kg CO2e/unit)]],""))</f>
        <v>42448</v>
      </c>
      <c r="I43" s="42" t="str">
        <f>IF(tblVerifyActivity[[#This Row],[Month]]="","",IF(tblVerifyActivity[[#This Row],[Source]]="","Missing source",IF(tblVerifyActivity[[#This Row],[Quantity]]="","Missing quantity",IF(tblVerifyActivity[[#This Row],[Factor (kg CO2e/unit)]]="","Source not on Setup list",IF(DAY(tblVerifyActivity[[#This Row],[Month]])&lt;&gt;1,"Use the 1st of the month",IF(COUNTIFS(tblVerifyActivity[Month],tblVerifyActivity[[#This Row],[Month]],tblVerifyActivity[Source],tblVerifyActivity[[#This Row],[Source]])&gt;1,"Duplicate month and source","OK"))))))</f>
        <v>OK</v>
      </c>
      <c r="J43" s="67" t="s">
        <v>114</v>
      </c>
      <c r="K43" s="67" t="s">
        <v>114</v>
      </c>
    </row>
    <row r="44" spans="2:12">
      <c r="B44" s="80">
        <v>45689</v>
      </c>
      <c r="C44" s="67" t="s">
        <v>89</v>
      </c>
      <c r="D44" s="81">
        <v>110000</v>
      </c>
      <c r="E44" s="67" t="s">
        <v>91</v>
      </c>
      <c r="F44" s="67" t="s">
        <v>90</v>
      </c>
      <c r="G44" s="77">
        <v>0.386</v>
      </c>
      <c r="H44" s="41">
        <f>IF(tblVerifyActivity[[#This Row],[Month]]="","",IF(AND(ISNUMBER(tblVerifyActivity[[#This Row],[Quantity]]),ISNUMBER(tblVerifyActivity[[#This Row],[Factor (kg CO2e/unit)]])),tblVerifyActivity[[#This Row],[Quantity]]*tblVerifyActivity[[#This Row],[Factor (kg CO2e/unit)]],""))</f>
        <v>42460</v>
      </c>
      <c r="I44" s="42" t="str">
        <f>IF(tblVerifyActivity[[#This Row],[Month]]="","",IF(tblVerifyActivity[[#This Row],[Source]]="","Missing source",IF(tblVerifyActivity[[#This Row],[Quantity]]="","Missing quantity",IF(tblVerifyActivity[[#This Row],[Factor (kg CO2e/unit)]]="","Source not on Setup list",IF(DAY(tblVerifyActivity[[#This Row],[Month]])&lt;&gt;1,"Use the 1st of the month",IF(COUNTIFS(tblVerifyActivity[Month],tblVerifyActivity[[#This Row],[Month]],tblVerifyActivity[Source],tblVerifyActivity[[#This Row],[Source]])&gt;1,"Duplicate month and source","OK"))))))</f>
        <v>OK</v>
      </c>
      <c r="J44" s="67" t="s">
        <v>114</v>
      </c>
      <c r="K44" s="67" t="s">
        <v>114</v>
      </c>
    </row>
    <row r="45" spans="2:12">
      <c r="B45" s="80">
        <v>45689</v>
      </c>
      <c r="C45" s="67" t="s">
        <v>102</v>
      </c>
      <c r="D45" s="81">
        <v>3</v>
      </c>
      <c r="E45" s="67" t="s">
        <v>103</v>
      </c>
      <c r="F45" s="67" t="s">
        <v>94</v>
      </c>
      <c r="G45" s="77">
        <v>2088</v>
      </c>
      <c r="H45" s="41">
        <f>IF(tblVerifyActivity[[#This Row],[Month]]="","",IF(AND(ISNUMBER(tblVerifyActivity[[#This Row],[Quantity]]),ISNUMBER(tblVerifyActivity[[#This Row],[Factor (kg CO2e/unit)]])),tblVerifyActivity[[#This Row],[Quantity]]*tblVerifyActivity[[#This Row],[Factor (kg CO2e/unit)]],""))</f>
        <v>6264</v>
      </c>
      <c r="I45" s="42" t="str">
        <f>IF(tblVerifyActivity[[#This Row],[Month]]="","",IF(tblVerifyActivity[[#This Row],[Source]]="","Missing source",IF(tblVerifyActivity[[#This Row],[Quantity]]="","Missing quantity",IF(tblVerifyActivity[[#This Row],[Factor (kg CO2e/unit)]]="","Source not on Setup list",IF(DAY(tblVerifyActivity[[#This Row],[Month]])&lt;&gt;1,"Use the 1st of the month",IF(COUNTIFS(tblVerifyActivity[Month],tblVerifyActivity[[#This Row],[Month]],tblVerifyActivity[Source],tblVerifyActivity[[#This Row],[Source]])&gt;1,"Duplicate month and source","OK"))))))</f>
        <v>OK</v>
      </c>
      <c r="J45" s="67" t="s">
        <v>114</v>
      </c>
      <c r="K45" s="67" t="s">
        <v>114</v>
      </c>
    </row>
    <row r="46" spans="2:12">
      <c r="B46" s="80">
        <v>45627</v>
      </c>
      <c r="C46" s="67" t="s">
        <v>97</v>
      </c>
      <c r="D46" s="81">
        <v>400</v>
      </c>
      <c r="E46" s="67" t="s">
        <v>98</v>
      </c>
      <c r="F46" s="67" t="s">
        <v>94</v>
      </c>
      <c r="G46" s="77">
        <v>10.21</v>
      </c>
      <c r="H46" s="41">
        <f>IF(tblVerifyActivity[[#This Row],[Month]]="","",IF(AND(ISNUMBER(tblVerifyActivity[[#This Row],[Quantity]]),ISNUMBER(tblVerifyActivity[[#This Row],[Factor (kg CO2e/unit)]])),tblVerifyActivity[[#This Row],[Quantity]]*tblVerifyActivity[[#This Row],[Factor (kg CO2e/unit)]],""))</f>
        <v>4084</v>
      </c>
      <c r="I46" s="42" t="str">
        <f>IF(tblVerifyActivity[[#This Row],[Month]]="","",IF(tblVerifyActivity[[#This Row],[Source]]="","Missing source",IF(tblVerifyActivity[[#This Row],[Quantity]]="","Missing quantity",IF(tblVerifyActivity[[#This Row],[Factor (kg CO2e/unit)]]="","Source not on Setup list",IF(DAY(tblVerifyActivity[[#This Row],[Month]])&lt;&gt;1,"Use the 1st of the month",IF(COUNTIFS(tblVerifyActivity[Month],tblVerifyActivity[[#This Row],[Month]],tblVerifyActivity[Source],tblVerifyActivity[[#This Row],[Source]])&gt;1,"Duplicate month and source","OK"))))))</f>
        <v>OK</v>
      </c>
      <c r="J46" s="67" t="s">
        <v>114</v>
      </c>
      <c r="K46" s="67" t="s">
        <v>114</v>
      </c>
    </row>
    <row r="47" spans="2:12">
      <c r="B47" s="80">
        <v>45702</v>
      </c>
      <c r="C47" s="67" t="s">
        <v>97</v>
      </c>
      <c r="D47" s="81">
        <v>50</v>
      </c>
      <c r="E47" s="67" t="s">
        <v>98</v>
      </c>
      <c r="F47" s="67" t="s">
        <v>94</v>
      </c>
      <c r="G47" s="77">
        <v>10.21</v>
      </c>
      <c r="H47" s="41">
        <f>IF(tblVerifyActivity[[#This Row],[Month]]="","",IF(AND(ISNUMBER(tblVerifyActivity[[#This Row],[Quantity]]),ISNUMBER(tblVerifyActivity[[#This Row],[Factor (kg CO2e/unit)]])),tblVerifyActivity[[#This Row],[Quantity]]*tblVerifyActivity[[#This Row],[Factor (kg CO2e/unit)]],""))</f>
        <v>510.5</v>
      </c>
      <c r="I47" s="42" t="str">
        <f>IF(tblVerifyActivity[[#This Row],[Month]]="","",IF(tblVerifyActivity[[#This Row],[Source]]="","Missing source",IF(tblVerifyActivity[[#This Row],[Quantity]]="","Missing quantity",IF(tblVerifyActivity[[#This Row],[Factor (kg CO2e/unit)]]="","Source not on Setup list",IF(DAY(tblVerifyActivity[[#This Row],[Month]])&lt;&gt;1,"Use the 1st of the month",IF(COUNTIFS(tblVerifyActivity[Month],tblVerifyActivity[[#This Row],[Month]],tblVerifyActivity[Source],tblVerifyActivity[[#This Row],[Source]])&gt;1,"Duplicate month and source","OK"))))))</f>
        <v>Use the 1st of the month</v>
      </c>
      <c r="J47" s="67" t="s">
        <v>114</v>
      </c>
      <c r="K47" s="67" t="s">
        <v>114</v>
      </c>
    </row>
    <row r="49" spans="2:12">
      <c r="B49" s="33" t="s">
        <v>279</v>
      </c>
      <c r="C49" s="33"/>
      <c r="D49" s="33"/>
      <c r="E49" s="33"/>
      <c r="F49" s="33"/>
      <c r="G49" s="33"/>
      <c r="H49" s="33"/>
      <c r="I49" s="33"/>
      <c r="J49" s="33"/>
      <c r="K49" s="33"/>
      <c r="L49" s="33"/>
    </row>
    <row r="50" spans="2:12" ht="14" customHeight="1">
      <c r="B50" s="43"/>
      <c r="C50" s="43" t="str">
        <f>OutputUnit</f>
        <v>t product</v>
      </c>
      <c r="D50" s="43"/>
      <c r="E50" s="43" t="str">
        <f>"kg CO2e/"&amp;OutputUnit</f>
        <v>kg CO2e/t product</v>
      </c>
      <c r="F50" s="43"/>
      <c r="G50" s="43"/>
      <c r="H50" s="43"/>
    </row>
    <row r="51" spans="2:12" ht="32" customHeight="1">
      <c r="B51" s="34" t="s">
        <v>105</v>
      </c>
      <c r="C51" s="34" t="s">
        <v>144</v>
      </c>
      <c r="D51" s="34" t="s">
        <v>108</v>
      </c>
      <c r="E51" s="34" t="s">
        <v>145</v>
      </c>
      <c r="F51" s="34" t="s">
        <v>146</v>
      </c>
      <c r="G51" s="34" t="s">
        <v>109</v>
      </c>
      <c r="H51" s="34" t="s">
        <v>111</v>
      </c>
    </row>
    <row r="52" spans="2:12">
      <c r="B52" s="80">
        <v>45658</v>
      </c>
      <c r="C52" s="81">
        <v>100</v>
      </c>
      <c r="D52" s="41">
        <f>IF(tblVerifyOutput[[#This Row],[Month]]="","",SUMIFS(tblVerifyActivity[Emissions (kg CO2e)],tblVerifyActivity[Month],tblVerifyOutput[[#This Row],[Month]]))</f>
        <v>90698</v>
      </c>
      <c r="E52" s="41">
        <f>IF(tblVerifyOutput[[#This Row],[Month]]="","",IF(N(tblVerifyOutput[[#This Row],[Output]])&gt;0,tblVerifyOutput[[#This Row],[Emissions (kg CO2e)]]/tblVerifyOutput[[#This Row],[Output]],""))</f>
        <v>906.98</v>
      </c>
      <c r="F52" s="44" t="str">
        <f>IF(NOT(ISNUMBER(tblVerifyOutput[[#This Row],[Intensity]])),"",IF(tblVerifyOutput[[#This Row],[Intensity]]&lt;=$E$38,"On target",IF(tblVerifyOutput[[#This Row],[Intensity]]&lt;=$E$38*(1+0.05),"Near target","Above target")))</f>
        <v>Above target</v>
      </c>
      <c r="G52" s="42" t="str">
        <f>IF(tblVerifyOutput[[#This Row],[Month]]="","",IF(tblVerifyOutput[[#This Row],[Output]]="","Missing output",IF(DAY(tblVerifyOutput[[#This Row],[Month]])&lt;&gt;1,"Use the 1st of the month",IF(COUNTIFS(tblVerifyOutput[Month],tblVerifyOutput[[#This Row],[Month]])&gt;1,"Duplicate month",IF(COUNTIFS(tblVerifyActivity[Month],tblVerifyOutput[[#This Row],[Month]])=0,"No Energy Log rows this month","OK")))))</f>
        <v>OK</v>
      </c>
      <c r="H52" s="67" t="s">
        <v>114</v>
      </c>
    </row>
    <row r="53" spans="2:12">
      <c r="B53" s="80">
        <v>45689</v>
      </c>
      <c r="C53" s="81">
        <v>80</v>
      </c>
      <c r="D53" s="41">
        <f>IF(tblVerifyOutput[[#This Row],[Month]]="","",SUMIFS(tblVerifyActivity[Emissions (kg CO2e)],tblVerifyActivity[Month],tblVerifyOutput[[#This Row],[Month]]))</f>
        <v>48724</v>
      </c>
      <c r="E53" s="41">
        <f>IF(tblVerifyOutput[[#This Row],[Month]]="","",IF(N(tblVerifyOutput[[#This Row],[Output]])&gt;0,tblVerifyOutput[[#This Row],[Emissions (kg CO2e)]]/tblVerifyOutput[[#This Row],[Output]],""))</f>
        <v>609.05</v>
      </c>
      <c r="F53" s="44" t="str">
        <f>IF(NOT(ISNUMBER(tblVerifyOutput[[#This Row],[Intensity]])),"",IF(tblVerifyOutput[[#This Row],[Intensity]]&lt;=$E$38,"On target",IF(tblVerifyOutput[[#This Row],[Intensity]]&lt;=$E$38*(1+0.05),"Near target","Above target")))</f>
        <v>On target</v>
      </c>
      <c r="G53" s="42" t="str">
        <f>IF(tblVerifyOutput[[#This Row],[Month]]="","",IF(tblVerifyOutput[[#This Row],[Output]]="","Missing output",IF(DAY(tblVerifyOutput[[#This Row],[Month]])&lt;&gt;1,"Use the 1st of the month",IF(COUNTIFS(tblVerifyOutput[Month],tblVerifyOutput[[#This Row],[Month]])&gt;1,"Duplicate month",IF(COUNTIFS(tblVerifyActivity[Month],tblVerifyOutput[[#This Row],[Month]])=0,"No Energy Log rows this month","OK")))))</f>
        <v>OK</v>
      </c>
      <c r="H53" s="67" t="s">
        <v>114</v>
      </c>
    </row>
    <row r="55" spans="2:12">
      <c r="B55" s="33" t="s">
        <v>280</v>
      </c>
      <c r="C55" s="33"/>
      <c r="D55" s="33"/>
      <c r="E55" s="33"/>
      <c r="F55" s="33"/>
      <c r="G55" s="33"/>
      <c r="H55" s="33"/>
      <c r="I55" s="33"/>
      <c r="J55" s="33"/>
      <c r="K55" s="33"/>
      <c r="L55" s="33"/>
    </row>
    <row r="56" spans="2:12" ht="32" customHeight="1">
      <c r="B56" s="34" t="s">
        <v>149</v>
      </c>
      <c r="C56" s="34" t="s">
        <v>66</v>
      </c>
      <c r="D56" s="34" t="s">
        <v>150</v>
      </c>
      <c r="E56" s="34" t="s">
        <v>151</v>
      </c>
      <c r="F56" s="34" t="s">
        <v>152</v>
      </c>
      <c r="G56" s="34" t="s">
        <v>107</v>
      </c>
      <c r="H56" s="34" t="s">
        <v>69</v>
      </c>
      <c r="I56" s="34" t="s">
        <v>153</v>
      </c>
      <c r="J56" s="34" t="s">
        <v>109</v>
      </c>
      <c r="K56" s="34" t="s">
        <v>111</v>
      </c>
    </row>
    <row r="57" spans="2:12">
      <c r="B57" s="67" t="s">
        <v>281</v>
      </c>
      <c r="C57" s="67" t="s">
        <v>89</v>
      </c>
      <c r="D57" s="81">
        <v>50000</v>
      </c>
      <c r="E57" s="67" t="s">
        <v>164</v>
      </c>
      <c r="F57" s="67" t="s">
        <v>114</v>
      </c>
      <c r="G57" s="67" t="s">
        <v>91</v>
      </c>
      <c r="H57" s="77">
        <v>0.386</v>
      </c>
      <c r="I57" s="45">
        <f>IF(tblVerifyProjects[[#This Row],[Project]]="","",IF(AND(ISNUMBER(tblVerifyProjects[[#This Row],[Saved per year]]),ISNUMBER(tblVerifyProjects[[#This Row],[Factor (kg CO2e/unit)]])),tblVerifyProjects[[#This Row],[Saved per year]]*tblVerifyProjects[[#This Row],[Factor (kg CO2e/unit)]]/1000,""))</f>
        <v>19.3</v>
      </c>
      <c r="J57" s="42" t="str">
        <f>IF(tblVerifyProjects[[#This Row],[Project]]="","",IF(tblVerifyProjects[[#This Row],[Source]]="","Missing source",IF(tblVerifyProjects[[#This Row],[Saved per year]]="","Missing saved per year",IF(tblVerifyProjects[[#This Row],[Status]]="","Missing status",IF(tblVerifyProjects[[#This Row],[Factor (kg CO2e/unit)]]="","Source not on Setup list","OK")))))</f>
        <v>OK</v>
      </c>
      <c r="K57" s="67" t="s">
        <v>114</v>
      </c>
    </row>
    <row r="58" spans="2:12">
      <c r="B58" s="67" t="s">
        <v>282</v>
      </c>
      <c r="C58" s="67" t="s">
        <v>93</v>
      </c>
      <c r="D58" s="81">
        <v>2000</v>
      </c>
      <c r="E58" s="67" t="s">
        <v>156</v>
      </c>
      <c r="F58" s="67" t="s">
        <v>114</v>
      </c>
      <c r="G58" s="67" t="s">
        <v>95</v>
      </c>
      <c r="H58" s="77">
        <v>5.306</v>
      </c>
      <c r="I58" s="45">
        <f>IF(tblVerifyProjects[[#This Row],[Project]]="","",IF(AND(ISNUMBER(tblVerifyProjects[[#This Row],[Saved per year]]),ISNUMBER(tblVerifyProjects[[#This Row],[Factor (kg CO2e/unit)]])),tblVerifyProjects[[#This Row],[Saved per year]]*tblVerifyProjects[[#This Row],[Factor (kg CO2e/unit)]]/1000,""))</f>
        <v>10.612</v>
      </c>
      <c r="J58" s="42" t="str">
        <f>IF(tblVerifyProjects[[#This Row],[Project]]="","",IF(tblVerifyProjects[[#This Row],[Source]]="","Missing source",IF(tblVerifyProjects[[#This Row],[Saved per year]]="","Missing saved per year",IF(tblVerifyProjects[[#This Row],[Status]]="","Missing status",IF(tblVerifyProjects[[#This Row],[Factor (kg CO2e/unit)]]="","Source not on Setup list","OK")))))</f>
        <v>OK</v>
      </c>
      <c r="K58" s="67" t="s">
        <v>114</v>
      </c>
    </row>
  </sheetData>
  <sheetProtection sheet="1" formatColumns="0" formatRows="0"/>
  <mergeCells count="36">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F29"/>
    <mergeCell ref="B30:D30"/>
    <mergeCell ref="B31:D31"/>
    <mergeCell ref="B33:L33"/>
    <mergeCell ref="B34:D34"/>
    <mergeCell ref="B35:D35"/>
    <mergeCell ref="B36:D36"/>
    <mergeCell ref="B37:D37"/>
    <mergeCell ref="B38:D38"/>
    <mergeCell ref="B40:L40"/>
    <mergeCell ref="B49:L49"/>
    <mergeCell ref="B55:L55"/>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52:G53">
    <cfRule type="expression" dxfId="3" priority="43">
      <formula>$G52="OK"</formula>
    </cfRule>
    <cfRule type="expression" dxfId="1" priority="44">
      <formula>AND($G52&lt;&gt;"",$G52&lt;&gt;"OK")</formula>
    </cfRule>
  </conditionalFormatting>
  <conditionalFormatting sqref="I42:I47">
    <cfRule type="expression" dxfId="3" priority="41">
      <formula>$I42="OK"</formula>
    </cfRule>
    <cfRule type="expression" dxfId="1" priority="42">
      <formula>AND($I42&lt;&gt;"",$I42&lt;&gt;"OK")</formula>
    </cfRule>
  </conditionalFormatting>
  <conditionalFormatting sqref="J57:J58">
    <cfRule type="expression" dxfId="3" priority="45">
      <formula>$J57="OK"</formula>
    </cfRule>
    <cfRule type="expression" dxfId="1" priority="46">
      <formula>AND($J57&lt;&gt;"",$J57&lt;&gt;"OK")</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Carbon Emissions Tracker&amp;R&amp;8&amp;A</oddHeader>
    <oddFooter>&amp;L&amp;8mfgcalcs.com - free manufacturing templates&amp;R&amp;8Page &amp;P of &amp;N</oddFooter>
  </headerFooter>
  <rowBreaks count="2" manualBreakCount="2">
    <brk id="25" max="16383" man="1"/>
    <brk id="54"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32</vt:i4>
      </vt:variant>
    </vt:vector>
  </HeadingPairs>
  <TitlesOfParts>
    <vt:vector size="40" baseType="lpstr">
      <vt:lpstr>Start Here</vt:lpstr>
      <vt:lpstr>Setup</vt:lpstr>
      <vt:lpstr>Energy Log</vt:lpstr>
      <vt:lpstr>Production</vt:lpstr>
      <vt:lpstr>Projects</vt:lpstr>
      <vt:lpstr>Dashboard</vt:lpstr>
      <vt:lpstr>Method</vt:lpstr>
      <vt:lpstr>Verify</vt:lpstr>
      <vt:lpstr>BaselineT</vt:lpstr>
      <vt:lpstr>BaseYear</vt:lpstr>
      <vt:lpstr>DbTarget</vt:lpstr>
      <vt:lpstr>DbYear</vt:lpstr>
      <vt:lpstr>KpiChange</vt:lpstr>
      <vt:lpstr>KpiGap</vt:lpstr>
      <vt:lpstr>KpiIntensity</vt:lpstr>
      <vt:lpstr>KpiMonths</vt:lpstr>
      <vt:lpstr>KpiOpen</vt:lpstr>
      <vt:lpstr>KpiS1</vt:lpstr>
      <vt:lpstr>KpiS2</vt:lpstr>
      <vt:lpstr>KpiTotal</vt:lpstr>
      <vt:lpstr>OutputUnit</vt:lpstr>
      <vt:lpstr>PlantName</vt:lpstr>
      <vt:lpstr>Dashboard!Print_Area</vt:lpstr>
      <vt:lpstr>'Energy Log'!Print_Area</vt:lpstr>
      <vt:lpstr>Method!Print_Area</vt:lpstr>
      <vt:lpstr>Production!Print_Area</vt:lpstr>
      <vt:lpstr>Projects!Print_Area</vt:lpstr>
      <vt:lpstr>Setup!Print_Area</vt:lpstr>
      <vt:lpstr>'Start Here'!Print_Area</vt:lpstr>
      <vt:lpstr>Verify!Print_Area</vt:lpstr>
      <vt:lpstr>'Energy Log'!Print_Titles</vt:lpstr>
      <vt:lpstr>Method!Print_Titles</vt:lpstr>
      <vt:lpstr>Production!Print_Titles</vt:lpstr>
      <vt:lpstr>Projects!Print_Titles</vt:lpstr>
      <vt:lpstr>ReductionPct</vt:lpstr>
      <vt:lpstr>ReportYear</vt:lpstr>
      <vt:lpstr>SelfCheck</vt:lpstr>
      <vt:lpstr>SelfCheckSummary</vt:lpstr>
      <vt:lpstr>TargetIntensity</vt:lpstr>
      <vt:lpstr>TargetT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Carbon Emissions Tracker - free Excel template from MFG Calcs</dc:title>
  <dc:subject>Turn monthly energy bills, fuel deliveries and refrigerant top-ups into Scope 1 and 2 CO2e, intensity per unit of output, and progress against your reduction target.</dc:subject>
  <dc:creator>MFG Calcs</dc:creator>
  <cp:keywords>carbon emissions, CO2e, Scope 1, Scope 2, emission factor, carbon intensity, GHG, reduction target, carbon footprint</cp:keywords>
  <dc:description>https://www.mfgcalcs.com/templates/carbon-emissions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carbon-emissions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https://www.mfgcalcs.com/templates/carbon-emissions</vt:lpwstr>
  </property>
  <property fmtid="{D5CDD505-2E9C-101B-9397-08002B2CF9AE}" pid="7" name="Template sheet roles">
    <vt:lpwstr>Start Here=start;Setup=setup;Energy Log=work;Production=work;Projects=work;Dashboard=dashboard;Method=method;Verify=verify</vt:lpwstr>
  </property>
</Properties>
</file>