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asting Estimate" sheetId="3" r:id="rId3"/>
    <sheet name="Dashboard" sheetId="4" r:id="rId4"/>
    <sheet name="Method" sheetId="5" r:id="rId5"/>
    <sheet name="Verify" sheetId="6" r:id="rId6"/>
  </sheets>
  <definedNames>
    <definedName name="Alloy">'Casting Estimate'!$C$16</definedName>
    <definedName name="Alloys">tblAlloys[Alloy]</definedName>
    <definedName name="BreakList">'Casting Estimate'!$D$65:$H$65</definedName>
    <definedName name="CastKg">'Casting Estimate'!$C$20</definedName>
    <definedName name="CastWt">'Casting Estimate'!$C$18</definedName>
    <definedName name="Centres">tblCentres[Work centre]</definedName>
    <definedName name="CoName">Setup!$C$6</definedName>
    <definedName name="CoreCost">'Casting Estimate'!$C$34</definedName>
    <definedName name="CorePP">'Casting Estimate'!$C$35</definedName>
    <definedName name="CoresPer">'Casting Estimate'!$C$33</definedName>
    <definedName name="Currency">Setup!$C$7</definedName>
    <definedName name="Customer">'Casting Estimate'!$C$8</definedName>
    <definedName name="DashBreak">Dashboard!$C$4</definedName>
    <definedName name="EnergyPrice">Setup!$C$11</definedName>
    <definedName name="FPY">Setup!$C$15</definedName>
    <definedName name="KpiCost">Dashboard!$D$8</definedName>
    <definedName name="KpiMargin">Dashboard!$G$8</definedName>
    <definedName name="KpiPour">Dashboard!$J$8</definedName>
    <definedName name="KpiPrice">Dashboard!$B$8</definedName>
    <definedName name="LiquidKg">'Casting Estimate'!$C$26</definedName>
    <definedName name="Margin">Setup!$C$14</definedName>
    <definedName name="MeltKWh">'Casting Estimate'!$C$25</definedName>
    <definedName name="MeltLoss">'Casting Estimate'!$C$24</definedName>
    <definedName name="MetalCheck">'Casting Estimate'!$C$28</definedName>
    <definedName name="MetalCost">'Casting Estimate'!$C$27</definedName>
    <definedName name="Overhead">Setup!$C$13</definedName>
    <definedName name="PartDesc">'Casting Estimate'!$C$10</definedName>
    <definedName name="PartNo">'Casting Estimate'!$C$9</definedName>
    <definedName name="PatAlloc">'Casting Estimate'!$C$59</definedName>
    <definedName name="PatCost">'Casting Estimate'!$C$56</definedName>
    <definedName name="PatEng">'Casting Estimate'!$C$57</definedName>
    <definedName name="PatPP">'Casting Estimate'!$C$61</definedName>
    <definedName name="PatQty">'Casting Estimate'!$C$60</definedName>
    <definedName name="PatResidual">'Casting Estimate'!$C$58</definedName>
    <definedName name="PerMould">'Casting Estimate'!$C$32</definedName>
    <definedName name="PourKg">'Casting Estimate'!$C$21</definedName>
    <definedName name="PreparedBy">'Casting Estimate'!$C$12</definedName>
    <definedName name="PriceKg">'Casting Estimate'!$C$23</definedName>
    <definedName name="_xlnm.Print_Area" localSheetId="2">'Casting Estimate'!$A$1:$K$77</definedName>
    <definedName name="_xlnm.Print_Area" localSheetId="3">Dashboard!$A$1:$L$45</definedName>
    <definedName name="_xlnm.Print_Area" localSheetId="4">Method!$A$1:$D$57</definedName>
    <definedName name="_xlnm.Print_Area" localSheetId="1">Setup!$A$1:$H$38</definedName>
    <definedName name="_xlnm.Print_Area" localSheetId="0">'Start Here'!$A$1:$F$56</definedName>
    <definedName name="_xlnm.Print_Area" localSheetId="5">Verify!$A$1:$L$101</definedName>
    <definedName name="_xlnm.Print_Titles" localSheetId="4">Method!$1:$2</definedName>
    <definedName name="QuoteDate">'Casting Estimate'!$C$11</definedName>
    <definedName name="ReturnCredit">Setup!$C$12</definedName>
    <definedName name="ReturnsKg">'Casting Estimate'!$C$22</definedName>
    <definedName name="RoundStep">Setup!$C$16</definedName>
    <definedName name="RunCost">'Casting Estimate'!$C$51</definedName>
    <definedName name="RunMin">'Casting Estimate'!$C$52</definedName>
    <definedName name="SelfCheck">Verify!$D$4</definedName>
    <definedName name="SelfCheckSummary">Verify!$F$4</definedName>
    <definedName name="SelIdx">IFERROR(MATCH(DashBreak,'Casting Estimate'!$D$65:$H$65,0),1)</definedName>
    <definedName name="SetupCost">'Casting Estimate'!$C$50</definedName>
    <definedName name="WtUnit">'Casting Estimate'!$C$17</definedName>
    <definedName name="Yield">'Casting Estimate'!$C$19</definedName>
  </definedNames>
  <calcPr calcId="124519" fullCalcOnLoad="1"/>
</workbook>
</file>

<file path=xl/sharedStrings.xml><?xml version="1.0" encoding="utf-8"?>
<sst xmlns="http://schemas.openxmlformats.org/spreadsheetml/2006/main" count="501" uniqueCount="286">
  <si>
    <t>Casting Cost Estimator</t>
  </si>
  <si>
    <t>Read this first: what the workbook does and how to use it.</t>
  </si>
  <si>
    <t>mfgcalcs.com</t>
  </si>
  <si>
    <t>Estimate a casting's cost from poured metal, melt loss, energy, cores, moulding and finishing, and price five order quantities.</t>
  </si>
  <si>
    <t>For: Foundry estimators, sales engineers and managers, and buyers checking a casting quote.</t>
  </si>
  <si>
    <t>Version 1.0.0  ·  updated 15 October 2026</t>
  </si>
  <si>
    <t>Quick start</t>
  </si>
  <si>
    <t>1.</t>
  </si>
  <si>
    <t>On Setup, type your company name, currency, costing defaults, energy price, alloy data and work-centre rates.</t>
  </si>
  <si>
    <t>2.</t>
  </si>
  <si>
    <t>On Casting Estimate, choose the alloy, enter the casting weight and casting yield, the castings per mould and the cores.</t>
  </si>
  <si>
    <t>3.</t>
  </si>
  <si>
    <t>List the process steps with minutes per mould or per casting, and enter the pattern cost and expected castings.</t>
  </si>
  <si>
    <t>4.</t>
  </si>
  <si>
    <t>Type five order quantities and read cost, price per casting, margin and liquid metal to melt.</t>
  </si>
  <si>
    <t>5.</t>
  </si>
  <si>
    <t>On the Dashboard, pick a quantity to see the tiles, the two charts and where the cost goes.</t>
  </si>
  <si>
    <t>What is in this workbook</t>
  </si>
  <si>
    <t>Start Here</t>
  </si>
  <si>
    <t>Setup</t>
  </si>
  <si>
    <t>Your company, currency, costing defaults, alloy data and work-centre rates.</t>
  </si>
  <si>
    <t>Casting Estimate</t>
  </si>
  <si>
    <t>The casting, metal and yield, cores, process steps, pattern, and cost and price for five order quantities.</t>
  </si>
  <si>
    <t>Dashboard</t>
  </si>
  <si>
    <t>Price, cost and margin per casting at the order quantity you pick, and where the cost of a casting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</si>
  <si>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</si>
  <si>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</si>
  <si>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</si>
  <si>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</si>
  <si>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</si>
  <si>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</si>
  <si>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</si>
  <si>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</si>
  <si>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</si>
  <si>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</si>
  <si>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</si>
  <si>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</si>
  <si>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</si>
  <si>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</si>
  <si>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</si>
  <si>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</si>
  <si>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</si>
  <si>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</si>
  <si>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</si>
  <si>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</si>
  <si>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Casting Lot Cost Calculator on mfgcalcs.com</t>
  </si>
  <si>
    <t>Latest version</t>
  </si>
  <si>
    <t>mfgcalcs.com/templates/casting-cost-estimator</t>
  </si>
  <si>
    <t>More free templates</t>
  </si>
  <si>
    <t>mfgcalcs.com/templates</t>
  </si>
  <si>
    <t>Version</t>
  </si>
  <si>
    <t>1.0.0 (updated 15 October 2026)</t>
  </si>
  <si>
    <t>About the example data</t>
  </si>
  <si>
    <t>Every number already in this workbook is example data for Blackwood Foundry, a fictional business invented for this template, so the dashboard and charts show something meaningful on day one. The example quotes a sand-cast ductile iron gearbox housing for a fictional customer; all prices, rates and process times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</si>
  <si>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</si>
  <si>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</si>
  <si>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</si>
  <si>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</si>
  <si>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</si>
  <si>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</si>
  <si>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</si>
  <si>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</si>
  <si>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Alloy</t>
  </si>
  <si>
    <t>Charge price</t>
  </si>
  <si>
    <t>Per</t>
  </si>
  <si>
    <t>Melt loss</t>
  </si>
  <si>
    <t>Melt energy</t>
  </si>
  <si>
    <t>Notes</t>
  </si>
  <si>
    <t>Work centre</t>
  </si>
  <si>
    <t>Rate per hour</t>
  </si>
  <si>
    <t>Company and currency</t>
  </si>
  <si>
    <t>Company name</t>
  </si>
  <si>
    <t>Blackwood Foundry (example)</t>
  </si>
  <si>
    <t>Currency label</t>
  </si>
  <si>
    <t>USD</t>
  </si>
  <si>
    <t>Costing defaults</t>
  </si>
  <si>
    <t>Electricity price for melting</t>
  </si>
  <si>
    <t>Credit for remelted returns</t>
  </si>
  <si>
    <t>Overhead on processing and setup</t>
  </si>
  <si>
    <t>Target margin on price</t>
  </si>
  <si>
    <t>First-pass yield (castings accepted / poured)</t>
  </si>
  <si>
    <t>Round prices up to the nearest</t>
  </si>
  <si>
    <t>Alloys and work centres</t>
  </si>
  <si>
    <t>Alloys (example values; use your own charge costs and furnace data)</t>
  </si>
  <si>
    <t>kWh/kg</t>
  </si>
  <si>
    <t>Grey iron</t>
  </si>
  <si>
    <t>kg</t>
  </si>
  <si>
    <t>Example values</t>
  </si>
  <si>
    <t>Ductile iron</t>
  </si>
  <si>
    <t>Includes treatment alloy</t>
  </si>
  <si>
    <t>Carbon steel</t>
  </si>
  <si>
    <t>Aluminium A356</t>
  </si>
  <si>
    <t>Aluminium bronze</t>
  </si>
  <si>
    <t>lb</t>
  </si>
  <si>
    <t>Example price per pound</t>
  </si>
  <si>
    <t>Work centres (example rates)</t>
  </si>
  <si>
    <t>Moulding line</t>
  </si>
  <si>
    <t>Whole line with crew</t>
  </si>
  <si>
    <t>Pouring</t>
  </si>
  <si>
    <t>Ladle crew</t>
  </si>
  <si>
    <t>Shakeout and shot blast</t>
  </si>
  <si>
    <t/>
  </si>
  <si>
    <t>Fettling and grinding</t>
  </si>
  <si>
    <t>Heat treatment</t>
  </si>
  <si>
    <t>Batch furnace, share per casting</t>
  </si>
  <si>
    <t>Inspection</t>
  </si>
  <si>
    <t>Core shop</t>
  </si>
  <si>
    <t>Operation</t>
  </si>
  <si>
    <t>Setup (h)</t>
  </si>
  <si>
    <t>Minutes</t>
  </si>
  <si>
    <t>Rate</t>
  </si>
  <si>
    <t>Min per casting</t>
  </si>
  <si>
    <t>Setup cost</t>
  </si>
  <si>
    <t>Run cost</t>
  </si>
  <si>
    <t>Check</t>
  </si>
  <si>
    <t>Example for Blackwood Foundry (fictional). Overwrite the yellow cells with your casting; edit or delete the example table rows. Blue cells calculate. The Dashboard fills from here.</t>
  </si>
  <si>
    <t>Casting and quote</t>
  </si>
  <si>
    <t>Customer</t>
  </si>
  <si>
    <t>Harrow Drive Systems (example)</t>
  </si>
  <si>
    <t>Pattern or part number</t>
  </si>
  <si>
    <t>HDS-GH-310</t>
  </si>
  <si>
    <t>Description</t>
  </si>
  <si>
    <t>Gearbox housing, ductile iron, sand cast, annealed</t>
  </si>
  <si>
    <t>Date</t>
  </si>
  <si>
    <t>Prepared by</t>
  </si>
  <si>
    <t>Estimating</t>
  </si>
  <si>
    <t>Metal, yield and melt</t>
  </si>
  <si>
    <t>Weights in</t>
  </si>
  <si>
    <t>Casting weight, as shipped</t>
  </si>
  <si>
    <t>Casting yield (casting / poured weight)</t>
  </si>
  <si>
    <t>Casting weight</t>
  </si>
  <si>
    <t>Poured weight per casting</t>
  </si>
  <si>
    <t>Returns (gating and risers)</t>
  </si>
  <si>
    <t>%</t>
  </si>
  <si>
    <t>Melting energy</t>
  </si>
  <si>
    <t>Cost of liquid metal</t>
  </si>
  <si>
    <t>Metal cost per casting poured</t>
  </si>
  <si>
    <t>Metal check</t>
  </si>
  <si>
    <t>Moulds and cores</t>
  </si>
  <si>
    <t>Castings per mould</t>
  </si>
  <si>
    <t>castings</t>
  </si>
  <si>
    <t>Cores per casting</t>
  </si>
  <si>
    <t>cores</t>
  </si>
  <si>
    <t>Cost per core (sand, binder, core shop time)</t>
  </si>
  <si>
    <t>Cores per casting poured</t>
  </si>
  <si>
    <t>Process steps (one row per step)</t>
  </si>
  <si>
    <t>Mould, green sand</t>
  </si>
  <si>
    <t>mould</t>
  </si>
  <si>
    <t>Pour</t>
  </si>
  <si>
    <t>casting</t>
  </si>
  <si>
    <t>Fettle and grind</t>
  </si>
  <si>
    <t>Ferritising anneal</t>
  </si>
  <si>
    <t>Inspect, MPI on first 5</t>
  </si>
  <si>
    <t>Core box setup</t>
  </si>
  <si>
    <t>Process totals</t>
  </si>
  <si>
    <t>Setup cost per order</t>
  </si>
  <si>
    <t>Processing cost per casting poured</t>
  </si>
  <si>
    <t>Work-centre minutes per casting</t>
  </si>
  <si>
    <t>min</t>
  </si>
  <si>
    <t>Pattern and tooling</t>
  </si>
  <si>
    <t>Pattern and core boxes, purchase</t>
  </si>
  <si>
    <t>Pattern engineering and method trials</t>
  </si>
  <si>
    <t>Residual value at end of life</t>
  </si>
  <si>
    <t>Share charged to this part</t>
  </si>
  <si>
    <t>Expected accepted castings over pattern life</t>
  </si>
  <si>
    <t>Pattern cost per accepted casting</t>
  </si>
  <si>
    <t>Cost and price by order quantity</t>
  </si>
  <si>
    <t>Order quantity (accepted castings)</t>
  </si>
  <si>
    <t>Unit</t>
  </si>
  <si>
    <t>Castings to pour (yield)</t>
  </si>
  <si>
    <t>Metal</t>
  </si>
  <si>
    <t>Cores</t>
  </si>
  <si>
    <t>Moulding to inspection</t>
  </si>
  <si>
    <t>Setup, spread over the order</t>
  </si>
  <si>
    <t>Pattern amortisation</t>
  </si>
  <si>
    <t>Overhead</t>
  </si>
  <si>
    <t>Total cost per casting</t>
  </si>
  <si>
    <t>Price per casting</t>
  </si>
  <si>
    <t>Order value</t>
  </si>
  <si>
    <t>Margin achieved</t>
  </si>
  <si>
    <t>% of price</t>
  </si>
  <si>
    <t>Metal to melt</t>
  </si>
  <si>
    <t>Order quantity shown</t>
  </si>
  <si>
    <t>MARGIN ACHIEVED</t>
  </si>
  <si>
    <t>POURED WEIGHT PER CASTING (KG)</t>
  </si>
  <si>
    <t>All lines, before margin</t>
  </si>
  <si>
    <t>Cost build-up at the quantity shown</t>
  </si>
  <si>
    <t>Cost line</t>
  </si>
  <si>
    <t>Per casting</t>
  </si>
  <si>
    <t>Share of cost</t>
  </si>
  <si>
    <t>For the order</t>
  </si>
  <si>
    <t>Pattern</t>
  </si>
  <si>
    <t>Chart data: cost per casting by group</t>
  </si>
  <si>
    <t>Quantity</t>
  </si>
  <si>
    <t>Processing and overhead</t>
  </si>
  <si>
    <t>Setup and pattern</t>
  </si>
  <si>
    <t>What this workbook calculates</t>
  </si>
  <si>
    <t>A casting's cost starts with the metal poured for it: the casting weight divided by casting yield, charged and melted with a melt loss and melting energy, less a credit for the gating and risers that go back into the melt. Cores, the process steps from moulding to inspection, setup per order, pattern amortisation and overhead are added, and scrapped castings are repoured through first-pass yield. The price is the cost marked up to the target margin on price and rounded up to your price step.</t>
  </si>
  <si>
    <t>Calculations</t>
  </si>
  <si>
    <t>How it is calculated</t>
  </si>
  <si>
    <t>Units</t>
  </si>
  <si>
    <t>Poured weight and returns</t>
  </si>
  <si>
    <t>Casting kg (lb x 0.45359237) / casting yield; returns = poured - casting.</t>
  </si>
  <si>
    <t>Charge price per kg (per lb / 0.45359237) / (1 - melt loss) + melting kWh per kg x electricity price.</t>
  </si>
  <si>
    <t>currency/kg</t>
  </si>
  <si>
    <t>Poured kg x liquid metal cost - returns kg x charge price x return credit.</t>
  </si>
  <si>
    <t>currency</t>
  </si>
  <si>
    <t>Cores per casting x cost per core.</t>
  </si>
  <si>
    <t>Process steps</t>
  </si>
  <si>
    <t>Minutes per casting = minutes / castings per mould for steps timed per mould. Run cost = minutes / 60 x rate; setup cost = setup hours x rate.</t>
  </si>
  <si>
    <t>min, currency</t>
  </si>
  <si>
    <t>Pattern per casting</t>
  </si>
  <si>
    <t>(Purchase + engineering - residual value) x share charged / expected accepted castings.</t>
  </si>
  <si>
    <t>Castings to pour</t>
  </si>
  <si>
    <t>CEILING(order quantity / first-pass yield).</t>
  </si>
  <si>
    <t>Cost lines</t>
  </si>
  <si>
    <t>Metal, cores and processing x castings to pour / quantity; setup / quantity; pattern per casting; overhead = (processing + setup) x overhead %.</t>
  </si>
  <si>
    <t>currency/casting</t>
  </si>
  <si>
    <t>CEILING(total cost / (1 - target margin), price step). Margin achieved = (price - cost) / price.</t>
  </si>
  <si>
    <t>Castings to pour x poured kg / (1 - melt loss).</t>
  </si>
  <si>
    <t>Assumptions</t>
  </si>
  <si>
    <t>Returns go back into the melt at the credit you set; scrapped castings are remelted too, so their metal cost is the same as a good casting's.</t>
  </si>
  <si>
    <t>Melt loss applies to all metal charged; melting energy is per kg of liquid metal and covers holding.</t>
  </si>
  <si>
    <t>Work-centre rates include crew and equipment; steps timed per mould are shared equally by the castings in the mould.</t>
  </si>
  <si>
    <t>The pattern is amortised over the accepted castings you expect over its life, not over one order.</t>
  </si>
  <si>
    <t>Limitations</t>
  </si>
  <si>
    <t>Sand, binder and mould materials are inside the moulding line rate; feeding and gating design (the yield) comes from your method engineer, not from this workbook.</t>
  </si>
  <si>
    <t>Machining, outside heat treatment and coating are not separate lines; add them as process steps at a rate, or to the price.</t>
  </si>
  <si>
    <t>Inoculants and nodularisers are in the alloy's charge price; change it per grade.</t>
  </si>
  <si>
    <t>No taxes, duties, freight, currency conversion or payment discounts are calculated.</t>
  </si>
  <si>
    <t>Agreement with the live calculator</t>
  </si>
  <si>
    <t>The live Casting Lot Cost calculator returns (castings started x variable cost per started casting x allocation + lot setup + separate rework) / accepted castings. This workbook builds those inputs: variable per casting poured = metal + cores + processing with overhead; setup = setup with overhead plus the pattern charge for the order; allocation 100% and no separate rework. The build checks the calculator's own example (240 started, 228 accepted, 68, 85%, 1,800, 600: 71.37 per accepted casting) and the example order of 100, the Casting Yield calculator (casting / poured weight) and the Pattern Cost Amortization calculator (its own example and the example pattern) against their engines.</t>
  </si>
  <si>
    <t>Open the Casting Lot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</si>
  <si>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</si>
  <si>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</si>
  <si>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Foundry costing practice: poured weight from casting yield, melt loss and energy on liquid metal, returns credited to the melt, pattern amortised over its life.</t>
  </si>
  <si>
    <t>Unit conversions: 1 lb = 0.45359237 kg exactly (international yard and pound agreement, 1959).</t>
  </si>
  <si>
    <t>MFG Calcs Casting Lot Cost, Casting Yield and Pattern Cost Amortization calculators: the same formulas for the overlapping quantities.</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</si>
  <si>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</si>
  <si>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</si>
  <si>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</si>
  <si>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</si>
  <si>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</si>
  <si>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</si>
  <si>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</si>
  <si>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</si>
  <si>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</si>
  <si>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</si>
  <si>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</si>
  <si>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</si>
  <si>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</si>
  <si>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</si>
  <si>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</si>
  <si>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Poured weight per casting (kg)</t>
  </si>
  <si>
    <t>Cost of liquid metal per kg</t>
  </si>
  <si>
    <t>Moulding row: minutes per casting</t>
  </si>
  <si>
    <t>Fettling row: run cost</t>
  </si>
  <si>
    <t>Test row: Check reports the unknown centre</t>
  </si>
  <si>
    <t>Work centre not on Setup list</t>
  </si>
  <si>
    <t>exact</t>
  </si>
  <si>
    <t>Qty 20: castings to pour</t>
  </si>
  <si>
    <t>Qty 20: total cost per casting</t>
  </si>
  <si>
    <t>Qty 20: price per casting</t>
  </si>
  <si>
    <t>Qty 20: metal to melt (kg)</t>
  </si>
  <si>
    <t>Qty 100: castings to pour</t>
  </si>
  <si>
    <t>Qty 100: total cost per casting</t>
  </si>
  <si>
    <t>Qty 100: price per casting</t>
  </si>
  <si>
    <t>Qty 100: metal to melt (kg)</t>
  </si>
  <si>
    <t>Qty 500: castings to pour</t>
  </si>
  <si>
    <t>Qty 500: total cost per casting</t>
  </si>
  <si>
    <t>Qty 500: price per casting</t>
  </si>
  <si>
    <t>Qty 500: metal to melt (kg)</t>
  </si>
  <si>
    <t>Fixed test inputs</t>
  </si>
  <si>
    <t>White cells are fixed test inputs; blue cells are the workbook's formulas evaluated on them.</t>
  </si>
  <si>
    <t>Parameters</t>
  </si>
  <si>
    <t>Electricity price</t>
  </si>
  <si>
    <t>First-pass yield</t>
  </si>
  <si>
    <t>Price rounding step</t>
  </si>
  <si>
    <t>Test table: Ops</t>
  </si>
  <si>
    <t>Test: unknown centre</t>
  </si>
  <si>
    <t>Paint line</t>
  </si>
  <si>
    <t>Test metal, yield and melt (the example casting)</t>
  </si>
  <si>
    <t>Test moulds and cores</t>
  </si>
  <si>
    <t>Test process totals (the test row adds nothing: no rate)</t>
  </si>
  <si>
    <t>Test pattern</t>
  </si>
  <si>
    <t>Test cost and price by order quantity (same formulas as the Casting Estimate)</t>
  </si>
</sst>
</file>

<file path=xl/styles.xml><?xml version="1.0" encoding="utf-8"?>
<styleSheet xmlns="http://schemas.openxmlformats.org/spreadsheetml/2006/main">
  <numFmts count="9">
    <numFmt numFmtId="164" formatCode="#,##0.0000"/>
    <numFmt numFmtId="165" formatCode="0.0%"/>
    <numFmt numFmtId="166" formatCode="#,##0.00"/>
    <numFmt numFmtId="167" formatCode="d mmm yyyy"/>
    <numFmt numFmtId="168" formatCode="#,##0"/>
    <numFmt numFmtId="169" formatCode="#,##0.0"/>
    <numFmt numFmtId="170" formatCode="&quot;Target &quot;0.0%"/>
    <numFmt numFmtId="171" formatCode="0.00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166" fontId="10"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vertical="center"/>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0" fontId="21" fillId="4" borderId="3" xfId="0" applyFont="1" applyFill="1" applyBorder="1" applyAlignment="1">
      <alignment vertical="center"/>
    </xf>
    <xf numFmtId="169"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68" fontId="10" fillId="3" borderId="2" xfId="0" applyNumberFormat="1" applyFont="1" applyFill="1" applyBorder="1" applyAlignment="1" applyProtection="1">
      <alignment horizontal="center" vertical="center"/>
      <protection locked="0"/>
    </xf>
    <xf numFmtId="168" fontId="10" fillId="4" borderId="3" xfId="0" applyNumberFormat="1" applyFont="1" applyFill="1" applyBorder="1" applyAlignment="1">
      <alignment vertical="center"/>
    </xf>
    <xf numFmtId="166" fontId="9" fillId="4" borderId="6" xfId="0" applyNumberFormat="1" applyFont="1" applyFill="1" applyBorder="1" applyAlignment="1">
      <alignment vertical="center"/>
    </xf>
    <xf numFmtId="166" fontId="15" fillId="4" borderId="3" xfId="0" applyNumberFormat="1" applyFont="1" applyFill="1" applyBorder="1" applyAlignment="1">
      <alignment horizontal="center" vertical="center"/>
    </xf>
    <xf numFmtId="168" fontId="9" fillId="4" borderId="3" xfId="0" applyNumberFormat="1"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6" fontId="4" fillId="9" borderId="8" xfId="0" applyNumberFormat="1" applyFont="1" applyFill="1" applyBorder="1" applyAlignment="1">
      <alignment horizontal="left" vertical="center"/>
    </xf>
    <xf numFmtId="165" fontId="4" fillId="9" borderId="8" xfId="0" applyNumberFormat="1" applyFont="1" applyFill="1" applyBorder="1" applyAlignment="1">
      <alignment horizontal="left" vertical="center"/>
    </xf>
    <xf numFmtId="169"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0"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8" fontId="9" fillId="0" borderId="10" xfId="0" applyNumberFormat="1" applyFont="1" applyBorder="1" applyAlignment="1">
      <alignment horizontal="center"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71" fontId="10" fillId="0" borderId="10" xfId="0" applyNumberFormat="1" applyFont="1" applyBorder="1" applyAlignment="1">
      <alignment vertical="center"/>
    </xf>
    <xf numFmtId="171"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72" fontId="10" fillId="0" borderId="10" xfId="0" applyNumberFormat="1" applyFont="1" applyBorder="1" applyAlignment="1">
      <alignment vertical="center"/>
    </xf>
    <xf numFmtId="0" fontId="10" fillId="4" borderId="3" xfId="0" applyFont="1" applyFill="1" applyBorder="1" applyAlignment="1">
      <alignment horizontal="center" vertical="center"/>
    </xf>
    <xf numFmtId="164" fontId="10" fillId="0" borderId="10" xfId="0" applyNumberFormat="1" applyFont="1" applyBorder="1" applyAlignment="1">
      <alignment vertical="center"/>
    </xf>
    <xf numFmtId="168" fontId="10" fillId="0" borderId="10" xfId="0" applyNumberFormat="1" applyFont="1" applyBorder="1" applyAlignment="1">
      <alignment vertical="center"/>
    </xf>
    <xf numFmtId="166" fontId="10" fillId="0" borderId="10" xfId="0" applyNumberFormat="1" applyFont="1" applyBorder="1" applyAlignment="1">
      <alignment vertical="center"/>
    </xf>
    <xf numFmtId="165" fontId="10" fillId="0" borderId="10" xfId="0" applyNumberFormat="1" applyFont="1" applyBorder="1" applyAlignment="1">
      <alignment vertical="center"/>
    </xf>
    <xf numFmtId="169"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Price and cost per casting by quantity</a:t>
            </a:r>
          </a:p>
        </c:rich>
      </c:tx>
      <c:layout/>
    </c:title>
    <c:plotArea>
      <c:layout/>
      <c:barChart>
        <c:barDir val="col"/>
        <c:grouping val="clustered"/>
        <c:ser>
          <c:idx val="0"/>
          <c:order val="0"/>
          <c:tx>
            <c:v>Price per casting</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Dashboard!$E$41:$I$41</c:f>
              <c:numCache>
                <c:formatCode>General</c:formatCode>
                <c:ptCount val="5"/>
                <c:pt idx="0">
                  <c:v>20</c:v>
                </c:pt>
                <c:pt idx="1">
                  <c:v>50</c:v>
                </c:pt>
                <c:pt idx="2">
                  <c:v>100</c:v>
                </c:pt>
                <c:pt idx="3">
                  <c:v>250</c:v>
                </c:pt>
                <c:pt idx="4">
                  <c:v>500</c:v>
                </c:pt>
              </c:numCache>
            </c:numRef>
          </c:cat>
          <c:val>
            <c:numRef>
              <c:f>'Casting Estimate'!$D$74:$H$74</c:f>
              <c:numCache>
                <c:formatCode>General</c:formatCode>
                <c:ptCount val="5"/>
                <c:pt idx="0">
                  <c:v>91.9</c:v>
                </c:pt>
                <c:pt idx="1">
                  <c:v>83.4</c:v>
                </c:pt>
                <c:pt idx="2">
                  <c:v>80.4</c:v>
                </c:pt>
                <c:pt idx="3">
                  <c:v>78.5</c:v>
                </c:pt>
                <c:pt idx="4">
                  <c:v>78.1</c:v>
                </c:pt>
              </c:numCache>
            </c:numRef>
          </c:val>
        </c:ser>
        <c:gapWidth val="60"/>
        <c:overlap val="-10"/>
        <c:axId val="50010001"/>
        <c:axId val="50010002"/>
      </c:barChart>
      <c:lineChart>
        <c:grouping val="standard"/>
        <c:ser>
          <c:idx val="1"/>
          <c:order val="1"/>
          <c:tx>
            <c:v>Cost per casting</c:v>
          </c:tx>
          <c:spPr>
            <a:ln w="28575">
              <a:solidFill>
                <a:srgbClr val="E8702A"/>
              </a:solidFill>
            </a:ln>
          </c:spPr>
          <c:marker>
            <c:symbol val="circle"/>
            <c:size val="5"/>
            <c:spPr>
              <a:solidFill>
                <a:srgbClr val="E8702A"/>
              </a:solidFill>
              <a:ln>
                <a:solidFill>
                  <a:srgbClr val="E8702A"/>
                </a:solidFill>
              </a:ln>
            </c:spPr>
          </c:marker>
          <c:cat>
            <c:numRef>
              <c:f>Dashboard!$E$41:$I$41</c:f>
              <c:numCache>
                <c:formatCode>General</c:formatCode>
                <c:ptCount val="5"/>
                <c:pt idx="0">
                  <c:v>20</c:v>
                </c:pt>
                <c:pt idx="1">
                  <c:v>50</c:v>
                </c:pt>
                <c:pt idx="2">
                  <c:v>100</c:v>
                </c:pt>
                <c:pt idx="3">
                  <c:v>250</c:v>
                </c:pt>
                <c:pt idx="4">
                  <c:v>500</c:v>
                </c:pt>
              </c:numCache>
            </c:numRef>
          </c:cat>
          <c:val>
            <c:numRef>
              <c:f>'Casting Estimate'!$D$73:$H$73</c:f>
              <c:numCache>
                <c:formatCode>General</c:formatCode>
                <c:ptCount val="5"/>
                <c:pt idx="0">
                  <c:v>71.6747338709677</c:v>
                </c:pt>
                <c:pt idx="1">
                  <c:v>65.0364053763441</c:v>
                </c:pt>
                <c:pt idx="2">
                  <c:v>62.6516161290323</c:v>
                </c:pt>
                <c:pt idx="3">
                  <c:v>61.2207425806452</c:v>
                </c:pt>
                <c:pt idx="4">
                  <c:v>60.8469925806452</c:v>
                </c:pt>
              </c:numCache>
            </c:numRef>
          </c:val>
        </c:ser>
        <c:marker val="1"/>
        <c:axId val="50010001"/>
        <c:axId val="50010002"/>
      </c:lineChart>
      <c:catAx>
        <c:axId val="5001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casting goes</a:t>
            </a:r>
          </a:p>
        </c:rich>
      </c:tx>
      <c:layout/>
    </c:title>
    <c:plotArea>
      <c:layout/>
      <c:barChart>
        <c:barDir val="col"/>
        <c:grouping val="stacked"/>
        <c:ser>
          <c:idx val="0"/>
          <c:order val="0"/>
          <c:tx>
            <c:v>Metal</c:v>
          </c:tx>
          <c:spPr>
            <a:solidFill>
              <a:srgbClr val="3B64D8"/>
            </a:solidFill>
            <a:ln w="9525">
              <a:solidFill>
                <a:srgbClr val="FFFFFF"/>
              </a:solidFill>
            </a:ln>
          </c:spPr>
          <c:cat>
            <c:numRef>
              <c:f>Dashboard!$E$41:$I$41</c:f>
              <c:numCache>
                <c:formatCode>General</c:formatCode>
                <c:ptCount val="5"/>
                <c:pt idx="0">
                  <c:v>20</c:v>
                </c:pt>
                <c:pt idx="1">
                  <c:v>50</c:v>
                </c:pt>
                <c:pt idx="2">
                  <c:v>100</c:v>
                </c:pt>
                <c:pt idx="3">
                  <c:v>250</c:v>
                </c:pt>
                <c:pt idx="4">
                  <c:v>500</c:v>
                </c:pt>
              </c:numCache>
            </c:numRef>
          </c:cat>
          <c:val>
            <c:numRef>
              <c:f>Dashboard!$E$42:$I$42</c:f>
              <c:numCache>
                <c:formatCode>General</c:formatCode>
                <c:ptCount val="5"/>
                <c:pt idx="0">
                  <c:v>19.7887338709677</c:v>
                </c:pt>
                <c:pt idx="1">
                  <c:v>19.4289387096774</c:v>
                </c:pt>
                <c:pt idx="2">
                  <c:v>19.2490411290323</c:v>
                </c:pt>
                <c:pt idx="3">
                  <c:v>19.1411025806452</c:v>
                </c:pt>
                <c:pt idx="4">
                  <c:v>19.1411025806452</c:v>
                </c:pt>
              </c:numCache>
            </c:numRef>
          </c:val>
        </c:ser>
        <c:ser>
          <c:idx val="1"/>
          <c:order val="1"/>
          <c:tx>
            <c:v>Cores</c:v>
          </c:tx>
          <c:spPr>
            <a:solidFill>
              <a:srgbClr val="E8702A"/>
            </a:solidFill>
            <a:ln w="9525">
              <a:solidFill>
                <a:srgbClr val="FFFFFF"/>
              </a:solidFill>
            </a:ln>
          </c:spPr>
          <c:cat>
            <c:numRef>
              <c:f>Dashboard!$E$41:$I$41</c:f>
              <c:numCache>
                <c:formatCode>General</c:formatCode>
                <c:ptCount val="5"/>
                <c:pt idx="0">
                  <c:v>20</c:v>
                </c:pt>
                <c:pt idx="1">
                  <c:v>50</c:v>
                </c:pt>
                <c:pt idx="2">
                  <c:v>100</c:v>
                </c:pt>
                <c:pt idx="3">
                  <c:v>250</c:v>
                </c:pt>
                <c:pt idx="4">
                  <c:v>500</c:v>
                </c:pt>
              </c:numCache>
            </c:numRef>
          </c:cat>
          <c:val>
            <c:numRef>
              <c:f>Dashboard!$E$43:$I$43</c:f>
              <c:numCache>
                <c:formatCode>General</c:formatCode>
                <c:ptCount val="5"/>
                <c:pt idx="0">
                  <c:v>7.48</c:v>
                </c:pt>
                <c:pt idx="1">
                  <c:v>7.344</c:v>
                </c:pt>
                <c:pt idx="2">
                  <c:v>7.276</c:v>
                </c:pt>
                <c:pt idx="3">
                  <c:v>7.2352</c:v>
                </c:pt>
                <c:pt idx="4">
                  <c:v>7.2352</c:v>
                </c:pt>
              </c:numCache>
            </c:numRef>
          </c:val>
        </c:ser>
        <c:ser>
          <c:idx val="2"/>
          <c:order val="2"/>
          <c:tx>
            <c:v>Processing and overhead</c:v>
          </c:tx>
          <c:spPr>
            <a:solidFill>
              <a:srgbClr val="1BA37A"/>
            </a:solidFill>
            <a:ln w="9525">
              <a:solidFill>
                <a:srgbClr val="FFFFFF"/>
              </a:solidFill>
            </a:ln>
          </c:spPr>
          <c:cat>
            <c:numRef>
              <c:f>Dashboard!$E$41:$I$41</c:f>
              <c:numCache>
                <c:formatCode>General</c:formatCode>
                <c:ptCount val="5"/>
                <c:pt idx="0">
                  <c:v>20</c:v>
                </c:pt>
                <c:pt idx="1">
                  <c:v>50</c:v>
                </c:pt>
                <c:pt idx="2">
                  <c:v>100</c:v>
                </c:pt>
                <c:pt idx="3">
                  <c:v>250</c:v>
                </c:pt>
                <c:pt idx="4">
                  <c:v>500</c:v>
                </c:pt>
              </c:numCache>
            </c:numRef>
          </c:cat>
          <c:val>
            <c:numRef>
              <c:f>Dashboard!$E$44:$I$44</c:f>
              <c:numCache>
                <c:formatCode>General</c:formatCode>
                <c:ptCount val="5"/>
                <c:pt idx="0">
                  <c:v>30.7143333333333</c:v>
                </c:pt>
                <c:pt idx="1">
                  <c:v>29.4468</c:v>
                </c:pt>
                <c:pt idx="2">
                  <c:v>28.9349083333333</c:v>
                </c:pt>
                <c:pt idx="3">
                  <c:v>28.6277733333333</c:v>
                </c:pt>
                <c:pt idx="4">
                  <c:v>28.5790233333333</c:v>
                </c:pt>
              </c:numCache>
            </c:numRef>
          </c:val>
        </c:ser>
        <c:ser>
          <c:idx val="3"/>
          <c:order val="3"/>
          <c:tx>
            <c:v>Setup and pattern</c:v>
          </c:tx>
          <c:spPr>
            <a:solidFill>
              <a:srgbClr val="E0A100"/>
            </a:solidFill>
            <a:ln w="9525">
              <a:solidFill>
                <a:srgbClr val="FFFFFF"/>
              </a:solidFill>
            </a:ln>
          </c:spPr>
          <c:cat>
            <c:numRef>
              <c:f>Dashboard!$E$41:$I$41</c:f>
              <c:numCache>
                <c:formatCode>General</c:formatCode>
                <c:ptCount val="5"/>
                <c:pt idx="0">
                  <c:v>20</c:v>
                </c:pt>
                <c:pt idx="1">
                  <c:v>50</c:v>
                </c:pt>
                <c:pt idx="2">
                  <c:v>100</c:v>
                </c:pt>
                <c:pt idx="3">
                  <c:v>250</c:v>
                </c:pt>
                <c:pt idx="4">
                  <c:v>500</c:v>
                </c:pt>
              </c:numCache>
            </c:numRef>
          </c:cat>
          <c:val>
            <c:numRef>
              <c:f>Dashboard!$E$45:$I$45</c:f>
              <c:numCache>
                <c:formatCode>General</c:formatCode>
                <c:ptCount val="5"/>
                <c:pt idx="0">
                  <c:v>13.6916666666667</c:v>
                </c:pt>
                <c:pt idx="1">
                  <c:v>8.81666666666667</c:v>
                </c:pt>
                <c:pt idx="2">
                  <c:v>7.19166666666667</c:v>
                </c:pt>
                <c:pt idx="3">
                  <c:v>6.21666666666667</c:v>
                </c:pt>
                <c:pt idx="4">
                  <c:v>5.89166666666667</c:v>
                </c:pt>
              </c:numCache>
            </c:numRef>
          </c:val>
        </c:ser>
        <c:gapWidth val="60"/>
        <c:overlap val="100"/>
        <c:axId val="50020001"/>
        <c:axId val="50020002"/>
      </c:bar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price per casting at each order quantity with the cost per casting as a line; the pattern change and setup spread over larger orders so both fa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casting at each order quantity, split into metal, cores, processing with overhead, and setup with pattern amortisatio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lloys" displayName="tblAlloys" ref="B22:G27" totalsRowShown="0">
  <autoFilter ref="B22:G27"/>
  <tableColumns count="6">
    <tableColumn id="1" name="Alloy"/>
    <tableColumn id="2" name="Charge price"/>
    <tableColumn id="3" name="Per"/>
    <tableColumn id="4" name="Melt loss"/>
    <tableColumn id="5" name="Melt energy"/>
    <tableColumn id="6" name="Notes"/>
  </tableColumns>
  <tableStyleInfo name="TableStyleLight1" showFirstColumn="0" showLastColumn="0" showRowStripes="0" showColumnStripes="0"/>
</table>
</file>

<file path=xl/tables/table2.xml><?xml version="1.0" encoding="utf-8"?>
<table xmlns="http://schemas.openxmlformats.org/spreadsheetml/2006/main" id="2" name="tblCentres" displayName="tblCentres" ref="B31:D38" totalsRowShown="0">
  <autoFilter ref="B31:D38"/>
  <tableColumns count="3">
    <tableColumn id="1" name="Work centre"/>
    <tableColumn id="2" name="Rate per hour"/>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Ops" displayName="tblOps" ref="B40:K47" totalsRowShown="0">
  <autoFilter ref="B40:K47"/>
  <tableColumns count="10">
    <tableColumn id="1" name="Operation"/>
    <tableColumn id="2" name="Work centre"/>
    <tableColumn id="3" name="Setup (h)"/>
    <tableColumn id="4" name="Minutes"/>
    <tableColumn id="5" name="Per"/>
    <tableColumn id="6" name="Rate">
      <calculatedColumnFormula>IF(tblOps[[#This Row],[Operation]]="","",IFERROR(INDEX(tblCentres[Rate per hour],MATCH(tblOps[[#This Row],[Work centre]],tblCentres[Work centre],0)),""))</calculatedColumnFormula>
    </tableColumn>
    <tableColumn id="7" name="Min per casting">
      <calculatedColumnFormula>IF(tblOps[[#This Row],[Operation]]="","",IF(tblOps[[#This Row],[Per]]="mould",tblOps[[#This Row],[Minutes]]/PerMould,tblOps[[#This Row],[Minutes]]))</calculatedColumnFormula>
    </tableColumn>
    <tableColumn id="8" name="Setup cost">
      <calculatedColumnFormula>IF(tblOps[[#This Row],[Operation]]="","",IF(tblOps[[#This Row],[Rate]]="","",tblOps[[#This Row],[Setup (h)]]*tblOps[[#This Row],[Rate]]))</calculatedColumnFormula>
    </tableColumn>
    <tableColumn id="9" name="Run cost">
      <calculatedColumnFormula>IF(tblOps[[#This Row],[Operation]]="","",IF(tblOps[[#This Row],[Rate]]="","",tblOps[[#This Row],[Min per casting]]/60*tblOps[[#This Row],[Rate]]))</calculatedColumnFormula>
    </tableColumn>
    <tableColumn id="10" name="Check">
      <calculatedColumnFormula>IF(tblOps[[#This Row],[Operation]]="","",IF(tblOps[[#This Row],[Work centre]]="","Missing work centre",IF(tblOps[[#This Row],[Rate]]="","Work centre not on Setup list",IF(AND(tblOps[[#This Row],[Per]]&lt;&gt;"mould",tblOps[[#This Row],[Per]]&lt;&gt;"casting"),"Choose mould or casting","OK"))))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Ops" displayName="tblVerifyOps" ref="B44:K52" totalsRowShown="0">
  <tableColumns count="10">
    <tableColumn id="1" name="Operation"/>
    <tableColumn id="2" name="Work centre"/>
    <tableColumn id="3" name="Setup (h)"/>
    <tableColumn id="4" name="Minutes"/>
    <tableColumn id="5" name="Per"/>
    <tableColumn id="6" name="Rate"/>
    <tableColumn id="7" name="Min per casting">
      <calculatedColumnFormula>IF(tblVerifyOps[[#This Row],[Operation]]="","",IF(tblVerifyOps[[#This Row],[Per]]="mould",tblVerifyOps[[#This Row],[Minutes]]/$E$70,tblVerifyOps[[#This Row],[Minutes]]))</calculatedColumnFormula>
    </tableColumn>
    <tableColumn id="8" name="Setup cost">
      <calculatedColumnFormula>IF(tblVerifyOps[[#This Row],[Operation]]="","",IF(tblVerifyOps[[#This Row],[Rate]]="","",tblVerifyOps[[#This Row],[Setup (h)]]*tblVerifyOps[[#This Row],[Rate]]))</calculatedColumnFormula>
    </tableColumn>
    <tableColumn id="9" name="Run cost">
      <calculatedColumnFormula>IF(tblVerifyOps[[#This Row],[Operation]]="","",IF(tblVerifyOps[[#This Row],[Rate]]="","",tblVerifyOps[[#This Row],[Min per casting]]/60*tblVerifyOps[[#This Row],[Rate]]))</calculatedColumnFormula>
    </tableColumn>
    <tableColumn id="10" name="Check">
      <calculatedColumnFormula>IF(tblVerifyOps[[#This Row],[Operation]]="","",IF(tblVerifyOps[[#This Row],[Work centre]]="","Missing work centre",IF(tblVerifyOps[[#This Row],[Rate]]="","Work centre not on Setup list",IF(AND(tblVerifyOps[[#This Row],[Per]]&lt;&gt;"mould",tblVerifyOps[[#This Row],[Per]]&lt;&gt;"casting"),"Choose mould or casting","OK"))))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hyperlink" Target="https://www.mfgcalcs.com/calculators/foundry-casting-forging/casting-lot-cost?utm_source=mfgcalcs-template&amp;utm_medium=xlsx&amp;utm_campaign=casting-cost-estimator" TargetMode="External"/><Relationship Id="rId3" Type="http://schemas.openxmlformats.org/officeDocument/2006/relationships/hyperlink" Target="https://www.mfgcalcs.com/templates/casting-cost-estimator?utm_source=mfgcalcs-template&amp;utm_medium=xlsx&amp;utm_campaign=casting-cost-estimator" TargetMode="External"/><Relationship Id="rId4" Type="http://schemas.openxmlformats.org/officeDocument/2006/relationships/hyperlink" Target="https://www.mfgcalcs.com/templates?utm_source=mfgcalcs-template&amp;utm_medium=xlsx&amp;utm_campaign=casting-cost-estimato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hyperlink" Target="https://www.mfgcalcs.com/calculators/foundry-casting-forging/casting-lot-cost?utm_source=mfgcalcs-template&amp;utm_medium=xlsx&amp;utm_campaign=casting-cost-estimato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sting-cost-estimator"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19 of 19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asting Estimate'!A1" tooltip="Go to Casting Estimate" display="Casting Estimate"/>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Casting Cost Estimator&amp;R&amp;8&amp;A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H38"/>
  <sheetViews>
    <sheetView showGridLines="0" workbookViewId="0"/>
  </sheetViews>
  <sheetFormatPr defaultRowHeight="15"/>
  <cols>
    <col min="1" max="1" width="2.7109375" customWidth="1"/>
    <col min="2" max="2" width="34.7109375" customWidth="1"/>
    <col min="3" max="3" width="16.7109375" customWidth="1"/>
    <col min="4" max="7" width="14.7109375" customWidth="1"/>
    <col min="8" max="8" width="30.7109375" customWidth="1"/>
  </cols>
  <sheetData>
    <row r="1" spans="1:8" ht="30" customHeight="1">
      <c r="A1" s="1" t="s">
        <v>0</v>
      </c>
      <c r="B1" s="1"/>
      <c r="C1" s="1"/>
      <c r="D1" s="1"/>
      <c r="E1" s="1"/>
      <c r="F1" s="1"/>
      <c r="G1" s="1"/>
      <c r="H1" s="1"/>
    </row>
    <row r="2" spans="1:8" ht="21" customHeight="1">
      <c r="B2" s="2" t="s">
        <v>20</v>
      </c>
      <c r="C2" s="2"/>
      <c r="D2" s="2"/>
      <c r="E2" s="2"/>
      <c r="F2" s="2"/>
      <c r="G2" s="2"/>
      <c r="H2" s="3" t="s">
        <v>2</v>
      </c>
    </row>
    <row r="3" spans="1:8" ht="6" customHeight="1"/>
    <row r="4" spans="1:8" ht="21" customHeight="1">
      <c r="B4" s="8" t="s">
        <v>70</v>
      </c>
      <c r="C4" s="8"/>
      <c r="D4" s="8"/>
      <c r="E4" s="8"/>
      <c r="F4" s="8"/>
      <c r="G4" s="8"/>
      <c r="H4" s="8"/>
    </row>
    <row r="5" spans="1:8" ht="5" customHeight="1"/>
    <row r="6" spans="1:8">
      <c r="B6" s="27" t="s">
        <v>71</v>
      </c>
      <c r="C6" s="28" t="s">
        <v>72</v>
      </c>
      <c r="D6" s="28"/>
    </row>
    <row r="7" spans="1:8">
      <c r="B7" s="27" t="s">
        <v>73</v>
      </c>
      <c r="C7" s="28" t="s">
        <v>74</v>
      </c>
      <c r="D7" s="28"/>
    </row>
    <row r="9" spans="1:8" ht="21" customHeight="1">
      <c r="B9" s="8" t="s">
        <v>75</v>
      </c>
      <c r="C9" s="8"/>
      <c r="D9" s="8"/>
      <c r="E9" s="8"/>
      <c r="F9" s="8"/>
      <c r="G9" s="8"/>
      <c r="H9" s="8"/>
    </row>
    <row r="10" spans="1:8" ht="5" customHeight="1"/>
    <row r="11" spans="1:8">
      <c r="B11" s="27" t="s">
        <v>76</v>
      </c>
      <c r="C11" s="29">
        <v>0.14</v>
      </c>
      <c r="D11" s="7" t="str">
        <f>Currency&amp;"/kWh"</f>
        <v>USD/kWh</v>
      </c>
    </row>
    <row r="12" spans="1:8">
      <c r="B12" s="27" t="s">
        <v>77</v>
      </c>
      <c r="C12" s="30">
        <v>1</v>
      </c>
      <c r="D12" s="7"/>
    </row>
    <row r="13" spans="1:8">
      <c r="B13" s="27" t="s">
        <v>78</v>
      </c>
      <c r="C13" s="30">
        <v>0.15</v>
      </c>
      <c r="D13" s="7"/>
    </row>
    <row r="14" spans="1:8">
      <c r="B14" s="27" t="s">
        <v>79</v>
      </c>
      <c r="C14" s="30">
        <v>0.22</v>
      </c>
      <c r="D14" s="7"/>
    </row>
    <row r="15" spans="1:8">
      <c r="B15" s="27" t="s">
        <v>80</v>
      </c>
      <c r="C15" s="30">
        <v>0.9399999999999999</v>
      </c>
      <c r="D15" s="7"/>
    </row>
    <row r="16" spans="1:8">
      <c r="B16" s="27" t="s">
        <v>81</v>
      </c>
      <c r="C16" s="31">
        <v>0.1</v>
      </c>
      <c r="D16" s="7" t="str">
        <f>Currency</f>
        <v>USD</v>
      </c>
    </row>
    <row r="18" spans="2:8" ht="21" customHeight="1">
      <c r="B18" s="8" t="s">
        <v>82</v>
      </c>
      <c r="C18" s="8"/>
      <c r="D18" s="8"/>
      <c r="E18" s="8"/>
      <c r="F18" s="8"/>
      <c r="G18" s="8"/>
      <c r="H18" s="8"/>
    </row>
    <row r="19" spans="2:8" ht="5" customHeight="1"/>
    <row r="20" spans="2:8">
      <c r="B20" s="32" t="s">
        <v>83</v>
      </c>
      <c r="C20" s="32"/>
      <c r="D20" s="32"/>
      <c r="E20" s="32"/>
      <c r="F20" s="32"/>
      <c r="G20" s="32"/>
    </row>
    <row r="21" spans="2:8" ht="14" customHeight="1">
      <c r="B21" s="33"/>
      <c r="C21" s="33" t="str">
        <f>Currency</f>
        <v>USD</v>
      </c>
      <c r="D21" s="33"/>
      <c r="E21" s="33"/>
      <c r="F21" s="33" t="s">
        <v>84</v>
      </c>
      <c r="G21" s="33"/>
    </row>
    <row r="22" spans="2:8" ht="20" customHeight="1">
      <c r="B22" s="34" t="s">
        <v>62</v>
      </c>
      <c r="C22" s="34" t="s">
        <v>63</v>
      </c>
      <c r="D22" s="34" t="s">
        <v>64</v>
      </c>
      <c r="E22" s="34" t="s">
        <v>65</v>
      </c>
      <c r="F22" s="34" t="s">
        <v>66</v>
      </c>
      <c r="G22" s="34" t="s">
        <v>67</v>
      </c>
    </row>
    <row r="23" spans="2:8">
      <c r="B23" s="28" t="s">
        <v>85</v>
      </c>
      <c r="C23" s="31">
        <v>0.62</v>
      </c>
      <c r="D23" s="28" t="s">
        <v>86</v>
      </c>
      <c r="E23" s="30">
        <v>0.03</v>
      </c>
      <c r="F23" s="31">
        <v>0.6</v>
      </c>
      <c r="G23" s="28" t="s">
        <v>87</v>
      </c>
    </row>
    <row r="24" spans="2:8">
      <c r="B24" s="28" t="s">
        <v>88</v>
      </c>
      <c r="C24" s="31">
        <v>0.78</v>
      </c>
      <c r="D24" s="28" t="s">
        <v>86</v>
      </c>
      <c r="E24" s="30">
        <v>0.04</v>
      </c>
      <c r="F24" s="31">
        <v>0.62</v>
      </c>
      <c r="G24" s="28" t="s">
        <v>89</v>
      </c>
    </row>
    <row r="25" spans="2:8">
      <c r="B25" s="28" t="s">
        <v>90</v>
      </c>
      <c r="C25" s="31">
        <v>0.85</v>
      </c>
      <c r="D25" s="28" t="s">
        <v>86</v>
      </c>
      <c r="E25" s="30">
        <v>0.05</v>
      </c>
      <c r="F25" s="31">
        <v>0.7</v>
      </c>
      <c r="G25" s="28" t="s">
        <v>87</v>
      </c>
    </row>
    <row r="26" spans="2:8">
      <c r="B26" s="28" t="s">
        <v>91</v>
      </c>
      <c r="C26" s="31">
        <v>2.9</v>
      </c>
      <c r="D26" s="28" t="s">
        <v>86</v>
      </c>
      <c r="E26" s="30">
        <v>0.03</v>
      </c>
      <c r="F26" s="31">
        <v>0.55</v>
      </c>
      <c r="G26" s="28" t="s">
        <v>87</v>
      </c>
    </row>
    <row r="27" spans="2:8">
      <c r="B27" s="28" t="s">
        <v>92</v>
      </c>
      <c r="C27" s="31">
        <v>3.4</v>
      </c>
      <c r="D27" s="28" t="s">
        <v>93</v>
      </c>
      <c r="E27" s="30">
        <v>0.02</v>
      </c>
      <c r="F27" s="31">
        <v>0.4</v>
      </c>
      <c r="G27" s="28" t="s">
        <v>94</v>
      </c>
    </row>
    <row r="29" spans="2:8">
      <c r="B29" s="32" t="s">
        <v>95</v>
      </c>
      <c r="C29" s="32"/>
      <c r="D29" s="32"/>
    </row>
    <row r="30" spans="2:8" ht="14" customHeight="1">
      <c r="B30" s="33"/>
      <c r="C30" s="33" t="str">
        <f>Currency&amp;"/h"</f>
        <v>USD/h</v>
      </c>
      <c r="D30" s="33"/>
    </row>
    <row r="31" spans="2:8" ht="20" customHeight="1">
      <c r="B31" s="34" t="s">
        <v>68</v>
      </c>
      <c r="C31" s="34" t="s">
        <v>69</v>
      </c>
      <c r="D31" s="34" t="s">
        <v>67</v>
      </c>
    </row>
    <row r="32" spans="2:8">
      <c r="B32" s="28" t="s">
        <v>96</v>
      </c>
      <c r="C32" s="31">
        <v>180</v>
      </c>
      <c r="D32" s="28" t="s">
        <v>97</v>
      </c>
    </row>
    <row r="33" spans="2:4">
      <c r="B33" s="28" t="s">
        <v>98</v>
      </c>
      <c r="C33" s="31">
        <v>120</v>
      </c>
      <c r="D33" s="28" t="s">
        <v>99</v>
      </c>
    </row>
    <row r="34" spans="2:4">
      <c r="B34" s="28" t="s">
        <v>100</v>
      </c>
      <c r="C34" s="31">
        <v>65</v>
      </c>
      <c r="D34" s="28" t="s">
        <v>101</v>
      </c>
    </row>
    <row r="35" spans="2:4">
      <c r="B35" s="28" t="s">
        <v>102</v>
      </c>
      <c r="C35" s="31">
        <v>52</v>
      </c>
      <c r="D35" s="28" t="s">
        <v>101</v>
      </c>
    </row>
    <row r="36" spans="2:4">
      <c r="B36" s="28" t="s">
        <v>103</v>
      </c>
      <c r="C36" s="31">
        <v>70</v>
      </c>
      <c r="D36" s="28" t="s">
        <v>104</v>
      </c>
    </row>
    <row r="37" spans="2:4">
      <c r="B37" s="28" t="s">
        <v>105</v>
      </c>
      <c r="C37" s="31">
        <v>60</v>
      </c>
      <c r="D37" s="28" t="s">
        <v>101</v>
      </c>
    </row>
    <row r="38" spans="2:4">
      <c r="B38" s="28" t="s">
        <v>106</v>
      </c>
      <c r="C38" s="31">
        <v>55</v>
      </c>
      <c r="D38" s="28" t="s">
        <v>101</v>
      </c>
    </row>
  </sheetData>
  <mergeCells count="9">
    <mergeCell ref="A1:H1"/>
    <mergeCell ref="B2:G2"/>
    <mergeCell ref="B4:H4"/>
    <mergeCell ref="C6:D6"/>
    <mergeCell ref="C7:D7"/>
    <mergeCell ref="B9:H9"/>
    <mergeCell ref="B18:H18"/>
    <mergeCell ref="B20:G20"/>
    <mergeCell ref="B29:D29"/>
  </mergeCells>
  <dataValidations count="17">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7">
      <formula1>0</formula1>
      <formula2>12</formula2>
    </dataValidation>
    <dataValidation type="decimal" allowBlank="1" showInputMessage="1" showErrorMessage="1" errorTitle="Check this entry" error="Enter a number from 0 to 100." promptTitle="Electricity price for melting" prompt="Enter a number from 0 to 100." sqref="C11">
      <formula1>0</formula1>
      <formula2>100</formula2>
    </dataValidation>
    <dataValidation type="decimal" allowBlank="1" showInputMessage="1" showErrorMessage="1" errorTitle="Check this entry" error="Enter a percentage from 0% to 100% (type 85% or 0.85)." promptTitle="Credit for remelted returns" prompt="Gating and risers go back into the melt. 100% credits them at the charge price, so only melt loss and energy are lost on them; lower it if returns are worth less than new charge. Enter a percentage from 0% to 100% (type 85% or 0.85)." sqref="C12">
      <formula1>0</formula1>
      <formula2>1</formula2>
    </dataValidation>
    <dataValidation type="decimal" allowBlank="1" showInputMessage="1" showErrorMessage="1" errorTitle="Check this entry" error="Enter a percentage from 0% to 500% (type 85% or 0.85)." promptTitle="Overhead on processing and setup" prompt="Set to 0% if your work-centre rates already include overhead. Enter a percentage from 0% to 500% (type 85% or 0.85)." sqref="C13">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2% margin is a 28.2% markup on cost. Enter a percentage from 0% to 95% (type 85% or 0.85)." sqref="C14">
      <formula1>0</formula1>
      <formula2>0.95</formula2>
    </dataValidation>
    <dataValidation type="decimal" allowBlank="1" showInputMessage="1" showErrorMessage="1" errorTitle="Check this entry" error="Enter a percentage from 1% to 100% (type 85% or 0.85)." promptTitle="First-pass yield (castings ac..." prompt="Scrapped castings are remelted and repoured, so metal, cores and processing are costed on castings poured. Enter a percentage from 1% to 100% (type 85% or 0.85)." sqref="C15">
      <formula1>0.01</formula1>
      <formula2>1</formula2>
    </dataValidation>
    <dataValidation type="decimal" allowBlank="1" showInputMessage="1" showErrorMessage="1" errorTitle="Check this entry" error="Enter a number from 0.0001 to 10,000." promptTitle="Round prices up to the nearest" prompt="Enter a number from 0.0001 to 10,000." sqref="C16">
      <formula1>0.0001</formula1>
      <formula2>10000</formula2>
    </dataValidation>
    <dataValidation type="textLength" allowBlank="1" showInputMessage="1" showErrorMessage="1" errorTitle="Check this entry" error="Text up to 60 characters." promptTitle="Alloy" prompt="Text up to 60 characters." sqref="B23:B127">
      <formula1>0</formula1>
      <formula2>60</formula2>
    </dataValidation>
    <dataValidation type="decimal" allowBlank="1" showInputMessage="1" showErrorMessage="1" errorTitle="Check this entry" error="Enter a number from 0 to 1,000,000." promptTitle="Charge price" prompt="Cost of the charge (pig, scrap, alloys, treatment) per kg or per lb of metal charged, as set in Per. Enter a number from 0 to 1,000,000." sqref="C23:C127">
      <formula1>0</formula1>
      <formula2>1000000.0</formula2>
    </dataValidation>
    <dataValidation type="list" allowBlank="1" showInputMessage="1" showErrorMessage="1" errorTitle="Check this entry" error="Pick one of: kg, lb." promptTitle="Per" prompt="Pick one of: kg, lb." sqref="D23:D127">
      <formula1>"kg,lb"</formula1>
    </dataValidation>
    <dataValidation type="decimal" allowBlank="1" showInputMessage="1" showErrorMessage="1" errorTitle="Check this entry" error="Enter a percentage from 0% to 50% (type 85% or 0.85)." promptTitle="Melt loss" prompt="Metal lost in melting (oxidation, slag, spills): share of the metal charged. Enter a percentage from 0% to 50% (type 85% or 0.85)." sqref="E23:E127">
      <formula1>0</formula1>
      <formula2>0.5</formula2>
    </dataValidation>
    <dataValidation type="decimal" allowBlank="1" showInputMessage="1" showErrorMessage="1" errorTitle="Check this entry" error="Enter a number from 0 to 10." promptTitle="Melt energy" prompt="Electricity per kg of liquid metal, from your furnace records. Enter a number from 0 to 10." sqref="F23:F127">
      <formula1>0</formula1>
      <formula2>10</formula2>
    </dataValidation>
    <dataValidation type="textLength" allowBlank="1" showInputMessage="1" showErrorMessage="1" errorTitle="Check this entry" error="Text up to 120 characters." promptTitle="Notes" prompt="Text up to 120 characters." sqref="G23:G127">
      <formula1>0</formula1>
      <formula2>120</formula2>
    </dataValidation>
    <dataValidation type="textLength" allowBlank="1" showInputMessage="1" showErrorMessage="1" errorTitle="Check this entry" error="Text up to 40 characters." promptTitle="Work centre" prompt="Text up to 40 characters." sqref="B32:B138">
      <formula1>0</formula1>
      <formula2>40</formula2>
    </dataValidation>
    <dataValidation type="decimal" allowBlank="1" showInputMessage="1" showErrorMessage="1" errorTitle="Check this entry" error="Enter a number from 0 to 100,000." promptTitle="Rate per hour" prompt="Your hourly rate for this work centre: equipment plus crew, with or without overhead. Enter a number from 0 to 100,000." sqref="C32:C138">
      <formula1>0</formula1>
      <formula2>100000</formula2>
    </dataValidation>
    <dataValidation type="textLength" allowBlank="1" showInputMessage="1" showErrorMessage="1" errorTitle="Check this entry" error="Text up to 120 characters." promptTitle="Notes" prompt="Text up to 120 characters." sqref="D32:D138">
      <formula1>0</formula1>
      <formula2>120</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Casting Cost Estimator&amp;R&amp;8&amp;A</oddHeader>
    <oddFooter>&amp;L&amp;8mfgcalcs.com - free manufacturing templates&amp;R&amp;8Page &amp;P of &amp;N</oddFooter>
  </headerFooter>
  <rowBreaks count="1" manualBreakCount="1">
    <brk id="28"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K77"/>
  <sheetViews>
    <sheetView showGridLines="0" workbookViewId="0"/>
  </sheetViews>
  <sheetFormatPr defaultRowHeight="15"/>
  <cols>
    <col min="1" max="1" width="2.7109375" customWidth="1"/>
    <col min="2" max="2" width="32.7109375" customWidth="1"/>
    <col min="3" max="3" width="22.7109375" customWidth="1"/>
    <col min="4" max="10" width="12.7109375" customWidth="1"/>
    <col min="11" max="11" width="20.7109375" customWidth="1"/>
  </cols>
  <sheetData>
    <row r="1" spans="1:11" ht="30" customHeight="1">
      <c r="A1" s="1" t="s">
        <v>0</v>
      </c>
      <c r="B1" s="1"/>
      <c r="C1" s="1"/>
      <c r="D1" s="1"/>
      <c r="E1" s="1"/>
      <c r="F1" s="1"/>
      <c r="G1" s="1"/>
      <c r="H1" s="1"/>
      <c r="I1" s="1"/>
      <c r="J1" s="1"/>
      <c r="K1" s="1"/>
    </row>
    <row r="2" spans="1:11" ht="21" customHeight="1">
      <c r="B2" s="2" t="s">
        <v>22</v>
      </c>
      <c r="C2" s="2"/>
      <c r="D2" s="2"/>
      <c r="E2" s="2"/>
      <c r="F2" s="2"/>
      <c r="G2" s="2"/>
      <c r="H2" s="2"/>
      <c r="I2" s="2"/>
      <c r="J2" s="2"/>
      <c r="K2" s="3" t="s">
        <v>2</v>
      </c>
    </row>
    <row r="3" spans="1:11" ht="6" customHeight="1"/>
    <row r="4" spans="1:11" ht="21" customHeight="1">
      <c r="B4" s="35" t="s">
        <v>115</v>
      </c>
      <c r="C4" s="35"/>
      <c r="D4" s="35"/>
      <c r="E4" s="35"/>
      <c r="F4" s="35"/>
      <c r="G4" s="35"/>
      <c r="H4" s="35"/>
      <c r="I4" s="35"/>
      <c r="J4" s="35"/>
      <c r="K4" s="35"/>
    </row>
    <row r="6" spans="1:11" ht="21" customHeight="1">
      <c r="B6" s="8" t="s">
        <v>116</v>
      </c>
      <c r="C6" s="8"/>
      <c r="D6" s="8"/>
      <c r="E6" s="8"/>
      <c r="F6" s="8"/>
      <c r="G6" s="8"/>
      <c r="H6" s="8"/>
      <c r="I6" s="8"/>
      <c r="J6" s="8"/>
      <c r="K6" s="8"/>
    </row>
    <row r="7" spans="1:11" ht="5" customHeight="1"/>
    <row r="8" spans="1:11">
      <c r="B8" s="27" t="s">
        <v>117</v>
      </c>
      <c r="C8" s="36" t="s">
        <v>118</v>
      </c>
      <c r="D8" s="36"/>
      <c r="E8" s="36"/>
    </row>
    <row r="9" spans="1:11">
      <c r="B9" s="27" t="s">
        <v>119</v>
      </c>
      <c r="C9" s="36" t="s">
        <v>120</v>
      </c>
      <c r="D9" s="36"/>
      <c r="E9" s="36"/>
    </row>
    <row r="10" spans="1:11">
      <c r="B10" s="27" t="s">
        <v>121</v>
      </c>
      <c r="C10" s="36" t="s">
        <v>122</v>
      </c>
      <c r="D10" s="36"/>
      <c r="E10" s="36"/>
    </row>
    <row r="11" spans="1:11">
      <c r="B11" s="27" t="s">
        <v>123</v>
      </c>
      <c r="C11" s="37">
        <v>46308</v>
      </c>
      <c r="D11" s="37"/>
      <c r="E11" s="37"/>
    </row>
    <row r="12" spans="1:11">
      <c r="B12" s="27" t="s">
        <v>124</v>
      </c>
      <c r="C12" s="36" t="s">
        <v>125</v>
      </c>
      <c r="D12" s="36"/>
      <c r="E12" s="36"/>
    </row>
    <row r="14" spans="1:11" ht="21" customHeight="1">
      <c r="B14" s="8" t="s">
        <v>126</v>
      </c>
      <c r="C14" s="8"/>
      <c r="D14" s="8"/>
      <c r="E14" s="8"/>
      <c r="F14" s="8"/>
      <c r="G14" s="8"/>
      <c r="H14" s="8"/>
      <c r="I14" s="8"/>
      <c r="J14" s="8"/>
      <c r="K14" s="8"/>
    </row>
    <row r="15" spans="1:11" ht="5" customHeight="1"/>
    <row r="16" spans="1:11">
      <c r="B16" s="27" t="s">
        <v>62</v>
      </c>
      <c r="C16" s="28" t="s">
        <v>88</v>
      </c>
      <c r="D16" s="28"/>
    </row>
    <row r="17" spans="2:11">
      <c r="B17" s="27" t="s">
        <v>127</v>
      </c>
      <c r="C17" s="28" t="s">
        <v>86</v>
      </c>
      <c r="D17" s="28"/>
    </row>
    <row r="18" spans="2:11">
      <c r="B18" s="27" t="s">
        <v>128</v>
      </c>
      <c r="C18" s="31">
        <v>18.5</v>
      </c>
      <c r="D18" s="7" t="str">
        <f>WtUnit</f>
        <v>kg</v>
      </c>
    </row>
    <row r="19" spans="2:11">
      <c r="B19" s="27" t="s">
        <v>129</v>
      </c>
      <c r="C19" s="30">
        <v>0.62</v>
      </c>
      <c r="D19" s="7"/>
    </row>
    <row r="20" spans="2:11">
      <c r="B20" s="27" t="s">
        <v>130</v>
      </c>
      <c r="C20" s="38">
        <f>CastWt*IF(WtUnit="lb",0.45359237,1)</f>
        <v>18.5</v>
      </c>
      <c r="D20" s="7" t="s">
        <v>86</v>
      </c>
    </row>
    <row r="21" spans="2:11">
      <c r="B21" s="17" t="s">
        <v>131</v>
      </c>
      <c r="C21" s="39">
        <f>CastKg/Yield</f>
        <v>29.8387096774194</v>
      </c>
      <c r="D21" s="7" t="s">
        <v>86</v>
      </c>
    </row>
    <row r="22" spans="2:11">
      <c r="B22" s="27" t="s">
        <v>132</v>
      </c>
      <c r="C22" s="38">
        <f>PourKg-CastKg</f>
        <v>11.3387096774194</v>
      </c>
      <c r="D22" s="7" t="s">
        <v>86</v>
      </c>
    </row>
    <row r="23" spans="2:11">
      <c r="B23" s="27" t="s">
        <v>63</v>
      </c>
      <c r="C23" s="40">
        <f>IFERROR(INDEX(tblAlloys[Charge price],MATCH(Alloy,tblAlloys[Alloy],0))/IF(INDEX(tblAlloys[Per],MATCH(Alloy,tblAlloys[Alloy],0))="lb",0.45359237,1),"")</f>
        <v>0.78</v>
      </c>
      <c r="D23" s="7" t="str">
        <f>Currency&amp;"/kg"</f>
        <v>USD/kg</v>
      </c>
    </row>
    <row r="24" spans="2:11">
      <c r="B24" s="27" t="s">
        <v>65</v>
      </c>
      <c r="C24" s="41">
        <f>IFERROR(INDEX(tblAlloys[Melt loss],MATCH(Alloy,tblAlloys[Alloy],0)),"")</f>
        <v>0.04</v>
      </c>
      <c r="D24" s="7" t="s">
        <v>133</v>
      </c>
    </row>
    <row r="25" spans="2:11">
      <c r="B25" s="27" t="s">
        <v>134</v>
      </c>
      <c r="C25" s="38">
        <f>IFERROR(INDEX(tblAlloys[Melt energy],MATCH(Alloy,tblAlloys[Alloy],0)),"")</f>
        <v>0.62</v>
      </c>
      <c r="D25" s="7" t="s">
        <v>84</v>
      </c>
    </row>
    <row r="26" spans="2:11">
      <c r="B26" s="27" t="s">
        <v>135</v>
      </c>
      <c r="C26" s="40">
        <f>IF(PriceKg="","",PriceKg/(1-MeltLoss)+MeltKWh*EnergyPrice)</f>
        <v>0.8993</v>
      </c>
      <c r="D26" s="7" t="str">
        <f>Currency&amp;"/kg"</f>
        <v>USD/kg</v>
      </c>
    </row>
    <row r="27" spans="2:11">
      <c r="B27" s="17" t="s">
        <v>136</v>
      </c>
      <c r="C27" s="39">
        <f>IF(LiquidKg="","",PourKg*LiquidKg-ReturnsKg*PriceKg*ReturnCredit)</f>
        <v>17.9897580645161</v>
      </c>
      <c r="D27" s="7" t="str">
        <f>Currency</f>
        <v>USD</v>
      </c>
    </row>
    <row r="28" spans="2:11">
      <c r="B28" s="27" t="s">
        <v>137</v>
      </c>
      <c r="C28" s="42" t="str">
        <f>IF(PriceKg="","Alloy not on Setup list",IF(CastWt&lt;=0,"Enter a casting weight","OK"))</f>
        <v>OK</v>
      </c>
      <c r="D28" s="42"/>
    </row>
    <row r="30" spans="2:11" ht="21" customHeight="1">
      <c r="B30" s="8" t="s">
        <v>138</v>
      </c>
      <c r="C30" s="8"/>
      <c r="D30" s="8"/>
      <c r="E30" s="8"/>
      <c r="F30" s="8"/>
      <c r="G30" s="8"/>
      <c r="H30" s="8"/>
      <c r="I30" s="8"/>
      <c r="J30" s="8"/>
      <c r="K30" s="8"/>
    </row>
    <row r="31" spans="2:11" ht="5" customHeight="1"/>
    <row r="32" spans="2:11">
      <c r="B32" s="27" t="s">
        <v>139</v>
      </c>
      <c r="C32" s="43">
        <v>2</v>
      </c>
      <c r="D32" s="7" t="s">
        <v>140</v>
      </c>
    </row>
    <row r="33" spans="2:11">
      <c r="B33" s="27" t="s">
        <v>141</v>
      </c>
      <c r="C33" s="44">
        <v>2</v>
      </c>
      <c r="D33" s="7" t="s">
        <v>142</v>
      </c>
    </row>
    <row r="34" spans="2:11">
      <c r="B34" s="27" t="s">
        <v>143</v>
      </c>
      <c r="C34" s="31">
        <v>3.4</v>
      </c>
      <c r="D34" s="7" t="str">
        <f>Currency</f>
        <v>USD</v>
      </c>
    </row>
    <row r="35" spans="2:11">
      <c r="B35" s="27" t="s">
        <v>144</v>
      </c>
      <c r="C35" s="38">
        <f>CoresPer*CoreCost</f>
        <v>6.8</v>
      </c>
      <c r="D35" s="7" t="str">
        <f>Currency</f>
        <v>USD</v>
      </c>
    </row>
    <row r="37" spans="2:11" ht="21" customHeight="1">
      <c r="B37" s="8" t="s">
        <v>145</v>
      </c>
      <c r="C37" s="8"/>
      <c r="D37" s="8"/>
      <c r="E37" s="8"/>
      <c r="F37" s="8"/>
      <c r="G37" s="8"/>
      <c r="H37" s="8"/>
      <c r="I37" s="8"/>
      <c r="J37" s="8"/>
      <c r="K37" s="8"/>
    </row>
    <row r="38" spans="2:11" ht="5" customHeight="1"/>
    <row r="39" spans="2:11" ht="14" customHeight="1">
      <c r="B39" s="33"/>
      <c r="C39" s="33"/>
      <c r="D39" s="33"/>
      <c r="E39" s="33"/>
      <c r="F39" s="33"/>
      <c r="G39" s="33" t="str">
        <f>Currency&amp;"/h"</f>
        <v>USD/h</v>
      </c>
      <c r="H39" s="33"/>
      <c r="I39" s="33" t="str">
        <f>Currency&amp;"/order"</f>
        <v>USD/order</v>
      </c>
      <c r="J39" s="33" t="str">
        <f>Currency&amp;"/casting"</f>
        <v>USD/casting</v>
      </c>
      <c r="K39" s="33"/>
    </row>
    <row r="40" spans="2:11" ht="32" customHeight="1">
      <c r="B40" s="34" t="s">
        <v>107</v>
      </c>
      <c r="C40" s="34" t="s">
        <v>68</v>
      </c>
      <c r="D40" s="34" t="s">
        <v>108</v>
      </c>
      <c r="E40" s="34" t="s">
        <v>109</v>
      </c>
      <c r="F40" s="34" t="s">
        <v>64</v>
      </c>
      <c r="G40" s="34" t="s">
        <v>110</v>
      </c>
      <c r="H40" s="34" t="s">
        <v>111</v>
      </c>
      <c r="I40" s="34" t="s">
        <v>112</v>
      </c>
      <c r="J40" s="34" t="s">
        <v>113</v>
      </c>
      <c r="K40" s="34" t="s">
        <v>114</v>
      </c>
    </row>
    <row r="41" spans="2:11">
      <c r="B41" s="28" t="s">
        <v>146</v>
      </c>
      <c r="C41" s="28" t="s">
        <v>96</v>
      </c>
      <c r="D41" s="31">
        <v>0.75</v>
      </c>
      <c r="E41" s="31">
        <v>1.5</v>
      </c>
      <c r="F41" s="28" t="s">
        <v>147</v>
      </c>
      <c r="G41" s="38">
        <f>IF(tblOps[[#This Row],[Operation]]="","",IFERROR(INDEX(tblCentres[Rate per hour],MATCH(tblOps[[#This Row],[Work centre]],tblCentres[Work centre],0)),""))</f>
        <v>180</v>
      </c>
      <c r="H41" s="38">
        <f>IF(tblOps[[#This Row],[Operation]]="","",IF(tblOps[[#This Row],[Per]]="mould",tblOps[[#This Row],[Minutes]]/PerMould,tblOps[[#This Row],[Minutes]]))</f>
        <v>0.75</v>
      </c>
      <c r="I41" s="38">
        <f>IF(tblOps[[#This Row],[Operation]]="","",IF(tblOps[[#This Row],[Rate]]="","",tblOps[[#This Row],[Setup (h)]]*tblOps[[#This Row],[Rate]]))</f>
        <v>135</v>
      </c>
      <c r="J41" s="40">
        <f>IF(tblOps[[#This Row],[Operation]]="","",IF(tblOps[[#This Row],[Rate]]="","",tblOps[[#This Row],[Min per casting]]/60*tblOps[[#This Row],[Rate]]))</f>
        <v>2.25</v>
      </c>
      <c r="K41" s="45" t="str">
        <f>IF(tblOps[[#This Row],[Operation]]="","",IF(tblOps[[#This Row],[Work centre]]="","Missing work centre",IF(tblOps[[#This Row],[Rate]]="","Work centre not on Setup list",IF(AND(tblOps[[#This Row],[Per]]&lt;&gt;"mould",tblOps[[#This Row],[Per]]&lt;&gt;"casting"),"Choose mould or casting","OK"))))</f>
        <v>OK</v>
      </c>
    </row>
    <row r="42" spans="2:11">
      <c r="B42" s="28" t="s">
        <v>148</v>
      </c>
      <c r="C42" s="28" t="s">
        <v>98</v>
      </c>
      <c r="D42" s="31">
        <v>0</v>
      </c>
      <c r="E42" s="31">
        <v>1</v>
      </c>
      <c r="F42" s="28" t="s">
        <v>147</v>
      </c>
      <c r="G42" s="38">
        <f>IF(tblOps[[#This Row],[Operation]]="","",IFERROR(INDEX(tblCentres[Rate per hour],MATCH(tblOps[[#This Row],[Work centre]],tblCentres[Work centre],0)),""))</f>
        <v>120</v>
      </c>
      <c r="H42" s="38">
        <f>IF(tblOps[[#This Row],[Operation]]="","",IF(tblOps[[#This Row],[Per]]="mould",tblOps[[#This Row],[Minutes]]/PerMould,tblOps[[#This Row],[Minutes]]))</f>
        <v>0.5</v>
      </c>
      <c r="I42" s="38">
        <f>IF(tblOps[[#This Row],[Operation]]="","",IF(tblOps[[#This Row],[Rate]]="","",tblOps[[#This Row],[Setup (h)]]*tblOps[[#This Row],[Rate]]))</f>
        <v>0</v>
      </c>
      <c r="J42" s="40">
        <f>IF(tblOps[[#This Row],[Operation]]="","",IF(tblOps[[#This Row],[Rate]]="","",tblOps[[#This Row],[Min per casting]]/60*tblOps[[#This Row],[Rate]]))</f>
        <v>1</v>
      </c>
      <c r="K42" s="45" t="str">
        <f>IF(tblOps[[#This Row],[Operation]]="","",IF(tblOps[[#This Row],[Work centre]]="","Missing work centre",IF(tblOps[[#This Row],[Rate]]="","Work centre not on Setup list",IF(AND(tblOps[[#This Row],[Per]]&lt;&gt;"mould",tblOps[[#This Row],[Per]]&lt;&gt;"casting"),"Choose mould or casting","OK"))))</f>
        <v>OK</v>
      </c>
    </row>
    <row r="43" spans="2:11">
      <c r="B43" s="28" t="s">
        <v>100</v>
      </c>
      <c r="C43" s="28" t="s">
        <v>100</v>
      </c>
      <c r="D43" s="31">
        <v>0</v>
      </c>
      <c r="E43" s="31">
        <v>2</v>
      </c>
      <c r="F43" s="28" t="s">
        <v>149</v>
      </c>
      <c r="G43" s="38">
        <f>IF(tblOps[[#This Row],[Operation]]="","",IFERROR(INDEX(tblCentres[Rate per hour],MATCH(tblOps[[#This Row],[Work centre]],tblCentres[Work centre],0)),""))</f>
        <v>65</v>
      </c>
      <c r="H43" s="38">
        <f>IF(tblOps[[#This Row],[Operation]]="","",IF(tblOps[[#This Row],[Per]]="mould",tblOps[[#This Row],[Minutes]]/PerMould,tblOps[[#This Row],[Minutes]]))</f>
        <v>2</v>
      </c>
      <c r="I43" s="38">
        <f>IF(tblOps[[#This Row],[Operation]]="","",IF(tblOps[[#This Row],[Rate]]="","",tblOps[[#This Row],[Setup (h)]]*tblOps[[#This Row],[Rate]]))</f>
        <v>0</v>
      </c>
      <c r="J43" s="40">
        <f>IF(tblOps[[#This Row],[Operation]]="","",IF(tblOps[[#This Row],[Rate]]="","",tblOps[[#This Row],[Min per casting]]/60*tblOps[[#This Row],[Rate]]))</f>
        <v>2.16666666666667</v>
      </c>
      <c r="K43" s="45" t="str">
        <f>IF(tblOps[[#This Row],[Operation]]="","",IF(tblOps[[#This Row],[Work centre]]="","Missing work centre",IF(tblOps[[#This Row],[Rate]]="","Work centre not on Setup list",IF(AND(tblOps[[#This Row],[Per]]&lt;&gt;"mould",tblOps[[#This Row],[Per]]&lt;&gt;"casting"),"Choose mould or casting","OK"))))</f>
        <v>OK</v>
      </c>
    </row>
    <row r="44" spans="2:11">
      <c r="B44" s="28" t="s">
        <v>150</v>
      </c>
      <c r="C44" s="28" t="s">
        <v>102</v>
      </c>
      <c r="D44" s="31">
        <v>0</v>
      </c>
      <c r="E44" s="31">
        <v>12</v>
      </c>
      <c r="F44" s="28" t="s">
        <v>149</v>
      </c>
      <c r="G44" s="38">
        <f>IF(tblOps[[#This Row],[Operation]]="","",IFERROR(INDEX(tblCentres[Rate per hour],MATCH(tblOps[[#This Row],[Work centre]],tblCentres[Work centre],0)),""))</f>
        <v>52</v>
      </c>
      <c r="H44" s="38">
        <f>IF(tblOps[[#This Row],[Operation]]="","",IF(tblOps[[#This Row],[Per]]="mould",tblOps[[#This Row],[Minutes]]/PerMould,tblOps[[#This Row],[Minutes]]))</f>
        <v>12</v>
      </c>
      <c r="I44" s="38">
        <f>IF(tblOps[[#This Row],[Operation]]="","",IF(tblOps[[#This Row],[Rate]]="","",tblOps[[#This Row],[Setup (h)]]*tblOps[[#This Row],[Rate]]))</f>
        <v>0</v>
      </c>
      <c r="J44" s="40">
        <f>IF(tblOps[[#This Row],[Operation]]="","",IF(tblOps[[#This Row],[Rate]]="","",tblOps[[#This Row],[Min per casting]]/60*tblOps[[#This Row],[Rate]]))</f>
        <v>10.4</v>
      </c>
      <c r="K44" s="45" t="str">
        <f>IF(tblOps[[#This Row],[Operation]]="","",IF(tblOps[[#This Row],[Work centre]]="","Missing work centre",IF(tblOps[[#This Row],[Rate]]="","Work centre not on Setup list",IF(AND(tblOps[[#This Row],[Per]]&lt;&gt;"mould",tblOps[[#This Row],[Per]]&lt;&gt;"casting"),"Choose mould or casting","OK"))))</f>
        <v>OK</v>
      </c>
    </row>
    <row r="45" spans="2:11">
      <c r="B45" s="28" t="s">
        <v>151</v>
      </c>
      <c r="C45" s="28" t="s">
        <v>103</v>
      </c>
      <c r="D45" s="31">
        <v>0</v>
      </c>
      <c r="E45" s="31">
        <v>3</v>
      </c>
      <c r="F45" s="28" t="s">
        <v>149</v>
      </c>
      <c r="G45" s="38">
        <f>IF(tblOps[[#This Row],[Operation]]="","",IFERROR(INDEX(tblCentres[Rate per hour],MATCH(tblOps[[#This Row],[Work centre]],tblCentres[Work centre],0)),""))</f>
        <v>70</v>
      </c>
      <c r="H45" s="38">
        <f>IF(tblOps[[#This Row],[Operation]]="","",IF(tblOps[[#This Row],[Per]]="mould",tblOps[[#This Row],[Minutes]]/PerMould,tblOps[[#This Row],[Minutes]]))</f>
        <v>3</v>
      </c>
      <c r="I45" s="38">
        <f>IF(tblOps[[#This Row],[Operation]]="","",IF(tblOps[[#This Row],[Rate]]="","",tblOps[[#This Row],[Setup (h)]]*tblOps[[#This Row],[Rate]]))</f>
        <v>0</v>
      </c>
      <c r="J45" s="40">
        <f>IF(tblOps[[#This Row],[Operation]]="","",IF(tblOps[[#This Row],[Rate]]="","",tblOps[[#This Row],[Min per casting]]/60*tblOps[[#This Row],[Rate]]))</f>
        <v>3.5</v>
      </c>
      <c r="K45" s="45" t="str">
        <f>IF(tblOps[[#This Row],[Operation]]="","",IF(tblOps[[#This Row],[Work centre]]="","Missing work centre",IF(tblOps[[#This Row],[Rate]]="","Work centre not on Setup list",IF(AND(tblOps[[#This Row],[Per]]&lt;&gt;"mould",tblOps[[#This Row],[Per]]&lt;&gt;"casting"),"Choose mould or casting","OK"))))</f>
        <v>OK</v>
      </c>
    </row>
    <row r="46" spans="2:11">
      <c r="B46" s="28" t="s">
        <v>152</v>
      </c>
      <c r="C46" s="28" t="s">
        <v>105</v>
      </c>
      <c r="D46" s="31">
        <v>0</v>
      </c>
      <c r="E46" s="31">
        <v>4</v>
      </c>
      <c r="F46" s="28" t="s">
        <v>149</v>
      </c>
      <c r="G46" s="38">
        <f>IF(tblOps[[#This Row],[Operation]]="","",IFERROR(INDEX(tblCentres[Rate per hour],MATCH(tblOps[[#This Row],[Work centre]],tblCentres[Work centre],0)),""))</f>
        <v>60</v>
      </c>
      <c r="H46" s="38">
        <f>IF(tblOps[[#This Row],[Operation]]="","",IF(tblOps[[#This Row],[Per]]="mould",tblOps[[#This Row],[Minutes]]/PerMould,tblOps[[#This Row],[Minutes]]))</f>
        <v>4</v>
      </c>
      <c r="I46" s="38">
        <f>IF(tblOps[[#This Row],[Operation]]="","",IF(tblOps[[#This Row],[Rate]]="","",tblOps[[#This Row],[Setup (h)]]*tblOps[[#This Row],[Rate]]))</f>
        <v>0</v>
      </c>
      <c r="J46" s="40">
        <f>IF(tblOps[[#This Row],[Operation]]="","",IF(tblOps[[#This Row],[Rate]]="","",tblOps[[#This Row],[Min per casting]]/60*tblOps[[#This Row],[Rate]]))</f>
        <v>4</v>
      </c>
      <c r="K46" s="45" t="str">
        <f>IF(tblOps[[#This Row],[Operation]]="","",IF(tblOps[[#This Row],[Work centre]]="","Missing work centre",IF(tblOps[[#This Row],[Rate]]="","Work centre not on Setup list",IF(AND(tblOps[[#This Row],[Per]]&lt;&gt;"mould",tblOps[[#This Row],[Per]]&lt;&gt;"casting"),"Choose mould or casting","OK"))))</f>
        <v>OK</v>
      </c>
    </row>
    <row r="47" spans="2:11">
      <c r="B47" s="28" t="s">
        <v>153</v>
      </c>
      <c r="C47" s="28" t="s">
        <v>106</v>
      </c>
      <c r="D47" s="31">
        <v>0.5</v>
      </c>
      <c r="E47" s="31">
        <v>0</v>
      </c>
      <c r="F47" s="28" t="s">
        <v>149</v>
      </c>
      <c r="G47" s="38">
        <f>IF(tblOps[[#This Row],[Operation]]="","",IFERROR(INDEX(tblCentres[Rate per hour],MATCH(tblOps[[#This Row],[Work centre]],tblCentres[Work centre],0)),""))</f>
        <v>55</v>
      </c>
      <c r="H47" s="38">
        <f>IF(tblOps[[#This Row],[Operation]]="","",IF(tblOps[[#This Row],[Per]]="mould",tblOps[[#This Row],[Minutes]]/PerMould,tblOps[[#This Row],[Minutes]]))</f>
        <v>0</v>
      </c>
      <c r="I47" s="38">
        <f>IF(tblOps[[#This Row],[Operation]]="","",IF(tblOps[[#This Row],[Rate]]="","",tblOps[[#This Row],[Setup (h)]]*tblOps[[#This Row],[Rate]]))</f>
        <v>27.5</v>
      </c>
      <c r="J47" s="40">
        <f>IF(tblOps[[#This Row],[Operation]]="","",IF(tblOps[[#This Row],[Rate]]="","",tblOps[[#This Row],[Min per casting]]/60*tblOps[[#This Row],[Rate]]))</f>
        <v>0</v>
      </c>
      <c r="K47" s="45" t="str">
        <f>IF(tblOps[[#This Row],[Operation]]="","",IF(tblOps[[#This Row],[Work centre]]="","Missing work centre",IF(tblOps[[#This Row],[Rate]]="","Work centre not on Setup list",IF(AND(tblOps[[#This Row],[Per]]&lt;&gt;"mould",tblOps[[#This Row],[Per]]&lt;&gt;"casting"),"Choose mould or casting","OK"))))</f>
        <v>OK</v>
      </c>
    </row>
    <row r="49" spans="2:11">
      <c r="B49" s="32" t="s">
        <v>154</v>
      </c>
      <c r="C49" s="32"/>
      <c r="D49" s="32"/>
    </row>
    <row r="50" spans="2:11">
      <c r="B50" s="27" t="s">
        <v>155</v>
      </c>
      <c r="C50" s="38">
        <f>SUM(tblOps[Setup cost])</f>
        <v>162.5</v>
      </c>
      <c r="D50" s="7" t="str">
        <f>Currency</f>
        <v>USD</v>
      </c>
    </row>
    <row r="51" spans="2:11">
      <c r="B51" s="27" t="s">
        <v>156</v>
      </c>
      <c r="C51" s="40">
        <f>SUM(tblOps[Run cost])</f>
        <v>23.3166666666667</v>
      </c>
      <c r="D51" s="7" t="str">
        <f>Currency</f>
        <v>USD</v>
      </c>
    </row>
    <row r="52" spans="2:11">
      <c r="B52" s="27" t="s">
        <v>157</v>
      </c>
      <c r="C52" s="46">
        <f>SUM(tblOps[Min per casting])</f>
        <v>22.25</v>
      </c>
      <c r="D52" s="7" t="s">
        <v>158</v>
      </c>
    </row>
    <row r="54" spans="2:11" ht="21" customHeight="1">
      <c r="B54" s="8" t="s">
        <v>159</v>
      </c>
      <c r="C54" s="8"/>
      <c r="D54" s="8"/>
      <c r="E54" s="8"/>
      <c r="F54" s="8"/>
      <c r="G54" s="8"/>
      <c r="H54" s="8"/>
      <c r="I54" s="8"/>
      <c r="J54" s="8"/>
      <c r="K54" s="8"/>
    </row>
    <row r="55" spans="2:11" ht="5" customHeight="1"/>
    <row r="56" spans="2:11">
      <c r="B56" s="27" t="s">
        <v>160</v>
      </c>
      <c r="C56" s="43">
        <v>14500</v>
      </c>
      <c r="D56" s="7" t="str">
        <f>Currency</f>
        <v>USD</v>
      </c>
    </row>
    <row r="57" spans="2:11">
      <c r="B57" s="27" t="s">
        <v>161</v>
      </c>
      <c r="C57" s="43">
        <v>2200</v>
      </c>
      <c r="D57" s="7" t="str">
        <f>Currency</f>
        <v>USD</v>
      </c>
    </row>
    <row r="58" spans="2:11">
      <c r="B58" s="27" t="s">
        <v>162</v>
      </c>
      <c r="C58" s="43">
        <v>0</v>
      </c>
      <c r="D58" s="7" t="str">
        <f>Currency</f>
        <v>USD</v>
      </c>
    </row>
    <row r="59" spans="2:11">
      <c r="B59" s="27" t="s">
        <v>163</v>
      </c>
      <c r="C59" s="30">
        <v>1</v>
      </c>
      <c r="D59" s="7"/>
    </row>
    <row r="60" spans="2:11">
      <c r="B60" s="27" t="s">
        <v>164</v>
      </c>
      <c r="C60" s="43">
        <v>3000</v>
      </c>
      <c r="D60" s="7" t="s">
        <v>140</v>
      </c>
    </row>
    <row r="61" spans="2:11">
      <c r="B61" s="17" t="s">
        <v>165</v>
      </c>
      <c r="C61" s="47">
        <f>(PatCost+PatEng-PatResidual)*PatAlloc/PatQty</f>
        <v>5.56666666666667</v>
      </c>
      <c r="D61" s="7" t="str">
        <f>Currency</f>
        <v>USD</v>
      </c>
    </row>
    <row r="63" spans="2:11" ht="21" customHeight="1">
      <c r="B63" s="8" t="s">
        <v>166</v>
      </c>
      <c r="C63" s="8"/>
      <c r="D63" s="8"/>
      <c r="E63" s="8"/>
      <c r="F63" s="8"/>
      <c r="G63" s="8"/>
      <c r="H63" s="8"/>
      <c r="I63" s="8"/>
      <c r="J63" s="8"/>
      <c r="K63" s="8"/>
    </row>
    <row r="64" spans="2:11" ht="5" customHeight="1"/>
    <row r="65" spans="2:8">
      <c r="B65" s="48" t="s">
        <v>167</v>
      </c>
      <c r="C65" s="34" t="s">
        <v>168</v>
      </c>
      <c r="D65" s="49">
        <v>20</v>
      </c>
      <c r="E65" s="49">
        <v>50</v>
      </c>
      <c r="F65" s="49">
        <v>100</v>
      </c>
      <c r="G65" s="49">
        <v>250</v>
      </c>
      <c r="H65" s="49">
        <v>500</v>
      </c>
    </row>
    <row r="66" spans="2:8">
      <c r="B66" s="27" t="s">
        <v>169</v>
      </c>
      <c r="C66" s="7" t="s">
        <v>140</v>
      </c>
      <c r="D66" s="50">
        <f>CEILING($D$65/FPY,1)</f>
        <v>22</v>
      </c>
      <c r="E66" s="50">
        <f>CEILING($E$65/FPY,1)</f>
        <v>54</v>
      </c>
      <c r="F66" s="50">
        <f>CEILING($F$65/FPY,1)</f>
        <v>107</v>
      </c>
      <c r="G66" s="50">
        <f>CEILING($G$65/FPY,1)</f>
        <v>266</v>
      </c>
      <c r="H66" s="50">
        <f>CEILING($H$65/FPY,1)</f>
        <v>532</v>
      </c>
    </row>
    <row r="67" spans="2:8">
      <c r="B67" s="27" t="s">
        <v>170</v>
      </c>
      <c r="C67" s="7" t="str">
        <f>Currency&amp;"/casting"</f>
        <v>USD/casting</v>
      </c>
      <c r="D67" s="38">
        <f>MetalCost*$D$66/$D$65</f>
        <v>19.7887338709677</v>
      </c>
      <c r="E67" s="38">
        <f>MetalCost*$E$66/$E$65</f>
        <v>19.4289387096774</v>
      </c>
      <c r="F67" s="38">
        <f>MetalCost*$F$66/$F$65</f>
        <v>19.2490411290323</v>
      </c>
      <c r="G67" s="38">
        <f>MetalCost*$G$66/$G$65</f>
        <v>19.1411025806452</v>
      </c>
      <c r="H67" s="38">
        <f>MetalCost*$H$66/$H$65</f>
        <v>19.1411025806452</v>
      </c>
    </row>
    <row r="68" spans="2:8">
      <c r="B68" s="27" t="s">
        <v>171</v>
      </c>
      <c r="C68" s="7" t="str">
        <f>Currency&amp;"/casting"</f>
        <v>USD/casting</v>
      </c>
      <c r="D68" s="38">
        <f>CorePP*$D$66/$D$65</f>
        <v>7.48</v>
      </c>
      <c r="E68" s="38">
        <f>CorePP*$E$66/$E$65</f>
        <v>7.344</v>
      </c>
      <c r="F68" s="38">
        <f>CorePP*$F$66/$F$65</f>
        <v>7.276</v>
      </c>
      <c r="G68" s="38">
        <f>CorePP*$G$66/$G$65</f>
        <v>7.2352</v>
      </c>
      <c r="H68" s="38">
        <f>CorePP*$H$66/$H$65</f>
        <v>7.2352</v>
      </c>
    </row>
    <row r="69" spans="2:8">
      <c r="B69" s="27" t="s">
        <v>172</v>
      </c>
      <c r="C69" s="7" t="str">
        <f>Currency&amp;"/casting"</f>
        <v>USD/casting</v>
      </c>
      <c r="D69" s="38">
        <f>RunCost*$D$66/$D$65</f>
        <v>25.6483333333333</v>
      </c>
      <c r="E69" s="38">
        <f>RunCost*$E$66/$E$65</f>
        <v>25.182</v>
      </c>
      <c r="F69" s="38">
        <f>RunCost*$F$66/$F$65</f>
        <v>24.9488333333333</v>
      </c>
      <c r="G69" s="38">
        <f>RunCost*$G$66/$G$65</f>
        <v>24.8089333333333</v>
      </c>
      <c r="H69" s="38">
        <f>RunCost*$H$66/$H$65</f>
        <v>24.8089333333333</v>
      </c>
    </row>
    <row r="70" spans="2:8">
      <c r="B70" s="27" t="s">
        <v>173</v>
      </c>
      <c r="C70" s="7" t="str">
        <f>Currency&amp;"/casting"</f>
        <v>USD/casting</v>
      </c>
      <c r="D70" s="38">
        <f>SetupCost/$D$65</f>
        <v>8.125</v>
      </c>
      <c r="E70" s="38">
        <f>SetupCost/$E$65</f>
        <v>3.25</v>
      </c>
      <c r="F70" s="38">
        <f>SetupCost/$F$65</f>
        <v>1.625</v>
      </c>
      <c r="G70" s="38">
        <f>SetupCost/$G$65</f>
        <v>0.65</v>
      </c>
      <c r="H70" s="38">
        <f>SetupCost/$H$65</f>
        <v>0.325</v>
      </c>
    </row>
    <row r="71" spans="2:8">
      <c r="B71" s="27" t="s">
        <v>174</v>
      </c>
      <c r="C71" s="7" t="str">
        <f>Currency&amp;"/casting"</f>
        <v>USD/casting</v>
      </c>
      <c r="D71" s="38">
        <f>PatPP</f>
        <v>5.56666666666667</v>
      </c>
      <c r="E71" s="38">
        <f>PatPP</f>
        <v>5.56666666666667</v>
      </c>
      <c r="F71" s="38">
        <f>PatPP</f>
        <v>5.56666666666667</v>
      </c>
      <c r="G71" s="38">
        <f>PatPP</f>
        <v>5.56666666666667</v>
      </c>
      <c r="H71" s="38">
        <f>PatPP</f>
        <v>5.56666666666667</v>
      </c>
    </row>
    <row r="72" spans="2:8">
      <c r="B72" s="27" t="s">
        <v>175</v>
      </c>
      <c r="C72" s="7" t="str">
        <f>Currency&amp;"/casting"</f>
        <v>USD/casting</v>
      </c>
      <c r="D72" s="38">
        <f>($D$69+$D$70)*Overhead</f>
        <v>5.066</v>
      </c>
      <c r="E72" s="38">
        <f>($E$69+$E$70)*Overhead</f>
        <v>4.2648</v>
      </c>
      <c r="F72" s="38">
        <f>($F$69+$F$70)*Overhead</f>
        <v>3.986075</v>
      </c>
      <c r="G72" s="38">
        <f>($G$69+$G$70)*Overhead</f>
        <v>3.81884</v>
      </c>
      <c r="H72" s="38">
        <f>($H$69+$H$70)*Overhead</f>
        <v>3.77009</v>
      </c>
    </row>
    <row r="73" spans="2:8">
      <c r="B73" s="17" t="s">
        <v>176</v>
      </c>
      <c r="C73" s="7" t="str">
        <f>Currency&amp;"/casting"</f>
        <v>USD/casting</v>
      </c>
      <c r="D73" s="51">
        <f>$D$67+$D$68+$D$69+$D$70+$D$71+$D$72</f>
        <v>71.6747338709677</v>
      </c>
      <c r="E73" s="51">
        <f>$E$67+$E$68+$E$69+$E$70+$E$71+$E$72</f>
        <v>65.0364053763441</v>
      </c>
      <c r="F73" s="51">
        <f>$F$67+$F$68+$F$69+$F$70+$F$71+$F$72</f>
        <v>62.6516161290323</v>
      </c>
      <c r="G73" s="51">
        <f>$G$67+$G$68+$G$69+$G$70+$G$71+$G$72</f>
        <v>61.2207425806452</v>
      </c>
      <c r="H73" s="51">
        <f>$H$67+$H$68+$H$69+$H$70+$H$71+$H$72</f>
        <v>60.8469925806452</v>
      </c>
    </row>
    <row r="74" spans="2:8">
      <c r="B74" s="27" t="s">
        <v>177</v>
      </c>
      <c r="C74" s="7" t="str">
        <f>Currency&amp;"/casting"</f>
        <v>USD/casting</v>
      </c>
      <c r="D74" s="52">
        <f>CEILING($D$73/(1-Margin),RoundStep)</f>
        <v>91.9</v>
      </c>
      <c r="E74" s="52">
        <f>CEILING($E$73/(1-Margin),RoundStep)</f>
        <v>83.4</v>
      </c>
      <c r="F74" s="52">
        <f>CEILING($F$73/(1-Margin),RoundStep)</f>
        <v>80.4</v>
      </c>
      <c r="G74" s="52">
        <f>CEILING($G$73/(1-Margin),RoundStep)</f>
        <v>78.5</v>
      </c>
      <c r="H74" s="52">
        <f>CEILING($H$73/(1-Margin),RoundStep)</f>
        <v>78.1</v>
      </c>
    </row>
    <row r="75" spans="2:8">
      <c r="B75" s="27" t="s">
        <v>178</v>
      </c>
      <c r="C75" s="7" t="str">
        <f>Currency</f>
        <v>USD</v>
      </c>
      <c r="D75" s="38">
        <f>$D$74*$D$65</f>
        <v>1838</v>
      </c>
      <c r="E75" s="38">
        <f>$E$74*$E$65</f>
        <v>4170</v>
      </c>
      <c r="F75" s="38">
        <f>$F$74*$F$65</f>
        <v>8040</v>
      </c>
      <c r="G75" s="38">
        <f>$G$74*$G$65</f>
        <v>19625</v>
      </c>
      <c r="H75" s="38">
        <f>$H$74*$H$65</f>
        <v>39050</v>
      </c>
    </row>
    <row r="76" spans="2:8">
      <c r="B76" s="27" t="s">
        <v>179</v>
      </c>
      <c r="C76" s="7" t="s">
        <v>180</v>
      </c>
      <c r="D76" s="41">
        <f>($D$74-$D$73)/$D$74</f>
        <v>0.220079065604268</v>
      </c>
      <c r="E76" s="41">
        <f>($E$74-$E$73)/$E$74</f>
        <v>0.220186985895155</v>
      </c>
      <c r="F76" s="41">
        <f>($F$74-$F$73)/$F$74</f>
        <v>0.220751043171241</v>
      </c>
      <c r="G76" s="41">
        <f>($G$74-$G$73)/$G$74</f>
        <v>0.220117928908979</v>
      </c>
      <c r="H76" s="41">
        <f>($H$74-$H$73)/$H$74</f>
        <v>0.220909185907232</v>
      </c>
    </row>
    <row r="77" spans="2:8">
      <c r="B77" s="27" t="s">
        <v>181</v>
      </c>
      <c r="C77" s="7" t="s">
        <v>86</v>
      </c>
      <c r="D77" s="53">
        <f>$D$66*PourKg/(1-MeltLoss)</f>
        <v>683.80376344086</v>
      </c>
      <c r="E77" s="53">
        <f>$E$66*PourKg/(1-MeltLoss)</f>
        <v>1678.42741935484</v>
      </c>
      <c r="F77" s="53">
        <f>$F$66*PourKg/(1-MeltLoss)</f>
        <v>3325.77284946237</v>
      </c>
      <c r="G77" s="53">
        <f>$G$66*PourKg/(1-MeltLoss)</f>
        <v>8267.80913978495</v>
      </c>
      <c r="H77" s="53">
        <f>$H$66*PourKg/(1-MeltLoss)</f>
        <v>16535.6182795699</v>
      </c>
    </row>
  </sheetData>
  <mergeCells count="18">
    <mergeCell ref="A1:K1"/>
    <mergeCell ref="B2:J2"/>
    <mergeCell ref="B4:K4"/>
    <mergeCell ref="B6:K6"/>
    <mergeCell ref="C8:E8"/>
    <mergeCell ref="C9:E9"/>
    <mergeCell ref="C10:E10"/>
    <mergeCell ref="C11:E11"/>
    <mergeCell ref="C12:E12"/>
    <mergeCell ref="B14:K14"/>
    <mergeCell ref="C16:D16"/>
    <mergeCell ref="C17:D17"/>
    <mergeCell ref="C28:D28"/>
    <mergeCell ref="B30:K30"/>
    <mergeCell ref="B37:K37"/>
    <mergeCell ref="B49:D49"/>
    <mergeCell ref="B54:K54"/>
    <mergeCell ref="B63:K63"/>
  </mergeCells>
  <conditionalFormatting sqref="C28">
    <cfRule type="expression" dxfId="3" priority="1">
      <formula>$C28="OK"</formula>
    </cfRule>
    <cfRule type="expression" dxfId="1" priority="2">
      <formula>AND($C28&lt;&gt;"",$C28&lt;&gt;"OK")</formula>
    </cfRule>
  </conditionalFormatting>
  <conditionalFormatting sqref="K41:K77">
    <cfRule type="expression" dxfId="3" priority="3">
      <formula>$K41="OK"</formula>
    </cfRule>
    <cfRule type="expression" dxfId="1" priority="4">
      <formula>AND($K41&lt;&gt;"",$K41&lt;&gt;"OK")</formula>
    </cfRule>
  </conditionalFormatting>
  <dataValidations count="27">
    <dataValidation type="textLength" allowBlank="1" showInputMessage="1" showErrorMessage="1" errorTitle="Check this entry" error="Text up to 80 characters." promptTitle="Customer" prompt="Text up to 80 characters." sqref="C8">
      <formula1>0</formula1>
      <formula2>80</formula2>
    </dataValidation>
    <dataValidation type="textLength" allowBlank="1" showInputMessage="1" showErrorMessage="1" errorTitle="Check this entry" error="Text up to 40 characters." promptTitle="Pattern or part number" prompt="Text up to 40 characters." sqref="C9">
      <formula1>0</formula1>
      <formula2>40</formula2>
    </dataValidation>
    <dataValidation type="textLength" allowBlank="1" showInputMessage="1" showErrorMessage="1" errorTitle="Check this entry" error="Text up to 120 characters." promptTitle="Description" prompt="Text up to 120 characters." sqref="C10">
      <formula1>0</formula1>
      <formula2>120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60 characters." promptTitle="Prepared by" prompt="Text up to 60 characters." sqref="C12">
      <formula1>0</formula1>
      <formula2>60</formula2>
    </dataValidation>
    <dataValidation type="list" allowBlank="1" showInputMessage="1" showErrorMessage="1" errorTitle="Check this entry" error="Pick from the list (edit the list on Setup: Alloys)." promptTitle="Alloy" prompt="Pick from the list (edit the list on Setup: Alloys)." sqref="C16">
      <formula1>Alloys</formula1>
    </dataValidation>
    <dataValidation type="list" allowBlank="1" showInputMessage="1" showErrorMessage="1" errorTitle="Check this entry" error="Pick one of: kg, lb." promptTitle="Weights in" prompt="Unit for the casting weight; results show kg (1 lb = 0.45359237 kg). Pick one of: kg, lb." sqref="C17">
      <formula1>"kg,lb"</formula1>
    </dataValidation>
    <dataValidation type="decimal" allowBlank="1" showInputMessage="1" showErrorMessage="1" errorTitle="Check this entry" error="Enter a number from 0.001 to 1,000,000." promptTitle="Casting weight, as shipped" prompt="Enter a number from 0.001 to 1,000,000." sqref="C18">
      <formula1>0.001</formula1>
      <formula2>1000000.0</formula2>
    </dataValidation>
    <dataValidation type="decimal" allowBlank="1" showInputMessage="1" showErrorMessage="1" errorTitle="Check this entry" error="Enter a percentage from 5% to 100% (type 85% or 0.85)." promptTitle="Casting yield (casting / pour..." prompt="Share of the poured metal that ends up in the casting; the rest is gating, risers and overflow (returns). Enter a percentage from 5% to 100% (type 85% or 0.85)." sqref="C19">
      <formula1>0.05</formula1>
      <formula2>1</formula2>
    </dataValidation>
    <dataValidation type="whole" allowBlank="1" showInputMessage="1" showErrorMessage="1" errorTitle="Check this entry" error="Enter a whole number from 1 to 1,000." promptTitle="Castings per mould" prompt="Steps timed per mould in the process table are divided by this. Enter a whole number from 1 to 1,000." sqref="C32">
      <formula1>1</formula1>
      <formula2>1000</formula2>
    </dataValidation>
    <dataValidation type="decimal" allowBlank="1" showInputMessage="1" showErrorMessage="1" errorTitle="Check this entry" error="Enter a number from 0 to 1,000." promptTitle="Cores per casting" prompt="Enter a number from 0 to 1,000." sqref="C33">
      <formula1>0</formula1>
      <formula2>1000</formula2>
    </dataValidation>
    <dataValidation type="decimal" allowBlank="1" showInputMessage="1" showErrorMessage="1" errorTitle="Check this entry" error="Enter a number from 0 to 1,000,000." promptTitle="Cost per core (sand, binder, ..." prompt="Enter a number from 0 to 1,000,000." sqref="C34">
      <formula1>0</formula1>
      <formula2>1000000.0</formula2>
    </dataValidation>
    <dataValidation type="textLength" allowBlank="1" showInputMessage="1" showErrorMessage="1" errorTitle="Check this entry" error="Text up to 80 characters." promptTitle="Operation" prompt="Text up to 80 characters." sqref="B41:B77">
      <formula1>0</formula1>
      <formula2>80</formula2>
    </dataValidation>
    <dataValidation type="list" allowBlank="1" showInputMessage="1" showErrorMessage="1" errorTitle="Check this entry" error="Pick from the list (edit the list on Setup: Centres)." promptTitle="Work centre" prompt="Pick from the list (edit the list on Setup: Centres)." sqref="C41:C77">
      <formula1>Centres</formula1>
    </dataValidation>
    <dataValidation type="decimal" allowBlank="1" showInputMessage="1" showErrorMessage="1" errorTitle="Check this entry" error="Enter a number from 0 to 1,000." promptTitle="Setup (h)" prompt="Pattern change, core box or furnace setup for this order. Enter a number from 0 to 1,000." sqref="D41:D77">
      <formula1>0</formula1>
      <formula2>1000</formula2>
    </dataValidation>
    <dataValidation type="decimal" allowBlank="1" showInputMessage="1" showErrorMessage="1" errorTitle="Check this entry" error="Enter a number from 0 to 100,000." promptTitle="Minutes" prompt="Work-centre minutes per mould or per casting, as set in Per. Enter a number from 0 to 100,000." sqref="E41:E77">
      <formula1>0</formula1>
      <formula2>100000</formula2>
    </dataValidation>
    <dataValidation type="list" allowBlank="1" showInputMessage="1" showErrorMessage="1" errorTitle="Check this entry" error="Pick one of: mould, casting." promptTitle="Per" prompt="mould: the minutes are shared by the castings in one mould; casting: minutes for each casting. Pick one of: mould, casting." sqref="F41:F77">
      <formula1>"mould,casting"</formula1>
    </dataValidation>
    <dataValidation type="decimal" allowBlank="1" showInputMessage="1" showErrorMessage="1" errorTitle="Check this entry" error="Enter a number of at least 0." promptTitle="Pattern and core boxes, purchase" prompt="Enter a number of at least 0." sqref="C56">
      <formula1>0</formula1>
      <formula2>1000000000.0</formula2>
    </dataValidation>
    <dataValidation type="decimal" allowBlank="1" showInputMessage="1" showErrorMessage="1" errorTitle="Check this entry" error="Enter a number of at least 0." promptTitle="Pattern engineering and metho..." prompt="Enter a number of at least 0." sqref="C57">
      <formula1>0</formula1>
      <formula2>1000000000.0</formula2>
    </dataValidation>
    <dataValidation type="decimal" allowBlank="1" showInputMessage="1" showErrorMessage="1" errorTitle="Check this entry" error="Enter a number of at least 0." promptTitle="Residual value at end of life" prompt="Enter a number of at least 0." sqref="C58">
      <formula1>0</formula1>
      <formula2>1000000000.0</formula2>
    </dataValidation>
    <dataValidation type="decimal" allowBlank="1" showInputMessage="1" showErrorMessage="1" errorTitle="Check this entry" error="Enter a percentage from 0% to 100% (type 85% or 0.85)." promptTitle="Share charged to this part" prompt="100% when the customer's part carries the whole pattern; less when the customer pays part of it up front. Enter a percentage from 0% to 100% (type 85% or 0.85)." sqref="C59">
      <formula1>0</formula1>
      <formula2>1</formula2>
    </dataValidation>
    <dataValidation type="whole" allowBlank="1" showInputMessage="1" showErrorMessage="1" errorTitle="Check this entry" error="Enter a whole number of at least 1." promptTitle="Expected accepted castings ov..." prompt="Enter a whole number of at least 1." sqref="C60">
      <formula1>1</formula1>
      <formula2>1000000000.0</formula2>
    </dataValidation>
    <dataValidation type="whole" allowBlank="1" showInputMessage="1" showErrorMessage="1" errorTitle="Check this entry" error="Enter a whole number from 1 to 10,000,000." promptTitle="Quantity" prompt="Accepted castings in the order. Enter a whole number from 1 to 10,000,000." sqref="D65">
      <formula1>1</formula1>
      <formula2>10000000</formula2>
    </dataValidation>
    <dataValidation type="whole" allowBlank="1" showInputMessage="1" showErrorMessage="1" errorTitle="Check this entry" error="Enter a whole number from 1 to 10,000,000." promptTitle="Quantity" prompt="Accepted castings in the order. Enter a whole number from 1 to 10,000,000." sqref="E65">
      <formula1>1</formula1>
      <formula2>10000000</formula2>
    </dataValidation>
    <dataValidation type="whole" allowBlank="1" showInputMessage="1" showErrorMessage="1" errorTitle="Check this entry" error="Enter a whole number from 1 to 10,000,000." promptTitle="Quantity" prompt="Accepted castings in the order. Enter a whole number from 1 to 10,000,000." sqref="F65">
      <formula1>1</formula1>
      <formula2>10000000</formula2>
    </dataValidation>
    <dataValidation type="whole" allowBlank="1" showInputMessage="1" showErrorMessage="1" errorTitle="Check this entry" error="Enter a whole number from 1 to 10,000,000." promptTitle="Quantity" prompt="Accepted castings in the order. Enter a whole number from 1 to 10,000,000." sqref="G65">
      <formula1>1</formula1>
      <formula2>10000000</formula2>
    </dataValidation>
    <dataValidation type="whole" allowBlank="1" showInputMessage="1" showErrorMessage="1" errorTitle="Check this entry" error="Enter a whole number from 1 to 10,000,000." promptTitle="Quantity" prompt="Accepted castings in the order. Enter a whole number from 1 to 10,000,000." sqref="H65">
      <formula1>1</formula1>
      <formula2>10000000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Casting Cost Estimator&amp;R&amp;8&amp;A</oddHeader>
    <oddFooter>&amp;L&amp;8mfgcalcs.com - free manufacturing templates&amp;R&amp;8Page &amp;P of &amp;N</oddFooter>
  </headerFooter>
  <rowBreaks count="2" manualBreakCount="2">
    <brk id="36" max="16383" man="1"/>
    <brk id="62"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182</v>
      </c>
      <c r="C4" s="43">
        <v>100</v>
      </c>
    </row>
    <row r="5" spans="1:12" x14ac:dyDescent="0.25">
      <c r="B5" s="54" t="str">
        <f>"Showing "&amp;TEXT(INDEX('Casting Estimate'!$D$65:$H$65,SelIdx),"#,##0")&amp;" castings of "&amp;PartNo&amp;" in "&amp;Alloy&amp;", "&amp;TEXT(CastKg,"0.0")&amp;" kg each. Pick another quantity in the yellow cell."</f>
        <v>Showing 100 castings of HDS-GH-310 in Ductile iron, 18.5 kg each. Pick another quantity in the yellow cell.</v>
      </c>
      <c r="C5" s="54"/>
      <c r="D5" s="54"/>
      <c r="E5" s="54"/>
      <c r="F5" s="54"/>
      <c r="G5" s="54"/>
      <c r="H5" s="54"/>
      <c r="I5" s="54"/>
      <c r="J5" s="54"/>
      <c r="K5" s="54"/>
      <c r="L5" s="54"/>
    </row>
    <row r="7" spans="1:12" ht="18" customHeight="1" x14ac:dyDescent="0.25">
      <c r="B7" s="55" t="str">
        <f>"PRICE PER CASTING ("&amp;Currency&amp;")"</f>
        <v>PRICE PER CASTING (USD)</v>
      </c>
      <c r="C7" s="55"/>
      <c r="D7" s="55" t="str">
        <f>"COST PER CASTING ("&amp;Currency&amp;")"</f>
        <v>COST PER CASTING (USD)</v>
      </c>
      <c r="E7" s="55"/>
      <c r="F7" s="55"/>
      <c r="G7" s="55" t="s">
        <v>183</v>
      </c>
      <c r="H7" s="55"/>
      <c r="I7" s="55"/>
      <c r="J7" s="55" t="s">
        <v>184</v>
      </c>
      <c r="K7" s="55"/>
      <c r="L7" s="55"/>
    </row>
    <row r="8" spans="1:12" ht="21" customHeight="1" x14ac:dyDescent="0.25">
      <c r="B8" s="56">
        <f>INDEX('Casting Estimate'!$D$74:$H$74,SelIdx)</f>
        <v>80.4</v>
      </c>
      <c r="C8" s="56"/>
      <c r="D8" s="56">
        <f>INDEX('Casting Estimate'!$D$73:$H$73,SelIdx)</f>
        <v>62.6516161290323</v>
      </c>
      <c r="E8" s="56"/>
      <c r="F8" s="56"/>
      <c r="G8" s="57">
        <f>INDEX('Casting Estimate'!$D$76:$H$76,SelIdx)</f>
        <v>0.220751043171241</v>
      </c>
      <c r="H8" s="57"/>
      <c r="I8" s="57"/>
      <c r="J8" s="58">
        <f>PourKg</f>
        <v>29.8387096774194</v>
      </c>
      <c r="K8" s="58"/>
      <c r="L8" s="58"/>
    </row>
    <row r="9" spans="1:12" ht="21" customHeight="1" x14ac:dyDescent="0.25">
      <c r="B9" s="56"/>
      <c r="C9" s="56"/>
      <c r="D9" s="56"/>
      <c r="E9" s="56"/>
      <c r="F9" s="56"/>
      <c r="G9" s="57"/>
      <c r="H9" s="57"/>
      <c r="I9" s="57"/>
      <c r="J9" s="58"/>
      <c r="K9" s="58"/>
      <c r="L9" s="58"/>
    </row>
    <row r="10" spans="1:12" x14ac:dyDescent="0.25">
      <c r="B10" s="59" t="str">
        <f>"That is "&amp;TEXT(INDEX('Casting Estimate'!$D$74:$H$74,SelIdx)/CastKg,"0.00")&amp;" "&amp;Currency&amp;" per kg of casting"</f>
        <v>That is 4.35 USD per kg of casting</v>
      </c>
      <c r="C10" s="59"/>
      <c r="D10" s="59" t="s">
        <v>185</v>
      </c>
      <c r="E10" s="59"/>
      <c r="F10" s="59"/>
      <c r="G10" s="60">
        <f>Margin</f>
        <v>0.22</v>
      </c>
      <c r="H10" s="60"/>
      <c r="I10" s="60"/>
      <c r="J10" s="59" t="str">
        <f>"Casting yield "&amp;TEXT(Yield,"0%")&amp;", "&amp;TEXT(INDEX('Casting Estimate'!$D$77:$H$77,SelIdx),"#,##0")&amp;" kg to melt"</f>
        <v>Casting yield 62%, 3,326 kg to melt</v>
      </c>
      <c r="K10" s="59"/>
      <c r="L10" s="59"/>
    </row>
    <row r="11" spans="1:12" ht="18" customHeight="1" x14ac:dyDescent="0.25">
      <c r="B11" s="61"/>
      <c r="C11" s="61"/>
      <c r="D11" s="61"/>
      <c r="E11" s="61"/>
      <c r="F11" s="61"/>
      <c r="G11" s="61" t="str">
        <f>IF(NOT(ISNUMBER(KpiMargin)),"No data",IF(KpiMargin&gt;=(Margin),"On target",IF(KpiMargin&gt;=(Margin)*(1-0.02),"Near target","Below target")))</f>
        <v>On target</v>
      </c>
      <c r="H11" s="61"/>
      <c r="I11" s="61"/>
      <c r="J11" s="61"/>
      <c r="K11" s="61"/>
      <c r="L11" s="61"/>
    </row>
    <row r="30" spans="2:8" x14ac:dyDescent="0.25">
      <c r="B30" s="32" t="s">
        <v>186</v>
      </c>
      <c r="C30" s="32"/>
      <c r="D30" s="32"/>
      <c r="E30" s="32"/>
      <c r="F30" s="32"/>
      <c r="G30" s="32"/>
      <c r="H30" s="32"/>
    </row>
    <row r="31" spans="2:8" ht="20" customHeight="1" x14ac:dyDescent="0.25">
      <c r="B31" s="48" t="s">
        <v>187</v>
      </c>
      <c r="C31" s="34" t="s">
        <v>188</v>
      </c>
      <c r="D31" s="34"/>
      <c r="E31" s="34" t="s">
        <v>189</v>
      </c>
      <c r="F31" s="34"/>
      <c r="G31" s="34" t="s">
        <v>190</v>
      </c>
      <c r="H31" s="34"/>
    </row>
    <row r="32" spans="2:8" ht="14" customHeight="1" x14ac:dyDescent="0.25">
      <c r="B32" s="33"/>
      <c r="C32" s="33" t="str">
        <f>Currency&amp;"/casting"</f>
        <v>USD/casting</v>
      </c>
      <c r="D32" s="33"/>
      <c r="E32" s="33" t="s">
        <v>133</v>
      </c>
      <c r="F32" s="33"/>
      <c r="G32" s="33" t="str">
        <f>Currency</f>
        <v>USD</v>
      </c>
      <c r="H32" s="33"/>
    </row>
    <row r="33" spans="2:9" x14ac:dyDescent="0.25">
      <c r="B33" s="62" t="s">
        <v>170</v>
      </c>
      <c r="C33" s="38">
        <f>CHOOSE(1,INDEX('Casting Estimate'!$D$67:$H$67,SelIdx),INDEX('Casting Estimate'!$D$68:$H$68,SelIdx),INDEX('Casting Estimate'!$D$69:$H$69,SelIdx),INDEX('Casting Estimate'!$D$70:$H$70,SelIdx),INDEX('Casting Estimate'!$D$71:$H$71,SelIdx),INDEX('Casting Estimate'!$D$72:$H$72,SelIdx))</f>
        <v>19.2490411290323</v>
      </c>
      <c r="D33" s="38"/>
      <c r="E33" s="41">
        <f>IF((INDEX('Casting Estimate'!$D$73:$H$73,SelIdx))=0,"",($C$33)/(INDEX('Casting Estimate'!$D$73:$H$73,SelIdx)))</f>
        <v>0.307239339036179</v>
      </c>
      <c r="F33" s="41"/>
      <c r="G33" s="50">
        <f>$C$33*INDEX('Casting Estimate'!$D$65:$H$65,SelIdx)</f>
        <v>1924.90411290323</v>
      </c>
      <c r="H33" s="50"/>
    </row>
    <row r="34" spans="2:9" x14ac:dyDescent="0.25">
      <c r="B34" s="62" t="s">
        <v>171</v>
      </c>
      <c r="C34" s="38">
        <f>CHOOSE(2,INDEX('Casting Estimate'!$D$67:$H$67,SelIdx),INDEX('Casting Estimate'!$D$68:$H$68,SelIdx),INDEX('Casting Estimate'!$D$69:$H$69,SelIdx),INDEX('Casting Estimate'!$D$70:$H$70,SelIdx),INDEX('Casting Estimate'!$D$71:$H$71,SelIdx),INDEX('Casting Estimate'!$D$72:$H$72,SelIdx))</f>
        <v>7.276</v>
      </c>
      <c r="D34" s="38"/>
      <c r="E34" s="41">
        <f>IF((INDEX('Casting Estimate'!$D$73:$H$73,SelIdx))=0,"",($C$34)/(INDEX('Casting Estimate'!$D$73:$H$73,SelIdx)))</f>
        <v>0.116134274733072</v>
      </c>
      <c r="F34" s="41"/>
      <c r="G34" s="50">
        <f>$C$34*INDEX('Casting Estimate'!$D$65:$H$65,SelIdx)</f>
        <v>727.6</v>
      </c>
      <c r="H34" s="50"/>
    </row>
    <row r="35" spans="2:9" x14ac:dyDescent="0.25">
      <c r="B35" s="62" t="s">
        <v>172</v>
      </c>
      <c r="C35" s="38">
        <f>CHOOSE(3,INDEX('Casting Estimate'!$D$67:$H$67,SelIdx),INDEX('Casting Estimate'!$D$68:$H$68,SelIdx),INDEX('Casting Estimate'!$D$69:$H$69,SelIdx),INDEX('Casting Estimate'!$D$70:$H$70,SelIdx),INDEX('Casting Estimate'!$D$71:$H$71,SelIdx),INDEX('Casting Estimate'!$D$72:$H$72,SelIdx))</f>
        <v>24.9488333333333</v>
      </c>
      <c r="D35" s="38"/>
      <c r="E35" s="41">
        <f>IF((INDEX('Casting Estimate'!$D$73:$H$73,SelIdx))=0,"",($C$35)/(INDEX('Casting Estimate'!$D$73:$H$73,SelIdx)))</f>
        <v>0.398215319489137</v>
      </c>
      <c r="F35" s="41"/>
      <c r="G35" s="50">
        <f>$C$35*INDEX('Casting Estimate'!$D$65:$H$65,SelIdx)</f>
        <v>2494.88333333333</v>
      </c>
      <c r="H35" s="50"/>
    </row>
    <row r="36" spans="2:9" x14ac:dyDescent="0.25">
      <c r="B36" s="62" t="s">
        <v>19</v>
      </c>
      <c r="C36" s="38">
        <f>CHOOSE(4,INDEX('Casting Estimate'!$D$67:$H$67,SelIdx),INDEX('Casting Estimate'!$D$68:$H$68,SelIdx),INDEX('Casting Estimate'!$D$69:$H$69,SelIdx),INDEX('Casting Estimate'!$D$70:$H$70,SelIdx),INDEX('Casting Estimate'!$D$71:$H$71,SelIdx),INDEX('Casting Estimate'!$D$72:$H$72,SelIdx))</f>
        <v>1.625</v>
      </c>
      <c r="D36" s="38"/>
      <c r="E36" s="41">
        <f>IF((INDEX('Casting Estimate'!$D$73:$H$73,SelIdx))=0,"",($C$36)/(INDEX('Casting Estimate'!$D$73:$H$73,SelIdx)))</f>
        <v>0.0259370803245248</v>
      </c>
      <c r="F36" s="41"/>
      <c r="G36" s="50">
        <f>$C$36*INDEX('Casting Estimate'!$D$65:$H$65,SelIdx)</f>
        <v>162.5</v>
      </c>
      <c r="H36" s="50"/>
    </row>
    <row r="37" spans="2:9" x14ac:dyDescent="0.25">
      <c r="B37" s="62" t="s">
        <v>191</v>
      </c>
      <c r="C37" s="38">
        <f>CHOOSE(5,INDEX('Casting Estimate'!$D$67:$H$67,SelIdx),INDEX('Casting Estimate'!$D$68:$H$68,SelIdx),INDEX('Casting Estimate'!$D$69:$H$69,SelIdx),INDEX('Casting Estimate'!$D$70:$H$70,SelIdx),INDEX('Casting Estimate'!$D$71:$H$71,SelIdx),INDEX('Casting Estimate'!$D$72:$H$72,SelIdx))</f>
        <v>5.56666666666667</v>
      </c>
      <c r="D37" s="38"/>
      <c r="E37" s="41">
        <f>IF((INDEX('Casting Estimate'!$D$73:$H$73,SelIdx))=0,"",($C$37)/(INDEX('Casting Estimate'!$D$73:$H$73,SelIdx)))</f>
        <v>0.0888511264450386</v>
      </c>
      <c r="F37" s="41"/>
      <c r="G37" s="50">
        <f>$C$37*INDEX('Casting Estimate'!$D$65:$H$65,SelIdx)</f>
        <v>556.666666666667</v>
      </c>
      <c r="H37" s="50"/>
    </row>
    <row r="38" spans="2:9" x14ac:dyDescent="0.25">
      <c r="B38" s="62" t="s">
        <v>175</v>
      </c>
      <c r="C38" s="38">
        <f>CHOOSE(6,INDEX('Casting Estimate'!$D$67:$H$67,SelIdx),INDEX('Casting Estimate'!$D$68:$H$68,SelIdx),INDEX('Casting Estimate'!$D$69:$H$69,SelIdx),INDEX('Casting Estimate'!$D$70:$H$70,SelIdx),INDEX('Casting Estimate'!$D$71:$H$71,SelIdx),INDEX('Casting Estimate'!$D$72:$H$72,SelIdx))</f>
        <v>3.986075</v>
      </c>
      <c r="D38" s="38"/>
      <c r="E38" s="41">
        <f>IF((INDEX('Casting Estimate'!$D$73:$H$73,SelIdx))=0,"",($C$38)/(INDEX('Casting Estimate'!$D$73:$H$73,SelIdx)))</f>
        <v>0.0636228599720492</v>
      </c>
      <c r="F38" s="41"/>
      <c r="G38" s="50">
        <f>$C$38*INDEX('Casting Estimate'!$D$65:$H$65,SelIdx)</f>
        <v>398.6075</v>
      </c>
      <c r="H38" s="50"/>
    </row>
    <row r="40" spans="2:9" x14ac:dyDescent="0.25">
      <c r="B40" s="48" t="s">
        <v>192</v>
      </c>
      <c r="C40" s="48"/>
      <c r="D40" s="34" t="s">
        <v>168</v>
      </c>
      <c r="E40" s="63">
        <f>INDEX('Casting Estimate'!$D$65:$H$65,1)</f>
        <v>20</v>
      </c>
      <c r="F40" s="63">
        <f>INDEX('Casting Estimate'!$D$65:$H$65,2)</f>
        <v>50</v>
      </c>
      <c r="G40" s="63">
        <f>INDEX('Casting Estimate'!$D$65:$H$65,3)</f>
        <v>100</v>
      </c>
      <c r="H40" s="63">
        <f>INDEX('Casting Estimate'!$D$65:$H$65,4)</f>
        <v>250</v>
      </c>
      <c r="I40" s="63">
        <f>INDEX('Casting Estimate'!$D$65:$H$65,5)</f>
        <v>500</v>
      </c>
    </row>
    <row r="41" spans="2:9" x14ac:dyDescent="0.25">
      <c r="B41" s="27" t="s">
        <v>193</v>
      </c>
      <c r="C41" s="27"/>
      <c r="D41" s="7" t="s">
        <v>140</v>
      </c>
      <c r="E41" s="50">
        <f>'Casting Estimate'!$D$65</f>
        <v>20</v>
      </c>
      <c r="F41" s="50">
        <f>'Casting Estimate'!$E$65</f>
        <v>50</v>
      </c>
      <c r="G41" s="50">
        <f>'Casting Estimate'!$F$65</f>
        <v>100</v>
      </c>
      <c r="H41" s="50">
        <f>'Casting Estimate'!$G$65</f>
        <v>250</v>
      </c>
      <c r="I41" s="50">
        <f>'Casting Estimate'!$H$65</f>
        <v>500</v>
      </c>
    </row>
    <row r="42" spans="2:9" x14ac:dyDescent="0.25">
      <c r="B42" s="27" t="s">
        <v>170</v>
      </c>
      <c r="C42" s="27"/>
      <c r="D42" s="7" t="str">
        <f>Currency&amp;"/casting"</f>
        <v>USD/casting</v>
      </c>
      <c r="E42" s="38">
        <f>'Casting Estimate'!$D$67</f>
        <v>19.7887338709677</v>
      </c>
      <c r="F42" s="38">
        <f>'Casting Estimate'!$E$67</f>
        <v>19.4289387096774</v>
      </c>
      <c r="G42" s="38">
        <f>'Casting Estimate'!$F$67</f>
        <v>19.2490411290323</v>
      </c>
      <c r="H42" s="38">
        <f>'Casting Estimate'!$G$67</f>
        <v>19.1411025806452</v>
      </c>
      <c r="I42" s="38">
        <f>'Casting Estimate'!$H$67</f>
        <v>19.1411025806452</v>
      </c>
    </row>
    <row r="43" spans="2:9" x14ac:dyDescent="0.25">
      <c r="B43" s="27" t="s">
        <v>171</v>
      </c>
      <c r="C43" s="27"/>
      <c r="D43" s="7" t="str">
        <f>Currency&amp;"/casting"</f>
        <v>USD/casting</v>
      </c>
      <c r="E43" s="38">
        <f>'Casting Estimate'!$D$68</f>
        <v>7.48</v>
      </c>
      <c r="F43" s="38">
        <f>'Casting Estimate'!$E$68</f>
        <v>7.344</v>
      </c>
      <c r="G43" s="38">
        <f>'Casting Estimate'!$F$68</f>
        <v>7.276</v>
      </c>
      <c r="H43" s="38">
        <f>'Casting Estimate'!$G$68</f>
        <v>7.2352</v>
      </c>
      <c r="I43" s="38">
        <f>'Casting Estimate'!$H$68</f>
        <v>7.2352</v>
      </c>
    </row>
    <row r="44" spans="2:9" x14ac:dyDescent="0.25">
      <c r="B44" s="27" t="s">
        <v>194</v>
      </c>
      <c r="C44" s="27"/>
      <c r="D44" s="7" t="str">
        <f>Currency&amp;"/casting"</f>
        <v>USD/casting</v>
      </c>
      <c r="E44" s="38">
        <f>'Casting Estimate'!$D$69+'Casting Estimate'!$D$72</f>
        <v>30.7143333333333</v>
      </c>
      <c r="F44" s="38">
        <f>'Casting Estimate'!$E$69+'Casting Estimate'!$E$72</f>
        <v>29.4468</v>
      </c>
      <c r="G44" s="38">
        <f>'Casting Estimate'!$F$69+'Casting Estimate'!$F$72</f>
        <v>28.9349083333333</v>
      </c>
      <c r="H44" s="38">
        <f>'Casting Estimate'!$G$69+'Casting Estimate'!$G$72</f>
        <v>28.6277733333333</v>
      </c>
      <c r="I44" s="38">
        <f>'Casting Estimate'!$H$69+'Casting Estimate'!$H$72</f>
        <v>28.5790233333333</v>
      </c>
    </row>
    <row r="45" spans="2:9" x14ac:dyDescent="0.25">
      <c r="B45" s="27" t="s">
        <v>195</v>
      </c>
      <c r="C45" s="27"/>
      <c r="D45" s="7" t="str">
        <f>Currency&amp;"/casting"</f>
        <v>USD/casting</v>
      </c>
      <c r="E45" s="38">
        <f>'Casting Estimate'!$D$70+'Casting Estimate'!$D$71</f>
        <v>13.6916666666667</v>
      </c>
      <c r="F45" s="38">
        <f>'Casting Estimate'!$E$70+'Casting Estimate'!$E$71</f>
        <v>8.81666666666667</v>
      </c>
      <c r="G45" s="38">
        <f>'Casting Estimate'!$F$70+'Casting Estimate'!$F$71</f>
        <v>7.19166666666667</v>
      </c>
      <c r="H45" s="38">
        <f>'Casting Estimate'!$G$70+'Casting Estimate'!$G$71</f>
        <v>6.21666666666667</v>
      </c>
      <c r="I45" s="38">
        <f>'Casting Estimate'!$H$70+'Casting Estimate'!$H$71</f>
        <v>5.89166666666667</v>
      </c>
    </row>
  </sheetData>
  <sheetProtection sheet="1" formatColumns="0" formatRows="0"/>
  <mergeCells count="51">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E33:F33"/>
    <mergeCell ref="E34:F34"/>
    <mergeCell ref="E35:F35"/>
    <mergeCell ref="E36:F36"/>
    <mergeCell ref="E37:F37"/>
    <mergeCell ref="E38:F38"/>
    <mergeCell ref="G33:H33"/>
    <mergeCell ref="G34:H34"/>
    <mergeCell ref="G35:H35"/>
    <mergeCell ref="G36:H36"/>
    <mergeCell ref="G37:H37"/>
    <mergeCell ref="G38:H38"/>
    <mergeCell ref="B40:C40"/>
    <mergeCell ref="B41:C41"/>
    <mergeCell ref="B42:C42"/>
    <mergeCell ref="B43:C43"/>
    <mergeCell ref="B44:C44"/>
    <mergeCell ref="B45:C45"/>
  </mergeCells>
  <conditionalFormatting sqref="E33:E38">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BreakList)." promptTitle="Order quantity shown" prompt="One of the order quantities on the Casting Estimate. The tiles and the cost build-up show this quantity.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Casting Cost Estimator&amp;R&amp;8&amp;A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196</v>
      </c>
      <c r="C4" s="8"/>
      <c r="D4" s="8"/>
    </row>
    <row r="5" spans="1:4" ht="5" customHeight="1"/>
    <row r="6" spans="1:4" ht="55.8" customHeight="1">
      <c r="B6" s="10" t="s">
        <v>197</v>
      </c>
      <c r="C6" s="10"/>
      <c r="D6" s="10"/>
    </row>
    <row r="8" spans="1:4" ht="21" customHeight="1">
      <c r="B8" s="8" t="s">
        <v>198</v>
      </c>
      <c r="C8" s="8"/>
      <c r="D8" s="8"/>
    </row>
    <row r="9" spans="1:4" ht="5" customHeight="1"/>
    <row r="10" spans="1:4" ht="20" customHeight="1">
      <c r="B10" s="48" t="s">
        <v>193</v>
      </c>
      <c r="C10" s="48" t="s">
        <v>199</v>
      </c>
      <c r="D10" s="34" t="s">
        <v>200</v>
      </c>
    </row>
    <row r="11" spans="1:4" ht="17.2" customHeight="1">
      <c r="B11" s="64" t="s">
        <v>201</v>
      </c>
      <c r="C11" s="65" t="s">
        <v>202</v>
      </c>
      <c r="D11" s="66" t="s">
        <v>86</v>
      </c>
    </row>
    <row r="12" spans="1:4" ht="30.4" customHeight="1">
      <c r="B12" s="64" t="s">
        <v>135</v>
      </c>
      <c r="C12" s="65" t="s">
        <v>203</v>
      </c>
      <c r="D12" s="66" t="s">
        <v>204</v>
      </c>
    </row>
    <row r="13" spans="1:4" ht="17.2" customHeight="1">
      <c r="B13" s="64" t="s">
        <v>136</v>
      </c>
      <c r="C13" s="65" t="s">
        <v>205</v>
      </c>
      <c r="D13" s="66" t="s">
        <v>206</v>
      </c>
    </row>
    <row r="14" spans="1:4" ht="17.2" customHeight="1">
      <c r="B14" s="64" t="s">
        <v>171</v>
      </c>
      <c r="C14" s="65" t="s">
        <v>207</v>
      </c>
      <c r="D14" s="66" t="s">
        <v>206</v>
      </c>
    </row>
    <row r="15" spans="1:4" ht="30.4" customHeight="1">
      <c r="B15" s="64" t="s">
        <v>208</v>
      </c>
      <c r="C15" s="65" t="s">
        <v>209</v>
      </c>
      <c r="D15" s="66" t="s">
        <v>210</v>
      </c>
    </row>
    <row r="16" spans="1:4" ht="30.4" customHeight="1">
      <c r="B16" s="64" t="s">
        <v>211</v>
      </c>
      <c r="C16" s="65" t="s">
        <v>212</v>
      </c>
      <c r="D16" s="66" t="s">
        <v>206</v>
      </c>
    </row>
    <row r="17" spans="2:4" ht="17.2" customHeight="1">
      <c r="B17" s="64" t="s">
        <v>213</v>
      </c>
      <c r="C17" s="65" t="s">
        <v>214</v>
      </c>
      <c r="D17" s="66" t="s">
        <v>140</v>
      </c>
    </row>
    <row r="18" spans="2:4" ht="30.4" customHeight="1">
      <c r="B18" s="64" t="s">
        <v>215</v>
      </c>
      <c r="C18" s="65" t="s">
        <v>216</v>
      </c>
      <c r="D18" s="66" t="s">
        <v>217</v>
      </c>
    </row>
    <row r="19" spans="2:4" ht="30.4" customHeight="1">
      <c r="B19" s="64" t="s">
        <v>177</v>
      </c>
      <c r="C19" s="65" t="s">
        <v>218</v>
      </c>
      <c r="D19" s="66" t="s">
        <v>217</v>
      </c>
    </row>
    <row r="20" spans="2:4" ht="17.2" customHeight="1">
      <c r="B20" s="64" t="s">
        <v>181</v>
      </c>
      <c r="C20" s="65" t="s">
        <v>219</v>
      </c>
      <c r="D20" s="66" t="s">
        <v>86</v>
      </c>
    </row>
    <row r="22" spans="2:4" ht="21" customHeight="1">
      <c r="B22" s="8" t="s">
        <v>220</v>
      </c>
      <c r="C22" s="8"/>
      <c r="D22" s="8"/>
    </row>
    <row r="23" spans="2:4" ht="5" customHeight="1"/>
    <row r="24" spans="2:4" ht="29.4" customHeight="1">
      <c r="B24" s="26" t="s">
        <v>55</v>
      </c>
      <c r="C24" s="10" t="s">
        <v>221</v>
      </c>
      <c r="D24" s="10"/>
    </row>
    <row r="25" spans="2:4" ht="16.2" customHeight="1">
      <c r="B25" s="26" t="s">
        <v>55</v>
      </c>
      <c r="C25" s="10" t="s">
        <v>222</v>
      </c>
      <c r="D25" s="10"/>
    </row>
    <row r="26" spans="2:4" ht="29.4" customHeight="1">
      <c r="B26" s="26" t="s">
        <v>55</v>
      </c>
      <c r="C26" s="10" t="s">
        <v>223</v>
      </c>
      <c r="D26" s="10"/>
    </row>
    <row r="27" spans="2:4" ht="16.2" customHeight="1">
      <c r="B27" s="26" t="s">
        <v>55</v>
      </c>
      <c r="C27" s="10" t="s">
        <v>224</v>
      </c>
      <c r="D27" s="10"/>
    </row>
    <row r="29" spans="2:4" ht="21" customHeight="1">
      <c r="B29" s="8" t="s">
        <v>225</v>
      </c>
      <c r="C29" s="8"/>
      <c r="D29" s="8"/>
    </row>
    <row r="30" spans="2:4" ht="5" customHeight="1"/>
    <row r="31" spans="2:4" ht="29.4" customHeight="1">
      <c r="B31" s="26" t="s">
        <v>55</v>
      </c>
      <c r="C31" s="10" t="s">
        <v>226</v>
      </c>
      <c r="D31" s="10"/>
    </row>
    <row r="32" spans="2:4" ht="29.4" customHeight="1">
      <c r="B32" s="26" t="s">
        <v>55</v>
      </c>
      <c r="C32" s="10" t="s">
        <v>227</v>
      </c>
      <c r="D32" s="10"/>
    </row>
    <row r="33" spans="2:4" ht="16.2" customHeight="1">
      <c r="B33" s="26" t="s">
        <v>55</v>
      </c>
      <c r="C33" s="10" t="s">
        <v>228</v>
      </c>
      <c r="D33" s="10"/>
    </row>
    <row r="34" spans="2:4" ht="16.2" customHeight="1">
      <c r="B34" s="26" t="s">
        <v>55</v>
      </c>
      <c r="C34" s="10" t="s">
        <v>229</v>
      </c>
      <c r="D34" s="10"/>
    </row>
    <row r="36" spans="2:4" ht="21" customHeight="1">
      <c r="B36" s="8" t="s">
        <v>230</v>
      </c>
      <c r="C36" s="8"/>
      <c r="D36" s="8"/>
    </row>
    <row r="37" spans="2:4" ht="5" customHeight="1"/>
    <row r="38" spans="2:4" ht="82.2" customHeight="1">
      <c r="B38" s="10" t="s">
        <v>231</v>
      </c>
      <c r="C38" s="10"/>
      <c r="D38" s="10"/>
    </row>
    <row r="39" spans="2:4">
      <c r="B39" s="24" t="s">
        <v>232</v>
      </c>
      <c r="C39" s="24"/>
      <c r="D39" s="24"/>
    </row>
    <row r="41" spans="2:4" ht="21" customHeight="1">
      <c r="B41" s="8" t="s">
        <v>42</v>
      </c>
      <c r="C41" s="8"/>
      <c r="D41" s="8"/>
    </row>
    <row r="42" spans="2:4" ht="5" customHeight="1"/>
    <row r="43" spans="2:4" ht="42.6" customHeight="1">
      <c r="B43" s="10" t="s">
        <v>233</v>
      </c>
      <c r="C43" s="10"/>
      <c r="D43" s="10"/>
    </row>
    <row r="45" spans="2:4" ht="21" customHeight="1">
      <c r="B45" s="8" t="s">
        <v>234</v>
      </c>
      <c r="C45" s="8"/>
      <c r="D45" s="8"/>
    </row>
    <row r="46" spans="2:4" ht="5" customHeight="1"/>
    <row r="47" spans="2:4" ht="29.4" customHeight="1">
      <c r="B47" s="26" t="s">
        <v>55</v>
      </c>
      <c r="C47" s="10" t="s">
        <v>235</v>
      </c>
      <c r="D47" s="10"/>
    </row>
    <row r="48" spans="2:4" ht="16.2" customHeight="1">
      <c r="B48" s="26" t="s">
        <v>55</v>
      </c>
      <c r="C48" s="10" t="s">
        <v>236</v>
      </c>
      <c r="D48" s="10"/>
    </row>
    <row r="49" spans="2:4" ht="29.4" customHeight="1">
      <c r="B49" s="26" t="s">
        <v>55</v>
      </c>
      <c r="C49" s="10" t="s">
        <v>237</v>
      </c>
      <c r="D49" s="10"/>
    </row>
    <row r="50" spans="2:4">
      <c r="B50" s="21" t="s">
        <v>238</v>
      </c>
      <c r="C50" s="21"/>
      <c r="D50" s="21"/>
    </row>
    <row r="52" spans="2:4" ht="21" customHeight="1">
      <c r="B52" s="8" t="s">
        <v>239</v>
      </c>
      <c r="C52" s="8"/>
      <c r="D52" s="8"/>
    </row>
    <row r="53" spans="2:4" ht="5" customHeight="1"/>
    <row r="54" spans="2:4">
      <c r="B54" s="48" t="s">
        <v>50</v>
      </c>
      <c r="C54" s="48" t="s">
        <v>240</v>
      </c>
      <c r="D54" s="34" t="s">
        <v>123</v>
      </c>
    </row>
    <row r="55" spans="2:4" ht="16.2" customHeight="1">
      <c r="B55" s="67" t="s">
        <v>241</v>
      </c>
      <c r="C55" s="68" t="s">
        <v>242</v>
      </c>
      <c r="D55" s="69" t="s">
        <v>243</v>
      </c>
    </row>
    <row r="57" spans="2:4">
      <c r="B57" s="21" t="s">
        <v>61</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Casting Cost Estimator&amp;R&amp;8&amp;A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01"/>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70" t="s">
        <v>244</v>
      </c>
      <c r="C4" s="70"/>
      <c r="D4" s="22" t="str">
        <f>IF(COUNTIF($K$11:$K$29,"PASS")=19,"PASS","FAIL")</f>
        <v>PASS</v>
      </c>
      <c r="E4" s="22"/>
      <c r="F4" s="23" t="str">
        <f>COUNTIF($K$11:$K$29,"PASS")&amp;" of 19 checks pass"</f>
        <v>19 of 19 checks pass</v>
      </c>
      <c r="G4" s="23"/>
      <c r="H4" s="23"/>
      <c r="I4" s="23"/>
      <c r="J4" s="23"/>
    </row>
    <row r="6" spans="1:12" ht="29.4" customHeight="1">
      <c r="B6" s="10" t="s">
        <v>245</v>
      </c>
      <c r="C6" s="10"/>
      <c r="D6" s="10"/>
      <c r="E6" s="10"/>
      <c r="F6" s="10"/>
      <c r="G6" s="10"/>
      <c r="H6" s="10"/>
      <c r="I6" s="10"/>
      <c r="J6" s="10"/>
      <c r="K6" s="10"/>
      <c r="L6" s="10"/>
    </row>
    <row r="8" spans="1:12" ht="21" customHeight="1">
      <c r="B8" s="8" t="s">
        <v>246</v>
      </c>
      <c r="C8" s="8"/>
      <c r="D8" s="8"/>
      <c r="E8" s="8"/>
      <c r="F8" s="8"/>
      <c r="G8" s="8"/>
      <c r="H8" s="8"/>
      <c r="I8" s="8"/>
      <c r="J8" s="8"/>
      <c r="K8" s="8"/>
      <c r="L8" s="8"/>
    </row>
    <row r="9" spans="1:12" ht="5" customHeight="1"/>
    <row r="10" spans="1:12" ht="30" customHeight="1">
      <c r="B10" s="34" t="s">
        <v>247</v>
      </c>
      <c r="C10" s="48" t="s">
        <v>114</v>
      </c>
      <c r="D10" s="48"/>
      <c r="E10" s="48"/>
      <c r="F10" s="48"/>
      <c r="G10" s="34" t="s">
        <v>248</v>
      </c>
      <c r="H10" s="34" t="s">
        <v>249</v>
      </c>
      <c r="I10" s="34" t="s">
        <v>250</v>
      </c>
      <c r="J10" s="34" t="s">
        <v>251</v>
      </c>
      <c r="K10" s="34" t="s">
        <v>252</v>
      </c>
    </row>
    <row r="11" spans="1:12" ht="16.2" customHeight="1">
      <c r="B11" s="63">
        <v>1</v>
      </c>
      <c r="C11" s="68" t="s">
        <v>253</v>
      </c>
      <c r="D11" s="68"/>
      <c r="E11" s="68"/>
      <c r="F11" s="68"/>
      <c r="G11" s="71">
        <v>29.83870967741936</v>
      </c>
      <c r="H11" s="72">
        <f>$E$60</f>
        <v>29.8387096774194</v>
      </c>
      <c r="I11" s="73">
        <f>IF(AND(ISNUMBER($G$11),ISNUMBER($H$11)),ABS($H$11-$G$11),"")</f>
        <v>0</v>
      </c>
      <c r="J11" s="74">
        <v>1E-09</v>
      </c>
      <c r="K11" s="75" t="str">
        <f>IF(AND(ISNUMBER($G$11),ISNUMBER($H$11)),IF(ABS($H$11-$G$11)&lt;=$J$11,"PASS","FAIL"),"FAIL")</f>
        <v>PASS</v>
      </c>
    </row>
    <row r="12" spans="1:12" ht="16.2" customHeight="1">
      <c r="B12" s="63">
        <v>2</v>
      </c>
      <c r="C12" s="68" t="s">
        <v>254</v>
      </c>
      <c r="D12" s="68"/>
      <c r="E12" s="68"/>
      <c r="F12" s="68"/>
      <c r="G12" s="76">
        <v>0.8993000000000001</v>
      </c>
      <c r="H12" s="40">
        <f>$E$65</f>
        <v>0.8993</v>
      </c>
      <c r="I12" s="73">
        <f>IF(AND(ISNUMBER($G$12),ISNUMBER($H$12)),ABS($H$12-$G$12),"")</f>
        <v>0</v>
      </c>
      <c r="J12" s="74">
        <v>1E-09</v>
      </c>
      <c r="K12" s="75" t="str">
        <f>IF(AND(ISNUMBER($G$12),ISNUMBER($H$12)),IF(ABS($H$12-$G$12)&lt;=$J$12,"PASS","FAIL"),"FAIL")</f>
        <v>PASS</v>
      </c>
    </row>
    <row r="13" spans="1:12" ht="16.2" customHeight="1">
      <c r="B13" s="63">
        <v>3</v>
      </c>
      <c r="C13" s="68" t="s">
        <v>136</v>
      </c>
      <c r="D13" s="68"/>
      <c r="E13" s="68"/>
      <c r="F13" s="68"/>
      <c r="G13" s="76">
        <v>17.98975806451613</v>
      </c>
      <c r="H13" s="40">
        <f>$E$66</f>
        <v>17.9897580645161</v>
      </c>
      <c r="I13" s="73">
        <f>IF(AND(ISNUMBER($G$13),ISNUMBER($H$13)),ABS($H$13-$G$13),"")</f>
        <v>0</v>
      </c>
      <c r="J13" s="74">
        <v>1E-09</v>
      </c>
      <c r="K13" s="75" t="str">
        <f>IF(AND(ISNUMBER($G$13),ISNUMBER($H$13)),IF(ABS($H$13-$G$13)&lt;=$J$13,"PASS","FAIL"),"FAIL")</f>
        <v>PASS</v>
      </c>
    </row>
    <row r="14" spans="1:12" ht="16.2" customHeight="1">
      <c r="B14" s="63">
        <v>4</v>
      </c>
      <c r="C14" s="68" t="s">
        <v>255</v>
      </c>
      <c r="D14" s="68"/>
      <c r="E14" s="68"/>
      <c r="F14" s="68"/>
      <c r="G14" s="71">
        <v>0.75</v>
      </c>
      <c r="H14" s="72">
        <f>$H$45</f>
        <v>0.75</v>
      </c>
      <c r="I14" s="73">
        <f>IF(AND(ISNUMBER($G$14),ISNUMBER($H$14)),ABS($H$14-$G$14),"")</f>
        <v>0</v>
      </c>
      <c r="J14" s="74">
        <v>1E-09</v>
      </c>
      <c r="K14" s="75" t="str">
        <f>IF(AND(ISNUMBER($G$14),ISNUMBER($H$14)),IF(ABS($H$14-$G$14)&lt;=$J$14,"PASS","FAIL"),"FAIL")</f>
        <v>PASS</v>
      </c>
    </row>
    <row r="15" spans="1:12" ht="16.2" customHeight="1">
      <c r="B15" s="63">
        <v>5</v>
      </c>
      <c r="C15" s="68" t="s">
        <v>256</v>
      </c>
      <c r="D15" s="68"/>
      <c r="E15" s="68"/>
      <c r="F15" s="68"/>
      <c r="G15" s="76">
        <v>10.4</v>
      </c>
      <c r="H15" s="40">
        <f>$J$48</f>
        <v>10.4</v>
      </c>
      <c r="I15" s="73">
        <f>IF(AND(ISNUMBER($G$15),ISNUMBER($H$15)),ABS($H$15-$G$15),"")</f>
        <v>0</v>
      </c>
      <c r="J15" s="74">
        <v>1E-09</v>
      </c>
      <c r="K15" s="75" t="str">
        <f>IF(AND(ISNUMBER($G$15),ISNUMBER($H$15)),IF(ABS($H$15-$G$15)&lt;=$J$15,"PASS","FAIL"),"FAIL")</f>
        <v>PASS</v>
      </c>
    </row>
    <row r="16" spans="1:12" ht="16.2" customHeight="1">
      <c r="B16" s="63">
        <v>6</v>
      </c>
      <c r="C16" s="68" t="s">
        <v>257</v>
      </c>
      <c r="D16" s="68"/>
      <c r="E16" s="68"/>
      <c r="F16" s="68"/>
      <c r="G16" s="67" t="s">
        <v>258</v>
      </c>
      <c r="H16" s="42" t="str">
        <f>$K$52</f>
        <v>Work centre not on Setup list</v>
      </c>
      <c r="I16" s="42"/>
      <c r="J16" s="69" t="s">
        <v>259</v>
      </c>
      <c r="K16" s="75" t="str">
        <f>IF($H$16&amp;""=$G$16&amp;"","PASS","FAIL")</f>
        <v>PASS</v>
      </c>
    </row>
    <row r="17" spans="2:12" ht="16.2" customHeight="1">
      <c r="B17" s="63">
        <v>7</v>
      </c>
      <c r="C17" s="68" t="s">
        <v>165</v>
      </c>
      <c r="D17" s="68"/>
      <c r="E17" s="68"/>
      <c r="F17" s="68"/>
      <c r="G17" s="76">
        <v>5.566666666666666</v>
      </c>
      <c r="H17" s="40">
        <f>$E$86</f>
        <v>5.56666666666667</v>
      </c>
      <c r="I17" s="73">
        <f>IF(AND(ISNUMBER($G$17),ISNUMBER($H$17)),ABS($H$17-$G$17),"")</f>
        <v>0</v>
      </c>
      <c r="J17" s="74">
        <v>1E-09</v>
      </c>
      <c r="K17" s="75" t="str">
        <f>IF(AND(ISNUMBER($G$17),ISNUMBER($H$17)),IF(ABS($H$17-$G$17)&lt;=$J$17,"PASS","FAIL"),"FAIL")</f>
        <v>PASS</v>
      </c>
    </row>
    <row r="18" spans="2:12" ht="16.2" customHeight="1">
      <c r="B18" s="63">
        <v>8</v>
      </c>
      <c r="C18" s="68" t="s">
        <v>260</v>
      </c>
      <c r="D18" s="68"/>
      <c r="E18" s="68"/>
      <c r="F18" s="68"/>
      <c r="G18" s="77">
        <v>22</v>
      </c>
      <c r="H18" s="50">
        <f>$F$90</f>
        <v>22</v>
      </c>
      <c r="I18" s="73">
        <f>IF(AND(ISNUMBER($G$18),ISNUMBER($H$18)),ABS($H$18-$G$18),"")</f>
        <v>0</v>
      </c>
      <c r="J18" s="74">
        <v>1E-09</v>
      </c>
      <c r="K18" s="75" t="str">
        <f>IF(AND(ISNUMBER($G$18),ISNUMBER($H$18)),IF(ABS($H$18-$G$18)&lt;=$J$18,"PASS","FAIL"),"FAIL")</f>
        <v>PASS</v>
      </c>
    </row>
    <row r="19" spans="2:12" ht="16.2" customHeight="1">
      <c r="B19" s="63">
        <v>9</v>
      </c>
      <c r="C19" s="68" t="s">
        <v>261</v>
      </c>
      <c r="D19" s="68"/>
      <c r="E19" s="68"/>
      <c r="F19" s="68"/>
      <c r="G19" s="76">
        <v>71.67473387096774</v>
      </c>
      <c r="H19" s="40">
        <f>$F$97</f>
        <v>71.6747338709677</v>
      </c>
      <c r="I19" s="73">
        <f>IF(AND(ISNUMBER($G$19),ISNUMBER($H$19)),ABS($H$19-$G$19),"")</f>
        <v>0</v>
      </c>
      <c r="J19" s="74">
        <v>1E-09</v>
      </c>
      <c r="K19" s="75" t="str">
        <f>IF(AND(ISNUMBER($G$19),ISNUMBER($H$19)),IF(ABS($H$19-$G$19)&lt;=$J$19,"PASS","FAIL"),"FAIL")</f>
        <v>PASS</v>
      </c>
    </row>
    <row r="20" spans="2:12" ht="16.2" customHeight="1">
      <c r="B20" s="63">
        <v>10</v>
      </c>
      <c r="C20" s="68" t="s">
        <v>262</v>
      </c>
      <c r="D20" s="68"/>
      <c r="E20" s="68"/>
      <c r="F20" s="68"/>
      <c r="G20" s="78">
        <v>91.90000000000001</v>
      </c>
      <c r="H20" s="38">
        <f>$F$98</f>
        <v>91.9</v>
      </c>
      <c r="I20" s="73">
        <f>IF(AND(ISNUMBER($G$20),ISNUMBER($H$20)),ABS($H$20-$G$20),"")</f>
        <v>0</v>
      </c>
      <c r="J20" s="74">
        <v>1E-09</v>
      </c>
      <c r="K20" s="75" t="str">
        <f>IF(AND(ISNUMBER($G$20),ISNUMBER($H$20)),IF(ABS($H$20-$G$20)&lt;=$J$20,"PASS","FAIL"),"FAIL")</f>
        <v>PASS</v>
      </c>
    </row>
    <row r="21" spans="2:12" ht="16.2" customHeight="1">
      <c r="B21" s="63">
        <v>11</v>
      </c>
      <c r="C21" s="68" t="s">
        <v>263</v>
      </c>
      <c r="D21" s="68"/>
      <c r="E21" s="68"/>
      <c r="F21" s="68"/>
      <c r="G21" s="78">
        <v>683.8037634408603</v>
      </c>
      <c r="H21" s="38">
        <f>$F$101</f>
        <v>683.80376344086</v>
      </c>
      <c r="I21" s="73">
        <f>IF(AND(ISNUMBER($G$21),ISNUMBER($H$21)),ABS($H$21-$G$21),"")</f>
        <v>0</v>
      </c>
      <c r="J21" s="74">
        <v>1E-09</v>
      </c>
      <c r="K21" s="75" t="str">
        <f>IF(AND(ISNUMBER($G$21),ISNUMBER($H$21)),IF(ABS($H$21-$G$21)&lt;=$J$21,"PASS","FAIL"),"FAIL")</f>
        <v>PASS</v>
      </c>
    </row>
    <row r="22" spans="2:12" ht="16.2" customHeight="1">
      <c r="B22" s="63">
        <v>12</v>
      </c>
      <c r="C22" s="68" t="s">
        <v>264</v>
      </c>
      <c r="D22" s="68"/>
      <c r="E22" s="68"/>
      <c r="F22" s="68"/>
      <c r="G22" s="77">
        <v>107</v>
      </c>
      <c r="H22" s="50">
        <f>$H$90</f>
        <v>107</v>
      </c>
      <c r="I22" s="73">
        <f>IF(AND(ISNUMBER($G$22),ISNUMBER($H$22)),ABS($H$22-$G$22),"")</f>
        <v>0</v>
      </c>
      <c r="J22" s="74">
        <v>1E-09</v>
      </c>
      <c r="K22" s="75" t="str">
        <f>IF(AND(ISNUMBER($G$22),ISNUMBER($H$22)),IF(ABS($H$22-$G$22)&lt;=$J$22,"PASS","FAIL"),"FAIL")</f>
        <v>PASS</v>
      </c>
    </row>
    <row r="23" spans="2:12" ht="16.2" customHeight="1">
      <c r="B23" s="63">
        <v>13</v>
      </c>
      <c r="C23" s="68" t="s">
        <v>265</v>
      </c>
      <c r="D23" s="68"/>
      <c r="E23" s="68"/>
      <c r="F23" s="68"/>
      <c r="G23" s="76">
        <v>62.65161612903226</v>
      </c>
      <c r="H23" s="40">
        <f>$H$97</f>
        <v>62.6516161290323</v>
      </c>
      <c r="I23" s="73">
        <f>IF(AND(ISNUMBER($G$23),ISNUMBER($H$23)),ABS($H$23-$G$23),"")</f>
        <v>0</v>
      </c>
      <c r="J23" s="74">
        <v>1E-09</v>
      </c>
      <c r="K23" s="75" t="str">
        <f>IF(AND(ISNUMBER($G$23),ISNUMBER($H$23)),IF(ABS($H$23-$G$23)&lt;=$J$23,"PASS","FAIL"),"FAIL")</f>
        <v>PASS</v>
      </c>
    </row>
    <row r="24" spans="2:12" ht="16.2" customHeight="1">
      <c r="B24" s="63">
        <v>14</v>
      </c>
      <c r="C24" s="68" t="s">
        <v>266</v>
      </c>
      <c r="D24" s="68"/>
      <c r="E24" s="68"/>
      <c r="F24" s="68"/>
      <c r="G24" s="78">
        <v>80.40000000000001</v>
      </c>
      <c r="H24" s="38">
        <f>$H$98</f>
        <v>80.4</v>
      </c>
      <c r="I24" s="73">
        <f>IF(AND(ISNUMBER($G$24),ISNUMBER($H$24)),ABS($H$24-$G$24),"")</f>
        <v>0</v>
      </c>
      <c r="J24" s="74">
        <v>1E-09</v>
      </c>
      <c r="K24" s="75" t="str">
        <f>IF(AND(ISNUMBER($G$24),ISNUMBER($H$24)),IF(ABS($H$24-$G$24)&lt;=$J$24,"PASS","FAIL"),"FAIL")</f>
        <v>PASS</v>
      </c>
    </row>
    <row r="25" spans="2:12" ht="16.2" customHeight="1">
      <c r="B25" s="63">
        <v>15</v>
      </c>
      <c r="C25" s="68" t="s">
        <v>267</v>
      </c>
      <c r="D25" s="68"/>
      <c r="E25" s="68"/>
      <c r="F25" s="68"/>
      <c r="G25" s="78">
        <v>3325.772849462366</v>
      </c>
      <c r="H25" s="38">
        <f>$H$101</f>
        <v>3325.77284946237</v>
      </c>
      <c r="I25" s="73">
        <f>IF(AND(ISNUMBER($G$25),ISNUMBER($H$25)),ABS($H$25-$G$25),"")</f>
        <v>0</v>
      </c>
      <c r="J25" s="74">
        <v>1E-09</v>
      </c>
      <c r="K25" s="75" t="str">
        <f>IF(AND(ISNUMBER($G$25),ISNUMBER($H$25)),IF(ABS($H$25-$G$25)&lt;=$J$25,"PASS","FAIL"),"FAIL")</f>
        <v>PASS</v>
      </c>
    </row>
    <row r="26" spans="2:12" ht="16.2" customHeight="1">
      <c r="B26" s="63">
        <v>16</v>
      </c>
      <c r="C26" s="68" t="s">
        <v>268</v>
      </c>
      <c r="D26" s="68"/>
      <c r="E26" s="68"/>
      <c r="F26" s="68"/>
      <c r="G26" s="77">
        <v>532</v>
      </c>
      <c r="H26" s="50">
        <f>$J$90</f>
        <v>532</v>
      </c>
      <c r="I26" s="73">
        <f>IF(AND(ISNUMBER($G$26),ISNUMBER($H$26)),ABS($H$26-$G$26),"")</f>
        <v>0</v>
      </c>
      <c r="J26" s="74">
        <v>1E-09</v>
      </c>
      <c r="K26" s="75" t="str">
        <f>IF(AND(ISNUMBER($G$26),ISNUMBER($H$26)),IF(ABS($H$26-$G$26)&lt;=$J$26,"PASS","FAIL"),"FAIL")</f>
        <v>PASS</v>
      </c>
    </row>
    <row r="27" spans="2:12" ht="16.2" customHeight="1">
      <c r="B27" s="63">
        <v>17</v>
      </c>
      <c r="C27" s="68" t="s">
        <v>269</v>
      </c>
      <c r="D27" s="68"/>
      <c r="E27" s="68"/>
      <c r="F27" s="68"/>
      <c r="G27" s="76">
        <v>60.84699258064517</v>
      </c>
      <c r="H27" s="40">
        <f>$J$97</f>
        <v>60.8469925806452</v>
      </c>
      <c r="I27" s="73">
        <f>IF(AND(ISNUMBER($G$27),ISNUMBER($H$27)),ABS($H$27-$G$27),"")</f>
        <v>0</v>
      </c>
      <c r="J27" s="74">
        <v>1E-09</v>
      </c>
      <c r="K27" s="75" t="str">
        <f>IF(AND(ISNUMBER($G$27),ISNUMBER($H$27)),IF(ABS($H$27-$G$27)&lt;=$J$27,"PASS","FAIL"),"FAIL")</f>
        <v>PASS</v>
      </c>
    </row>
    <row r="28" spans="2:12" ht="16.2" customHeight="1">
      <c r="B28" s="63">
        <v>18</v>
      </c>
      <c r="C28" s="68" t="s">
        <v>270</v>
      </c>
      <c r="D28" s="68"/>
      <c r="E28" s="68"/>
      <c r="F28" s="68"/>
      <c r="G28" s="78">
        <v>78.10000000000001</v>
      </c>
      <c r="H28" s="38">
        <f>$J$98</f>
        <v>78.1</v>
      </c>
      <c r="I28" s="73">
        <f>IF(AND(ISNUMBER($G$28),ISNUMBER($H$28)),ABS($H$28-$G$28),"")</f>
        <v>0</v>
      </c>
      <c r="J28" s="74">
        <v>1E-09</v>
      </c>
      <c r="K28" s="75" t="str">
        <f>IF(AND(ISNUMBER($G$28),ISNUMBER($H$28)),IF(ABS($H$28-$G$28)&lt;=$J$28,"PASS","FAIL"),"FAIL")</f>
        <v>PASS</v>
      </c>
    </row>
    <row r="29" spans="2:12" ht="16.2" customHeight="1">
      <c r="B29" s="63">
        <v>19</v>
      </c>
      <c r="C29" s="68" t="s">
        <v>271</v>
      </c>
      <c r="D29" s="68"/>
      <c r="E29" s="68"/>
      <c r="F29" s="68"/>
      <c r="G29" s="78">
        <v>16535.61827956989</v>
      </c>
      <c r="H29" s="38">
        <f>$J$101</f>
        <v>16535.6182795699</v>
      </c>
      <c r="I29" s="73">
        <f>IF(AND(ISNUMBER($G$29),ISNUMBER($H$29)),ABS($H$29-$G$29),"")</f>
        <v>0</v>
      </c>
      <c r="J29" s="74">
        <v>1E-09</v>
      </c>
      <c r="K29" s="75" t="str">
        <f>IF(AND(ISNUMBER($G$29),ISNUMBER($H$29)),IF(ABS($H$29-$G$29)&lt;=$J$29,"PASS","FAIL"),"FAIL")</f>
        <v>PASS</v>
      </c>
    </row>
    <row r="31" spans="2:12" ht="21" customHeight="1">
      <c r="B31" s="8" t="s">
        <v>272</v>
      </c>
      <c r="C31" s="8"/>
      <c r="D31" s="8"/>
      <c r="E31" s="8"/>
      <c r="F31" s="8"/>
      <c r="G31" s="8"/>
      <c r="H31" s="8"/>
      <c r="I31" s="8"/>
      <c r="J31" s="8"/>
      <c r="K31" s="8"/>
      <c r="L31" s="8"/>
    </row>
    <row r="32" spans="2:12" ht="5" customHeight="1"/>
    <row r="33" spans="2:12">
      <c r="B33" s="21" t="s">
        <v>273</v>
      </c>
      <c r="C33" s="21"/>
      <c r="D33" s="21"/>
      <c r="E33" s="21"/>
      <c r="F33" s="21"/>
      <c r="G33" s="21"/>
      <c r="H33" s="21"/>
      <c r="I33" s="21"/>
      <c r="J33" s="21"/>
      <c r="K33" s="21"/>
      <c r="L33" s="21"/>
    </row>
    <row r="34" spans="2:12">
      <c r="B34" s="32" t="s">
        <v>274</v>
      </c>
      <c r="C34" s="32"/>
      <c r="D34" s="32"/>
      <c r="E34" s="32"/>
      <c r="F34" s="32"/>
    </row>
    <row r="35" spans="2:12">
      <c r="B35" s="27" t="s">
        <v>275</v>
      </c>
      <c r="C35" s="27"/>
      <c r="D35" s="27"/>
      <c r="E35" s="76">
        <v>0.14</v>
      </c>
      <c r="F35" s="7"/>
    </row>
    <row r="36" spans="2:12">
      <c r="B36" s="27" t="s">
        <v>77</v>
      </c>
      <c r="C36" s="27"/>
      <c r="D36" s="27"/>
      <c r="E36" s="79">
        <v>1</v>
      </c>
      <c r="F36" s="7"/>
    </row>
    <row r="37" spans="2:12">
      <c r="B37" s="27" t="s">
        <v>175</v>
      </c>
      <c r="C37" s="27"/>
      <c r="D37" s="27"/>
      <c r="E37" s="79">
        <v>0.15</v>
      </c>
      <c r="F37" s="7"/>
    </row>
    <row r="38" spans="2:12">
      <c r="B38" s="27" t="s">
        <v>79</v>
      </c>
      <c r="C38" s="27"/>
      <c r="D38" s="27"/>
      <c r="E38" s="79">
        <v>0.22</v>
      </c>
      <c r="F38" s="7"/>
    </row>
    <row r="39" spans="2:12">
      <c r="B39" s="27" t="s">
        <v>276</v>
      </c>
      <c r="C39" s="27"/>
      <c r="D39" s="27"/>
      <c r="E39" s="79">
        <v>0.9399999999999999</v>
      </c>
      <c r="F39" s="7"/>
    </row>
    <row r="40" spans="2:12">
      <c r="B40" s="27" t="s">
        <v>277</v>
      </c>
      <c r="C40" s="27"/>
      <c r="D40" s="27"/>
      <c r="E40" s="78">
        <v>0.1</v>
      </c>
      <c r="F40" s="7"/>
    </row>
    <row r="42" spans="2:12">
      <c r="B42" s="32" t="s">
        <v>278</v>
      </c>
      <c r="C42" s="32"/>
      <c r="D42" s="32"/>
      <c r="E42" s="32"/>
      <c r="F42" s="32"/>
      <c r="G42" s="32"/>
      <c r="H42" s="32"/>
      <c r="I42" s="32"/>
      <c r="J42" s="32"/>
      <c r="K42" s="32"/>
      <c r="L42" s="32"/>
    </row>
    <row r="43" spans="2:12" ht="14" customHeight="1">
      <c r="B43" s="33"/>
      <c r="C43" s="33"/>
      <c r="D43" s="33"/>
      <c r="E43" s="33"/>
      <c r="F43" s="33"/>
      <c r="G43" s="33" t="str">
        <f>Currency&amp;"/h"</f>
        <v>USD/h</v>
      </c>
      <c r="H43" s="33"/>
      <c r="I43" s="33" t="str">
        <f>Currency&amp;"/order"</f>
        <v>USD/order</v>
      </c>
      <c r="J43" s="33" t="str">
        <f>Currency&amp;"/casting"</f>
        <v>USD/casting</v>
      </c>
      <c r="K43" s="33"/>
    </row>
    <row r="44" spans="2:12" ht="32" customHeight="1">
      <c r="B44" s="34" t="s">
        <v>107</v>
      </c>
      <c r="C44" s="34" t="s">
        <v>68</v>
      </c>
      <c r="D44" s="34" t="s">
        <v>108</v>
      </c>
      <c r="E44" s="34" t="s">
        <v>109</v>
      </c>
      <c r="F44" s="34" t="s">
        <v>64</v>
      </c>
      <c r="G44" s="34" t="s">
        <v>110</v>
      </c>
      <c r="H44" s="34" t="s">
        <v>111</v>
      </c>
      <c r="I44" s="34" t="s">
        <v>112</v>
      </c>
      <c r="J44" s="34" t="s">
        <v>113</v>
      </c>
      <c r="K44" s="34" t="s">
        <v>114</v>
      </c>
    </row>
    <row r="45" spans="2:12">
      <c r="B45" s="67" t="s">
        <v>146</v>
      </c>
      <c r="C45" s="67" t="s">
        <v>96</v>
      </c>
      <c r="D45" s="78">
        <v>0.75</v>
      </c>
      <c r="E45" s="78">
        <v>1.5</v>
      </c>
      <c r="F45" s="67" t="s">
        <v>147</v>
      </c>
      <c r="G45" s="78">
        <v>180</v>
      </c>
      <c r="H45" s="38">
        <f>IF(tblVerifyOps[[#This Row],[Operation]]="","",IF(tblVerifyOps[[#This Row],[Per]]="mould",tblVerifyOps[[#This Row],[Minutes]]/$E$70,tblVerifyOps[[#This Row],[Minutes]]))</f>
        <v>0.75</v>
      </c>
      <c r="I45" s="38">
        <f>IF(tblVerifyOps[[#This Row],[Operation]]="","",IF(tblVerifyOps[[#This Row],[Rate]]="","",tblVerifyOps[[#This Row],[Setup (h)]]*tblVerifyOps[[#This Row],[Rate]]))</f>
        <v>135</v>
      </c>
      <c r="J45" s="40">
        <f>IF(tblVerifyOps[[#This Row],[Operation]]="","",IF(tblVerifyOps[[#This Row],[Rate]]="","",tblVerifyOps[[#This Row],[Min per casting]]/60*tblVerifyOps[[#This Row],[Rate]]))</f>
        <v>2.25</v>
      </c>
      <c r="K45" s="45" t="str">
        <f>IF(tblVerifyOps[[#This Row],[Operation]]="","",IF(tblVerifyOps[[#This Row],[Work centre]]="","Missing work centre",IF(tblVerifyOps[[#This Row],[Rate]]="","Work centre not on Setup list",IF(AND(tblVerifyOps[[#This Row],[Per]]&lt;&gt;"mould",tblVerifyOps[[#This Row],[Per]]&lt;&gt;"casting"),"Choose mould or casting","OK"))))</f>
        <v>OK</v>
      </c>
    </row>
    <row r="46" spans="2:12">
      <c r="B46" s="67" t="s">
        <v>148</v>
      </c>
      <c r="C46" s="67" t="s">
        <v>98</v>
      </c>
      <c r="D46" s="78">
        <v>0</v>
      </c>
      <c r="E46" s="78">
        <v>1</v>
      </c>
      <c r="F46" s="67" t="s">
        <v>147</v>
      </c>
      <c r="G46" s="78">
        <v>120</v>
      </c>
      <c r="H46" s="38">
        <f>IF(tblVerifyOps[[#This Row],[Operation]]="","",IF(tblVerifyOps[[#This Row],[Per]]="mould",tblVerifyOps[[#This Row],[Minutes]]/$E$70,tblVerifyOps[[#This Row],[Minutes]]))</f>
        <v>0.5</v>
      </c>
      <c r="I46" s="38">
        <f>IF(tblVerifyOps[[#This Row],[Operation]]="","",IF(tblVerifyOps[[#This Row],[Rate]]="","",tblVerifyOps[[#This Row],[Setup (h)]]*tblVerifyOps[[#This Row],[Rate]]))</f>
        <v>0</v>
      </c>
      <c r="J46" s="40">
        <f>IF(tblVerifyOps[[#This Row],[Operation]]="","",IF(tblVerifyOps[[#This Row],[Rate]]="","",tblVerifyOps[[#This Row],[Min per casting]]/60*tblVerifyOps[[#This Row],[Rate]]))</f>
        <v>1</v>
      </c>
      <c r="K46" s="45" t="str">
        <f>IF(tblVerifyOps[[#This Row],[Operation]]="","",IF(tblVerifyOps[[#This Row],[Work centre]]="","Missing work centre",IF(tblVerifyOps[[#This Row],[Rate]]="","Work centre not on Setup list",IF(AND(tblVerifyOps[[#This Row],[Per]]&lt;&gt;"mould",tblVerifyOps[[#This Row],[Per]]&lt;&gt;"casting"),"Choose mould or casting","OK"))))</f>
        <v>OK</v>
      </c>
    </row>
    <row r="47" spans="2:12">
      <c r="B47" s="67" t="s">
        <v>100</v>
      </c>
      <c r="C47" s="67" t="s">
        <v>100</v>
      </c>
      <c r="D47" s="78">
        <v>0</v>
      </c>
      <c r="E47" s="78">
        <v>2</v>
      </c>
      <c r="F47" s="67" t="s">
        <v>149</v>
      </c>
      <c r="G47" s="78">
        <v>65</v>
      </c>
      <c r="H47" s="38">
        <f>IF(tblVerifyOps[[#This Row],[Operation]]="","",IF(tblVerifyOps[[#This Row],[Per]]="mould",tblVerifyOps[[#This Row],[Minutes]]/$E$70,tblVerifyOps[[#This Row],[Minutes]]))</f>
        <v>2</v>
      </c>
      <c r="I47" s="38">
        <f>IF(tblVerifyOps[[#This Row],[Operation]]="","",IF(tblVerifyOps[[#This Row],[Rate]]="","",tblVerifyOps[[#This Row],[Setup (h)]]*tblVerifyOps[[#This Row],[Rate]]))</f>
        <v>0</v>
      </c>
      <c r="J47" s="40">
        <f>IF(tblVerifyOps[[#This Row],[Operation]]="","",IF(tblVerifyOps[[#This Row],[Rate]]="","",tblVerifyOps[[#This Row],[Min per casting]]/60*tblVerifyOps[[#This Row],[Rate]]))</f>
        <v>2.16666666666667</v>
      </c>
      <c r="K47" s="45" t="str">
        <f>IF(tblVerifyOps[[#This Row],[Operation]]="","",IF(tblVerifyOps[[#This Row],[Work centre]]="","Missing work centre",IF(tblVerifyOps[[#This Row],[Rate]]="","Work centre not on Setup list",IF(AND(tblVerifyOps[[#This Row],[Per]]&lt;&gt;"mould",tblVerifyOps[[#This Row],[Per]]&lt;&gt;"casting"),"Choose mould or casting","OK"))))</f>
        <v>OK</v>
      </c>
    </row>
    <row r="48" spans="2:12">
      <c r="B48" s="67" t="s">
        <v>150</v>
      </c>
      <c r="C48" s="67" t="s">
        <v>102</v>
      </c>
      <c r="D48" s="78">
        <v>0</v>
      </c>
      <c r="E48" s="78">
        <v>12</v>
      </c>
      <c r="F48" s="67" t="s">
        <v>149</v>
      </c>
      <c r="G48" s="78">
        <v>52</v>
      </c>
      <c r="H48" s="38">
        <f>IF(tblVerifyOps[[#This Row],[Operation]]="","",IF(tblVerifyOps[[#This Row],[Per]]="mould",tblVerifyOps[[#This Row],[Minutes]]/$E$70,tblVerifyOps[[#This Row],[Minutes]]))</f>
        <v>12</v>
      </c>
      <c r="I48" s="38">
        <f>IF(tblVerifyOps[[#This Row],[Operation]]="","",IF(tblVerifyOps[[#This Row],[Rate]]="","",tblVerifyOps[[#This Row],[Setup (h)]]*tblVerifyOps[[#This Row],[Rate]]))</f>
        <v>0</v>
      </c>
      <c r="J48" s="40">
        <f>IF(tblVerifyOps[[#This Row],[Operation]]="","",IF(tblVerifyOps[[#This Row],[Rate]]="","",tblVerifyOps[[#This Row],[Min per casting]]/60*tblVerifyOps[[#This Row],[Rate]]))</f>
        <v>10.4</v>
      </c>
      <c r="K48" s="45" t="str">
        <f>IF(tblVerifyOps[[#This Row],[Operation]]="","",IF(tblVerifyOps[[#This Row],[Work centre]]="","Missing work centre",IF(tblVerifyOps[[#This Row],[Rate]]="","Work centre not on Setup list",IF(AND(tblVerifyOps[[#This Row],[Per]]&lt;&gt;"mould",tblVerifyOps[[#This Row],[Per]]&lt;&gt;"casting"),"Choose mould or casting","OK"))))</f>
        <v>OK</v>
      </c>
    </row>
    <row r="49" spans="2:12">
      <c r="B49" s="67" t="s">
        <v>151</v>
      </c>
      <c r="C49" s="67" t="s">
        <v>103</v>
      </c>
      <c r="D49" s="78">
        <v>0</v>
      </c>
      <c r="E49" s="78">
        <v>3</v>
      </c>
      <c r="F49" s="67" t="s">
        <v>149</v>
      </c>
      <c r="G49" s="78">
        <v>70</v>
      </c>
      <c r="H49" s="38">
        <f>IF(tblVerifyOps[[#This Row],[Operation]]="","",IF(tblVerifyOps[[#This Row],[Per]]="mould",tblVerifyOps[[#This Row],[Minutes]]/$E$70,tblVerifyOps[[#This Row],[Minutes]]))</f>
        <v>3</v>
      </c>
      <c r="I49" s="38">
        <f>IF(tblVerifyOps[[#This Row],[Operation]]="","",IF(tblVerifyOps[[#This Row],[Rate]]="","",tblVerifyOps[[#This Row],[Setup (h)]]*tblVerifyOps[[#This Row],[Rate]]))</f>
        <v>0</v>
      </c>
      <c r="J49" s="40">
        <f>IF(tblVerifyOps[[#This Row],[Operation]]="","",IF(tblVerifyOps[[#This Row],[Rate]]="","",tblVerifyOps[[#This Row],[Min per casting]]/60*tblVerifyOps[[#This Row],[Rate]]))</f>
        <v>3.5</v>
      </c>
      <c r="K49" s="45" t="str">
        <f>IF(tblVerifyOps[[#This Row],[Operation]]="","",IF(tblVerifyOps[[#This Row],[Work centre]]="","Missing work centre",IF(tblVerifyOps[[#This Row],[Rate]]="","Work centre not on Setup list",IF(AND(tblVerifyOps[[#This Row],[Per]]&lt;&gt;"mould",tblVerifyOps[[#This Row],[Per]]&lt;&gt;"casting"),"Choose mould or casting","OK"))))</f>
        <v>OK</v>
      </c>
    </row>
    <row r="50" spans="2:12">
      <c r="B50" s="67" t="s">
        <v>152</v>
      </c>
      <c r="C50" s="67" t="s">
        <v>105</v>
      </c>
      <c r="D50" s="78">
        <v>0</v>
      </c>
      <c r="E50" s="78">
        <v>4</v>
      </c>
      <c r="F50" s="67" t="s">
        <v>149</v>
      </c>
      <c r="G50" s="78">
        <v>60</v>
      </c>
      <c r="H50" s="38">
        <f>IF(tblVerifyOps[[#This Row],[Operation]]="","",IF(tblVerifyOps[[#This Row],[Per]]="mould",tblVerifyOps[[#This Row],[Minutes]]/$E$70,tblVerifyOps[[#This Row],[Minutes]]))</f>
        <v>4</v>
      </c>
      <c r="I50" s="38">
        <f>IF(tblVerifyOps[[#This Row],[Operation]]="","",IF(tblVerifyOps[[#This Row],[Rate]]="","",tblVerifyOps[[#This Row],[Setup (h)]]*tblVerifyOps[[#This Row],[Rate]]))</f>
        <v>0</v>
      </c>
      <c r="J50" s="40">
        <f>IF(tblVerifyOps[[#This Row],[Operation]]="","",IF(tblVerifyOps[[#This Row],[Rate]]="","",tblVerifyOps[[#This Row],[Min per casting]]/60*tblVerifyOps[[#This Row],[Rate]]))</f>
        <v>4</v>
      </c>
      <c r="K50" s="45" t="str">
        <f>IF(tblVerifyOps[[#This Row],[Operation]]="","",IF(tblVerifyOps[[#This Row],[Work centre]]="","Missing work centre",IF(tblVerifyOps[[#This Row],[Rate]]="","Work centre not on Setup list",IF(AND(tblVerifyOps[[#This Row],[Per]]&lt;&gt;"mould",tblVerifyOps[[#This Row],[Per]]&lt;&gt;"casting"),"Choose mould or casting","OK"))))</f>
        <v>OK</v>
      </c>
    </row>
    <row r="51" spans="2:12">
      <c r="B51" s="67" t="s">
        <v>153</v>
      </c>
      <c r="C51" s="67" t="s">
        <v>106</v>
      </c>
      <c r="D51" s="78">
        <v>0.5</v>
      </c>
      <c r="E51" s="78">
        <v>0</v>
      </c>
      <c r="F51" s="67" t="s">
        <v>149</v>
      </c>
      <c r="G51" s="78">
        <v>55</v>
      </c>
      <c r="H51" s="38">
        <f>IF(tblVerifyOps[[#This Row],[Operation]]="","",IF(tblVerifyOps[[#This Row],[Per]]="mould",tblVerifyOps[[#This Row],[Minutes]]/$E$70,tblVerifyOps[[#This Row],[Minutes]]))</f>
        <v>0</v>
      </c>
      <c r="I51" s="38">
        <f>IF(tblVerifyOps[[#This Row],[Operation]]="","",IF(tblVerifyOps[[#This Row],[Rate]]="","",tblVerifyOps[[#This Row],[Setup (h)]]*tblVerifyOps[[#This Row],[Rate]]))</f>
        <v>27.5</v>
      </c>
      <c r="J51" s="40">
        <f>IF(tblVerifyOps[[#This Row],[Operation]]="","",IF(tblVerifyOps[[#This Row],[Rate]]="","",tblVerifyOps[[#This Row],[Min per casting]]/60*tblVerifyOps[[#This Row],[Rate]]))</f>
        <v>0</v>
      </c>
      <c r="K51" s="45" t="str">
        <f>IF(tblVerifyOps[[#This Row],[Operation]]="","",IF(tblVerifyOps[[#This Row],[Work centre]]="","Missing work centre",IF(tblVerifyOps[[#This Row],[Rate]]="","Work centre not on Setup list",IF(AND(tblVerifyOps[[#This Row],[Per]]&lt;&gt;"mould",tblVerifyOps[[#This Row],[Per]]&lt;&gt;"casting"),"Choose mould or casting","OK"))))</f>
        <v>OK</v>
      </c>
    </row>
    <row r="52" spans="2:12">
      <c r="B52" s="67" t="s">
        <v>279</v>
      </c>
      <c r="C52" s="67" t="s">
        <v>280</v>
      </c>
      <c r="D52" s="78">
        <v>0</v>
      </c>
      <c r="E52" s="78">
        <v>2</v>
      </c>
      <c r="F52" s="67" t="s">
        <v>149</v>
      </c>
      <c r="G52" s="78" t="s">
        <v>101</v>
      </c>
      <c r="H52" s="38">
        <f>IF(tblVerifyOps[[#This Row],[Operation]]="","",IF(tblVerifyOps[[#This Row],[Per]]="mould",tblVerifyOps[[#This Row],[Minutes]]/$E$70,tblVerifyOps[[#This Row],[Minutes]]))</f>
        <v>2</v>
      </c>
      <c r="I52" s="38">
        <f>IF(tblVerifyOps[[#This Row],[Operation]]="","",IF(tblVerifyOps[[#This Row],[Rate]]="","",tblVerifyOps[[#This Row],[Setup (h)]]*tblVerifyOps[[#This Row],[Rate]]))</f>
        <v/>
      </c>
      <c r="J52" s="40">
        <f>IF(tblVerifyOps[[#This Row],[Operation]]="","",IF(tblVerifyOps[[#This Row],[Rate]]="","",tblVerifyOps[[#This Row],[Min per casting]]/60*tblVerifyOps[[#This Row],[Rate]]))</f>
        <v/>
      </c>
      <c r="K52" s="45" t="str">
        <f>IF(tblVerifyOps[[#This Row],[Operation]]="","",IF(tblVerifyOps[[#This Row],[Work centre]]="","Missing work centre",IF(tblVerifyOps[[#This Row],[Rate]]="","Work centre not on Setup list",IF(AND(tblVerifyOps[[#This Row],[Per]]&lt;&gt;"mould",tblVerifyOps[[#This Row],[Per]]&lt;&gt;"casting"),"Choose mould or casting","OK"))))</f>
        <v>Work centre not on Setup list</v>
      </c>
    </row>
    <row r="54" spans="2:12">
      <c r="B54" s="32" t="s">
        <v>281</v>
      </c>
      <c r="C54" s="32"/>
      <c r="D54" s="32"/>
      <c r="E54" s="32"/>
      <c r="F54" s="32"/>
      <c r="G54" s="32"/>
      <c r="H54" s="32"/>
      <c r="I54" s="32"/>
      <c r="J54" s="32"/>
      <c r="K54" s="32"/>
      <c r="L54" s="32"/>
    </row>
    <row r="55" spans="2:12">
      <c r="B55" s="27" t="s">
        <v>62</v>
      </c>
      <c r="C55" s="27"/>
      <c r="D55" s="27"/>
      <c r="E55" s="67" t="s">
        <v>88</v>
      </c>
      <c r="F55" s="67"/>
    </row>
    <row r="56" spans="2:12">
      <c r="B56" s="27" t="s">
        <v>127</v>
      </c>
      <c r="C56" s="27"/>
      <c r="D56" s="27"/>
      <c r="E56" s="67" t="s">
        <v>86</v>
      </c>
      <c r="F56" s="67"/>
    </row>
    <row r="57" spans="2:12">
      <c r="B57" s="27" t="s">
        <v>128</v>
      </c>
      <c r="C57" s="27"/>
      <c r="D57" s="27"/>
      <c r="E57" s="78">
        <v>18.5</v>
      </c>
      <c r="F57" s="7" t="str">
        <f>$E$56</f>
        <v>kg</v>
      </c>
    </row>
    <row r="58" spans="2:12">
      <c r="B58" s="27" t="s">
        <v>129</v>
      </c>
      <c r="C58" s="27"/>
      <c r="D58" s="27"/>
      <c r="E58" s="79">
        <v>0.62</v>
      </c>
      <c r="F58" s="7"/>
    </row>
    <row r="59" spans="2:12">
      <c r="B59" s="27" t="s">
        <v>130</v>
      </c>
      <c r="C59" s="27"/>
      <c r="D59" s="27"/>
      <c r="E59" s="38">
        <f>$E$57*IF($E$56="lb",0.45359237,1)</f>
        <v>18.5</v>
      </c>
      <c r="F59" s="7" t="s">
        <v>86</v>
      </c>
    </row>
    <row r="60" spans="2:12">
      <c r="B60" s="17" t="s">
        <v>131</v>
      </c>
      <c r="C60" s="17"/>
      <c r="D60" s="17"/>
      <c r="E60" s="39">
        <f>$E$59/$E$58</f>
        <v>29.8387096774194</v>
      </c>
      <c r="F60" s="7" t="s">
        <v>86</v>
      </c>
    </row>
    <row r="61" spans="2:12">
      <c r="B61" s="27" t="s">
        <v>132</v>
      </c>
      <c r="C61" s="27"/>
      <c r="D61" s="27"/>
      <c r="E61" s="38">
        <f>$E$60-$E$59</f>
        <v>11.3387096774194</v>
      </c>
      <c r="F61" s="7" t="s">
        <v>86</v>
      </c>
    </row>
    <row r="62" spans="2:12">
      <c r="B62" s="27" t="s">
        <v>63</v>
      </c>
      <c r="C62" s="27"/>
      <c r="D62" s="27"/>
      <c r="E62" s="76">
        <v>0.78</v>
      </c>
      <c r="F62" s="7" t="str">
        <f>Currency&amp;"/kg"</f>
        <v>USD/kg</v>
      </c>
    </row>
    <row r="63" spans="2:12">
      <c r="B63" s="27" t="s">
        <v>65</v>
      </c>
      <c r="C63" s="27"/>
      <c r="D63" s="27"/>
      <c r="E63" s="79">
        <v>0.04</v>
      </c>
      <c r="F63" s="7" t="s">
        <v>133</v>
      </c>
    </row>
    <row r="64" spans="2:12">
      <c r="B64" s="27" t="s">
        <v>134</v>
      </c>
      <c r="C64" s="27"/>
      <c r="D64" s="27"/>
      <c r="E64" s="78">
        <v>0.62</v>
      </c>
      <c r="F64" s="7" t="s">
        <v>84</v>
      </c>
    </row>
    <row r="65" spans="2:12">
      <c r="B65" s="27" t="s">
        <v>135</v>
      </c>
      <c r="C65" s="27"/>
      <c r="D65" s="27"/>
      <c r="E65" s="40">
        <f>IF($E$62="","",$E$62/(1-$E$63)+$E$64*$E$35)</f>
        <v>0.8993</v>
      </c>
      <c r="F65" s="7" t="str">
        <f>Currency&amp;"/kg"</f>
        <v>USD/kg</v>
      </c>
    </row>
    <row r="66" spans="2:12">
      <c r="B66" s="17" t="s">
        <v>136</v>
      </c>
      <c r="C66" s="17"/>
      <c r="D66" s="17"/>
      <c r="E66" s="39">
        <f>IF($E$65="","",$E$60*$E$65-$E$61*$E$62*$E$36)</f>
        <v>17.9897580645161</v>
      </c>
      <c r="F66" s="7" t="str">
        <f>Currency</f>
        <v>USD</v>
      </c>
    </row>
    <row r="67" spans="2:12">
      <c r="B67" s="27" t="s">
        <v>137</v>
      </c>
      <c r="C67" s="27"/>
      <c r="D67" s="27"/>
      <c r="E67" s="42" t="str">
        <f>IF($E$62="","Alloy not on Setup list",IF($E$57&lt;=0,"Enter a casting weight","OK"))</f>
        <v>OK</v>
      </c>
      <c r="F67" s="42"/>
    </row>
    <row r="69" spans="2:12">
      <c r="B69" s="32" t="s">
        <v>282</v>
      </c>
      <c r="C69" s="32"/>
      <c r="D69" s="32"/>
      <c r="E69" s="32"/>
      <c r="F69" s="32"/>
      <c r="G69" s="32"/>
      <c r="H69" s="32"/>
      <c r="I69" s="32"/>
      <c r="J69" s="32"/>
      <c r="K69" s="32"/>
      <c r="L69" s="32"/>
    </row>
    <row r="70" spans="2:12">
      <c r="B70" s="27" t="s">
        <v>139</v>
      </c>
      <c r="C70" s="27"/>
      <c r="D70" s="27"/>
      <c r="E70" s="77">
        <v>2</v>
      </c>
      <c r="F70" s="7" t="s">
        <v>140</v>
      </c>
    </row>
    <row r="71" spans="2:12">
      <c r="B71" s="27" t="s">
        <v>141</v>
      </c>
      <c r="C71" s="27"/>
      <c r="D71" s="27"/>
      <c r="E71" s="80">
        <v>2</v>
      </c>
      <c r="F71" s="7" t="s">
        <v>142</v>
      </c>
    </row>
    <row r="72" spans="2:12">
      <c r="B72" s="27" t="s">
        <v>143</v>
      </c>
      <c r="C72" s="27"/>
      <c r="D72" s="27"/>
      <c r="E72" s="78">
        <v>3.4</v>
      </c>
      <c r="F72" s="7" t="str">
        <f>Currency</f>
        <v>USD</v>
      </c>
    </row>
    <row r="73" spans="2:12">
      <c r="B73" s="27" t="s">
        <v>144</v>
      </c>
      <c r="C73" s="27"/>
      <c r="D73" s="27"/>
      <c r="E73" s="38">
        <f>$E$71*$E$72</f>
        <v>6.8</v>
      </c>
      <c r="F73" s="7" t="str">
        <f>Currency</f>
        <v>USD</v>
      </c>
    </row>
    <row r="75" spans="2:12">
      <c r="B75" s="32" t="s">
        <v>283</v>
      </c>
      <c r="C75" s="32"/>
      <c r="D75" s="32"/>
      <c r="E75" s="32"/>
      <c r="F75" s="32"/>
      <c r="G75" s="32"/>
      <c r="H75" s="32"/>
      <c r="I75" s="32"/>
      <c r="J75" s="32"/>
      <c r="K75" s="32"/>
      <c r="L75" s="32"/>
    </row>
    <row r="76" spans="2:12">
      <c r="B76" s="27" t="s">
        <v>155</v>
      </c>
      <c r="C76" s="27"/>
      <c r="D76" s="27"/>
      <c r="E76" s="38">
        <f>SUM(tblVerifyOps[Setup cost])</f>
        <v>162.5</v>
      </c>
      <c r="F76" s="7" t="str">
        <f>Currency</f>
        <v>USD</v>
      </c>
    </row>
    <row r="77" spans="2:12">
      <c r="B77" s="27" t="s">
        <v>156</v>
      </c>
      <c r="C77" s="27"/>
      <c r="D77" s="27"/>
      <c r="E77" s="40">
        <f>SUM(tblVerifyOps[Run cost])</f>
        <v>23.3166666666667</v>
      </c>
      <c r="F77" s="7" t="str">
        <f>Currency</f>
        <v>USD</v>
      </c>
    </row>
    <row r="78" spans="2:12">
      <c r="B78" s="27" t="s">
        <v>157</v>
      </c>
      <c r="C78" s="27"/>
      <c r="D78" s="27"/>
      <c r="E78" s="46">
        <f>SUM(tblVerifyOps[Min per casting])</f>
        <v>24.25</v>
      </c>
      <c r="F78" s="7" t="s">
        <v>158</v>
      </c>
    </row>
    <row r="80" spans="2:12">
      <c r="B80" s="32" t="s">
        <v>284</v>
      </c>
      <c r="C80" s="32"/>
      <c r="D80" s="32"/>
      <c r="E80" s="32"/>
      <c r="F80" s="32"/>
      <c r="G80" s="32"/>
      <c r="H80" s="32"/>
      <c r="I80" s="32"/>
      <c r="J80" s="32"/>
      <c r="K80" s="32"/>
      <c r="L80" s="32"/>
    </row>
    <row r="81" spans="2:12">
      <c r="B81" s="27" t="s">
        <v>160</v>
      </c>
      <c r="C81" s="27"/>
      <c r="D81" s="27"/>
      <c r="E81" s="77">
        <v>14500</v>
      </c>
      <c r="F81" s="7" t="str">
        <f>Currency</f>
        <v>USD</v>
      </c>
    </row>
    <row r="82" spans="2:12">
      <c r="B82" s="27" t="s">
        <v>161</v>
      </c>
      <c r="C82" s="27"/>
      <c r="D82" s="27"/>
      <c r="E82" s="77">
        <v>2200</v>
      </c>
      <c r="F82" s="7" t="str">
        <f>Currency</f>
        <v>USD</v>
      </c>
    </row>
    <row r="83" spans="2:12">
      <c r="B83" s="27" t="s">
        <v>162</v>
      </c>
      <c r="C83" s="27"/>
      <c r="D83" s="27"/>
      <c r="E83" s="77">
        <v>0</v>
      </c>
      <c r="F83" s="7" t="str">
        <f>Currency</f>
        <v>USD</v>
      </c>
    </row>
    <row r="84" spans="2:12">
      <c r="B84" s="27" t="s">
        <v>163</v>
      </c>
      <c r="C84" s="27"/>
      <c r="D84" s="27"/>
      <c r="E84" s="79">
        <v>1</v>
      </c>
      <c r="F84" s="7"/>
    </row>
    <row r="85" spans="2:12">
      <c r="B85" s="27" t="s">
        <v>164</v>
      </c>
      <c r="C85" s="27"/>
      <c r="D85" s="27"/>
      <c r="E85" s="77">
        <v>3000</v>
      </c>
      <c r="F85" s="7" t="s">
        <v>140</v>
      </c>
    </row>
    <row r="86" spans="2:12">
      <c r="B86" s="17" t="s">
        <v>165</v>
      </c>
      <c r="C86" s="17"/>
      <c r="D86" s="17"/>
      <c r="E86" s="47">
        <f>($E$81+$E$82-$E$83)*$E$84/$E$85</f>
        <v>5.56666666666667</v>
      </c>
      <c r="F86" s="7" t="str">
        <f>Currency</f>
        <v>USD</v>
      </c>
    </row>
    <row r="88" spans="2:12">
      <c r="B88" s="32" t="s">
        <v>285</v>
      </c>
      <c r="C88" s="32"/>
      <c r="D88" s="32"/>
      <c r="E88" s="32"/>
      <c r="F88" s="32"/>
      <c r="G88" s="32"/>
      <c r="H88" s="32"/>
      <c r="I88" s="32"/>
      <c r="J88" s="32"/>
      <c r="K88" s="32"/>
      <c r="L88" s="32"/>
    </row>
    <row r="89" spans="2:12">
      <c r="B89" s="48" t="s">
        <v>167</v>
      </c>
      <c r="C89" s="48"/>
      <c r="D89" s="48"/>
      <c r="E89" s="34" t="s">
        <v>168</v>
      </c>
      <c r="F89" s="77">
        <v>20</v>
      </c>
      <c r="G89" s="77">
        <v>50</v>
      </c>
      <c r="H89" s="77">
        <v>100</v>
      </c>
      <c r="I89" s="77">
        <v>250</v>
      </c>
      <c r="J89" s="77">
        <v>500</v>
      </c>
    </row>
    <row r="90" spans="2:12">
      <c r="B90" s="27" t="s">
        <v>169</v>
      </c>
      <c r="C90" s="27"/>
      <c r="D90" s="27"/>
      <c r="E90" s="7" t="s">
        <v>140</v>
      </c>
      <c r="F90" s="50">
        <f>CEILING($F$89/$E$39,1)</f>
        <v>22</v>
      </c>
      <c r="G90" s="50">
        <f>CEILING($G$89/$E$39,1)</f>
        <v>54</v>
      </c>
      <c r="H90" s="50">
        <f>CEILING($H$89/$E$39,1)</f>
        <v>107</v>
      </c>
      <c r="I90" s="50">
        <f>CEILING($I$89/$E$39,1)</f>
        <v>266</v>
      </c>
      <c r="J90" s="50">
        <f>CEILING($J$89/$E$39,1)</f>
        <v>532</v>
      </c>
    </row>
    <row r="91" spans="2:12">
      <c r="B91" s="27" t="s">
        <v>170</v>
      </c>
      <c r="C91" s="27"/>
      <c r="D91" s="27"/>
      <c r="E91" s="7" t="str">
        <f>Currency&amp;"/casting"</f>
        <v>USD/casting</v>
      </c>
      <c r="F91" s="38">
        <f>$E$66*$F$90/$F$89</f>
        <v>19.7887338709677</v>
      </c>
      <c r="G91" s="38">
        <f>$E$66*$G$90/$G$89</f>
        <v>19.4289387096774</v>
      </c>
      <c r="H91" s="38">
        <f>$E$66*$H$90/$H$89</f>
        <v>19.2490411290323</v>
      </c>
      <c r="I91" s="38">
        <f>$E$66*$I$90/$I$89</f>
        <v>19.1411025806452</v>
      </c>
      <c r="J91" s="38">
        <f>$E$66*$J$90/$J$89</f>
        <v>19.1411025806452</v>
      </c>
    </row>
    <row r="92" spans="2:12">
      <c r="B92" s="27" t="s">
        <v>171</v>
      </c>
      <c r="C92" s="27"/>
      <c r="D92" s="27"/>
      <c r="E92" s="7" t="str">
        <f>Currency&amp;"/casting"</f>
        <v>USD/casting</v>
      </c>
      <c r="F92" s="38">
        <f>$E$73*$F$90/$F$89</f>
        <v>7.48</v>
      </c>
      <c r="G92" s="38">
        <f>$E$73*$G$90/$G$89</f>
        <v>7.344</v>
      </c>
      <c r="H92" s="38">
        <f>$E$73*$H$90/$H$89</f>
        <v>7.276</v>
      </c>
      <c r="I92" s="38">
        <f>$E$73*$I$90/$I$89</f>
        <v>7.2352</v>
      </c>
      <c r="J92" s="38">
        <f>$E$73*$J$90/$J$89</f>
        <v>7.2352</v>
      </c>
    </row>
    <row r="93" spans="2:12">
      <c r="B93" s="27" t="s">
        <v>172</v>
      </c>
      <c r="C93" s="27"/>
      <c r="D93" s="27"/>
      <c r="E93" s="7" t="str">
        <f>Currency&amp;"/casting"</f>
        <v>USD/casting</v>
      </c>
      <c r="F93" s="38">
        <f>$E$77*$F$90/$F$89</f>
        <v>25.6483333333333</v>
      </c>
      <c r="G93" s="38">
        <f>$E$77*$G$90/$G$89</f>
        <v>25.182</v>
      </c>
      <c r="H93" s="38">
        <f>$E$77*$H$90/$H$89</f>
        <v>24.9488333333333</v>
      </c>
      <c r="I93" s="38">
        <f>$E$77*$I$90/$I$89</f>
        <v>24.8089333333333</v>
      </c>
      <c r="J93" s="38">
        <f>$E$77*$J$90/$J$89</f>
        <v>24.8089333333333</v>
      </c>
    </row>
    <row r="94" spans="2:12">
      <c r="B94" s="27" t="s">
        <v>173</v>
      </c>
      <c r="C94" s="27"/>
      <c r="D94" s="27"/>
      <c r="E94" s="7" t="str">
        <f>Currency&amp;"/casting"</f>
        <v>USD/casting</v>
      </c>
      <c r="F94" s="38">
        <f>$E$76/$F$89</f>
        <v>8.125</v>
      </c>
      <c r="G94" s="38">
        <f>$E$76/$G$89</f>
        <v>3.25</v>
      </c>
      <c r="H94" s="38">
        <f>$E$76/$H$89</f>
        <v>1.625</v>
      </c>
      <c r="I94" s="38">
        <f>$E$76/$I$89</f>
        <v>0.65</v>
      </c>
      <c r="J94" s="38">
        <f>$E$76/$J$89</f>
        <v>0.325</v>
      </c>
    </row>
    <row r="95" spans="2:12">
      <c r="B95" s="27" t="s">
        <v>174</v>
      </c>
      <c r="C95" s="27"/>
      <c r="D95" s="27"/>
      <c r="E95" s="7" t="str">
        <f>Currency&amp;"/casting"</f>
        <v>USD/casting</v>
      </c>
      <c r="F95" s="38">
        <f>$E$86</f>
        <v>5.56666666666667</v>
      </c>
      <c r="G95" s="38">
        <f>$E$86</f>
        <v>5.56666666666667</v>
      </c>
      <c r="H95" s="38">
        <f>$E$86</f>
        <v>5.56666666666667</v>
      </c>
      <c r="I95" s="38">
        <f>$E$86</f>
        <v>5.56666666666667</v>
      </c>
      <c r="J95" s="38">
        <f>$E$86</f>
        <v>5.56666666666667</v>
      </c>
    </row>
    <row r="96" spans="2:12">
      <c r="B96" s="27" t="s">
        <v>175</v>
      </c>
      <c r="C96" s="27"/>
      <c r="D96" s="27"/>
      <c r="E96" s="7" t="str">
        <f>Currency&amp;"/casting"</f>
        <v>USD/casting</v>
      </c>
      <c r="F96" s="38">
        <f>($F$93+$F$94)*$E$37</f>
        <v>5.066</v>
      </c>
      <c r="G96" s="38">
        <f>($G$93+$G$94)*$E$37</f>
        <v>4.2648</v>
      </c>
      <c r="H96" s="38">
        <f>($H$93+$H$94)*$E$37</f>
        <v>3.986075</v>
      </c>
      <c r="I96" s="38">
        <f>($I$93+$I$94)*$E$37</f>
        <v>3.81884</v>
      </c>
      <c r="J96" s="38">
        <f>($J$93+$J$94)*$E$37</f>
        <v>3.77009</v>
      </c>
    </row>
    <row r="97" spans="2:10">
      <c r="B97" s="17" t="s">
        <v>176</v>
      </c>
      <c r="C97" s="17"/>
      <c r="D97" s="17"/>
      <c r="E97" s="7" t="str">
        <f>Currency&amp;"/casting"</f>
        <v>USD/casting</v>
      </c>
      <c r="F97" s="51">
        <f>$F$91+$F$92+$F$93+$F$94+$F$95+$F$96</f>
        <v>71.6747338709677</v>
      </c>
      <c r="G97" s="51">
        <f>$G$91+$G$92+$G$93+$G$94+$G$95+$G$96</f>
        <v>65.0364053763441</v>
      </c>
      <c r="H97" s="51">
        <f>$H$91+$H$92+$H$93+$H$94+$H$95+$H$96</f>
        <v>62.6516161290323</v>
      </c>
      <c r="I97" s="51">
        <f>$I$91+$I$92+$I$93+$I$94+$I$95+$I$96</f>
        <v>61.2207425806452</v>
      </c>
      <c r="J97" s="51">
        <f>$J$91+$J$92+$J$93+$J$94+$J$95+$J$96</f>
        <v>60.8469925806452</v>
      </c>
    </row>
    <row r="98" spans="2:10">
      <c r="B98" s="27" t="s">
        <v>177</v>
      </c>
      <c r="C98" s="27"/>
      <c r="D98" s="27"/>
      <c r="E98" s="7" t="str">
        <f>Currency&amp;"/casting"</f>
        <v>USD/casting</v>
      </c>
      <c r="F98" s="52">
        <f>CEILING($F$97/(1-$E$38),$E$40)</f>
        <v>91.9</v>
      </c>
      <c r="G98" s="52">
        <f>CEILING($G$97/(1-$E$38),$E$40)</f>
        <v>83.4</v>
      </c>
      <c r="H98" s="52">
        <f>CEILING($H$97/(1-$E$38),$E$40)</f>
        <v>80.4</v>
      </c>
      <c r="I98" s="52">
        <f>CEILING($I$97/(1-$E$38),$E$40)</f>
        <v>78.5</v>
      </c>
      <c r="J98" s="52">
        <f>CEILING($J$97/(1-$E$38),$E$40)</f>
        <v>78.1</v>
      </c>
    </row>
    <row r="99" spans="2:10">
      <c r="B99" s="27" t="s">
        <v>178</v>
      </c>
      <c r="C99" s="27"/>
      <c r="D99" s="27"/>
      <c r="E99" s="7" t="str">
        <f>Currency</f>
        <v>USD</v>
      </c>
      <c r="F99" s="38">
        <f>$F$98*$F$89</f>
        <v>1838</v>
      </c>
      <c r="G99" s="38">
        <f>$G$98*$G$89</f>
        <v>4170</v>
      </c>
      <c r="H99" s="38">
        <f>$H$98*$H$89</f>
        <v>8040</v>
      </c>
      <c r="I99" s="38">
        <f>$I$98*$I$89</f>
        <v>19625</v>
      </c>
      <c r="J99" s="38">
        <f>$J$98*$J$89</f>
        <v>39050</v>
      </c>
    </row>
    <row r="100" spans="2:10">
      <c r="B100" s="27" t="s">
        <v>179</v>
      </c>
      <c r="C100" s="27"/>
      <c r="D100" s="27"/>
      <c r="E100" s="7" t="s">
        <v>180</v>
      </c>
      <c r="F100" s="41">
        <f>($F$98-$F$97)/$F$98</f>
        <v>0.220079065604268</v>
      </c>
      <c r="G100" s="41">
        <f>($G$98-$G$97)/$G$98</f>
        <v>0.220186985895155</v>
      </c>
      <c r="H100" s="41">
        <f>($H$98-$H$97)/$H$98</f>
        <v>0.220751043171241</v>
      </c>
      <c r="I100" s="41">
        <f>($I$98-$I$97)/$I$98</f>
        <v>0.220117928908979</v>
      </c>
      <c r="J100" s="41">
        <f>($J$98-$J$97)/$J$98</f>
        <v>0.220909185907232</v>
      </c>
    </row>
    <row r="101" spans="2:10">
      <c r="B101" s="27" t="s">
        <v>181</v>
      </c>
      <c r="C101" s="27"/>
      <c r="D101" s="27"/>
      <c r="E101" s="7" t="s">
        <v>86</v>
      </c>
      <c r="F101" s="53">
        <f>$F$90*$E$60/(1-$E$63)</f>
        <v>683.80376344086</v>
      </c>
      <c r="G101" s="53">
        <f>$G$90*$E$60/(1-$E$63)</f>
        <v>1678.42741935484</v>
      </c>
      <c r="H101" s="53">
        <f>$H$90*$E$60/(1-$E$63)</f>
        <v>3325.77284946237</v>
      </c>
      <c r="I101" s="53">
        <f>$I$90*$E$60/(1-$E$63)</f>
        <v>8267.80913978495</v>
      </c>
      <c r="J101" s="53">
        <f>$J$90*$E$60/(1-$E$63)</f>
        <v>16535.6182795699</v>
      </c>
    </row>
  </sheetData>
  <sheetProtection sheet="1" formatColumns="0" formatRows="0"/>
  <mergeCells count="84">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39:D39"/>
    <mergeCell ref="B40:D40"/>
    <mergeCell ref="B42:L42"/>
    <mergeCell ref="B54:L54"/>
    <mergeCell ref="B55:D55"/>
    <mergeCell ref="E55:F55"/>
    <mergeCell ref="B56:D56"/>
    <mergeCell ref="E56:F56"/>
    <mergeCell ref="B57:D57"/>
    <mergeCell ref="B58:D58"/>
    <mergeCell ref="B59:D59"/>
    <mergeCell ref="B60:D60"/>
    <mergeCell ref="B61:D61"/>
    <mergeCell ref="B62:D62"/>
    <mergeCell ref="B63:D63"/>
    <mergeCell ref="B64:D64"/>
    <mergeCell ref="B65:D65"/>
    <mergeCell ref="B66:D66"/>
    <mergeCell ref="B67:D67"/>
    <mergeCell ref="E67:F67"/>
    <mergeCell ref="B69:L69"/>
    <mergeCell ref="B70:D70"/>
    <mergeCell ref="B71:D71"/>
    <mergeCell ref="B72:D72"/>
    <mergeCell ref="B73:D73"/>
    <mergeCell ref="B75:L75"/>
    <mergeCell ref="B76:D76"/>
    <mergeCell ref="B77:D77"/>
    <mergeCell ref="B78:D78"/>
    <mergeCell ref="B80:L80"/>
    <mergeCell ref="B81:D81"/>
    <mergeCell ref="B82:D82"/>
    <mergeCell ref="B83:D83"/>
    <mergeCell ref="B84:D84"/>
    <mergeCell ref="B85:D85"/>
    <mergeCell ref="B86:D86"/>
    <mergeCell ref="B88:L88"/>
    <mergeCell ref="B89:D89"/>
    <mergeCell ref="B90:D90"/>
    <mergeCell ref="B91:D91"/>
    <mergeCell ref="B92:D92"/>
    <mergeCell ref="B93:D93"/>
    <mergeCell ref="B94:D94"/>
    <mergeCell ref="B95:D95"/>
    <mergeCell ref="B96:D96"/>
    <mergeCell ref="B97:D97"/>
    <mergeCell ref="B98:D98"/>
    <mergeCell ref="B99:D99"/>
    <mergeCell ref="B100:D100"/>
    <mergeCell ref="B101:D10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45:K52">
    <cfRule type="expression" dxfId="3" priority="41">
      <formula>$K45="OK"</formula>
    </cfRule>
    <cfRule type="expression" dxfId="1" priority="42">
      <formula>AND($K45&lt;&gt;"",$K45&lt;&gt;"OK")</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Casting Cost Estimator&amp;R&amp;8&amp;A</oddHeader>
    <oddFooter>&amp;L&amp;8mfgcalcs.com - free manufacturing templates&amp;R&amp;8Page &amp;P of &amp;N</oddFooter>
  </headerFooter>
  <rowBreaks count="3" manualBreakCount="3">
    <brk id="27" max="16383" man="1"/>
    <brk id="53" max="16383" man="1"/>
    <brk id="79"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55</vt:i4>
      </vt:variant>
    </vt:vector>
  </HeadingPairs>
  <TitlesOfParts>
    <vt:vector size="61" baseType="lpstr">
      <vt:lpstr>Start Here</vt:lpstr>
      <vt:lpstr>Setup</vt:lpstr>
      <vt:lpstr>Casting Estimate</vt:lpstr>
      <vt:lpstr>Dashboard</vt:lpstr>
      <vt:lpstr>Method</vt:lpstr>
      <vt:lpstr>Verify</vt:lpstr>
      <vt:lpstr>Alloy</vt:lpstr>
      <vt:lpstr>BreakList</vt:lpstr>
      <vt:lpstr>CastKg</vt:lpstr>
      <vt:lpstr>CastWt</vt:lpstr>
      <vt:lpstr>CoName</vt:lpstr>
      <vt:lpstr>CoreCost</vt:lpstr>
      <vt:lpstr>CorePP</vt:lpstr>
      <vt:lpstr>CoresPer</vt:lpstr>
      <vt:lpstr>Currency</vt:lpstr>
      <vt:lpstr>Customer</vt:lpstr>
      <vt:lpstr>DashBreak</vt:lpstr>
      <vt:lpstr>EnergyPrice</vt:lpstr>
      <vt:lpstr>FPY</vt:lpstr>
      <vt:lpstr>KpiCost</vt:lpstr>
      <vt:lpstr>KpiMargin</vt:lpstr>
      <vt:lpstr>KpiPour</vt:lpstr>
      <vt:lpstr>KpiPrice</vt:lpstr>
      <vt:lpstr>LiquidKg</vt:lpstr>
      <vt:lpstr>Margin</vt:lpstr>
      <vt:lpstr>MeltKWh</vt:lpstr>
      <vt:lpstr>MeltLoss</vt:lpstr>
      <vt:lpstr>MetalCheck</vt:lpstr>
      <vt:lpstr>MetalCost</vt:lpstr>
      <vt:lpstr>Overhead</vt:lpstr>
      <vt:lpstr>PartDesc</vt:lpstr>
      <vt:lpstr>PartNo</vt:lpstr>
      <vt:lpstr>PatAlloc</vt:lpstr>
      <vt:lpstr>PatCost</vt:lpstr>
      <vt:lpstr>PatEng</vt:lpstr>
      <vt:lpstr>PatPP</vt:lpstr>
      <vt:lpstr>PatQty</vt:lpstr>
      <vt:lpstr>PatResidual</vt:lpstr>
      <vt:lpstr>PerMould</vt:lpstr>
      <vt:lpstr>PourKg</vt:lpstr>
      <vt:lpstr>PreparedBy</vt:lpstr>
      <vt:lpstr>PriceKg</vt:lpstr>
      <vt:lpstr>'Casting Estimate'!Print_Area</vt:lpstr>
      <vt:lpstr>Dashboard!Print_Area</vt:lpstr>
      <vt:lpstr>Method!Print_Area</vt:lpstr>
      <vt:lpstr>Setup!Print_Area</vt:lpstr>
      <vt:lpstr>'Start Here'!Print_Area</vt:lpstr>
      <vt:lpstr>Verify!Print_Area</vt:lpstr>
      <vt:lpstr>Method!Print_Titles</vt:lpstr>
      <vt:lpstr>QuoteDate</vt:lpstr>
      <vt:lpstr>ReturnCredit</vt:lpstr>
      <vt:lpstr>ReturnsKg</vt:lpstr>
      <vt:lpstr>RoundStep</vt:lpstr>
      <vt:lpstr>RunCost</vt:lpstr>
      <vt:lpstr>RunMin</vt:lpstr>
      <vt:lpstr>SelfCheck</vt:lpstr>
      <vt:lpstr>SelfCheckSummary</vt:lpstr>
      <vt:lpstr>SelIdx</vt:lpstr>
      <vt:lpstr>SetupCost</vt:lpstr>
      <vt:lpstr>WtUnit</vt:lpstr>
      <vt:lpstr>Yield</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Casting Cost Estimator - free Excel template from MFG Calcs</dc:title>
  <dc:subject>Estimate a casting's cost from poured metal, melt loss, energy, cores, moulding and finishing, and price five order quantities.</dc:subject>
  <dc:creator>MFG Calcs</dc:creator>
  <cp:keywords>casting cost, foundry estimating, casting yield, poured weight, melt loss, pattern amortization, sand casting, casting quote</cp:keywords>
  <dc:description>https://www.mfgcalcs.com/templates/casting-cost-estimator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casting-cost-estimator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https://www.mfgcalcs.com/templates/casting-cost-estimator</vt:lpwstr>
  </property>
  <property fmtid="{D5CDD505-2E9C-101B-9397-08002B2CF9AE}" pid="7" name="Template sheet roles">
    <vt:lpwstr>Start Here=start;Setup=setup;Casting Estimate=form;Dashboard=dashboard;Method=method;Verify=verify</vt:lpwstr>
  </property>
</Properties>
</file>