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Quote Builder" sheetId="3" r:id="rId3"/>
    <sheet name="Dashboard" sheetId="4" r:id="rId4"/>
    <sheet name="Quote" sheetId="5" r:id="rId5"/>
    <sheet name="Method" sheetId="6" r:id="rId6"/>
    <sheet name="Verify" sheetId="7" r:id="rId7"/>
  </sheets>
  <definedNames>
    <definedName name="Allowance">'Quote Builder'!$C$26</definedName>
    <definedName name="BlankKg">'Quote Builder'!$C$29</definedName>
    <definedName name="BlankLen">'Quote Builder'!$C$25</definedName>
    <definedName name="BlankVol">'Quote Builder'!$C$28</definedName>
    <definedName name="BreakList">'Quote Builder'!$D$92:$H$92</definedName>
    <definedName name="BuyMarkup">Setup!$C$23</definedName>
    <definedName name="CoAddress1">Setup!$C$7</definedName>
    <definedName name="CoAddress2">Setup!$C$8</definedName>
    <definedName name="CoEmail">Setup!$C$10</definedName>
    <definedName name="CoName">Setup!$C$6</definedName>
    <definedName name="Contact">'Quote Builder'!$C$11</definedName>
    <definedName name="CoPhone">Setup!$C$9</definedName>
    <definedName name="Currency">Setup!$C$14</definedName>
    <definedName name="Customer">'Quote Builder'!$C$10</definedName>
    <definedName name="CycleMin">'Quote Builder'!$C$50</definedName>
    <definedName name="DashBreak">Dashboard!$C$4</definedName>
    <definedName name="DelTerms">Setup!$C$17</definedName>
    <definedName name="Density">'Quote Builder'!$C$27</definedName>
    <definedName name="DiaW">'Quote Builder'!$C$23</definedName>
    <definedName name="DimUnit">'Quote Builder'!$C$22</definedName>
    <definedName name="FPY">Setup!$C$25</definedName>
    <definedName name="HoursPerDay">Setup!$C$28</definedName>
    <definedName name="KpiCost">Dashboard!$D$8</definedName>
    <definedName name="KpiCycle">Dashboard!$J$8</definedName>
    <definedName name="KpiMargin">Dashboard!$G$8</definedName>
    <definedName name="KpiPrice">Dashboard!$B$8</definedName>
    <definedName name="Machines">tblMachines[Machine]</definedName>
    <definedName name="Margin">Setup!$C$24</definedName>
    <definedName name="MatCheck">'Quote Builder'!$C$33</definedName>
    <definedName name="MatCost">'Quote Builder'!$C$31</definedName>
    <definedName name="Material">'Quote Builder'!$C$20</definedName>
    <definedName name="Materials">tblMaterials[Material]</definedName>
    <definedName name="MatLead">'Quote Builder'!$C$86</definedName>
    <definedName name="NREAmort">'Quote Builder'!$C$75</definedName>
    <definedName name="OspDays">'Quote Builder'!$C$88</definedName>
    <definedName name="Overhead">Setup!$C$22</definedName>
    <definedName name="PartDesc">'Quote Builder'!$C$15</definedName>
    <definedName name="PartNo">'Quote Builder'!$C$13</definedName>
    <definedName name="PartRev">'Quote Builder'!$C$14</definedName>
    <definedName name="PayTerms">Setup!$C$16</definedName>
    <definedName name="PreparedBy">'Quote Builder'!$C$16</definedName>
    <definedName name="PriceKg">'Quote Builder'!$C$30</definedName>
    <definedName name="_xlnm.Print_Area" localSheetId="3">Dashboard!$A$1:$L$47</definedName>
    <definedName name="_xlnm.Print_Area" localSheetId="5">Method!$A$1:$D$60</definedName>
    <definedName name="_xlnm.Print_Area" localSheetId="2">'Quote Builder'!$A$1:$O$106</definedName>
    <definedName name="_xlnm.Print_Area" localSheetId="4">Quote!$A$4:$G$40</definedName>
    <definedName name="_xlnm.Print_Area" localSheetId="1">Setup!$A$1:$F$51</definedName>
    <definedName name="_xlnm.Print_Area" localSheetId="0">'Start Here'!$A$1:$F$58</definedName>
    <definedName name="_xlnm.Print_Area" localSheetId="6">Verify!$A$1:$O$125</definedName>
    <definedName name="_xlnm.Print_Titles" localSheetId="5">Method!$1:$2</definedName>
    <definedName name="QueueShip">'Quote Builder'!$C$87</definedName>
    <definedName name="QuoteDate">'Quote Builder'!$C$9</definedName>
    <definedName name="QuoteNo">'Quote Builder'!$C$8</definedName>
    <definedName name="RFQRef">'Quote Builder'!$C$12</definedName>
    <definedName name="RoundStep">Setup!$C$26</definedName>
    <definedName name="RunCost">'Quote Builder'!$C$48</definedName>
    <definedName name="SelfCheck">Verify!$D$4</definedName>
    <definedName name="SelfCheckSummary">Verify!$F$4</definedName>
    <definedName name="SelIdx">IFERROR(MATCH(DashBreak,'Quote Builder'!$D$92:$H$92,0),1)</definedName>
    <definedName name="SetupCost">'Quote Builder'!$C$47</definedName>
    <definedName name="SetupHours">'Quote Builder'!$C$49</definedName>
    <definedName name="Shape">'Quote Builder'!$C$21</definedName>
    <definedName name="Terms">Setup!$C$18</definedName>
    <definedName name="Thick">'Quote Builder'!$C$24</definedName>
    <definedName name="ToolChangeS">Setup!$C$27</definedName>
    <definedName name="ToolWear">'Quote Builder'!$C$64</definedName>
    <definedName name="Uptime">Setup!$C$29</definedName>
    <definedName name="Validity">Setup!$C$15</definedName>
    <definedName name="VolUnit">'Quote Builder'!$C$32</definedName>
  </definedNames>
  <calcPr calcId="124519" fullCalcOnLoad="1"/>
</workbook>
</file>

<file path=xl/sharedStrings.xml><?xml version="1.0" encoding="utf-8"?>
<sst xmlns="http://schemas.openxmlformats.org/spreadsheetml/2006/main" count="667" uniqueCount="389">
  <si>
    <t>CNC Machining Quote</t>
  </si>
  <si>
    <t>Read this first: what the workbook does and how to use it.</t>
  </si>
  <si>
    <t>mfgcalcs.com</t>
  </si>
  <si>
    <t>Estimate CNC cycle time from cutting data, cost every operation, tool and charge, and price five quantity breaks on a printable quote.</t>
  </si>
  <si>
    <t>For: Estimators, CNC programmers and owners of machine shops quoting milled and turned parts.</t>
  </si>
  <si>
    <t>Version 1.0.0  ·  updated 15 October 2026</t>
  </si>
  <si>
    <t>Quick start</t>
  </si>
  <si>
    <t>1.</t>
  </si>
  <si>
    <t>On Setup, enter your company details, currency, costing defaults, machine rates and material prices.</t>
  </si>
  <si>
    <t>2.</t>
  </si>
  <si>
    <t>On Quote Builder, fill in the RFQ and size the blank, then list each operation with its handling time, stock removed and removal rate, toolpath and feed, and tool changes.</t>
  </si>
  <si>
    <t>3.</t>
  </si>
  <si>
    <t>List the cutting tools with price, edges and parts per edge, then programming, fixtures and outside processing.</t>
  </si>
  <si>
    <t>4.</t>
  </si>
  <si>
    <t>Type five quantity breaks and read cost, unit price, margin and lead time; the Dashboard shows the break you pick.</t>
  </si>
  <si>
    <t>5.</t>
  </si>
  <si>
    <t>Print the Quote sheet or save it as PDF and send it.</t>
  </si>
  <si>
    <t>What is in this workbook</t>
  </si>
  <si>
    <t>Start Here</t>
  </si>
  <si>
    <t>Setup</t>
  </si>
  <si>
    <t>Your company, currency, terms, costing defaults, machine rates and material prices for every quote.</t>
  </si>
  <si>
    <t>Quote Builder</t>
  </si>
  <si>
    <t>Everything that sets the price: RFQ, blank, operations and cycle time, tools, NRE, outside processing, quantity breaks.</t>
  </si>
  <si>
    <t>Dashboard</t>
  </si>
  <si>
    <t>Price, cost, margin and lead time at the quantity you pick, and how the cost per part falls with quantity.</t>
  </si>
  <si>
    <t>Quote</t>
  </si>
  <si>
    <t>The customer-facing quotation. Print it or save it as PDF; it fills itself from the Quote Builder.</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</si>
  <si>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</si>
  <si>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</si>
  <si>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</si>
  <si>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</si>
  <si>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</si>
  <si>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</si>
  <si>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</si>
  <si>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</si>
  <si>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</si>
  <si>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</si>
  <si>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</si>
  <si>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</si>
  <si>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</si>
  <si>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</si>
  <si>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</si>
  <si>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</si>
  <si>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</si>
  <si>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</si>
  <si>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</si>
  <si>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</si>
  <si>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Machining Cost per Part Calculator on mfgcalcs.com</t>
  </si>
  <si>
    <t>Latest version</t>
  </si>
  <si>
    <t>mfgcalcs.com/templates/cnc-machining-quote</t>
  </si>
  <si>
    <t>More free templates</t>
  </si>
  <si>
    <t>mfgcalcs.com/templates</t>
  </si>
  <si>
    <t>Version</t>
  </si>
  <si>
    <t>1.0.0 (updated 15 October 2026)</t>
  </si>
  <si>
    <t>About the example data</t>
  </si>
  <si>
    <t>Every number already in this workbook is example data for Kestrel Precision Machining, a fictional business invented for this template, so the dashboard and charts show something meaningful on day one. The example quotes a 6061 aluminium hydraulic manifold block, milled on two sides and hard anodised, for a fictional customer; all rates, prices and cutting data are invented for the example. To start with your own data, overwrite the yellow cells.</t>
  </si>
  <si>
    <t>Good to know</t>
  </si>
  <si>
    <t>•</t>
  </si>
  <si>
    <t>Sheets Start Here, Dashboard, Quote,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</si>
  <si>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</si>
  <si>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</si>
  <si>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</si>
  <si>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The Quote sheet prints without the MFG Calcs band at the top; its page footer keeps a small mfgcalcs.com credit, which you can change in Page Layout &gt; Header &amp; Footer after unprotecting the sheet.</t>
  </si>
  <si>
    <t>Free from MFG Calcs - keep this credit when you share it.</t>
  </si>
  <si>
    <t>Engineering estimates for planning and improvement work. Verify the results against your own process, data and standards before you rely on them.</t>
  </si>
  <si>
    <t>Machine</t>
  </si>
  <si>
    <t>Rate per hour</t>
  </si>
  <si>
    <t>Notes</t>
  </si>
  <si>
    <t>Material</t>
  </si>
  <si>
    <t>Density (g/cm3)</t>
  </si>
  <si>
    <t>Price</t>
  </si>
  <si>
    <t>Per</t>
  </si>
  <si>
    <t>Your company (printed on the quote)</t>
  </si>
  <si>
    <t>Company name</t>
  </si>
  <si>
    <t>Kestrel Precision Machining (example)</t>
  </si>
  <si>
    <t>Address line 1</t>
  </si>
  <si>
    <t>Bay 7, Airfield Business Park</t>
  </si>
  <si>
    <t>Address line 2</t>
  </si>
  <si>
    <t>Kestrel Ridge, KR4 9TP</t>
  </si>
  <si>
    <t>Phone</t>
  </si>
  <si>
    <t>+1 555 0117</t>
  </si>
  <si>
    <t>Email</t>
  </si>
  <si>
    <t>estimating@example.com</t>
  </si>
  <si>
    <t>Commercial terms</t>
  </si>
  <si>
    <t>Currency label</t>
  </si>
  <si>
    <t>USD</t>
  </si>
  <si>
    <t>Quote valid for</t>
  </si>
  <si>
    <t>days</t>
  </si>
  <si>
    <t>Payment terms</t>
  </si>
  <si>
    <t>Net 30 days from invoice</t>
  </si>
  <si>
    <t>Delivery terms</t>
  </si>
  <si>
    <t>Ex works, packed for courier</t>
  </si>
  <si>
    <t>Standard terms (printed on the quote)</t>
  </si>
  <si>
    <t>Prices are per part in the currency shown and exclude sales taxes and freight unless stated. Lead times are working days from receipt of order, approved drawings and 3D models. Charges billed separately are invoiced with the first delivery. Replace this example text with your own terms of sale.</t>
  </si>
  <si>
    <t>Costing defaults</t>
  </si>
  <si>
    <t>Shop overhead on machine and setup cost</t>
  </si>
  <si>
    <t>Markup on material and outside processing</t>
  </si>
  <si>
    <t>Target margin on price</t>
  </si>
  <si>
    <t>First-pass yield</t>
  </si>
  <si>
    <t>Round unit prices up to the nearest</t>
  </si>
  <si>
    <t>Tool change time, chip to chip</t>
  </si>
  <si>
    <t>s</t>
  </si>
  <si>
    <t>Scheduled hours per working day</t>
  </si>
  <si>
    <t>h/day</t>
  </si>
  <si>
    <t>Uptime of scheduled hours</t>
  </si>
  <si>
    <t>Machines and material prices</t>
  </si>
  <si>
    <t>Machines and benches (example rates)</t>
  </si>
  <si>
    <t>Bandsaw</t>
  </si>
  <si>
    <t>Includes operator</t>
  </si>
  <si>
    <t>VMC 3-axis</t>
  </si>
  <si>
    <t>40-taper vertical machining centre</t>
  </si>
  <si>
    <t>5-axis machining centre</t>
  </si>
  <si>
    <t/>
  </si>
  <si>
    <t>CNC lathe</t>
  </si>
  <si>
    <t>Bar fed, live tooling</t>
  </si>
  <si>
    <t>Deburr and wash bench</t>
  </si>
  <si>
    <t>Manual work</t>
  </si>
  <si>
    <t>CMM inspection</t>
  </si>
  <si>
    <t>Programmed CMM plus bench gauges</t>
  </si>
  <si>
    <t>Materials (example prices)</t>
  </si>
  <si>
    <t>Aluminium 6061-T6</t>
  </si>
  <si>
    <t>kg</t>
  </si>
  <si>
    <t>Example price; use your supplier's quote</t>
  </si>
  <si>
    <t>Aluminium 7075-T6</t>
  </si>
  <si>
    <t>Example price</t>
  </si>
  <si>
    <t>Steel 1018</t>
  </si>
  <si>
    <t>Stainless 316L</t>
  </si>
  <si>
    <t>Brass C360</t>
  </si>
  <si>
    <t>lb</t>
  </si>
  <si>
    <t>Example price per pound</t>
  </si>
  <si>
    <t>Acetal (POM)</t>
  </si>
  <si>
    <t>Operation</t>
  </si>
  <si>
    <t>Setup (h)</t>
  </si>
  <si>
    <t>Handling (min/part)</t>
  </si>
  <si>
    <t>Stock removed</t>
  </si>
  <si>
    <t>MRR</t>
  </si>
  <si>
    <t>Toolpath</t>
  </si>
  <si>
    <t>Feed</t>
  </si>
  <si>
    <t>Tool changes</t>
  </si>
  <si>
    <t>Rate</t>
  </si>
  <si>
    <t>Cycle (min/part)</t>
  </si>
  <si>
    <t>Setup cost</t>
  </si>
  <si>
    <t>Run cost</t>
  </si>
  <si>
    <t>Check</t>
  </si>
  <si>
    <t>Tool</t>
  </si>
  <si>
    <t>Edges or lives</t>
  </si>
  <si>
    <t>Parts per edge</t>
  </si>
  <si>
    <t>Cost per part</t>
  </si>
  <si>
    <t>Item</t>
  </si>
  <si>
    <t>Cost</t>
  </si>
  <si>
    <t>Billing</t>
  </si>
  <si>
    <t>Quote line</t>
  </si>
  <si>
    <t>Process</t>
  </si>
  <si>
    <t>Supplier</t>
  </si>
  <si>
    <t>Price per part</t>
  </si>
  <si>
    <t>Lot charge</t>
  </si>
  <si>
    <t>Lead time (days)</t>
  </si>
  <si>
    <t>Example quote for Kestrel Precision Machining (fictional). Overwrite the yellow cells with your RFQ; edit or delete the example table rows. Blue cells calculate. The Dashboard and the Quote sheet fill from here.</t>
  </si>
  <si>
    <t>RFQ details</t>
  </si>
  <si>
    <t>Quote number</t>
  </si>
  <si>
    <t>Q-2026-0388</t>
  </si>
  <si>
    <t>Quote date</t>
  </si>
  <si>
    <t>Customer</t>
  </si>
  <si>
    <t>Arden Fluid Power (example)</t>
  </si>
  <si>
    <t>Attention</t>
  </si>
  <si>
    <t>Purchasing</t>
  </si>
  <si>
    <t>Customer RFQ reference</t>
  </si>
  <si>
    <t>RFQ-5521</t>
  </si>
  <si>
    <t>Part number</t>
  </si>
  <si>
    <t>AFP-MB-204</t>
  </si>
  <si>
    <t>Drawing revision</t>
  </si>
  <si>
    <t>B</t>
  </si>
  <si>
    <t>Part description</t>
  </si>
  <si>
    <t>Hydraulic manifold block, milled two sides, hard anodised</t>
  </si>
  <si>
    <t>Prepared by</t>
  </si>
  <si>
    <t>Estimating</t>
  </si>
  <si>
    <t>Material and blank</t>
  </si>
  <si>
    <t>Stock shape</t>
  </si>
  <si>
    <t>Rectangular bar or plate</t>
  </si>
  <si>
    <t>Dimensions in</t>
  </si>
  <si>
    <t>mm</t>
  </si>
  <si>
    <t>Diameter (round) or width</t>
  </si>
  <si>
    <t>Thickness (rectangular only)</t>
  </si>
  <si>
    <t>Blank length, incl. cut-off and facing</t>
  </si>
  <si>
    <t>Material allowance (bar ends, kerf)</t>
  </si>
  <si>
    <t>Density</t>
  </si>
  <si>
    <t>g/cm3</t>
  </si>
  <si>
    <t>Blank volume</t>
  </si>
  <si>
    <t>cm3</t>
  </si>
  <si>
    <t>Blank mass</t>
  </si>
  <si>
    <t>Material price</t>
  </si>
  <si>
    <t>Material cost per blank</t>
  </si>
  <si>
    <t>Volume unit for stock removed and MRR</t>
  </si>
  <si>
    <t>Material check</t>
  </si>
  <si>
    <t>Operations and cycle time (one row per operation)</t>
  </si>
  <si>
    <t>Cycle per part = handling + stock removed / MRR + toolpath / feed + tool changes x the chip-to-chip time on Setup. Take stock removed and toolpath length from your CAM system, or estimate them from the drawing.</t>
  </si>
  <si>
    <t>Op 10  Saw blank from flat bar</t>
  </si>
  <si>
    <t>Op 20  Mill side A: face, pocket, drill</t>
  </si>
  <si>
    <t>Op 30  Mill side B, cross ports, tap</t>
  </si>
  <si>
    <t>Op 40  Deburr, wash, blow out ports</t>
  </si>
  <si>
    <t>Op 50  Inspect on CMM</t>
  </si>
  <si>
    <t>Operation totals</t>
  </si>
  <si>
    <t>Setup cost per batch</t>
  </si>
  <si>
    <t>Machine cost per part started</t>
  </si>
  <si>
    <t>Setup hours per batch</t>
  </si>
  <si>
    <t>h</t>
  </si>
  <si>
    <t>Cycle time per part, all operations</t>
  </si>
  <si>
    <t>min/part</t>
  </si>
  <si>
    <t>Cutting tools (tool wear per part)</t>
  </si>
  <si>
    <t>50 mm face mill, set of 5 inserts</t>
  </si>
  <si>
    <t>12 mm carbide rougher</t>
  </si>
  <si>
    <t>6 mm carbide finisher</t>
  </si>
  <si>
    <t>Spot drill and drills, set</t>
  </si>
  <si>
    <t>Port form tool</t>
  </si>
  <si>
    <t>M6 taps</t>
  </si>
  <si>
    <t>Tool total</t>
  </si>
  <si>
    <t>Tool wear per part started</t>
  </si>
  <si>
    <t>Programming, fixtures and one-off charges</t>
  </si>
  <si>
    <t>CAM programming and prove-out, 5 h</t>
  </si>
  <si>
    <t>Amortise</t>
  </si>
  <si>
    <t>Fixture plate and soft jaws</t>
  </si>
  <si>
    <t>First article inspection report</t>
  </si>
  <si>
    <t>Bill separately</t>
  </si>
  <si>
    <t>NRE total</t>
  </si>
  <si>
    <t>Programming and NRE to amortise</t>
  </si>
  <si>
    <t>Outside processing (bought-in operations)</t>
  </si>
  <si>
    <t>working days</t>
  </si>
  <si>
    <t>Hard anodise, black</t>
  </si>
  <si>
    <t>Example Finishers</t>
  </si>
  <si>
    <t>Laser part marking</t>
  </si>
  <si>
    <t>Example Marking</t>
  </si>
  <si>
    <t>Lead time inputs</t>
  </si>
  <si>
    <t>Material lead time</t>
  </si>
  <si>
    <t>Queue, packing and shipping</t>
  </si>
  <si>
    <t>Outside processing (sum of rows)</t>
  </si>
  <si>
    <t>Price by quantity break</t>
  </si>
  <si>
    <t>Quantity (good parts)</t>
  </si>
  <si>
    <t>Unit</t>
  </si>
  <si>
    <t>Parts to start (yield)</t>
  </si>
  <si>
    <t>parts</t>
  </si>
  <si>
    <t>Material incl. markup</t>
  </si>
  <si>
    <t>Machine time</t>
  </si>
  <si>
    <t>Cutting tool wear</t>
  </si>
  <si>
    <t>Setup, spread over the quantity</t>
  </si>
  <si>
    <t>Programming and NRE, amortised</t>
  </si>
  <si>
    <t>Outside processing incl. markup</t>
  </si>
  <si>
    <t>Shop overhead</t>
  </si>
  <si>
    <t>Total cost per part</t>
  </si>
  <si>
    <t>Unit price</t>
  </si>
  <si>
    <t>Extended price</t>
  </si>
  <si>
    <t>Margin achieved</t>
  </si>
  <si>
    <t>% of price</t>
  </si>
  <si>
    <t>Machine and bench hours</t>
  </si>
  <si>
    <t>Lead time</t>
  </si>
  <si>
    <t>Quantity shown</t>
  </si>
  <si>
    <t>MARGIN ACHIEVED</t>
  </si>
  <si>
    <t>CYCLE TIME PER PART (MIN)</t>
  </si>
  <si>
    <t>Rounded up to your price step</t>
  </si>
  <si>
    <t>All lines, before margin</t>
  </si>
  <si>
    <t>Cost build-up at the quantity shown</t>
  </si>
  <si>
    <t>Cost line</t>
  </si>
  <si>
    <t>Per part</t>
  </si>
  <si>
    <t>Share of cost</t>
  </si>
  <si>
    <t>For the order</t>
  </si>
  <si>
    <t>%</t>
  </si>
  <si>
    <t>Programming and NRE</t>
  </si>
  <si>
    <t>Outside processing</t>
  </si>
  <si>
    <t>Chart data: cost per part by group</t>
  </si>
  <si>
    <t>Quantity</t>
  </si>
  <si>
    <t>Machine time and overhead</t>
  </si>
  <si>
    <t>Tool wear</t>
  </si>
  <si>
    <t>Setup, programming, NRE</t>
  </si>
  <si>
    <t>Your logo here
(Insert &gt; Pictures, then drag it onto this box)</t>
  </si>
  <si>
    <t>QUOTATION</t>
  </si>
  <si>
    <t>To</t>
  </si>
  <si>
    <t>Date</t>
  </si>
  <si>
    <t>Your reference</t>
  </si>
  <si>
    <t>Valid until</t>
  </si>
  <si>
    <t>Description</t>
  </si>
  <si>
    <t>Delivery after order</t>
  </si>
  <si>
    <t>Charges billed separately</t>
  </si>
  <si>
    <t>Terms</t>
  </si>
  <si>
    <t>Payment</t>
  </si>
  <si>
    <t>Delivery</t>
  </si>
  <si>
    <t>Validity</t>
  </si>
  <si>
    <t>Acceptance</t>
  </si>
  <si>
    <t>Accepted for and on behalf of</t>
  </si>
  <si>
    <t>Name and position</t>
  </si>
  <si>
    <t>Signature and date</t>
  </si>
  <si>
    <t>Purchase order number</t>
  </si>
  <si>
    <t>What this workbook calculates</t>
  </si>
  <si>
    <t>Each operation's cycle time is built from cutting data, priced at its machine's hourly rate and added to material, tool wear, setup, programming and outside processing for each quantity break. The cost is marked up to the target margin on price and rounded up to your price step. Setup and one-off charges are fixed per batch, so they spread over the quantity; material, machine time and tool wear scale with the parts you must start, which is the quantity divided by first-pass yield.</t>
  </si>
  <si>
    <t>Calculations</t>
  </si>
  <si>
    <t>How it is calculated</t>
  </si>
  <si>
    <t>Units</t>
  </si>
  <si>
    <t>Blank volume and mass</t>
  </si>
  <si>
    <t>Round: pi x (diameter / 2)^2 x length; rectangular: width x thickness x length; in cm3 (mm3 x 0.001 or in3 x 16.387064). Mass = volume x density / 1000.</t>
  </si>
  <si>
    <t>cm3, kg</t>
  </si>
  <si>
    <t>Blank mass x price per kg (a price per lb / 0.45359237) x (1 + allowance).</t>
  </si>
  <si>
    <t>currency</t>
  </si>
  <si>
    <t>Operation cycle</t>
  </si>
  <si>
    <t>Handling + stock removed / MRR + toolpath / feed + tool changes x chip-to-chip seconds / 60. Volume and length units cancel.</t>
  </si>
  <si>
    <t>Operation costs</t>
  </si>
  <si>
    <t>Setup cost = setup hours x machine rate; run cost = cycle / 60 x machine rate. Totals sum over the operations.</t>
  </si>
  <si>
    <t>Tool wear per part</t>
  </si>
  <si>
    <t>Sum over tools of price / edges or lives / parts per edge.</t>
  </si>
  <si>
    <t>currency/part</t>
  </si>
  <si>
    <t>Parts to start</t>
  </si>
  <si>
    <t>CEILING(quantity / first-pass yield): scrap is remade, so it uses material, machine time and tools.</t>
  </si>
  <si>
    <t>Variable lines</t>
  </si>
  <si>
    <t>Material x (1 + markup), machine cost and tool wear, each x parts to start / quantity.</t>
  </si>
  <si>
    <t>Fixed lines</t>
  </si>
  <si>
    <t>Setup cost / quantity; programming and NRE billed 'Amortise' / quantity.</t>
  </si>
  <si>
    <t>Per process the larger of lot charge and price x quantity, summed, / quantity, x (1 + markup).</t>
  </si>
  <si>
    <t>(Setup + machine time per part) x overhead %.</t>
  </si>
  <si>
    <t>CEILING(total cost / (1 - target margin), price step). Margin achieved = (price - cost) / price.</t>
  </si>
  <si>
    <t>Material lead + CEILING(hours / (hours per day x uptime)) + outside lead times + queue and shipping; hours = setup hours + parts to start x cycle / 60.</t>
  </si>
  <si>
    <t>Assumptions</t>
  </si>
  <si>
    <t>Operations run one after another; machine and bench hours add up across the operations (a conservative lead time).</t>
  </si>
  <si>
    <t>The removal rate and feed you type are the averages you achieve, including ramps, approaches and rapids; handling covers everything else.</t>
  </si>
  <si>
    <t>Every operation runs the parts started; scrap is found at the end and remade inside the same batch.</t>
  </si>
  <si>
    <t>Outside processing is charged on the quoted quantity, not on parts started.</t>
  </si>
  <si>
    <t>Machine rates are what you charge per hour of that machine or bench; overhead is added on top only if you set it.</t>
  </si>
  <si>
    <t>Limitations</t>
  </si>
  <si>
    <t>Cycle times are estimates from your cutting data; prove them on the first batch and update the operations table.</t>
  </si>
  <si>
    <t>One chip-to-chip time for every machine; a lathe turret indexes faster than a 40-taper changer, so adjust the handling minutes if it matters.</t>
  </si>
  <si>
    <t>Material is costed per blank; nesting several parts per bar or plate is not modelled.</t>
  </si>
  <si>
    <t>No taxes, duties, freight, currency conversion or payment discounts are calculated.</t>
  </si>
  <si>
    <t>Agreement with the live calculator</t>
  </si>
  <si>
    <t>The live Machining Cost per Part calculator takes a batch quantity, a variable cost per part and two fixed adders per batch (setup, programming and fixture; inspection, handling and overhead) and returns (quantity x variable + adders) / quantity. This workbook builds the same two parts from the operations: fixed per batch = setup cost x (1 + overhead) + amortised programming and NRE; variable per part = everything else. The build checks the calculator's own example (250 parts, 18.50 variable, 650 + 275 adders: 22.20 per part) and the example quote's 100-part break against the calculator's engine. The calculator has no price, cycle-time or lead-time model; those are this template's own.</t>
  </si>
  <si>
    <t>Open the Machining Cost per Part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</si>
  <si>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</si>
  <si>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</si>
  <si>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Shop costing practice: setup amortised per batch, run cost per part, margin on price (see the MFG Calcs CNC Machine Hour Cost calculator for building a machine rate).</t>
  </si>
  <si>
    <t>Unit conversions: 1 lb = 0.45359237 kg and 1 in = 2.54 cm exactly (international yard and pound agreement, 1959).</t>
  </si>
  <si>
    <t>MFG Calcs Machining Cost per Part calculator (machining-cost-per-part): the batch cost model the build-up decomposes into.</t>
  </si>
  <si>
    <t>Standards are cited by name so you can look them up; no copyrighted standard text or tables are reproduced. Statistical constants used are public.</t>
  </si>
  <si>
    <t>Version history</t>
  </si>
  <si>
    <t>Change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</si>
  <si>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</si>
  <si>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</si>
  <si>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</si>
  <si>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</si>
  <si>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</si>
  <si>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</si>
  <si>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</si>
  <si>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</si>
  <si>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</si>
  <si>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</si>
  <si>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</si>
  <si>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</si>
  <si>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Blank mass (kg)</t>
  </si>
  <si>
    <t>Op 20: cycle (min/part)</t>
  </si>
  <si>
    <t>Op 30: run cost per part</t>
  </si>
  <si>
    <t>Test row: Check reports the missing feed</t>
  </si>
  <si>
    <t>Toolpath needs a feed</t>
  </si>
  <si>
    <t>exact</t>
  </si>
  <si>
    <t>Tool row 2: tool wear per part</t>
  </si>
  <si>
    <t>NRE row 3: quote line number</t>
  </si>
  <si>
    <t>Qty 10: outside processing per part</t>
  </si>
  <si>
    <t>Qty 10: total cost per part</t>
  </si>
  <si>
    <t>Qty 10: unit price</t>
  </si>
  <si>
    <t>Qty 10: lead time (working days)</t>
  </si>
  <si>
    <t>Qty 100: outside processing per part</t>
  </si>
  <si>
    <t>Qty 100: total cost per part</t>
  </si>
  <si>
    <t>Qty 100: unit price</t>
  </si>
  <si>
    <t>Qty 100: lead time (working days)</t>
  </si>
  <si>
    <t>Qty 250: outside processing per part</t>
  </si>
  <si>
    <t>Qty 250: total cost per part</t>
  </si>
  <si>
    <t>Qty 250: unit price</t>
  </si>
  <si>
    <t>Qty 250: lead time (working days)</t>
  </si>
  <si>
    <t>Fixed test inputs</t>
  </si>
  <si>
    <t>White cells are fixed test inputs; blue cells are the workbook's formulas evaluated on them.</t>
  </si>
  <si>
    <t>Parameters</t>
  </si>
  <si>
    <t>Price rounding step</t>
  </si>
  <si>
    <t>Tool change time (s)</t>
  </si>
  <si>
    <t>Scheduled hours per day</t>
  </si>
  <si>
    <t>Uptime</t>
  </si>
  <si>
    <t>Test table: Ops</t>
  </si>
  <si>
    <t>Test: toolpath without feed</t>
  </si>
  <si>
    <t>Test table: Tools</t>
  </si>
  <si>
    <t>Test table: Outside</t>
  </si>
  <si>
    <t>Test table: NRE</t>
  </si>
  <si>
    <t>Test operation totals (same formulas, over the test operations)</t>
  </si>
  <si>
    <t>Test tool total</t>
  </si>
  <si>
    <t>Test NRE total</t>
  </si>
  <si>
    <t>Test material and blank</t>
  </si>
  <si>
    <t>Test lead-time inputs</t>
  </si>
  <si>
    <t>Test price build-up (same formulas as the Quote Builder)</t>
  </si>
</sst>
</file>

<file path=xl/styles.xml><?xml version="1.0" encoding="utf-8"?>
<styleSheet xmlns="http://schemas.openxmlformats.org/spreadsheetml/2006/main">
  <numFmts count="10">
    <numFmt numFmtId="164" formatCode="#,##0"/>
    <numFmt numFmtId="165" formatCode="0.0%"/>
    <numFmt numFmtId="166" formatCode="#,##0.00"/>
    <numFmt numFmtId="167" formatCode="#,##0.0"/>
    <numFmt numFmtId="168" formatCode="d mmm yyyy"/>
    <numFmt numFmtId="169" formatCode="#,##0.000"/>
    <numFmt numFmtId="170" formatCode="#,##0.0000"/>
    <numFmt numFmtId="171" formatCode="&quot;Target &quot;0.0%"/>
    <numFmt numFmtId="172" formatCode="0.0E+00"/>
    <numFmt numFmtId="173" formatCode="0.0000"/>
  </numFmts>
  <fonts count="25">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i/>
      <sz val="9"/>
      <color rgb="FF6B7280"/>
      <name val="Calibri"/>
      <family val="2"/>
      <scheme val="minor"/>
    </font>
    <font>
      <b/>
      <sz val="10"/>
      <color rgb="FFFFFFFF"/>
      <name val="Calibri"/>
      <family val="2"/>
      <scheme val="minor"/>
    </font>
    <font>
      <sz val="9"/>
      <color rgb="FF8A4A06"/>
      <name val="Calibri"/>
      <family val="2"/>
      <scheme val="minor"/>
    </font>
    <font>
      <sz val="9"/>
      <color rgb="FF1B2430"/>
      <name val="Calibri"/>
      <family val="2"/>
      <scheme val="minor"/>
    </font>
    <font>
      <b/>
      <sz val="9"/>
      <color rgb="FF4A5361"/>
      <name val="Calibri"/>
      <family val="2"/>
      <scheme val="minor"/>
    </font>
    <font>
      <sz val="9"/>
      <color rgb="FF4A5361"/>
      <name val="Calibri"/>
      <family val="2"/>
      <scheme val="minor"/>
    </font>
    <font>
      <b/>
      <sz val="20"/>
      <color rgb="FF14386C"/>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2">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C7D4EE"/>
      </left>
      <right style="thin">
        <color rgb="FFC7D4EE"/>
      </right>
      <top style="medium">
        <color rgb="FF14386C"/>
      </top>
      <bottom style="thin">
        <color rgb="FFC7D4EE"/>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
      <left/>
      <right/>
      <top/>
      <bottom style="thin">
        <color rgb="FFD6DBE3"/>
      </bottom>
      <diagonal/>
    </border>
  </borders>
  <cellStyleXfs count="1">
    <xf numFmtId="0" fontId="0" fillId="0" borderId="0"/>
  </cellStyleXfs>
  <cellXfs count="94">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0" fontId="10" fillId="3" borderId="2" xfId="0" applyFont="1" applyFill="1" applyBorder="1" applyAlignment="1" applyProtection="1">
      <alignment vertical="top" wrapText="1"/>
      <protection locked="0"/>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167"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0" borderId="0" xfId="0" applyFont="1" applyAlignment="1">
      <alignment horizontal="center" vertical="center"/>
    </xf>
    <xf numFmtId="0" fontId="19" fillId="2" borderId="5" xfId="0" applyFont="1" applyFill="1" applyBorder="1" applyAlignment="1">
      <alignment horizontal="center" vertical="center" wrapText="1"/>
    </xf>
    <xf numFmtId="0" fontId="20" fillId="7" borderId="2" xfId="0" applyFont="1" applyFill="1" applyBorder="1" applyAlignment="1">
      <alignment vertical="center" wrapText="1"/>
    </xf>
    <xf numFmtId="168" fontId="10" fillId="3" borderId="2" xfId="0" applyNumberFormat="1" applyFont="1" applyFill="1" applyBorder="1" applyAlignment="1" applyProtection="1">
      <alignment horizontal="left" vertical="center"/>
      <protection locked="0"/>
    </xf>
    <xf numFmtId="166" fontId="10" fillId="4" borderId="3" xfId="0" applyNumberFormat="1" applyFont="1" applyFill="1" applyBorder="1" applyAlignment="1">
      <alignment vertical="center"/>
    </xf>
    <xf numFmtId="169" fontId="10" fillId="4" borderId="3" xfId="0" applyNumberFormat="1" applyFont="1" applyFill="1" applyBorder="1" applyAlignment="1">
      <alignment vertical="center"/>
    </xf>
    <xf numFmtId="170" fontId="9" fillId="4" borderId="3" xfId="0" applyNumberFormat="1" applyFont="1" applyFill="1" applyBorder="1" applyAlignment="1">
      <alignment vertical="center"/>
    </xf>
    <xf numFmtId="0" fontId="10" fillId="4" borderId="3" xfId="0" applyFont="1" applyFill="1" applyBorder="1" applyAlignment="1">
      <alignment vertical="center"/>
    </xf>
    <xf numFmtId="170" fontId="10" fillId="4" borderId="3" xfId="0" applyNumberFormat="1" applyFont="1" applyFill="1" applyBorder="1" applyAlignment="1">
      <alignment vertical="center"/>
    </xf>
    <xf numFmtId="0" fontId="21" fillId="4" borderId="3" xfId="0" applyFont="1" applyFill="1" applyBorder="1" applyAlignment="1">
      <alignment vertical="center"/>
    </xf>
    <xf numFmtId="166" fontId="9" fillId="4" borderId="3" xfId="0" applyNumberFormat="1" applyFont="1" applyFill="1" applyBorder="1" applyAlignment="1">
      <alignment vertical="center"/>
    </xf>
    <xf numFmtId="164" fontId="10" fillId="4" borderId="3" xfId="0" applyNumberFormat="1" applyFont="1" applyFill="1" applyBorder="1" applyAlignment="1">
      <alignment vertical="center"/>
    </xf>
    <xf numFmtId="0" fontId="19" fillId="2" borderId="5" xfId="0" applyFont="1" applyFill="1" applyBorder="1" applyAlignment="1">
      <alignment horizontal="left" vertical="center" wrapText="1"/>
    </xf>
    <xf numFmtId="164" fontId="10" fillId="3" borderId="2" xfId="0" applyNumberFormat="1" applyFont="1" applyFill="1" applyBorder="1" applyAlignment="1" applyProtection="1">
      <alignment horizontal="center" vertical="center"/>
      <protection locked="0"/>
    </xf>
    <xf numFmtId="166" fontId="9" fillId="4" borderId="6" xfId="0" applyNumberFormat="1" applyFont="1" applyFill="1" applyBorder="1" applyAlignment="1">
      <alignment vertical="center"/>
    </xf>
    <xf numFmtId="166" fontId="15" fillId="4" borderId="3" xfId="0" applyNumberFormat="1" applyFont="1" applyFill="1" applyBorder="1" applyAlignment="1">
      <alignment horizontal="center" vertical="center"/>
    </xf>
    <xf numFmtId="165" fontId="10" fillId="4" borderId="3" xfId="0" applyNumberFormat="1" applyFont="1" applyFill="1" applyBorder="1" applyAlignment="1">
      <alignment vertical="center"/>
    </xf>
    <xf numFmtId="167" fontId="10" fillId="4" borderId="3" xfId="0" applyNumberFormat="1" applyFont="1" applyFill="1" applyBorder="1" applyAlignment="1">
      <alignment vertical="center"/>
    </xf>
    <xf numFmtId="164" fontId="9" fillId="4" borderId="3" xfId="0" applyNumberFormat="1" applyFont="1" applyFill="1" applyBorder="1" applyAlignment="1">
      <alignment vertical="center"/>
    </xf>
    <xf numFmtId="0" fontId="18" fillId="0" borderId="0" xfId="0" applyFont="1" applyAlignment="1">
      <alignment vertical="center"/>
    </xf>
    <xf numFmtId="0" fontId="22" fillId="9" borderId="7" xfId="0" applyFont="1" applyFill="1" applyBorder="1" applyAlignment="1">
      <alignment vertical="center" wrapText="1"/>
    </xf>
    <xf numFmtId="166" fontId="4" fillId="9" borderId="8" xfId="0" applyNumberFormat="1" applyFont="1" applyFill="1" applyBorder="1" applyAlignment="1">
      <alignment horizontal="left" vertical="center"/>
    </xf>
    <xf numFmtId="165" fontId="4" fillId="9" borderId="8" xfId="0" applyNumberFormat="1" applyFont="1" applyFill="1" applyBorder="1" applyAlignment="1">
      <alignment horizontal="left" vertical="center"/>
    </xf>
    <xf numFmtId="167" fontId="4" fillId="9" borderId="8" xfId="0" applyNumberFormat="1" applyFont="1" applyFill="1" applyBorder="1" applyAlignment="1">
      <alignment horizontal="left" vertical="center"/>
    </xf>
    <xf numFmtId="0" fontId="23" fillId="9" borderId="8" xfId="0" applyFont="1" applyFill="1" applyBorder="1" applyAlignment="1">
      <alignment vertical="center"/>
    </xf>
    <xf numFmtId="171" fontId="23" fillId="9" borderId="8" xfId="0" applyNumberFormat="1" applyFont="1" applyFill="1" applyBorder="1" applyAlignment="1">
      <alignment horizontal="left" vertical="center"/>
    </xf>
    <xf numFmtId="0" fontId="22" fillId="9" borderId="9" xfId="0" applyFont="1" applyFill="1" applyBorder="1" applyAlignment="1">
      <alignment vertical="center"/>
    </xf>
    <xf numFmtId="0" fontId="9" fillId="0" borderId="10" xfId="0" applyFont="1" applyBorder="1" applyAlignment="1">
      <alignment vertical="center"/>
    </xf>
    <xf numFmtId="164" fontId="9" fillId="0" borderId="10" xfId="0" applyNumberFormat="1" applyFont="1" applyBorder="1" applyAlignment="1">
      <alignment horizontal="center" vertical="center"/>
    </xf>
    <xf numFmtId="0" fontId="7" fillId="0" borderId="10" xfId="0" applyFont="1" applyBorder="1" applyAlignment="1">
      <alignment horizontal="center" vertical="center" wrapText="1"/>
    </xf>
    <xf numFmtId="0" fontId="24" fillId="0" borderId="0" xfId="0" applyFont="1" applyAlignment="1">
      <alignment horizontal="right" vertical="center"/>
    </xf>
    <xf numFmtId="0" fontId="9" fillId="0" borderId="0" xfId="0" applyFont="1" applyAlignment="1">
      <alignment horizontal="right" vertical="center"/>
    </xf>
    <xf numFmtId="0" fontId="10" fillId="0" borderId="0" xfId="0" applyFont="1" applyAlignment="1">
      <alignment horizontal="right" vertical="center"/>
    </xf>
    <xf numFmtId="0" fontId="22" fillId="0" borderId="0" xfId="0" applyFont="1" applyAlignment="1">
      <alignment vertical="center"/>
    </xf>
    <xf numFmtId="0" fontId="10" fillId="0" borderId="11" xfId="0" applyFont="1" applyBorder="1" applyAlignment="1">
      <alignment vertical="center"/>
    </xf>
    <xf numFmtId="0" fontId="10" fillId="0" borderId="11" xfId="0" applyFont="1" applyBorder="1" applyAlignment="1">
      <alignment horizontal="left" vertical="center"/>
    </xf>
    <xf numFmtId="168" fontId="10" fillId="0" borderId="11" xfId="0" applyNumberFormat="1" applyFont="1" applyBorder="1" applyAlignment="1">
      <alignment horizontal="left" vertical="center"/>
    </xf>
    <xf numFmtId="0" fontId="19" fillId="2" borderId="0" xfId="0" applyFont="1" applyFill="1" applyAlignment="1">
      <alignment horizontal="center" vertical="center" wrapText="1"/>
    </xf>
    <xf numFmtId="164" fontId="10" fillId="0" borderId="10" xfId="0" applyNumberFormat="1" applyFont="1" applyBorder="1" applyAlignment="1">
      <alignment horizontal="center" vertical="center"/>
    </xf>
    <xf numFmtId="166" fontId="10" fillId="0" borderId="10" xfId="0" applyNumberFormat="1" applyFont="1" applyBorder="1" applyAlignment="1">
      <alignment vertical="center"/>
    </xf>
    <xf numFmtId="0" fontId="10" fillId="0" borderId="10" xfId="0" applyFont="1" applyBorder="1" applyAlignment="1">
      <alignment horizontal="center" vertical="center"/>
    </xf>
    <xf numFmtId="0" fontId="10" fillId="0" borderId="10" xfId="0" applyFont="1" applyBorder="1" applyAlignment="1">
      <alignment vertical="center"/>
    </xf>
    <xf numFmtId="0" fontId="10" fillId="0" borderId="10" xfId="0" applyFont="1" applyBorder="1" applyAlignment="1">
      <alignment horizontal="right" vertical="center"/>
    </xf>
    <xf numFmtId="0" fontId="22" fillId="0" borderId="0" xfId="0" applyFont="1" applyAlignment="1"/>
    <xf numFmtId="0" fontId="9" fillId="0" borderId="10" xfId="0" applyFont="1" applyBorder="1" applyAlignment="1">
      <alignment vertical="top" wrapText="1"/>
    </xf>
    <xf numFmtId="0" fontId="10" fillId="0" borderId="10" xfId="0" applyFont="1" applyBorder="1" applyAlignment="1">
      <alignment vertical="top" wrapText="1"/>
    </xf>
    <xf numFmtId="0" fontId="10" fillId="0" borderId="10" xfId="0" applyFont="1" applyBorder="1" applyAlignment="1">
      <alignment horizontal="center" vertical="top"/>
    </xf>
    <xf numFmtId="0" fontId="10" fillId="0" borderId="10" xfId="0" applyFont="1" applyBorder="1" applyAlignment="1">
      <alignment vertical="center" wrapText="1"/>
    </xf>
    <xf numFmtId="0" fontId="8" fillId="0" borderId="0" xfId="0" applyFont="1" applyAlignment="1">
      <alignment vertical="center"/>
    </xf>
    <xf numFmtId="169" fontId="10" fillId="0" borderId="10" xfId="0" applyNumberFormat="1" applyFont="1" applyBorder="1" applyAlignment="1">
      <alignment vertical="center"/>
    </xf>
    <xf numFmtId="172" fontId="10" fillId="4" borderId="3" xfId="0" applyNumberFormat="1" applyFont="1" applyFill="1" applyBorder="1" applyAlignment="1">
      <alignment vertical="center"/>
    </xf>
    <xf numFmtId="172" fontId="10" fillId="0" borderId="10" xfId="0" applyNumberFormat="1" applyFont="1" applyBorder="1" applyAlignment="1">
      <alignment vertical="center"/>
    </xf>
    <xf numFmtId="0" fontId="10" fillId="4" borderId="3" xfId="0" applyFont="1" applyFill="1" applyBorder="1" applyAlignment="1">
      <alignment horizontal="center" vertical="center"/>
    </xf>
    <xf numFmtId="170" fontId="10" fillId="0" borderId="10" xfId="0" applyNumberFormat="1" applyFont="1" applyBorder="1" applyAlignment="1">
      <alignment vertical="center"/>
    </xf>
    <xf numFmtId="173" fontId="10" fillId="0" borderId="10" xfId="0" applyNumberFormat="1" applyFont="1" applyBorder="1" applyAlignment="1">
      <alignment vertical="center"/>
    </xf>
    <xf numFmtId="173" fontId="10" fillId="4" borderId="3" xfId="0" applyNumberFormat="1" applyFont="1" applyFill="1" applyBorder="1" applyAlignment="1">
      <alignment vertical="center"/>
    </xf>
    <xf numFmtId="164" fontId="10" fillId="0" borderId="10" xfId="0" applyNumberFormat="1" applyFont="1" applyBorder="1" applyAlignment="1">
      <alignment vertical="center"/>
    </xf>
    <xf numFmtId="165" fontId="10" fillId="0" borderId="10" xfId="0" applyNumberFormat="1" applyFont="1" applyBorder="1" applyAlignment="1">
      <alignment vertical="center"/>
    </xf>
    <xf numFmtId="167" fontId="10" fillId="0" borderId="10" xfId="0" applyNumberFormat="1" applyFont="1" applyBorder="1" applyAlignment="1">
      <alignment vertical="center"/>
    </xf>
  </cellXfs>
  <cellStyles count="1">
    <cellStyle name="Normal" xfId="0" builtinId="0"/>
  </cellStyles>
  <dxfs count="4">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Unit price and cost by quantity</a:t>
            </a:r>
          </a:p>
        </c:rich>
      </c:tx>
      <c:layout/>
    </c:title>
    <c:plotArea>
      <c:layout/>
      <c:barChart>
        <c:barDir val="col"/>
        <c:grouping val="clustered"/>
        <c:ser>
          <c:idx val="0"/>
          <c:order val="0"/>
          <c:tx>
            <c:v>Unit price</c:v>
          </c:tx>
          <c:spPr>
            <a:solidFill>
              <a:srgbClr val="3B64D8"/>
            </a:solidFill>
            <a:ln w="9525">
              <a:solidFill>
                <a:srgbClr val="FFFFFF"/>
              </a:solidFill>
            </a:ln>
          </c:spPr>
          <c:dLbls>
            <c:numFmt formatCode="#,##0.00" sourceLinked="0"/>
            <c:txPr>
              <a:bodyPr/>
              <a:lstStyle/>
              <a:p>
                <a:pPr>
                  <a:defRPr sz="800" b="1" baseline="0">
                    <a:solidFill>
                      <a:srgbClr val="FFFFFF"/>
                    </a:solidFill>
                    <a:latin typeface="Calibri"/>
                  </a:defRPr>
                </a:pPr>
                <a:endParaRPr lang="en-US"/>
              </a:p>
            </c:txPr>
            <c:dLblPos val="inBase"/>
            <c:showVal val="1"/>
          </c:dLbls>
          <c:cat>
            <c:numRef>
              <c:f>Dashboard!$E$42:$I$42</c:f>
              <c:numCache>
                <c:formatCode>General</c:formatCode>
                <c:ptCount val="5"/>
                <c:pt idx="0">
                  <c:v>10</c:v>
                </c:pt>
                <c:pt idx="1">
                  <c:v>25</c:v>
                </c:pt>
                <c:pt idx="2">
                  <c:v>50</c:v>
                </c:pt>
                <c:pt idx="3">
                  <c:v>100</c:v>
                </c:pt>
                <c:pt idx="4">
                  <c:v>250</c:v>
                </c:pt>
              </c:numCache>
            </c:numRef>
          </c:cat>
          <c:val>
            <c:numRef>
              <c:f>'Quote Builder'!$D$102:$H$102</c:f>
              <c:numCache>
                <c:formatCode>General</c:formatCode>
                <c:ptCount val="5"/>
                <c:pt idx="0">
                  <c:v>206.65</c:v>
                </c:pt>
                <c:pt idx="1">
                  <c:v>111.15</c:v>
                </c:pt>
                <c:pt idx="2">
                  <c:v>80.25</c:v>
                </c:pt>
                <c:pt idx="3">
                  <c:v>66.15</c:v>
                </c:pt>
                <c:pt idx="4">
                  <c:v>57.95</c:v>
                </c:pt>
              </c:numCache>
            </c:numRef>
          </c:val>
        </c:ser>
        <c:gapWidth val="60"/>
        <c:overlap val="-10"/>
        <c:axId val="50010001"/>
        <c:axId val="50010002"/>
      </c:barChart>
      <c:lineChart>
        <c:grouping val="standard"/>
        <c:ser>
          <c:idx val="1"/>
          <c:order val="1"/>
          <c:tx>
            <c:v>Cost per part</c:v>
          </c:tx>
          <c:spPr>
            <a:ln w="28575">
              <a:solidFill>
                <a:srgbClr val="E8702A"/>
              </a:solidFill>
            </a:ln>
          </c:spPr>
          <c:marker>
            <c:symbol val="circle"/>
            <c:size val="5"/>
            <c:spPr>
              <a:solidFill>
                <a:srgbClr val="E8702A"/>
              </a:solidFill>
              <a:ln>
                <a:solidFill>
                  <a:srgbClr val="E8702A"/>
                </a:solidFill>
              </a:ln>
            </c:spPr>
          </c:marker>
          <c:cat>
            <c:numRef>
              <c:f>Dashboard!$E$42:$I$42</c:f>
              <c:numCache>
                <c:formatCode>General</c:formatCode>
                <c:ptCount val="5"/>
                <c:pt idx="0">
                  <c:v>10</c:v>
                </c:pt>
                <c:pt idx="1">
                  <c:v>25</c:v>
                </c:pt>
                <c:pt idx="2">
                  <c:v>50</c:v>
                </c:pt>
                <c:pt idx="3">
                  <c:v>100</c:v>
                </c:pt>
                <c:pt idx="4">
                  <c:v>250</c:v>
                </c:pt>
              </c:numCache>
            </c:numRef>
          </c:cat>
          <c:val>
            <c:numRef>
              <c:f>'Quote Builder'!$D$101:$H$101</c:f>
              <c:numCache>
                <c:formatCode>General</c:formatCode>
                <c:ptCount val="5"/>
                <c:pt idx="0">
                  <c:v>154.965104560833</c:v>
                </c:pt>
                <c:pt idx="1">
                  <c:v>83.3379170393334</c:v>
                </c:pt>
                <c:pt idx="2">
                  <c:v>60.1739170393334</c:v>
                </c:pt>
                <c:pt idx="3">
                  <c:v>49.5819170393333</c:v>
                </c:pt>
                <c:pt idx="4">
                  <c:v>43.4590253698</c:v>
                </c:pt>
              </c:numCache>
            </c:numRef>
          </c:val>
        </c:ser>
        <c:marker val="1"/>
        <c:axId val="50010001"/>
        <c:axId val="50010002"/>
      </c:lineChart>
      <c:catAx>
        <c:axId val="50010001"/>
        <c:scaling>
          <c:orientation val="minMax"/>
        </c:scaling>
        <c:axPos val="b"/>
        <c:numFmt formatCode="General" sourceLinked="1"/>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0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Where the cost per part goes</a:t>
            </a:r>
          </a:p>
        </c:rich>
      </c:tx>
      <c:layout/>
    </c:title>
    <c:plotArea>
      <c:layout/>
      <c:barChart>
        <c:barDir val="col"/>
        <c:grouping val="stacked"/>
        <c:ser>
          <c:idx val="0"/>
          <c:order val="0"/>
          <c:tx>
            <c:v>Material</c:v>
          </c:tx>
          <c:spPr>
            <a:solidFill>
              <a:srgbClr val="3B64D8"/>
            </a:solidFill>
            <a:ln w="9525">
              <a:solidFill>
                <a:srgbClr val="FFFFFF"/>
              </a:solidFill>
            </a:ln>
          </c:spPr>
          <c:cat>
            <c:numRef>
              <c:f>Dashboard!$E$42:$I$42</c:f>
              <c:numCache>
                <c:formatCode>General</c:formatCode>
                <c:ptCount val="5"/>
                <c:pt idx="0">
                  <c:v>10</c:v>
                </c:pt>
                <c:pt idx="1">
                  <c:v>25</c:v>
                </c:pt>
                <c:pt idx="2">
                  <c:v>50</c:v>
                </c:pt>
                <c:pt idx="3">
                  <c:v>100</c:v>
                </c:pt>
                <c:pt idx="4">
                  <c:v>250</c:v>
                </c:pt>
              </c:numCache>
            </c:numRef>
          </c:cat>
          <c:val>
            <c:numRef>
              <c:f>Dashboard!$E$43:$I$43</c:f>
              <c:numCache>
                <c:formatCode>General</c:formatCode>
                <c:ptCount val="5"/>
                <c:pt idx="0">
                  <c:v>5.7995212275</c:v>
                </c:pt>
                <c:pt idx="1">
                  <c:v>5.483183706</c:v>
                </c:pt>
                <c:pt idx="2">
                  <c:v>5.483183706</c:v>
                </c:pt>
                <c:pt idx="3">
                  <c:v>5.483183706</c:v>
                </c:pt>
                <c:pt idx="4">
                  <c:v>5.4410053698</c:v>
                </c:pt>
              </c:numCache>
            </c:numRef>
          </c:val>
        </c:ser>
        <c:ser>
          <c:idx val="1"/>
          <c:order val="1"/>
          <c:tx>
            <c:v>Machine time and overhead</c:v>
          </c:tx>
          <c:spPr>
            <a:solidFill>
              <a:srgbClr val="E8702A"/>
            </a:solidFill>
            <a:ln w="9525">
              <a:solidFill>
                <a:srgbClr val="FFFFFF"/>
              </a:solidFill>
            </a:ln>
          </c:spPr>
          <c:cat>
            <c:numRef>
              <c:f>Dashboard!$E$42:$I$42</c:f>
              <c:numCache>
                <c:formatCode>General</c:formatCode>
                <c:ptCount val="5"/>
                <c:pt idx="0">
                  <c:v>10</c:v>
                </c:pt>
                <c:pt idx="1">
                  <c:v>25</c:v>
                </c:pt>
                <c:pt idx="2">
                  <c:v>50</c:v>
                </c:pt>
                <c:pt idx="3">
                  <c:v>100</c:v>
                </c:pt>
                <c:pt idx="4">
                  <c:v>250</c:v>
                </c:pt>
              </c:numCache>
            </c:numRef>
          </c:cat>
          <c:val>
            <c:numRef>
              <c:f>Dashboard!$E$44:$I$44</c:f>
              <c:numCache>
                <c:formatCode>General</c:formatCode>
                <c:ptCount val="5"/>
                <c:pt idx="0">
                  <c:v>36.0032666666667</c:v>
                </c:pt>
                <c:pt idx="1">
                  <c:v>32.2149066666667</c:v>
                </c:pt>
                <c:pt idx="2">
                  <c:v>31.5459066666667</c:v>
                </c:pt>
                <c:pt idx="3">
                  <c:v>31.2114066666667</c:v>
                </c:pt>
                <c:pt idx="4">
                  <c:v>30.773192</c:v>
                </c:pt>
              </c:numCache>
            </c:numRef>
          </c:val>
        </c:ser>
        <c:ser>
          <c:idx val="2"/>
          <c:order val="2"/>
          <c:tx>
            <c:v>Tool wear</c:v>
          </c:tx>
          <c:spPr>
            <a:solidFill>
              <a:srgbClr val="1BA37A"/>
            </a:solidFill>
            <a:ln w="9525">
              <a:solidFill>
                <a:srgbClr val="FFFFFF"/>
              </a:solidFill>
            </a:ln>
          </c:spPr>
          <c:cat>
            <c:numRef>
              <c:f>Dashboard!$E$42:$I$42</c:f>
              <c:numCache>
                <c:formatCode>General</c:formatCode>
                <c:ptCount val="5"/>
                <c:pt idx="0">
                  <c:v>10</c:v>
                </c:pt>
                <c:pt idx="1">
                  <c:v>25</c:v>
                </c:pt>
                <c:pt idx="2">
                  <c:v>50</c:v>
                </c:pt>
                <c:pt idx="3">
                  <c:v>100</c:v>
                </c:pt>
                <c:pt idx="4">
                  <c:v>250</c:v>
                </c:pt>
              </c:numCache>
            </c:numRef>
          </c:cat>
          <c:val>
            <c:numRef>
              <c:f>Dashboard!$E$45:$I$45</c:f>
              <c:numCache>
                <c:formatCode>General</c:formatCode>
                <c:ptCount val="5"/>
                <c:pt idx="0">
                  <c:v>0.687316666666667</c:v>
                </c:pt>
                <c:pt idx="1">
                  <c:v>0.649826666666667</c:v>
                </c:pt>
                <c:pt idx="2">
                  <c:v>0.649826666666667</c:v>
                </c:pt>
                <c:pt idx="3">
                  <c:v>0.649826666666667</c:v>
                </c:pt>
                <c:pt idx="4">
                  <c:v>0.644828</c:v>
                </c:pt>
              </c:numCache>
            </c:numRef>
          </c:val>
        </c:ser>
        <c:ser>
          <c:idx val="3"/>
          <c:order val="3"/>
          <c:tx>
            <c:v>Setup, programming, NRE</c:v>
          </c:tx>
          <c:spPr>
            <a:solidFill>
              <a:srgbClr val="E0A100"/>
            </a:solidFill>
            <a:ln w="9525">
              <a:solidFill>
                <a:srgbClr val="FFFFFF"/>
              </a:solidFill>
            </a:ln>
          </c:spPr>
          <c:cat>
            <c:numRef>
              <c:f>Dashboard!$E$42:$I$42</c:f>
              <c:numCache>
                <c:formatCode>General</c:formatCode>
                <c:ptCount val="5"/>
                <c:pt idx="0">
                  <c:v>10</c:v>
                </c:pt>
                <c:pt idx="1">
                  <c:v>25</c:v>
                </c:pt>
                <c:pt idx="2">
                  <c:v>50</c:v>
                </c:pt>
                <c:pt idx="3">
                  <c:v>100</c:v>
                </c:pt>
                <c:pt idx="4">
                  <c:v>250</c:v>
                </c:pt>
              </c:numCache>
            </c:numRef>
          </c:cat>
          <c:val>
            <c:numRef>
              <c:f>Dashboard!$E$46:$I$46</c:f>
              <c:numCache>
                <c:formatCode>General</c:formatCode>
                <c:ptCount val="5"/>
                <c:pt idx="0">
                  <c:v>89.375</c:v>
                </c:pt>
                <c:pt idx="1">
                  <c:v>35.75</c:v>
                </c:pt>
                <c:pt idx="2">
                  <c:v>17.875</c:v>
                </c:pt>
                <c:pt idx="3">
                  <c:v>8.9375</c:v>
                </c:pt>
                <c:pt idx="4">
                  <c:v>3.575</c:v>
                </c:pt>
              </c:numCache>
            </c:numRef>
          </c:val>
        </c:ser>
        <c:ser>
          <c:idx val="4"/>
          <c:order val="4"/>
          <c:tx>
            <c:v>Outside processing</c:v>
          </c:tx>
          <c:spPr>
            <a:solidFill>
              <a:srgbClr val="D0558A"/>
            </a:solidFill>
            <a:ln w="9525">
              <a:solidFill>
                <a:srgbClr val="FFFFFF"/>
              </a:solidFill>
            </a:ln>
          </c:spPr>
          <c:cat>
            <c:numRef>
              <c:f>Dashboard!$E$42:$I$42</c:f>
              <c:numCache>
                <c:formatCode>General</c:formatCode>
                <c:ptCount val="5"/>
                <c:pt idx="0">
                  <c:v>10</c:v>
                </c:pt>
                <c:pt idx="1">
                  <c:v>25</c:v>
                </c:pt>
                <c:pt idx="2">
                  <c:v>50</c:v>
                </c:pt>
                <c:pt idx="3">
                  <c:v>100</c:v>
                </c:pt>
                <c:pt idx="4">
                  <c:v>250</c:v>
                </c:pt>
              </c:numCache>
            </c:numRef>
          </c:cat>
          <c:val>
            <c:numRef>
              <c:f>Dashboard!$E$47:$I$47</c:f>
              <c:numCache>
                <c:formatCode>General</c:formatCode>
                <c:ptCount val="5"/>
                <c:pt idx="0">
                  <c:v>23.1</c:v>
                </c:pt>
                <c:pt idx="1">
                  <c:v>9.24</c:v>
                </c:pt>
                <c:pt idx="2">
                  <c:v>4.62</c:v>
                </c:pt>
                <c:pt idx="3">
                  <c:v>3.3</c:v>
                </c:pt>
                <c:pt idx="4">
                  <c:v>3.025</c:v>
                </c:pt>
              </c:numCache>
            </c:numRef>
          </c:val>
        </c:ser>
        <c:gapWidth val="60"/>
        <c:overlap val="100"/>
        <c:axId val="50020001"/>
        <c:axId val="50020002"/>
      </c:barChart>
      <c:catAx>
        <c:axId val="50020001"/>
        <c:scaling>
          <c:orientation val="minMax"/>
        </c:scaling>
        <c:axPos val="b"/>
        <c:numFmt formatCode="General" sourceLinked="1"/>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0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12</xdr:row>
      <xdr:rowOff>38100</xdr:rowOff>
    </xdr:from>
    <xdr:to>
      <xdr:col>5</xdr:col>
      <xdr:colOff>676275</xdr:colOff>
      <xdr:row>27</xdr:row>
      <xdr:rowOff>152400</xdr:rowOff>
    </xdr:to>
    <xdr:graphicFrame macro="">
      <xdr:nvGraphicFramePr>
        <xdr:cNvPr id="2" name="Chart 1" descr="Column chart of the unit price at each quantity break with the total cost per part as a line; setup, programming and fixtures spread over larger quantities so both fall."/>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12</xdr:row>
      <xdr:rowOff>38100</xdr:rowOff>
    </xdr:from>
    <xdr:to>
      <xdr:col>11</xdr:col>
      <xdr:colOff>676275</xdr:colOff>
      <xdr:row>27</xdr:row>
      <xdr:rowOff>152400</xdr:rowOff>
    </xdr:to>
    <xdr:graphicFrame macro="">
      <xdr:nvGraphicFramePr>
        <xdr:cNvPr id="3" name="Chart 2" descr="Stacked column chart of cost per part at each quantity break, split into material, machine time and overhead, tool wear, one-off costs and outside processing."/>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Machines" displayName="tblMachines" ref="B35:D41" totalsRowShown="0">
  <autoFilter ref="B35:D41"/>
  <tableColumns count="3">
    <tableColumn id="1" name="Machine"/>
    <tableColumn id="2" name="Rate per hour"/>
    <tableColumn id="3" name="Notes"/>
  </tableColumns>
  <tableStyleInfo name="TableStyleLight1" showFirstColumn="0" showLastColumn="0" showRowStripes="0" showColumnStripes="0"/>
</table>
</file>

<file path=xl/tables/table2.xml><?xml version="1.0" encoding="utf-8"?>
<table xmlns="http://schemas.openxmlformats.org/spreadsheetml/2006/main" id="2" name="tblMaterials" displayName="tblMaterials" ref="B45:F51" totalsRowShown="0">
  <autoFilter ref="B45:F51"/>
  <tableColumns count="5">
    <tableColumn id="1" name="Material"/>
    <tableColumn id="2" name="Density (g/cm3)"/>
    <tableColumn id="3" name="Price"/>
    <tableColumn id="4" name="Per"/>
    <tableColumn id="5" name="Notes"/>
  </tableColumns>
  <tableStyleInfo name="TableStyleLight1" showFirstColumn="0" showLastColumn="0" showRowStripes="0" showColumnStripes="0"/>
</table>
</file>

<file path=xl/tables/table3.xml><?xml version="1.0" encoding="utf-8"?>
<table xmlns="http://schemas.openxmlformats.org/spreadsheetml/2006/main" id="3" name="tblOps" displayName="tblOps" ref="B39:O44" totalsRowShown="0">
  <autoFilter ref="B39:O44"/>
  <tableColumns count="14">
    <tableColumn id="1" name="Operation"/>
    <tableColumn id="2" name="Machine"/>
    <tableColumn id="3" name="Setup (h)"/>
    <tableColumn id="4" name="Handling (min/part)"/>
    <tableColumn id="5" name="Stock removed"/>
    <tableColumn id="6" name="MRR"/>
    <tableColumn id="7" name="Toolpath"/>
    <tableColumn id="8" name="Feed"/>
    <tableColumn id="9" name="Tool changes"/>
    <tableColumn id="10" name="Rate">
      <calculatedColumnFormula>IF(tblOps[[#This Row],[Operation]]="","",IFERROR(INDEX(tblMachines[Rate per hour],MATCH(tblOps[[#This Row],[Machine]],tblMachines[Machine],0)),""))</calculatedColumnFormula>
    </tableColumn>
    <tableColumn id="11" name="Cycle (min/part)">
      <calculatedColumnFormula>IF(tblOps[[#This Row],[Operation]]="","",tblOps[[#This Row],[Handling (min/part)]]+IF(N(tblOps[[#This Row],[MRR]])&gt;0,tblOps[[#This Row],[Stock removed]]/tblOps[[#This Row],[MRR]],0)+IF(N(tblOps[[#This Row],[Feed]])&gt;0,tblOps[[#This Row],[Toolpath]]/tblOps[[#This Row],[Feed]],0)+tblOps[[#This Row],[Tool changes]]*ToolChangeS/60)</calculatedColumnFormula>
    </tableColumn>
    <tableColumn id="12" name="Setup cost">
      <calculatedColumnFormula>IF(tblOps[[#This Row],[Operation]]="","",IF(tblOps[[#This Row],[Rate]]="","",tblOps[[#This Row],[Setup (h)]]*tblOps[[#This Row],[Rate]]))</calculatedColumnFormula>
    </tableColumn>
    <tableColumn id="13" name="Run cost">
      <calculatedColumnFormula>IF(tblOps[[#This Row],[Operation]]="","",IF(tblOps[[#This Row],[Rate]]="","",tblOps[[#This Row],[Cycle (min/part)]]/60*tblOps[[#This Row],[Rate]]))</calculatedColumnFormula>
    </tableColumn>
    <tableColumn id="14" name="Check">
      <calculatedColumnFormula>IF(tblOps[[#This Row],[Operation]]="","",IF(tblOps[[#This Row],[Machine]]="","Missing machine",IF(tblOps[[#This Row],[Rate]]="","Machine not on Setup list",IF(AND(N(tblOps[[#This Row],[Stock removed]])&gt;0,N(tblOps[[#This Row],[MRR]])=0),"Stock removed needs an MRR",IF(AND(N(tblOps[[#This Row],[Toolpath]])&gt;0,N(tblOps[[#This Row],[Feed]])=0),"Toolpath needs a feed","OK")))))</calculatedColumnFormula>
    </tableColumn>
  </tableColumns>
  <tableStyleInfo name="TableStyleLight1" showFirstColumn="0" showLastColumn="0" showRowStripes="0" showColumnStripes="0"/>
</table>
</file>

<file path=xl/tables/table4.xml><?xml version="1.0" encoding="utf-8"?>
<table xmlns="http://schemas.openxmlformats.org/spreadsheetml/2006/main" id="4" name="tblTools" displayName="tblTools" ref="B55:G61" totalsRowShown="0">
  <autoFilter ref="B55:G61"/>
  <tableColumns count="6">
    <tableColumn id="1" name="Tool"/>
    <tableColumn id="2" name="Price"/>
    <tableColumn id="3" name="Edges or lives"/>
    <tableColumn id="4" name="Parts per edge"/>
    <tableColumn id="5" name="Cost per part">
      <calculatedColumnFormula>IF(tblTools[[#This Row],[Tool]]="","",IF(OR(N(tblTools[[#This Row],[Edges or lives]])=0,N(tblTools[[#This Row],[Parts per edge]])=0),"",tblTools[[#This Row],[Price]]/tblTools[[#This Row],[Edges or lives]]/tblTools[[#This Row],[Parts per edge]]))</calculatedColumnFormula>
    </tableColumn>
    <tableColumn id="6" name="Check">
      <calculatedColumnFormula>IF(tblTools[[#This Row],[Tool]]="","",IF(tblTools[[#This Row],[Price]]="","Missing price",IF(N(tblTools[[#This Row],[Parts per edge]])=0,"Enter parts per edge",IF(N(tblTools[[#This Row],[Edges or lives]])=0,"Enter edges or lives","OK"))))</calculatedColumnFormula>
    </tableColumn>
  </tableColumns>
  <tableStyleInfo name="TableStyleLight1" showFirstColumn="0" showLastColumn="0" showRowStripes="0" showColumnStripes="0"/>
</table>
</file>

<file path=xl/tables/table5.xml><?xml version="1.0" encoding="utf-8"?>
<table xmlns="http://schemas.openxmlformats.org/spreadsheetml/2006/main" id="5" name="tblNRE" displayName="tblNRE" ref="B69:E72" totalsRowShown="0">
  <autoFilter ref="B69:E72"/>
  <tableColumns count="4">
    <tableColumn id="1" name="Item"/>
    <tableColumn id="2" name="Cost"/>
    <tableColumn id="3" name="Billing"/>
    <tableColumn id="4" name="Quote line">
      <calculatedColumnFormula>IF(tblNRE[[#This Row],[Item]]="","",IF(tblNRE[[#This Row],[Billing]]="Bill separately",SUMPRODUCT((tblNRE[Billing]="Bill separately")*(ROW(tblNRE[Billing])&lt;=ROW(tblNRE[[#This Row],[Billing]]))),""))</calculatedColumnFormula>
    </tableColumn>
  </tableColumns>
  <tableStyleInfo name="TableStyleLight1" showFirstColumn="0" showLastColumn="0" showRowStripes="0" showColumnStripes="0"/>
</table>
</file>

<file path=xl/tables/table6.xml><?xml version="1.0" encoding="utf-8"?>
<table xmlns="http://schemas.openxmlformats.org/spreadsheetml/2006/main" id="6" name="tblOutside" displayName="tblOutside" ref="B80:F82" totalsRowShown="0">
  <autoFilter ref="B80:F82"/>
  <tableColumns count="5">
    <tableColumn id="1" name="Process"/>
    <tableColumn id="2" name="Supplier"/>
    <tableColumn id="3" name="Price per part"/>
    <tableColumn id="4" name="Lot charge"/>
    <tableColumn id="5" name="Lead time (days)"/>
  </tableColumns>
  <tableStyleInfo name="TableStyleLight1" showFirstColumn="0" showLastColumn="0" showRowStripes="0" showColumnStripes="0"/>
</table>
</file>

<file path=xl/tables/table7.xml><?xml version="1.0" encoding="utf-8"?>
<table xmlns="http://schemas.openxmlformats.org/spreadsheetml/2006/main" id="7" name="tblVerifyOps" displayName="tblVerifyOps" ref="B46:O52" totalsRowShown="0">
  <tableColumns count="14">
    <tableColumn id="1" name="Operation"/>
    <tableColumn id="2" name="Machine"/>
    <tableColumn id="3" name="Setup (h)"/>
    <tableColumn id="4" name="Handling (min/part)"/>
    <tableColumn id="5" name="Stock removed"/>
    <tableColumn id="6" name="MRR"/>
    <tableColumn id="7" name="Toolpath"/>
    <tableColumn id="8" name="Feed"/>
    <tableColumn id="9" name="Tool changes"/>
    <tableColumn id="10" name="Rate"/>
    <tableColumn id="11" name="Cycle (min/part)">
      <calculatedColumnFormula>IF(tblVerifyOps[[#This Row],[Operation]]="","",tblVerifyOps[[#This Row],[Handling (min/part)]]+IF(N(tblVerifyOps[[#This Row],[MRR]])&gt;0,tblVerifyOps[[#This Row],[Stock removed]]/tblVerifyOps[[#This Row],[MRR]],0)+IF(N(tblVerifyOps[[#This Row],[Feed]])&gt;0,tblVerifyOps[[#This Row],[Toolpath]]/tblVerifyOps[[#This Row],[Feed]],0)+tblVerifyOps[[#This Row],[Tool changes]]*$E$40/60)</calculatedColumnFormula>
    </tableColumn>
    <tableColumn id="12" name="Setup cost">
      <calculatedColumnFormula>IF(tblVerifyOps[[#This Row],[Operation]]="","",IF(tblVerifyOps[[#This Row],[Rate]]="","",tblVerifyOps[[#This Row],[Setup (h)]]*tblVerifyOps[[#This Row],[Rate]]))</calculatedColumnFormula>
    </tableColumn>
    <tableColumn id="13" name="Run cost">
      <calculatedColumnFormula>IF(tblVerifyOps[[#This Row],[Operation]]="","",IF(tblVerifyOps[[#This Row],[Rate]]="","",tblVerifyOps[[#This Row],[Cycle (min/part)]]/60*tblVerifyOps[[#This Row],[Rate]]))</calculatedColumnFormula>
    </tableColumn>
    <tableColumn id="14" name="Check">
      <calculatedColumnFormula>IF(tblVerifyOps[[#This Row],[Operation]]="","",IF(tblVerifyOps[[#This Row],[Machine]]="","Missing machine",IF(tblVerifyOps[[#This Row],[Rate]]="","Machine not on Setup list",IF(AND(N(tblVerifyOps[[#This Row],[Stock removed]])&gt;0,N(tblVerifyOps[[#This Row],[MRR]])=0),"Stock removed needs an MRR",IF(AND(N(tblVerifyOps[[#This Row],[Toolpath]])&gt;0,N(tblVerifyOps[[#This Row],[Feed]])=0),"Toolpath needs a feed","OK")))))</calculatedColumnFormula>
    </tableColumn>
  </tableColumns>
  <tableStyleInfo name="TableStyleLight1" showFirstColumn="0" showLastColumn="0" showRowStripes="0" showColumnStripes="0"/>
</table>
</file>

<file path=xl/tables/table8.xml><?xml version="1.0" encoding="utf-8"?>
<table xmlns="http://schemas.openxmlformats.org/spreadsheetml/2006/main" id="8" name="tblVerifyTools" displayName="tblVerifyTools" ref="B56:G62" totalsRowShown="0">
  <tableColumns count="6">
    <tableColumn id="1" name="Tool"/>
    <tableColumn id="2" name="Price"/>
    <tableColumn id="3" name="Edges or lives"/>
    <tableColumn id="4" name="Parts per edge"/>
    <tableColumn id="5" name="Cost per part">
      <calculatedColumnFormula>IF(tblVerifyTools[[#This Row],[Tool]]="","",IF(OR(N(tblVerifyTools[[#This Row],[Edges or lives]])=0,N(tblVerifyTools[[#This Row],[Parts per edge]])=0),"",tblVerifyTools[[#This Row],[Price]]/tblVerifyTools[[#This Row],[Edges or lives]]/tblVerifyTools[[#This Row],[Parts per edge]]))</calculatedColumnFormula>
    </tableColumn>
    <tableColumn id="6" name="Check">
      <calculatedColumnFormula>IF(tblVerifyTools[[#This Row],[Tool]]="","",IF(tblVerifyTools[[#This Row],[Price]]="","Missing price",IF(N(tblVerifyTools[[#This Row],[Parts per edge]])=0,"Enter parts per edge",IF(N(tblVerifyTools[[#This Row],[Edges or lives]])=0,"Enter edges or lives","OK"))))</calculatedColumnFormula>
    </tableColumn>
  </tableColumns>
  <tableStyleInfo name="TableStyleLight1" showFirstColumn="0" showLastColumn="0" showRowStripes="0" showColumnStripes="0"/>
</table>
</file>

<file path=xl/tables/table9.xml><?xml version="1.0" encoding="utf-8"?>
<table xmlns="http://schemas.openxmlformats.org/spreadsheetml/2006/main" id="9" name="tblVerifyOutside" displayName="tblVerifyOutside" ref="B66:F68" totalsRowShown="0">
  <tableColumns count="5">
    <tableColumn id="1" name="Process"/>
    <tableColumn id="2" name="Supplier"/>
    <tableColumn id="3" name="Price per part"/>
    <tableColumn id="4" name="Lot charge"/>
    <tableColumn id="5" name="Lead time (days)"/>
  </tableColumns>
  <tableStyleInfo name="TableStyleLight1" showFirstColumn="0" showLastColumn="0" showRowStripes="0" showColumnStripes="0"/>
</table>
</file>

<file path=xl/tables/table10.xml><?xml version="1.0" encoding="utf-8"?>
<table xmlns="http://schemas.openxmlformats.org/spreadsheetml/2006/main" id="10" name="tblVerifyNRE" displayName="tblVerifyNRE" ref="B72:E75" totalsRowShown="0">
  <tableColumns count="4">
    <tableColumn id="1" name="Item"/>
    <tableColumn id="2" name="Cost"/>
    <tableColumn id="3" name="Billing"/>
    <tableColumn id="4" name="Quote line">
      <calculatedColumnFormula>IF(tblVerifyNRE[[#This Row],[Item]]="","",IF(tblVerifyNRE[[#This Row],[Billing]]="Bill separately",SUMPRODUCT((tblVerifyNRE[Billing]="Bill separately")*(ROW(tblVerifyNRE[Billing])&lt;=ROW(tblVerifyNRE[[#This Row],[Billing]]))),""))</calculatedColumnFormula>
    </tableColumn>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nc-machining-quote" TargetMode="External"/><Relationship Id="rId2" Type="http://schemas.openxmlformats.org/officeDocument/2006/relationships/hyperlink" Target="https://www.mfgcalcs.com/calculators/cnc-machining-cutting-tools/machining-cost-per-part?utm_source=mfgcalcs-template&amp;utm_medium=xlsx&amp;utm_campaign=cnc-machining-quote" TargetMode="External"/><Relationship Id="rId3" Type="http://schemas.openxmlformats.org/officeDocument/2006/relationships/hyperlink" Target="https://www.mfgcalcs.com/templates/cnc-machining-quote?utm_source=mfgcalcs-template&amp;utm_medium=xlsx&amp;utm_campaign=cnc-machining-quote" TargetMode="External"/><Relationship Id="rId4" Type="http://schemas.openxmlformats.org/officeDocument/2006/relationships/hyperlink" Target="https://www.mfgcalcs.com/templates?utm_source=mfgcalcs-template&amp;utm_medium=xlsx&amp;utm_campaign=cnc-machining-quote"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nc-machining-quote" TargetMode="External"/><Relationship Id="rId2" Type="http://schemas.openxmlformats.org/officeDocument/2006/relationships/table" Target="../tables/table1.xml"/><Relationship Id="rId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nc-machining-quote" TargetMode="External"/><Relationship Id="rId2" Type="http://schemas.openxmlformats.org/officeDocument/2006/relationships/table" Target="../tables/table3.xml"/><Relationship Id="rId3" Type="http://schemas.openxmlformats.org/officeDocument/2006/relationships/table" Target="../tables/table4.xml"/><Relationship Id="rId4" Type="http://schemas.openxmlformats.org/officeDocument/2006/relationships/table" Target="../tables/table5.xml"/><Relationship Id="rId5" Type="http://schemas.openxmlformats.org/officeDocument/2006/relationships/table" Target="../tables/table6.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nc-machining-quote"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nc-machining-quote"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nc-machining-quote" TargetMode="External"/><Relationship Id="rId2" Type="http://schemas.openxmlformats.org/officeDocument/2006/relationships/hyperlink" Target="https://www.mfgcalcs.com/calculators/cnc-machining-cutting-tools/machining-cost-per-part?utm_source=mfgcalcs-template&amp;utm_medium=xlsx&amp;utm_campaign=cnc-machining-quote"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nc-machining-quote" TargetMode="External"/><Relationship Id="rId2" Type="http://schemas.openxmlformats.org/officeDocument/2006/relationships/table" Target="../tables/table7.xml"/><Relationship Id="rId3" Type="http://schemas.openxmlformats.org/officeDocument/2006/relationships/table" Target="../tables/table8.xml"/><Relationship Id="rId4" Type="http://schemas.openxmlformats.org/officeDocument/2006/relationships/table" Target="../tables/table9.xml"/><Relationship Id="rId5" Type="http://schemas.openxmlformats.org/officeDocument/2006/relationships/table" Target="../tables/table10.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8"/>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16.2" customHeight="1">
      <c r="B12" s="9" t="s">
        <v>7</v>
      </c>
      <c r="C12" s="10" t="s">
        <v>8</v>
      </c>
      <c r="D12" s="10"/>
      <c r="E12" s="10"/>
      <c r="F12" s="10"/>
    </row>
    <row r="13" spans="1:6" ht="29.4" customHeight="1">
      <c r="B13" s="9" t="s">
        <v>9</v>
      </c>
      <c r="C13" s="10" t="s">
        <v>10</v>
      </c>
      <c r="D13" s="10"/>
      <c r="E13" s="10"/>
      <c r="F13" s="10"/>
    </row>
    <row r="14" spans="1:6" ht="16.2" customHeight="1">
      <c r="B14" s="9" t="s">
        <v>11</v>
      </c>
      <c r="C14" s="10" t="s">
        <v>12</v>
      </c>
      <c r="D14" s="10"/>
      <c r="E14" s="10"/>
      <c r="F14" s="10"/>
    </row>
    <row r="15" spans="1:6" ht="16.2" customHeight="1">
      <c r="B15" s="9" t="s">
        <v>13</v>
      </c>
      <c r="C15" s="10" t="s">
        <v>14</v>
      </c>
      <c r="D15" s="10"/>
      <c r="E15" s="10"/>
      <c r="F15" s="10"/>
    </row>
    <row r="16" spans="1:6" ht="16.2"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29.4" customHeight="1">
      <c r="B21" s="11"/>
      <c r="C21" s="12" t="s">
        <v>19</v>
      </c>
      <c r="D21" s="10" t="s">
        <v>20</v>
      </c>
      <c r="E21" s="10"/>
      <c r="F21" s="10"/>
    </row>
    <row r="22" spans="2:6" ht="29.4" customHeight="1">
      <c r="B22" s="11"/>
      <c r="C22" s="12" t="s">
        <v>21</v>
      </c>
      <c r="D22" s="10" t="s">
        <v>22</v>
      </c>
      <c r="E22" s="10"/>
      <c r="F22" s="10"/>
    </row>
    <row r="23" spans="2:6" ht="29.4" customHeight="1">
      <c r="B23" s="11"/>
      <c r="C23" s="12" t="s">
        <v>23</v>
      </c>
      <c r="D23" s="10" t="s">
        <v>24</v>
      </c>
      <c r="E23" s="10"/>
      <c r="F23" s="10"/>
    </row>
    <row r="24" spans="2:6" ht="29.4" customHeight="1">
      <c r="B24" s="11"/>
      <c r="C24" s="12" t="s">
        <v>25</v>
      </c>
      <c r="D24" s="10" t="s">
        <v>26</v>
      </c>
      <c r="E24" s="10"/>
      <c r="F24" s="10"/>
    </row>
    <row r="25" spans="2:6" ht="16.2" customHeight="1">
      <c r="B25" s="11"/>
      <c r="C25" s="12" t="s">
        <v>27</v>
      </c>
      <c r="D25" s="10" t="s">
        <v>28</v>
      </c>
      <c r="E25" s="10"/>
      <c r="F25" s="10"/>
    </row>
    <row r="26" spans="2:6" ht="29.4" customHeight="1">
      <c r="B26" s="11"/>
      <c r="C26" s="12" t="s">
        <v>29</v>
      </c>
      <c r="D26" s="10" t="s">
        <v>30</v>
      </c>
      <c r="E26" s="10"/>
      <c r="F26" s="10"/>
    </row>
    <row r="28" spans="2:6" ht="21" customHeight="1">
      <c r="B28" s="8" t="s">
        <v>31</v>
      </c>
      <c r="C28" s="8"/>
      <c r="D28" s="8"/>
      <c r="E28" s="8"/>
      <c r="F28" s="8"/>
    </row>
    <row r="29" spans="2:6" ht="5" customHeight="1"/>
    <row r="30" spans="2:6" ht="29.4" customHeight="1">
      <c r="C30" s="13" t="s">
        <v>32</v>
      </c>
      <c r="D30" s="14" t="s">
        <v>33</v>
      </c>
      <c r="E30" s="14"/>
      <c r="F30" s="14"/>
    </row>
    <row r="31" spans="2:6" ht="29.4" customHeight="1">
      <c r="C31" s="15" t="s">
        <v>34</v>
      </c>
      <c r="D31" s="14" t="s">
        <v>35</v>
      </c>
      <c r="E31" s="14"/>
      <c r="F31" s="14"/>
    </row>
    <row r="32" spans="2:6" ht="16.2" customHeight="1">
      <c r="C32" s="16" t="s">
        <v>36</v>
      </c>
      <c r="D32" s="14" t="s">
        <v>37</v>
      </c>
      <c r="E32" s="14"/>
      <c r="F32" s="14"/>
    </row>
    <row r="33" spans="2:6" ht="18" customHeight="1">
      <c r="C33" s="17" t="s">
        <v>38</v>
      </c>
      <c r="D33" s="18" t="s">
        <v>39</v>
      </c>
      <c r="E33" s="19" t="s">
        <v>40</v>
      </c>
      <c r="F33" s="20" t="s">
        <v>41</v>
      </c>
    </row>
    <row r="34" spans="2:6" ht="26.76" customHeight="1">
      <c r="C34" s="21" t="s">
        <v>42</v>
      </c>
      <c r="D34" s="21"/>
      <c r="E34" s="21"/>
      <c r="F34" s="21"/>
    </row>
    <row r="36" spans="2:6" ht="21" customHeight="1">
      <c r="B36" s="8" t="s">
        <v>43</v>
      </c>
      <c r="C36" s="8"/>
      <c r="D36" s="8"/>
      <c r="E36" s="8"/>
      <c r="F36" s="8"/>
    </row>
    <row r="37" spans="2:6" ht="5" customHeight="1"/>
    <row r="38" spans="2:6" ht="26" customHeight="1">
      <c r="C38" s="17" t="s">
        <v>44</v>
      </c>
      <c r="D38" s="22" t="str">
        <f>SelfCheck</f>
        <v>PASS</v>
      </c>
      <c r="E38" s="23" t="str">
        <f>SelfCheckSummary</f>
        <v>19 of 19 checks pass</v>
      </c>
      <c r="F38" s="23"/>
    </row>
    <row r="39" spans="2:6" ht="26.76" customHeight="1">
      <c r="C39" s="21" t="s">
        <v>45</v>
      </c>
      <c r="D39" s="21"/>
      <c r="E39" s="21"/>
      <c r="F39" s="21"/>
    </row>
    <row r="40" spans="2:6">
      <c r="C40" s="17" t="s">
        <v>46</v>
      </c>
      <c r="D40" s="24" t="s">
        <v>47</v>
      </c>
      <c r="E40" s="24"/>
      <c r="F40" s="24"/>
    </row>
    <row r="41" spans="2:6">
      <c r="C41" s="17" t="s">
        <v>48</v>
      </c>
      <c r="D41" s="24" t="s">
        <v>49</v>
      </c>
      <c r="E41" s="24"/>
      <c r="F41" s="24"/>
    </row>
    <row r="42" spans="2:6">
      <c r="C42" s="17" t="s">
        <v>50</v>
      </c>
      <c r="D42" s="24" t="s">
        <v>51</v>
      </c>
      <c r="E42" s="24"/>
      <c r="F42" s="24"/>
    </row>
    <row r="43" spans="2:6">
      <c r="C43" s="17" t="s">
        <v>52</v>
      </c>
      <c r="D43" s="11" t="s">
        <v>53</v>
      </c>
      <c r="E43" s="11"/>
      <c r="F43" s="11"/>
    </row>
    <row r="45" spans="2:6" ht="21" customHeight="1">
      <c r="B45" s="8" t="s">
        <v>54</v>
      </c>
      <c r="C45" s="8"/>
      <c r="D45" s="8"/>
      <c r="E45" s="8"/>
      <c r="F45" s="8"/>
    </row>
    <row r="46" spans="2:6" ht="5" customHeight="1"/>
    <row r="47" spans="2:6" ht="61.8" customHeight="1">
      <c r="B47" s="25" t="s">
        <v>55</v>
      </c>
      <c r="C47" s="25"/>
      <c r="D47" s="25"/>
      <c r="E47" s="25"/>
      <c r="F47" s="25"/>
    </row>
    <row r="49" spans="2:6" ht="21" customHeight="1">
      <c r="B49" s="8" t="s">
        <v>56</v>
      </c>
      <c r="C49" s="8"/>
      <c r="D49" s="8"/>
      <c r="E49" s="8"/>
      <c r="F49" s="8"/>
    </row>
    <row r="50" spans="2:6" ht="5" customHeight="1"/>
    <row r="51" spans="2:6" ht="29.4" customHeight="1">
      <c r="B51" s="26" t="s">
        <v>57</v>
      </c>
      <c r="C51" s="10" t="s">
        <v>58</v>
      </c>
      <c r="D51" s="10"/>
      <c r="E51" s="10"/>
      <c r="F51" s="10"/>
    </row>
    <row r="52" spans="2:6" ht="16.2" customHeight="1">
      <c r="B52" s="26" t="s">
        <v>57</v>
      </c>
      <c r="C52" s="10" t="s">
        <v>59</v>
      </c>
      <c r="D52" s="10"/>
      <c r="E52" s="10"/>
      <c r="F52" s="10"/>
    </row>
    <row r="53" spans="2:6" ht="29.4" customHeight="1">
      <c r="B53" s="26" t="s">
        <v>57</v>
      </c>
      <c r="C53" s="10" t="s">
        <v>60</v>
      </c>
      <c r="D53" s="10"/>
      <c r="E53" s="10"/>
      <c r="F53" s="10"/>
    </row>
    <row r="54" spans="2:6" ht="16.2" customHeight="1">
      <c r="B54" s="26" t="s">
        <v>57</v>
      </c>
      <c r="C54" s="10" t="s">
        <v>61</v>
      </c>
      <c r="D54" s="10"/>
      <c r="E54" s="10"/>
      <c r="F54" s="10"/>
    </row>
    <row r="55" spans="2:6" ht="29.4" customHeight="1">
      <c r="B55" s="26" t="s">
        <v>57</v>
      </c>
      <c r="C55" s="10" t="s">
        <v>62</v>
      </c>
      <c r="D55" s="10"/>
      <c r="E55" s="10"/>
      <c r="F55" s="10"/>
    </row>
    <row r="57" spans="2:6" ht="16.2" customHeight="1">
      <c r="B57" s="17" t="s">
        <v>63</v>
      </c>
      <c r="C57" s="17"/>
      <c r="D57" s="17"/>
      <c r="E57" s="17"/>
      <c r="F57" s="17"/>
    </row>
    <row r="58" spans="2:6" ht="26.76" customHeight="1">
      <c r="B58" s="21" t="s">
        <v>64</v>
      </c>
      <c r="C58" s="21"/>
      <c r="D58" s="21"/>
      <c r="E58" s="21"/>
      <c r="F58" s="21"/>
    </row>
  </sheetData>
  <sheetProtection sheet="1" formatColumns="0" formatRows="0"/>
  <mergeCells count="42">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D26:F26"/>
    <mergeCell ref="B28:F28"/>
    <mergeCell ref="D30:F30"/>
    <mergeCell ref="D31:F31"/>
    <mergeCell ref="D32:F32"/>
    <mergeCell ref="C34:F34"/>
    <mergeCell ref="B36:F36"/>
    <mergeCell ref="E38:F38"/>
    <mergeCell ref="C39:F39"/>
    <mergeCell ref="D40:F40"/>
    <mergeCell ref="D41:F41"/>
    <mergeCell ref="D42:F42"/>
    <mergeCell ref="D43:F43"/>
    <mergeCell ref="B45:F45"/>
    <mergeCell ref="B47:F47"/>
    <mergeCell ref="B49:F49"/>
    <mergeCell ref="C51:F51"/>
    <mergeCell ref="C52:F52"/>
    <mergeCell ref="C53:F53"/>
    <mergeCell ref="C54:F54"/>
    <mergeCell ref="C55:F55"/>
    <mergeCell ref="B57:F57"/>
    <mergeCell ref="B58:F58"/>
  </mergeCells>
  <conditionalFormatting sqref="D38">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Quote Builder'!A1" tooltip="Go to Quote Builder" display="Quote Builder"/>
    <hyperlink ref="C23" location="Dashboard!A1" tooltip="Go to Dashboard" display="Dashboard"/>
    <hyperlink ref="C24" location="Quote!A1" tooltip="Go to Quote" display="Quote"/>
    <hyperlink ref="C25" location="Method!A1" tooltip="Go to Method" display="Method"/>
    <hyperlink ref="C26" location="Verify!A1" tooltip="Go to Verify" display="Verify"/>
    <hyperlink ref="D40" r:id="rId2"/>
    <hyperlink ref="D41" r:id="rId3"/>
    <hyperlink ref="D42" r:id="rId4"/>
  </hyperlinks>
  <printOptions horizontalCentered="1"/>
  <pageMargins left="0.4" right="0.4" top="0.7" bottom="0.65" header="0.3" footer="0.3"/>
  <pageSetup fitToHeight="0" orientation="portrait"/>
  <headerFooter>
    <oddHeader>&amp;L&amp;8MFG Calcs - CNC Machining Quote&amp;R&amp;8&amp;A</oddHeader>
    <oddFooter>&amp;L&amp;8mfgcalcs.com - free manufacturing templates&amp;R&amp;8Page &amp;P of &amp;N</oddFooter>
  </headerFooter>
  <rowBreaks count="1" manualBreakCount="1">
    <brk id="27"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F51"/>
  <sheetViews>
    <sheetView showGridLines="0" workbookViewId="0"/>
  </sheetViews>
  <sheetFormatPr defaultRowHeight="15"/>
  <cols>
    <col min="1" max="1" width="2.7109375" customWidth="1"/>
    <col min="2" max="2" width="34.7109375" customWidth="1"/>
    <col min="3" max="3" width="14.7109375" customWidth="1"/>
    <col min="4" max="4" width="24.7109375" customWidth="1"/>
    <col min="5" max="5" width="8.7109375" customWidth="1"/>
    <col min="6" max="6" width="30.7109375" customWidth="1"/>
  </cols>
  <sheetData>
    <row r="1" spans="1:6" ht="30" customHeight="1">
      <c r="A1" s="1" t="s">
        <v>0</v>
      </c>
      <c r="B1" s="1"/>
      <c r="C1" s="1"/>
      <c r="D1" s="1"/>
      <c r="E1" s="1"/>
      <c r="F1" s="1"/>
    </row>
    <row r="2" spans="1:6" ht="21" customHeight="1">
      <c r="B2" s="2" t="s">
        <v>20</v>
      </c>
      <c r="C2" s="2"/>
      <c r="D2" s="2"/>
      <c r="E2" s="2"/>
      <c r="F2" s="3" t="s">
        <v>2</v>
      </c>
    </row>
    <row r="3" spans="1:6" ht="6" customHeight="1"/>
    <row r="4" spans="1:6" ht="21" customHeight="1">
      <c r="B4" s="8" t="s">
        <v>72</v>
      </c>
      <c r="C4" s="8"/>
      <c r="D4" s="8"/>
      <c r="E4" s="8"/>
      <c r="F4" s="8"/>
    </row>
    <row r="5" spans="1:6" ht="5" customHeight="1"/>
    <row r="6" spans="1:6">
      <c r="B6" s="27" t="s">
        <v>73</v>
      </c>
      <c r="C6" s="28" t="s">
        <v>74</v>
      </c>
      <c r="D6" s="28"/>
    </row>
    <row r="7" spans="1:6">
      <c r="B7" s="27" t="s">
        <v>75</v>
      </c>
      <c r="C7" s="28" t="s">
        <v>76</v>
      </c>
      <c r="D7" s="28"/>
    </row>
    <row r="8" spans="1:6">
      <c r="B8" s="27" t="s">
        <v>77</v>
      </c>
      <c r="C8" s="28" t="s">
        <v>78</v>
      </c>
      <c r="D8" s="28"/>
    </row>
    <row r="9" spans="1:6">
      <c r="B9" s="27" t="s">
        <v>79</v>
      </c>
      <c r="C9" s="28" t="s">
        <v>80</v>
      </c>
      <c r="D9" s="28"/>
    </row>
    <row r="10" spans="1:6">
      <c r="B10" s="27" t="s">
        <v>81</v>
      </c>
      <c r="C10" s="28" t="s">
        <v>82</v>
      </c>
      <c r="D10" s="28"/>
    </row>
    <row r="12" spans="1:6" ht="21" customHeight="1">
      <c r="B12" s="8" t="s">
        <v>83</v>
      </c>
      <c r="C12" s="8"/>
      <c r="D12" s="8"/>
      <c r="E12" s="8"/>
      <c r="F12" s="8"/>
    </row>
    <row r="13" spans="1:6" ht="5" customHeight="1"/>
    <row r="14" spans="1:6">
      <c r="B14" s="27" t="s">
        <v>84</v>
      </c>
      <c r="C14" s="28" t="s">
        <v>85</v>
      </c>
      <c r="D14" s="28"/>
    </row>
    <row r="15" spans="1:6">
      <c r="B15" s="27" t="s">
        <v>86</v>
      </c>
      <c r="C15" s="29">
        <v>30</v>
      </c>
      <c r="D15" s="7" t="s">
        <v>87</v>
      </c>
    </row>
    <row r="16" spans="1:6">
      <c r="B16" s="27" t="s">
        <v>88</v>
      </c>
      <c r="C16" s="28" t="s">
        <v>89</v>
      </c>
      <c r="D16" s="28"/>
    </row>
    <row r="17" spans="2:6">
      <c r="B17" s="27" t="s">
        <v>90</v>
      </c>
      <c r="C17" s="28" t="s">
        <v>91</v>
      </c>
      <c r="D17" s="28"/>
    </row>
    <row r="18" spans="2:6" ht="84.2" customHeight="1">
      <c r="B18" s="27" t="s">
        <v>92</v>
      </c>
      <c r="C18" s="30" t="s">
        <v>93</v>
      </c>
      <c r="D18" s="30"/>
    </row>
    <row r="20" spans="2:6" ht="21" customHeight="1">
      <c r="B20" s="8" t="s">
        <v>94</v>
      </c>
      <c r="C20" s="8"/>
      <c r="D20" s="8"/>
      <c r="E20" s="8"/>
      <c r="F20" s="8"/>
    </row>
    <row r="21" spans="2:6" ht="5" customHeight="1"/>
    <row r="22" spans="2:6">
      <c r="B22" s="27" t="s">
        <v>95</v>
      </c>
      <c r="C22" s="31">
        <v>0.12</v>
      </c>
      <c r="D22" s="7"/>
    </row>
    <row r="23" spans="2:6">
      <c r="B23" s="27" t="s">
        <v>96</v>
      </c>
      <c r="C23" s="31">
        <v>0.1</v>
      </c>
      <c r="D23" s="7"/>
    </row>
    <row r="24" spans="2:6">
      <c r="B24" s="27" t="s">
        <v>97</v>
      </c>
      <c r="C24" s="31">
        <v>0.25</v>
      </c>
      <c r="D24" s="7"/>
    </row>
    <row r="25" spans="2:6">
      <c r="B25" s="27" t="s">
        <v>98</v>
      </c>
      <c r="C25" s="31">
        <v>0.97</v>
      </c>
      <c r="D25" s="7"/>
    </row>
    <row r="26" spans="2:6">
      <c r="B26" s="27" t="s">
        <v>99</v>
      </c>
      <c r="C26" s="32">
        <v>0.05</v>
      </c>
      <c r="D26" s="7" t="str">
        <f>Currency</f>
        <v>USD</v>
      </c>
    </row>
    <row r="27" spans="2:6">
      <c r="B27" s="27" t="s">
        <v>100</v>
      </c>
      <c r="C27" s="33">
        <v>5</v>
      </c>
      <c r="D27" s="7" t="s">
        <v>101</v>
      </c>
    </row>
    <row r="28" spans="2:6">
      <c r="B28" s="27" t="s">
        <v>102</v>
      </c>
      <c r="C28" s="33">
        <v>16</v>
      </c>
      <c r="D28" s="7" t="s">
        <v>103</v>
      </c>
    </row>
    <row r="29" spans="2:6">
      <c r="B29" s="27" t="s">
        <v>104</v>
      </c>
      <c r="C29" s="31">
        <v>0.8</v>
      </c>
      <c r="D29" s="7"/>
    </row>
    <row r="31" spans="2:6" ht="21" customHeight="1">
      <c r="B31" s="8" t="s">
        <v>105</v>
      </c>
      <c r="C31" s="8"/>
      <c r="D31" s="8"/>
      <c r="E31" s="8"/>
      <c r="F31" s="8"/>
    </row>
    <row r="32" spans="2:6" ht="5" customHeight="1"/>
    <row r="33" spans="2:6">
      <c r="B33" s="34" t="s">
        <v>106</v>
      </c>
      <c r="C33" s="34"/>
      <c r="D33" s="34"/>
    </row>
    <row r="34" spans="2:6" ht="14" customHeight="1">
      <c r="B34" s="35"/>
      <c r="C34" s="35" t="str">
        <f>Currency&amp;"/h"</f>
        <v>USD/h</v>
      </c>
      <c r="D34" s="35"/>
    </row>
    <row r="35" spans="2:6" ht="20" customHeight="1">
      <c r="B35" s="36" t="s">
        <v>65</v>
      </c>
      <c r="C35" s="36" t="s">
        <v>66</v>
      </c>
      <c r="D35" s="36" t="s">
        <v>67</v>
      </c>
    </row>
    <row r="36" spans="2:6">
      <c r="B36" s="28" t="s">
        <v>107</v>
      </c>
      <c r="C36" s="32">
        <v>45</v>
      </c>
      <c r="D36" s="28" t="s">
        <v>108</v>
      </c>
    </row>
    <row r="37" spans="2:6">
      <c r="B37" s="28" t="s">
        <v>109</v>
      </c>
      <c r="C37" s="32">
        <v>90</v>
      </c>
      <c r="D37" s="28" t="s">
        <v>110</v>
      </c>
    </row>
    <row r="38" spans="2:6">
      <c r="B38" s="28" t="s">
        <v>111</v>
      </c>
      <c r="C38" s="32">
        <v>135</v>
      </c>
      <c r="D38" s="28" t="s">
        <v>112</v>
      </c>
    </row>
    <row r="39" spans="2:6">
      <c r="B39" s="28" t="s">
        <v>113</v>
      </c>
      <c r="C39" s="32">
        <v>80</v>
      </c>
      <c r="D39" s="28" t="s">
        <v>114</v>
      </c>
    </row>
    <row r="40" spans="2:6">
      <c r="B40" s="28" t="s">
        <v>115</v>
      </c>
      <c r="C40" s="32">
        <v>48</v>
      </c>
      <c r="D40" s="28" t="s">
        <v>116</v>
      </c>
    </row>
    <row r="41" spans="2:6">
      <c r="B41" s="28" t="s">
        <v>117</v>
      </c>
      <c r="C41" s="32">
        <v>85</v>
      </c>
      <c r="D41" s="28" t="s">
        <v>118</v>
      </c>
    </row>
    <row r="43" spans="2:6">
      <c r="B43" s="34" t="s">
        <v>119</v>
      </c>
      <c r="C43" s="34"/>
      <c r="D43" s="34"/>
      <c r="E43" s="34"/>
      <c r="F43" s="34"/>
    </row>
    <row r="44" spans="2:6" ht="14" customHeight="1">
      <c r="B44" s="35"/>
      <c r="C44" s="35"/>
      <c r="D44" s="35" t="str">
        <f>Currency</f>
        <v>USD</v>
      </c>
      <c r="E44" s="35"/>
      <c r="F44" s="35"/>
    </row>
    <row r="45" spans="2:6" ht="32" customHeight="1">
      <c r="B45" s="36" t="s">
        <v>68</v>
      </c>
      <c r="C45" s="36" t="s">
        <v>69</v>
      </c>
      <c r="D45" s="36" t="s">
        <v>70</v>
      </c>
      <c r="E45" s="36" t="s">
        <v>71</v>
      </c>
      <c r="F45" s="36" t="s">
        <v>67</v>
      </c>
    </row>
    <row r="46" spans="2:6">
      <c r="B46" s="28" t="s">
        <v>120</v>
      </c>
      <c r="C46" s="32">
        <v>2.7</v>
      </c>
      <c r="D46" s="32">
        <v>6.8</v>
      </c>
      <c r="E46" s="28" t="s">
        <v>121</v>
      </c>
      <c r="F46" s="28" t="s">
        <v>122</v>
      </c>
    </row>
    <row r="47" spans="2:6">
      <c r="B47" s="28" t="s">
        <v>123</v>
      </c>
      <c r="C47" s="32">
        <v>2.81</v>
      </c>
      <c r="D47" s="32">
        <v>11.5</v>
      </c>
      <c r="E47" s="28" t="s">
        <v>121</v>
      </c>
      <c r="F47" s="28" t="s">
        <v>124</v>
      </c>
    </row>
    <row r="48" spans="2:6">
      <c r="B48" s="28" t="s">
        <v>125</v>
      </c>
      <c r="C48" s="32">
        <v>7.87</v>
      </c>
      <c r="D48" s="32">
        <v>1.95</v>
      </c>
      <c r="E48" s="28" t="s">
        <v>121</v>
      </c>
      <c r="F48" s="28" t="s">
        <v>124</v>
      </c>
    </row>
    <row r="49" spans="2:6">
      <c r="B49" s="28" t="s">
        <v>126</v>
      </c>
      <c r="C49" s="32">
        <v>8</v>
      </c>
      <c r="D49" s="32">
        <v>7.4</v>
      </c>
      <c r="E49" s="28" t="s">
        <v>121</v>
      </c>
      <c r="F49" s="28" t="s">
        <v>124</v>
      </c>
    </row>
    <row r="50" spans="2:6">
      <c r="B50" s="28" t="s">
        <v>127</v>
      </c>
      <c r="C50" s="32">
        <v>8.5</v>
      </c>
      <c r="D50" s="32">
        <v>4.45</v>
      </c>
      <c r="E50" s="28" t="s">
        <v>128</v>
      </c>
      <c r="F50" s="28" t="s">
        <v>129</v>
      </c>
    </row>
    <row r="51" spans="2:6">
      <c r="B51" s="28" t="s">
        <v>130</v>
      </c>
      <c r="C51" s="32">
        <v>1.41</v>
      </c>
      <c r="D51" s="32">
        <v>12</v>
      </c>
      <c r="E51" s="28" t="s">
        <v>121</v>
      </c>
      <c r="F51" s="28" t="s">
        <v>124</v>
      </c>
    </row>
  </sheetData>
  <mergeCells count="17">
    <mergeCell ref="A1:F1"/>
    <mergeCell ref="B2:E2"/>
    <mergeCell ref="B4:F4"/>
    <mergeCell ref="C6:D6"/>
    <mergeCell ref="C7:D7"/>
    <mergeCell ref="C8:D8"/>
    <mergeCell ref="C9:D9"/>
    <mergeCell ref="C10:D10"/>
    <mergeCell ref="B12:F12"/>
    <mergeCell ref="C14:D14"/>
    <mergeCell ref="C16:D16"/>
    <mergeCell ref="C17:D17"/>
    <mergeCell ref="C18:D18"/>
    <mergeCell ref="B20:F20"/>
    <mergeCell ref="B31:F31"/>
    <mergeCell ref="B33:D33"/>
    <mergeCell ref="B43:F43"/>
  </mergeCells>
  <dataValidations count="26">
    <dataValidation type="textLength" allowBlank="1" showInputMessage="1" showErrorMessage="1" errorTitle="Check this entry" error="Text up to 80 characters." promptTitle="Company name" prompt="Text up to 80 characters." sqref="C6">
      <formula1>0</formula1>
      <formula2>80</formula2>
    </dataValidation>
    <dataValidation type="textLength" allowBlank="1" showInputMessage="1" showErrorMessage="1" errorTitle="Check this entry" error="Text up to 80 characters." promptTitle="Address line 1" prompt="Text up to 80 characters." sqref="C7">
      <formula1>0</formula1>
      <formula2>80</formula2>
    </dataValidation>
    <dataValidation type="textLength" allowBlank="1" showInputMessage="1" showErrorMessage="1" errorTitle="Check this entry" error="Text up to 80 characters." promptTitle="Address line 2" prompt="Text up to 80 characters." sqref="C8">
      <formula1>0</formula1>
      <formula2>80</formula2>
    </dataValidation>
    <dataValidation type="textLength" allowBlank="1" showInputMessage="1" showErrorMessage="1" errorTitle="Check this entry" error="Text up to 40 characters." promptTitle="Phone" prompt="Text up to 40 characters." sqref="C9">
      <formula1>0</formula1>
      <formula2>40</formula2>
    </dataValidation>
    <dataValidation type="textLength" allowBlank="1" showInputMessage="1" showErrorMessage="1" errorTitle="Check this entry" error="Text up to 80 characters." promptTitle="Email" prompt="Text up to 80 characters." sqref="C10">
      <formula1>0</formula1>
      <formula2>80</formula2>
    </dataValidation>
    <dataValidation type="textLength" allowBlank="1" showInputMessage="1" showErrorMessage="1" errorTitle="Check this entry" error="Text up to 12 characters." promptTitle="Currency label" prompt="Text shown with every price, e.g. USD, INR, GBP, EUR, MXN. No exchange rate is applied. Text up to 12 characters." sqref="C14">
      <formula1>0</formula1>
      <formula2>12</formula2>
    </dataValidation>
    <dataValidation type="whole" allowBlank="1" showInputMessage="1" showErrorMessage="1" errorTitle="Check this entry" error="Enter a whole number from 1 to 365." promptTitle="Quote valid for" prompt="Enter a whole number from 1 to 365." sqref="C15">
      <formula1>1</formula1>
      <formula2>365</formula2>
    </dataValidation>
    <dataValidation type="textLength" allowBlank="1" showInputMessage="1" showErrorMessage="1" errorTitle="Check this entry" error="Text up to 120 characters." promptTitle="Payment terms" prompt="Text up to 120 characters." sqref="C16">
      <formula1>0</formula1>
      <formula2>120</formula2>
    </dataValidation>
    <dataValidation type="textLength" allowBlank="1" showInputMessage="1" showErrorMessage="1" errorTitle="Check this entry" error="Text up to 120 characters." promptTitle="Delivery terms" prompt="Text up to 120 characters." sqref="C17">
      <formula1>0</formula1>
      <formula2>120</formula2>
    </dataValidation>
    <dataValidation type="textLength" allowBlank="1" showInputMessage="1" showErrorMessage="1" errorTitle="Check this entry" error="Text up to 255 characters." promptTitle="Standard terms (printed on th..." prompt="Text up to 255 characters." sqref="C18">
      <formula1>0</formula1>
      <formula2>255</formula2>
    </dataValidation>
    <dataValidation type="decimal" allowBlank="1" showInputMessage="1" showErrorMessage="1" errorTitle="Check this entry" error="Enter a percentage from 0% to 500% (type 85% or 0.85)." promptTitle="Shop overhead on machine and ..." prompt="Set to 0% if your machine rates already include overhead (fully burdened rates). Enter a percentage from 0% to 500% (type 85% or 0.85)." sqref="C22">
      <formula1>0</formula1>
      <formula2>5</formula2>
    </dataValidation>
    <dataValidation type="decimal" allowBlank="1" showInputMessage="1" showErrorMessage="1" errorTitle="Check this entry" error="Enter a percentage from 0% to 500% (type 85% or 0.85)." promptTitle="Markup on material and outsid..." prompt="Handling and stocking markup on bought-in material and processes. Enter a percentage from 0% to 500% (type 85% or 0.85)." sqref="C23">
      <formula1>0</formula1>
      <formula2>5</formula2>
    </dataValidation>
    <dataValidation type="decimal" allowBlank="1" showInputMessage="1" showErrorMessage="1" errorTitle="Check this entry" error="Enter a percentage from 0% to 95% (type 85% or 0.85)." promptTitle="Target margin on price" prompt="Margin on selling price: price = cost / (1 - margin). 25% margin is a 33.3% markup on cost. Enter a percentage from 0% to 95% (type 85% or 0.85)." sqref="C24">
      <formula1>0</formula1>
      <formula2>0.95</formula2>
    </dataValidation>
    <dataValidation type="decimal" allowBlank="1" showInputMessage="1" showErrorMessage="1" errorTitle="Check this entry" error="Enter a percentage from 1% to 100% (type 85% or 0.85)." promptTitle="First-pass yield" prompt="Good parts / parts started on similar jobs. Scrap is remade, so material, machine time and tool wear are costed on parts started. Enter a percentage from 1% to 100% (type 85% or 0.85)." sqref="C25">
      <formula1>0.01</formula1>
      <formula2>1</formula2>
    </dataValidation>
    <dataValidation type="decimal" allowBlank="1" showInputMessage="1" showErrorMessage="1" errorTitle="Check this entry" error="Enter a number from 0.0001 to 1,000." promptTitle="Round unit prices up to the n..." prompt="Enter a number from 0.0001 to 1,000." sqref="C26">
      <formula1>0.0001</formula1>
      <formula2>1000</formula2>
    </dataValidation>
    <dataValidation type="decimal" allowBlank="1" showInputMessage="1" showErrorMessage="1" errorTitle="Check this entry" error="Enter a number from 0 to 600." promptTitle="Tool change time, chip to chip" prompt="Your machining centres' chip-to-chip time; each tool change in the operations table adds this. Enter a number from 0 to 600." sqref="C27">
      <formula1>0</formula1>
      <formula2>600</formula2>
    </dataValidation>
    <dataValidation type="decimal" allowBlank="1" showInputMessage="1" showErrorMessage="1" errorTitle="Check this entry" error="Enter a number from 1 to 24." promptTitle="Scheduled hours per working day" prompt="Hours the shop schedules per working day, e.g. 16 for two 8-hour shifts. Enter a number from 1 to 24." sqref="C28">
      <formula1>1</formula1>
      <formula2>24</formula2>
    </dataValidation>
    <dataValidation type="decimal" allowBlank="1" showInputMessage="1" showErrorMessage="1" errorTitle="Check this entry" error="Enter a percentage from 1% to 100% (type 85% or 0.85)." promptTitle="Uptime of scheduled hours" prompt="Hours worked (setups included) / scheduled hours, from your downtime records. Enter a percentage from 1% to 100% (type 85% or 0.85)." sqref="C29">
      <formula1>0.01</formula1>
      <formula2>1</formula2>
    </dataValidation>
    <dataValidation type="textLength" allowBlank="1" showInputMessage="1" showErrorMessage="1" errorTitle="Check this entry" error="Text up to 40 characters." promptTitle="Machine" prompt="Text up to 40 characters." sqref="B36:B141">
      <formula1>0</formula1>
      <formula2>40</formula2>
    </dataValidation>
    <dataValidation type="decimal" allowBlank="1" showInputMessage="1" showErrorMessage="1" errorTitle="Check this entry" error="Enter a number from 0 to 100,000." promptTitle="Rate per hour" prompt="Your hourly rate for this machine or bench: machine plus operator, with or without overhead (see Costing defaults). Enter a number from 0 to 100,000." sqref="C36:C141">
      <formula1>0</formula1>
      <formula2>100000</formula2>
    </dataValidation>
    <dataValidation type="textLength" allowBlank="1" showInputMessage="1" showErrorMessage="1" errorTitle="Check this entry" error="Text up to 120 characters." promptTitle="Notes" prompt="Text up to 120 characters." sqref="D36:D141">
      <formula1>0</formula1>
      <formula2>120</formula2>
    </dataValidation>
    <dataValidation type="textLength" allowBlank="1" showInputMessage="1" showErrorMessage="1" errorTitle="Check this entry" error="Text up to 60 characters." promptTitle="Material" prompt="Text up to 60 characters." sqref="B46:B151">
      <formula1>0</formula1>
      <formula2>60</formula2>
    </dataValidation>
    <dataValidation type="decimal" allowBlank="1" showInputMessage="1" showErrorMessage="1" errorTitle="Check this entry" error="Enter a number from 0.1 to 25." promptTitle="Density (g/cm3)" prompt="Nominal density; check your supplier's data sheet. Enter a number from 0.1 to 25." sqref="C46:C151">
      <formula1>0.1</formula1>
      <formula2>25</formula2>
    </dataValidation>
    <dataValidation type="decimal" allowBlank="1" showInputMessage="1" showErrorMessage="1" errorTitle="Check this entry" error="Enter a number from 0 to 1,000,000." promptTitle="Price" prompt="Price per kg or per lb, as set in the Per column. Enter a number from 0 to 1,000,000." sqref="D46:D151">
      <formula1>0</formula1>
      <formula2>1000000.0</formula2>
    </dataValidation>
    <dataValidation type="list" allowBlank="1" showInputMessage="1" showErrorMessage="1" errorTitle="Check this entry" error="Pick one of: kg, lb." promptTitle="Per" prompt="Pick one of: kg, lb." sqref="E46:E151">
      <formula1>"kg,lb"</formula1>
    </dataValidation>
    <dataValidation type="textLength" allowBlank="1" showInputMessage="1" showErrorMessage="1" errorTitle="Check this entry" error="Text up to 120 characters." promptTitle="Notes" prompt="Text up to 120 characters." sqref="F46:F151">
      <formula1>0</formula1>
      <formula2>120</formula2>
    </dataValidation>
  </dataValidations>
  <hyperlinks>
    <hyperlink ref="F2" r:id="rId1" tooltip="Free manufacturing calculators and templates"/>
  </hyperlinks>
  <pageMargins left="0.4" right="0.4" top="0.7" bottom="0.65" header="0.3" footer="0.3"/>
  <pageSetup fitToHeight="0" orientation="portrait"/>
  <headerFooter>
    <oddHeader>&amp;L&amp;8MFG Calcs - CNC Machining Quote&amp;R&amp;8&amp;A</oddHeader>
    <oddFooter>&amp;L&amp;8mfgcalcs.com - free manufacturing templates&amp;R&amp;8Page &amp;P of &amp;N</oddFooter>
  </headerFooter>
  <rowBreaks count="1" manualBreakCount="1">
    <brk id="42" max="16383" man="1"/>
  </rowBreaks>
  <tableParts count="2">
    <tablePart r:id="rId2"/>
    <tablePart r:id="rId3"/>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O106"/>
  <sheetViews>
    <sheetView showGridLines="0" workbookViewId="0"/>
  </sheetViews>
  <sheetFormatPr defaultRowHeight="15"/>
  <cols>
    <col min="1" max="1" width="2.7109375" customWidth="1"/>
    <col min="2" max="2" width="32.7109375" customWidth="1"/>
    <col min="3" max="3" width="17.7109375" customWidth="1"/>
    <col min="4" max="8" width="12.7109375" customWidth="1"/>
    <col min="9" max="14" width="10.7109375" customWidth="1"/>
    <col min="15" max="15" width="20.7109375" customWidth="1"/>
  </cols>
  <sheetData>
    <row r="1" spans="1:15" ht="30" customHeight="1">
      <c r="A1" s="1" t="s">
        <v>0</v>
      </c>
      <c r="B1" s="1"/>
      <c r="C1" s="1"/>
      <c r="D1" s="1"/>
      <c r="E1" s="1"/>
      <c r="F1" s="1"/>
      <c r="G1" s="1"/>
      <c r="H1" s="1"/>
      <c r="I1" s="1"/>
      <c r="J1" s="1"/>
      <c r="K1" s="1"/>
      <c r="L1" s="1"/>
      <c r="M1" s="1"/>
      <c r="N1" s="1"/>
      <c r="O1" s="1"/>
    </row>
    <row r="2" spans="1:15" ht="21" customHeight="1">
      <c r="B2" s="2" t="s">
        <v>22</v>
      </c>
      <c r="C2" s="2"/>
      <c r="D2" s="2"/>
      <c r="E2" s="2"/>
      <c r="F2" s="2"/>
      <c r="G2" s="2"/>
      <c r="H2" s="2"/>
      <c r="I2" s="2"/>
      <c r="J2" s="2"/>
      <c r="K2" s="2"/>
      <c r="L2" s="2"/>
      <c r="M2" s="2"/>
      <c r="N2" s="2"/>
      <c r="O2" s="3" t="s">
        <v>2</v>
      </c>
    </row>
    <row r="3" spans="1:15" ht="6" customHeight="1"/>
    <row r="4" spans="1:15" ht="21" customHeight="1">
      <c r="B4" s="37" t="s">
        <v>157</v>
      </c>
      <c r="C4" s="37"/>
      <c r="D4" s="37"/>
      <c r="E4" s="37"/>
      <c r="F4" s="37"/>
      <c r="G4" s="37"/>
      <c r="H4" s="37"/>
      <c r="I4" s="37"/>
      <c r="J4" s="37"/>
      <c r="K4" s="37"/>
      <c r="L4" s="37"/>
      <c r="M4" s="37"/>
      <c r="N4" s="37"/>
      <c r="O4" s="37"/>
    </row>
    <row r="6" spans="1:15" ht="21" customHeight="1">
      <c r="B6" s="8" t="s">
        <v>158</v>
      </c>
      <c r="C6" s="8"/>
      <c r="D6" s="8"/>
      <c r="E6" s="8"/>
      <c r="F6" s="8"/>
      <c r="G6" s="8"/>
      <c r="H6" s="8"/>
      <c r="I6" s="8"/>
      <c r="J6" s="8"/>
      <c r="K6" s="8"/>
      <c r="L6" s="8"/>
      <c r="M6" s="8"/>
      <c r="N6" s="8"/>
      <c r="O6" s="8"/>
    </row>
    <row r="7" spans="1:15" ht="5" customHeight="1"/>
    <row r="8" spans="1:15">
      <c r="B8" s="27" t="s">
        <v>159</v>
      </c>
      <c r="C8" s="30" t="s">
        <v>160</v>
      </c>
      <c r="D8" s="30"/>
      <c r="E8" s="30"/>
      <c r="F8" s="30"/>
    </row>
    <row r="9" spans="1:15">
      <c r="B9" s="27" t="s">
        <v>161</v>
      </c>
      <c r="C9" s="38">
        <v>46308</v>
      </c>
      <c r="D9" s="38"/>
      <c r="E9" s="38"/>
      <c r="F9" s="38"/>
    </row>
    <row r="10" spans="1:15">
      <c r="B10" s="27" t="s">
        <v>162</v>
      </c>
      <c r="C10" s="30" t="s">
        <v>163</v>
      </c>
      <c r="D10" s="30"/>
      <c r="E10" s="30"/>
      <c r="F10" s="30"/>
    </row>
    <row r="11" spans="1:15">
      <c r="B11" s="27" t="s">
        <v>164</v>
      </c>
      <c r="C11" s="30" t="s">
        <v>165</v>
      </c>
      <c r="D11" s="30"/>
      <c r="E11" s="30"/>
      <c r="F11" s="30"/>
    </row>
    <row r="12" spans="1:15">
      <c r="B12" s="27" t="s">
        <v>166</v>
      </c>
      <c r="C12" s="30" t="s">
        <v>167</v>
      </c>
      <c r="D12" s="30"/>
      <c r="E12" s="30"/>
      <c r="F12" s="30"/>
    </row>
    <row r="13" spans="1:15">
      <c r="B13" s="27" t="s">
        <v>168</v>
      </c>
      <c r="C13" s="30" t="s">
        <v>169</v>
      </c>
      <c r="D13" s="30"/>
      <c r="E13" s="30"/>
      <c r="F13" s="30"/>
    </row>
    <row r="14" spans="1:15">
      <c r="B14" s="27" t="s">
        <v>170</v>
      </c>
      <c r="C14" s="30" t="s">
        <v>171</v>
      </c>
      <c r="D14" s="30"/>
      <c r="E14" s="30"/>
      <c r="F14" s="30"/>
    </row>
    <row r="15" spans="1:15">
      <c r="B15" s="27" t="s">
        <v>172</v>
      </c>
      <c r="C15" s="30" t="s">
        <v>173</v>
      </c>
      <c r="D15" s="30"/>
      <c r="E15" s="30"/>
      <c r="F15" s="30"/>
    </row>
    <row r="16" spans="1:15">
      <c r="B16" s="27" t="s">
        <v>174</v>
      </c>
      <c r="C16" s="30" t="s">
        <v>175</v>
      </c>
      <c r="D16" s="30"/>
      <c r="E16" s="30"/>
      <c r="F16" s="30"/>
    </row>
    <row r="18" spans="2:15" ht="21" customHeight="1">
      <c r="B18" s="8" t="s">
        <v>176</v>
      </c>
      <c r="C18" s="8"/>
      <c r="D18" s="8"/>
      <c r="E18" s="8"/>
      <c r="F18" s="8"/>
      <c r="G18" s="8"/>
      <c r="H18" s="8"/>
      <c r="I18" s="8"/>
      <c r="J18" s="8"/>
      <c r="K18" s="8"/>
      <c r="L18" s="8"/>
      <c r="M18" s="8"/>
      <c r="N18" s="8"/>
      <c r="O18" s="8"/>
    </row>
    <row r="19" spans="2:15" ht="5" customHeight="1"/>
    <row r="20" spans="2:15">
      <c r="B20" s="27" t="s">
        <v>68</v>
      </c>
      <c r="C20" s="28" t="s">
        <v>120</v>
      </c>
      <c r="D20" s="28"/>
    </row>
    <row r="21" spans="2:15">
      <c r="B21" s="27" t="s">
        <v>177</v>
      </c>
      <c r="C21" s="28" t="s">
        <v>178</v>
      </c>
      <c r="D21" s="28"/>
    </row>
    <row r="22" spans="2:15">
      <c r="B22" s="27" t="s">
        <v>179</v>
      </c>
      <c r="C22" s="28" t="s">
        <v>180</v>
      </c>
      <c r="D22" s="28"/>
    </row>
    <row r="23" spans="2:15">
      <c r="B23" s="27" t="s">
        <v>181</v>
      </c>
      <c r="C23" s="32">
        <v>65</v>
      </c>
      <c r="D23" s="7" t="str">
        <f>DimUnit</f>
        <v>mm</v>
      </c>
    </row>
    <row r="24" spans="2:15">
      <c r="B24" s="27" t="s">
        <v>182</v>
      </c>
      <c r="C24" s="32">
        <v>45</v>
      </c>
      <c r="D24" s="7" t="str">
        <f>DimUnit</f>
        <v>mm</v>
      </c>
    </row>
    <row r="25" spans="2:15">
      <c r="B25" s="27" t="s">
        <v>183</v>
      </c>
      <c r="C25" s="32">
        <v>85</v>
      </c>
      <c r="D25" s="7" t="str">
        <f>DimUnit</f>
        <v>mm</v>
      </c>
    </row>
    <row r="26" spans="2:15">
      <c r="B26" s="27" t="s">
        <v>184</v>
      </c>
      <c r="C26" s="31">
        <v>0.05</v>
      </c>
      <c r="D26" s="7"/>
    </row>
    <row r="27" spans="2:15">
      <c r="B27" s="27" t="s">
        <v>185</v>
      </c>
      <c r="C27" s="39">
        <f>IFERROR(INDEX(tblMaterials[Density (g/cm3)],MATCH(Material,tblMaterials[Material],0)),"")</f>
        <v>2.7</v>
      </c>
      <c r="D27" s="7" t="s">
        <v>186</v>
      </c>
    </row>
    <row r="28" spans="2:15">
      <c r="B28" s="27" t="s">
        <v>187</v>
      </c>
      <c r="C28" s="39">
        <f>IF(Shape="Round bar",PI()*(DiaW/2)^2*BlankLen,DiaW*Thick*BlankLen)*IF(DimUnit="in",16.387064,0.001)</f>
        <v>248.625</v>
      </c>
      <c r="D28" s="7" t="s">
        <v>188</v>
      </c>
    </row>
    <row r="29" spans="2:15">
      <c r="B29" s="27" t="s">
        <v>189</v>
      </c>
      <c r="C29" s="40">
        <f>IF(Density="","",BlankVol*Density/1000)</f>
        <v>0.6712875</v>
      </c>
      <c r="D29" s="7" t="s">
        <v>121</v>
      </c>
    </row>
    <row r="30" spans="2:15">
      <c r="B30" s="27" t="s">
        <v>190</v>
      </c>
      <c r="C30" s="39">
        <f>IFERROR(INDEX(tblMaterials[Price],MATCH(Material,tblMaterials[Material],0))/IF(INDEX(tblMaterials[Per],MATCH(Material,tblMaterials[Material],0))="lb",0.45359237,1),"")</f>
        <v>6.8</v>
      </c>
      <c r="D30" s="7" t="str">
        <f>Currency&amp;"/kg"</f>
        <v>USD/kg</v>
      </c>
    </row>
    <row r="31" spans="2:15">
      <c r="B31" s="17" t="s">
        <v>191</v>
      </c>
      <c r="C31" s="41">
        <f>IF(OR(BlankKg="",PriceKg=""),"",BlankKg*PriceKg*(1+Allowance))</f>
        <v>4.79299275</v>
      </c>
      <c r="D31" s="7" t="str">
        <f>Currency</f>
        <v>USD</v>
      </c>
    </row>
    <row r="32" spans="2:15">
      <c r="B32" s="27" t="s">
        <v>192</v>
      </c>
      <c r="C32" s="42" t="str">
        <f>IF(DimUnit="in","in3","cm3")</f>
        <v>cm3</v>
      </c>
      <c r="D32" s="42"/>
    </row>
    <row r="33" spans="2:15">
      <c r="B33" s="27" t="s">
        <v>193</v>
      </c>
      <c r="C33" s="42" t="str">
        <f>IF(Density="","Material not on Setup list",IF(AND(Shape&lt;&gt;"Round bar",Thick=0),"Enter a thickness",IF(BlankVol&lt;=0,"Blank size missing","OK")))</f>
        <v>OK</v>
      </c>
      <c r="D33" s="42"/>
    </row>
    <row r="35" spans="2:15" ht="21" customHeight="1">
      <c r="B35" s="8" t="s">
        <v>194</v>
      </c>
      <c r="C35" s="8"/>
      <c r="D35" s="8"/>
      <c r="E35" s="8"/>
      <c r="F35" s="8"/>
      <c r="G35" s="8"/>
      <c r="H35" s="8"/>
      <c r="I35" s="8"/>
      <c r="J35" s="8"/>
      <c r="K35" s="8"/>
      <c r="L35" s="8"/>
      <c r="M35" s="8"/>
      <c r="N35" s="8"/>
      <c r="O35" s="8"/>
    </row>
    <row r="36" spans="2:15" ht="5" customHeight="1"/>
    <row r="37" spans="2:15">
      <c r="B37" s="21" t="s">
        <v>195</v>
      </c>
      <c r="C37" s="21"/>
      <c r="D37" s="21"/>
      <c r="E37" s="21"/>
      <c r="F37" s="21"/>
      <c r="G37" s="21"/>
      <c r="H37" s="21"/>
      <c r="I37" s="21"/>
      <c r="J37" s="21"/>
      <c r="K37" s="21"/>
      <c r="L37" s="21"/>
      <c r="M37" s="21"/>
      <c r="N37" s="21"/>
      <c r="O37" s="21"/>
    </row>
    <row r="38" spans="2:15" ht="14" customHeight="1">
      <c r="B38" s="35"/>
      <c r="C38" s="35"/>
      <c r="D38" s="35"/>
      <c r="E38" s="35"/>
      <c r="F38" s="35" t="str">
        <f>VolUnit</f>
        <v>cm3</v>
      </c>
      <c r="G38" s="35" t="str">
        <f>VolUnit&amp;"/min"</f>
        <v>cm3/min</v>
      </c>
      <c r="H38" s="35" t="str">
        <f>DimUnit</f>
        <v>mm</v>
      </c>
      <c r="I38" s="35" t="str">
        <f>DimUnit&amp;"/min"</f>
        <v>mm/min</v>
      </c>
      <c r="J38" s="35"/>
      <c r="K38" s="35" t="str">
        <f>Currency&amp;"/h"</f>
        <v>USD/h</v>
      </c>
      <c r="L38" s="35"/>
      <c r="M38" s="35" t="str">
        <f>Currency&amp;"/batch"</f>
        <v>USD/batch</v>
      </c>
      <c r="N38" s="35" t="str">
        <f>Currency&amp;"/part"</f>
        <v>USD/part</v>
      </c>
      <c r="O38" s="35"/>
    </row>
    <row r="39" spans="2:15" ht="32" customHeight="1">
      <c r="B39" s="36" t="s">
        <v>131</v>
      </c>
      <c r="C39" s="36" t="s">
        <v>65</v>
      </c>
      <c r="D39" s="36" t="s">
        <v>132</v>
      </c>
      <c r="E39" s="36" t="s">
        <v>133</v>
      </c>
      <c r="F39" s="36" t="s">
        <v>134</v>
      </c>
      <c r="G39" s="36" t="s">
        <v>135</v>
      </c>
      <c r="H39" s="36" t="s">
        <v>136</v>
      </c>
      <c r="I39" s="36" t="s">
        <v>137</v>
      </c>
      <c r="J39" s="36" t="s">
        <v>138</v>
      </c>
      <c r="K39" s="36" t="s">
        <v>139</v>
      </c>
      <c r="L39" s="36" t="s">
        <v>140</v>
      </c>
      <c r="M39" s="36" t="s">
        <v>141</v>
      </c>
      <c r="N39" s="36" t="s">
        <v>142</v>
      </c>
      <c r="O39" s="36" t="s">
        <v>143</v>
      </c>
    </row>
    <row r="40" spans="2:15">
      <c r="B40" s="28" t="s">
        <v>196</v>
      </c>
      <c r="C40" s="28" t="s">
        <v>107</v>
      </c>
      <c r="D40" s="32">
        <v>0.25</v>
      </c>
      <c r="E40" s="32">
        <v>0.5</v>
      </c>
      <c r="F40" s="33">
        <v>0</v>
      </c>
      <c r="G40" s="33">
        <v>0</v>
      </c>
      <c r="H40" s="29">
        <v>65</v>
      </c>
      <c r="I40" s="29">
        <v>50</v>
      </c>
      <c r="J40" s="29">
        <v>0</v>
      </c>
      <c r="K40" s="39">
        <f>IF(tblOps[[#This Row],[Operation]]="","",IFERROR(INDEX(tblMachines[Rate per hour],MATCH(tblOps[[#This Row],[Machine]],tblMachines[Machine],0)),""))</f>
        <v>45</v>
      </c>
      <c r="L40" s="39">
        <f>IF(tblOps[[#This Row],[Operation]]="","",tblOps[[#This Row],[Handling (min/part)]]+IF(N(tblOps[[#This Row],[MRR]])&gt;0,tblOps[[#This Row],[Stock removed]]/tblOps[[#This Row],[MRR]],0)+IF(N(tblOps[[#This Row],[Feed]])&gt;0,tblOps[[#This Row],[Toolpath]]/tblOps[[#This Row],[Feed]],0)+tblOps[[#This Row],[Tool changes]]*ToolChangeS/60)</f>
        <v>1.8</v>
      </c>
      <c r="M40" s="39">
        <f>IF(tblOps[[#This Row],[Operation]]="","",IF(tblOps[[#This Row],[Rate]]="","",tblOps[[#This Row],[Setup (h)]]*tblOps[[#This Row],[Rate]]))</f>
        <v>11.25</v>
      </c>
      <c r="N40" s="43">
        <f>IF(tblOps[[#This Row],[Operation]]="","",IF(tblOps[[#This Row],[Rate]]="","",tblOps[[#This Row],[Cycle (min/part)]]/60*tblOps[[#This Row],[Rate]]))</f>
        <v>1.35</v>
      </c>
      <c r="O40" s="44" t="str">
        <f>IF(tblOps[[#This Row],[Operation]]="","",IF(tblOps[[#This Row],[Machine]]="","Missing machine",IF(tblOps[[#This Row],[Rate]]="","Machine not on Setup list",IF(AND(N(tblOps[[#This Row],[Stock removed]])&gt;0,N(tblOps[[#This Row],[MRR]])=0),"Stock removed needs an MRR",IF(AND(N(tblOps[[#This Row],[Toolpath]])&gt;0,N(tblOps[[#This Row],[Feed]])=0),"Toolpath needs a feed","OK")))))</f>
        <v>OK</v>
      </c>
    </row>
    <row r="41" spans="2:15">
      <c r="B41" s="28" t="s">
        <v>197</v>
      </c>
      <c r="C41" s="28" t="s">
        <v>109</v>
      </c>
      <c r="D41" s="32">
        <v>1.5</v>
      </c>
      <c r="E41" s="32">
        <v>1</v>
      </c>
      <c r="F41" s="33">
        <v>38</v>
      </c>
      <c r="G41" s="33">
        <v>18</v>
      </c>
      <c r="H41" s="29">
        <v>2400</v>
      </c>
      <c r="I41" s="29">
        <v>1200</v>
      </c>
      <c r="J41" s="29">
        <v>8</v>
      </c>
      <c r="K41" s="39">
        <f>IF(tblOps[[#This Row],[Operation]]="","",IFERROR(INDEX(tblMachines[Rate per hour],MATCH(tblOps[[#This Row],[Machine]],tblMachines[Machine],0)),""))</f>
        <v>90</v>
      </c>
      <c r="L41" s="39">
        <f>IF(tblOps[[#This Row],[Operation]]="","",tblOps[[#This Row],[Handling (min/part)]]+IF(N(tblOps[[#This Row],[MRR]])&gt;0,tblOps[[#This Row],[Stock removed]]/tblOps[[#This Row],[MRR]],0)+IF(N(tblOps[[#This Row],[Feed]])&gt;0,tblOps[[#This Row],[Toolpath]]/tblOps[[#This Row],[Feed]],0)+tblOps[[#This Row],[Tool changes]]*ToolChangeS/60)</f>
        <v>5.77777777777778</v>
      </c>
      <c r="M41" s="39">
        <f>IF(tblOps[[#This Row],[Operation]]="","",IF(tblOps[[#This Row],[Rate]]="","",tblOps[[#This Row],[Setup (h)]]*tblOps[[#This Row],[Rate]]))</f>
        <v>135</v>
      </c>
      <c r="N41" s="43">
        <f>IF(tblOps[[#This Row],[Operation]]="","",IF(tblOps[[#This Row],[Rate]]="","",tblOps[[#This Row],[Cycle (min/part)]]/60*tblOps[[#This Row],[Rate]]))</f>
        <v>8.66666666666667</v>
      </c>
      <c r="O41" s="44" t="str">
        <f>IF(tblOps[[#This Row],[Operation]]="","",IF(tblOps[[#This Row],[Machine]]="","Missing machine",IF(tblOps[[#This Row],[Rate]]="","Machine not on Setup list",IF(AND(N(tblOps[[#This Row],[Stock removed]])&gt;0,N(tblOps[[#This Row],[MRR]])=0),"Stock removed needs an MRR",IF(AND(N(tblOps[[#This Row],[Toolpath]])&gt;0,N(tblOps[[#This Row],[Feed]])=0),"Toolpath needs a feed","OK")))))</f>
        <v>OK</v>
      </c>
    </row>
    <row r="42" spans="2:15">
      <c r="B42" s="28" t="s">
        <v>198</v>
      </c>
      <c r="C42" s="28" t="s">
        <v>109</v>
      </c>
      <c r="D42" s="32">
        <v>1</v>
      </c>
      <c r="E42" s="32">
        <v>1</v>
      </c>
      <c r="F42" s="33">
        <v>22</v>
      </c>
      <c r="G42" s="33">
        <v>18</v>
      </c>
      <c r="H42" s="29">
        <v>3100</v>
      </c>
      <c r="I42" s="29">
        <v>900</v>
      </c>
      <c r="J42" s="29">
        <v>10</v>
      </c>
      <c r="K42" s="39">
        <f>IF(tblOps[[#This Row],[Operation]]="","",IFERROR(INDEX(tblMachines[Rate per hour],MATCH(tblOps[[#This Row],[Machine]],tblMachines[Machine],0)),""))</f>
        <v>90</v>
      </c>
      <c r="L42" s="39">
        <f>IF(tblOps[[#This Row],[Operation]]="","",tblOps[[#This Row],[Handling (min/part)]]+IF(N(tblOps[[#This Row],[MRR]])&gt;0,tblOps[[#This Row],[Stock removed]]/tblOps[[#This Row],[MRR]],0)+IF(N(tblOps[[#This Row],[Feed]])&gt;0,tblOps[[#This Row],[Toolpath]]/tblOps[[#This Row],[Feed]],0)+tblOps[[#This Row],[Tool changes]]*ToolChangeS/60)</f>
        <v>6.5</v>
      </c>
      <c r="M42" s="39">
        <f>IF(tblOps[[#This Row],[Operation]]="","",IF(tblOps[[#This Row],[Rate]]="","",tblOps[[#This Row],[Setup (h)]]*tblOps[[#This Row],[Rate]]))</f>
        <v>90</v>
      </c>
      <c r="N42" s="43">
        <f>IF(tblOps[[#This Row],[Operation]]="","",IF(tblOps[[#This Row],[Rate]]="","",tblOps[[#This Row],[Cycle (min/part)]]/60*tblOps[[#This Row],[Rate]]))</f>
        <v>9.75</v>
      </c>
      <c r="O42" s="44" t="str">
        <f>IF(tblOps[[#This Row],[Operation]]="","",IF(tblOps[[#This Row],[Machine]]="","Missing machine",IF(tblOps[[#This Row],[Rate]]="","Machine not on Setup list",IF(AND(N(tblOps[[#This Row],[Stock removed]])&gt;0,N(tblOps[[#This Row],[MRR]])=0),"Stock removed needs an MRR",IF(AND(N(tblOps[[#This Row],[Toolpath]])&gt;0,N(tblOps[[#This Row],[Feed]])=0),"Toolpath needs a feed","OK")))))</f>
        <v>OK</v>
      </c>
    </row>
    <row r="43" spans="2:15">
      <c r="B43" s="28" t="s">
        <v>199</v>
      </c>
      <c r="C43" s="28" t="s">
        <v>115</v>
      </c>
      <c r="D43" s="32">
        <v>0</v>
      </c>
      <c r="E43" s="32">
        <v>4</v>
      </c>
      <c r="F43" s="33">
        <v>0</v>
      </c>
      <c r="G43" s="33">
        <v>0</v>
      </c>
      <c r="H43" s="29">
        <v>0</v>
      </c>
      <c r="I43" s="29">
        <v>0</v>
      </c>
      <c r="J43" s="29">
        <v>0</v>
      </c>
      <c r="K43" s="39">
        <f>IF(tblOps[[#This Row],[Operation]]="","",IFERROR(INDEX(tblMachines[Rate per hour],MATCH(tblOps[[#This Row],[Machine]],tblMachines[Machine],0)),""))</f>
        <v>48</v>
      </c>
      <c r="L43" s="39">
        <f>IF(tblOps[[#This Row],[Operation]]="","",tblOps[[#This Row],[Handling (min/part)]]+IF(N(tblOps[[#This Row],[MRR]])&gt;0,tblOps[[#This Row],[Stock removed]]/tblOps[[#This Row],[MRR]],0)+IF(N(tblOps[[#This Row],[Feed]])&gt;0,tblOps[[#This Row],[Toolpath]]/tblOps[[#This Row],[Feed]],0)+tblOps[[#This Row],[Tool changes]]*ToolChangeS/60)</f>
        <v>4</v>
      </c>
      <c r="M43" s="39">
        <f>IF(tblOps[[#This Row],[Operation]]="","",IF(tblOps[[#This Row],[Rate]]="","",tblOps[[#This Row],[Setup (h)]]*tblOps[[#This Row],[Rate]]))</f>
        <v>0</v>
      </c>
      <c r="N43" s="43">
        <f>IF(tblOps[[#This Row],[Operation]]="","",IF(tblOps[[#This Row],[Rate]]="","",tblOps[[#This Row],[Cycle (min/part)]]/60*tblOps[[#This Row],[Rate]]))</f>
        <v>3.2</v>
      </c>
      <c r="O43" s="44" t="str">
        <f>IF(tblOps[[#This Row],[Operation]]="","",IF(tblOps[[#This Row],[Machine]]="","Missing machine",IF(tblOps[[#This Row],[Rate]]="","Machine not on Setup list",IF(AND(N(tblOps[[#This Row],[Stock removed]])&gt;0,N(tblOps[[#This Row],[MRR]])=0),"Stock removed needs an MRR",IF(AND(N(tblOps[[#This Row],[Toolpath]])&gt;0,N(tblOps[[#This Row],[Feed]])=0),"Toolpath needs a feed","OK")))))</f>
        <v>OK</v>
      </c>
    </row>
    <row r="44" spans="2:15">
      <c r="B44" s="28" t="s">
        <v>200</v>
      </c>
      <c r="C44" s="28" t="s">
        <v>117</v>
      </c>
      <c r="D44" s="32">
        <v>0.5</v>
      </c>
      <c r="E44" s="32">
        <v>2.5</v>
      </c>
      <c r="F44" s="33">
        <v>0</v>
      </c>
      <c r="G44" s="33">
        <v>0</v>
      </c>
      <c r="H44" s="29">
        <v>0</v>
      </c>
      <c r="I44" s="29">
        <v>0</v>
      </c>
      <c r="J44" s="29">
        <v>0</v>
      </c>
      <c r="K44" s="39">
        <f>IF(tblOps[[#This Row],[Operation]]="","",IFERROR(INDEX(tblMachines[Rate per hour],MATCH(tblOps[[#This Row],[Machine]],tblMachines[Machine],0)),""))</f>
        <v>85</v>
      </c>
      <c r="L44" s="39">
        <f>IF(tblOps[[#This Row],[Operation]]="","",tblOps[[#This Row],[Handling (min/part)]]+IF(N(tblOps[[#This Row],[MRR]])&gt;0,tblOps[[#This Row],[Stock removed]]/tblOps[[#This Row],[MRR]],0)+IF(N(tblOps[[#This Row],[Feed]])&gt;0,tblOps[[#This Row],[Toolpath]]/tblOps[[#This Row],[Feed]],0)+tblOps[[#This Row],[Tool changes]]*ToolChangeS/60)</f>
        <v>2.5</v>
      </c>
      <c r="M44" s="39">
        <f>IF(tblOps[[#This Row],[Operation]]="","",IF(tblOps[[#This Row],[Rate]]="","",tblOps[[#This Row],[Setup (h)]]*tblOps[[#This Row],[Rate]]))</f>
        <v>42.5</v>
      </c>
      <c r="N44" s="43">
        <f>IF(tblOps[[#This Row],[Operation]]="","",IF(tblOps[[#This Row],[Rate]]="","",tblOps[[#This Row],[Cycle (min/part)]]/60*tblOps[[#This Row],[Rate]]))</f>
        <v>3.54166666666667</v>
      </c>
      <c r="O44" s="44" t="str">
        <f>IF(tblOps[[#This Row],[Operation]]="","",IF(tblOps[[#This Row],[Machine]]="","Missing machine",IF(tblOps[[#This Row],[Rate]]="","Machine not on Setup list",IF(AND(N(tblOps[[#This Row],[Stock removed]])&gt;0,N(tblOps[[#This Row],[MRR]])=0),"Stock removed needs an MRR",IF(AND(N(tblOps[[#This Row],[Toolpath]])&gt;0,N(tblOps[[#This Row],[Feed]])=0),"Toolpath needs a feed","OK")))))</f>
        <v>OK</v>
      </c>
    </row>
    <row r="46" spans="2:15">
      <c r="B46" s="34" t="s">
        <v>201</v>
      </c>
      <c r="C46" s="34"/>
      <c r="D46" s="34"/>
    </row>
    <row r="47" spans="2:15">
      <c r="B47" s="27" t="s">
        <v>202</v>
      </c>
      <c r="C47" s="39">
        <f>SUM(tblOps[Setup cost])</f>
        <v>278.75</v>
      </c>
      <c r="D47" s="7" t="str">
        <f>Currency</f>
        <v>USD</v>
      </c>
    </row>
    <row r="48" spans="2:15">
      <c r="B48" s="27" t="s">
        <v>203</v>
      </c>
      <c r="C48" s="43">
        <f>SUM(tblOps[Run cost])</f>
        <v>26.5083333333333</v>
      </c>
      <c r="D48" s="7" t="str">
        <f>Currency&amp;"/part"</f>
        <v>USD/part</v>
      </c>
    </row>
    <row r="49" spans="2:15">
      <c r="B49" s="27" t="s">
        <v>204</v>
      </c>
      <c r="C49" s="39">
        <f>SUM(tblOps[Setup (h)])</f>
        <v>3.25</v>
      </c>
      <c r="D49" s="7" t="s">
        <v>205</v>
      </c>
    </row>
    <row r="50" spans="2:15">
      <c r="B50" s="17" t="s">
        <v>206</v>
      </c>
      <c r="C50" s="45">
        <f>SUM(tblOps[Cycle (min/part)])</f>
        <v>20.5777777777778</v>
      </c>
      <c r="D50" s="7" t="s">
        <v>207</v>
      </c>
    </row>
    <row r="52" spans="2:15" ht="21" customHeight="1">
      <c r="B52" s="8" t="s">
        <v>208</v>
      </c>
      <c r="C52" s="8"/>
      <c r="D52" s="8"/>
      <c r="E52" s="8"/>
      <c r="F52" s="8"/>
      <c r="G52" s="8"/>
      <c r="H52" s="8"/>
      <c r="I52" s="8"/>
      <c r="J52" s="8"/>
      <c r="K52" s="8"/>
      <c r="L52" s="8"/>
      <c r="M52" s="8"/>
      <c r="N52" s="8"/>
      <c r="O52" s="8"/>
    </row>
    <row r="53" spans="2:15" ht="5" customHeight="1"/>
    <row r="54" spans="2:15" ht="14" customHeight="1">
      <c r="B54" s="35"/>
      <c r="C54" s="35" t="str">
        <f>Currency</f>
        <v>USD</v>
      </c>
      <c r="D54" s="35"/>
      <c r="E54" s="35"/>
      <c r="F54" s="35" t="str">
        <f>Currency&amp;"/part"</f>
        <v>USD/part</v>
      </c>
      <c r="G54" s="35"/>
    </row>
    <row r="55" spans="2:15" ht="32" customHeight="1">
      <c r="B55" s="36" t="s">
        <v>144</v>
      </c>
      <c r="C55" s="36" t="s">
        <v>70</v>
      </c>
      <c r="D55" s="36" t="s">
        <v>145</v>
      </c>
      <c r="E55" s="36" t="s">
        <v>146</v>
      </c>
      <c r="F55" s="36" t="s">
        <v>147</v>
      </c>
      <c r="G55" s="36" t="s">
        <v>143</v>
      </c>
    </row>
    <row r="56" spans="2:15">
      <c r="B56" s="28" t="s">
        <v>209</v>
      </c>
      <c r="C56" s="32">
        <v>60</v>
      </c>
      <c r="D56" s="29">
        <v>2</v>
      </c>
      <c r="E56" s="29">
        <v>400</v>
      </c>
      <c r="F56" s="43">
        <f>IF(tblTools[[#This Row],[Tool]]="","",IF(OR(N(tblTools[[#This Row],[Edges or lives]])=0,N(tblTools[[#This Row],[Parts per edge]])=0),"",tblTools[[#This Row],[Price]]/tblTools[[#This Row],[Edges or lives]]/tblTools[[#This Row],[Parts per edge]]))</f>
        <v>0.075</v>
      </c>
      <c r="G56" s="44" t="str">
        <f>IF(tblTools[[#This Row],[Tool]]="","",IF(tblTools[[#This Row],[Price]]="","Missing price",IF(N(tblTools[[#This Row],[Parts per edge]])=0,"Enter parts per edge",IF(N(tblTools[[#This Row],[Edges or lives]])=0,"Enter edges or lives","OK"))))</f>
        <v>OK</v>
      </c>
    </row>
    <row r="57" spans="2:15">
      <c r="B57" s="28" t="s">
        <v>210</v>
      </c>
      <c r="C57" s="32">
        <v>85</v>
      </c>
      <c r="D57" s="29">
        <v>3</v>
      </c>
      <c r="E57" s="29">
        <v>250</v>
      </c>
      <c r="F57" s="43">
        <f>IF(tblTools[[#This Row],[Tool]]="","",IF(OR(N(tblTools[[#This Row],[Edges or lives]])=0,N(tblTools[[#This Row],[Parts per edge]])=0),"",tblTools[[#This Row],[Price]]/tblTools[[#This Row],[Edges or lives]]/tblTools[[#This Row],[Parts per edge]]))</f>
        <v>0.113333333333333</v>
      </c>
      <c r="G57" s="44" t="str">
        <f>IF(tblTools[[#This Row],[Tool]]="","",IF(tblTools[[#This Row],[Price]]="","Missing price",IF(N(tblTools[[#This Row],[Parts per edge]])=0,"Enter parts per edge",IF(N(tblTools[[#This Row],[Edges or lives]])=0,"Enter edges or lives","OK"))))</f>
        <v>OK</v>
      </c>
    </row>
    <row r="58" spans="2:15">
      <c r="B58" s="28" t="s">
        <v>211</v>
      </c>
      <c r="C58" s="32">
        <v>48</v>
      </c>
      <c r="D58" s="29">
        <v>1</v>
      </c>
      <c r="E58" s="29">
        <v>300</v>
      </c>
      <c r="F58" s="43">
        <f>IF(tblTools[[#This Row],[Tool]]="","",IF(OR(N(tblTools[[#This Row],[Edges or lives]])=0,N(tblTools[[#This Row],[Parts per edge]])=0),"",tblTools[[#This Row],[Price]]/tblTools[[#This Row],[Edges or lives]]/tblTools[[#This Row],[Parts per edge]]))</f>
        <v>0.16</v>
      </c>
      <c r="G58" s="44" t="str">
        <f>IF(tblTools[[#This Row],[Tool]]="","",IF(tblTools[[#This Row],[Price]]="","Missing price",IF(N(tblTools[[#This Row],[Parts per edge]])=0,"Enter parts per edge",IF(N(tblTools[[#This Row],[Edges or lives]])=0,"Enter edges or lives","OK"))))</f>
        <v>OK</v>
      </c>
    </row>
    <row r="59" spans="2:15">
      <c r="B59" s="28" t="s">
        <v>212</v>
      </c>
      <c r="C59" s="32">
        <v>60</v>
      </c>
      <c r="D59" s="29">
        <v>1</v>
      </c>
      <c r="E59" s="29">
        <v>600</v>
      </c>
      <c r="F59" s="43">
        <f>IF(tblTools[[#This Row],[Tool]]="","",IF(OR(N(tblTools[[#This Row],[Edges or lives]])=0,N(tblTools[[#This Row],[Parts per edge]])=0),"",tblTools[[#This Row],[Price]]/tblTools[[#This Row],[Edges or lives]]/tblTools[[#This Row],[Parts per edge]]))</f>
        <v>0.1</v>
      </c>
      <c r="G59" s="44" t="str">
        <f>IF(tblTools[[#This Row],[Tool]]="","",IF(tblTools[[#This Row],[Price]]="","Missing price",IF(N(tblTools[[#This Row],[Parts per edge]])=0,"Enter parts per edge",IF(N(tblTools[[#This Row],[Edges or lives]])=0,"Enter edges or lives","OK"))))</f>
        <v>OK</v>
      </c>
    </row>
    <row r="60" spans="2:15">
      <c r="B60" s="28" t="s">
        <v>213</v>
      </c>
      <c r="C60" s="32">
        <v>180</v>
      </c>
      <c r="D60" s="29">
        <v>2</v>
      </c>
      <c r="E60" s="29">
        <v>800</v>
      </c>
      <c r="F60" s="43">
        <f>IF(tblTools[[#This Row],[Tool]]="","",IF(OR(N(tblTools[[#This Row],[Edges or lives]])=0,N(tblTools[[#This Row],[Parts per edge]])=0),"",tblTools[[#This Row],[Price]]/tblTools[[#This Row],[Edges or lives]]/tblTools[[#This Row],[Parts per edge]]))</f>
        <v>0.1125</v>
      </c>
      <c r="G60" s="44" t="str">
        <f>IF(tblTools[[#This Row],[Tool]]="","",IF(tblTools[[#This Row],[Price]]="","Missing price",IF(N(tblTools[[#This Row],[Parts per edge]])=0,"Enter parts per edge",IF(N(tblTools[[#This Row],[Edges or lives]])=0,"Enter edges or lives","OK"))))</f>
        <v>OK</v>
      </c>
    </row>
    <row r="61" spans="2:15">
      <c r="B61" s="28" t="s">
        <v>214</v>
      </c>
      <c r="C61" s="32">
        <v>32</v>
      </c>
      <c r="D61" s="29">
        <v>1</v>
      </c>
      <c r="E61" s="29">
        <v>500</v>
      </c>
      <c r="F61" s="43">
        <f>IF(tblTools[[#This Row],[Tool]]="","",IF(OR(N(tblTools[[#This Row],[Edges or lives]])=0,N(tblTools[[#This Row],[Parts per edge]])=0),"",tblTools[[#This Row],[Price]]/tblTools[[#This Row],[Edges or lives]]/tblTools[[#This Row],[Parts per edge]]))</f>
        <v>0.064</v>
      </c>
      <c r="G61" s="44" t="str">
        <f>IF(tblTools[[#This Row],[Tool]]="","",IF(tblTools[[#This Row],[Price]]="","Missing price",IF(N(tblTools[[#This Row],[Parts per edge]])=0,"Enter parts per edge",IF(N(tblTools[[#This Row],[Edges or lives]])=0,"Enter edges or lives","OK"))))</f>
        <v>OK</v>
      </c>
    </row>
    <row r="63" spans="2:15">
      <c r="B63" s="34" t="s">
        <v>215</v>
      </c>
      <c r="C63" s="34"/>
      <c r="D63" s="34"/>
    </row>
    <row r="64" spans="2:15">
      <c r="B64" s="27" t="s">
        <v>216</v>
      </c>
      <c r="C64" s="43">
        <f>SUM(tblTools[Cost per part])</f>
        <v>0.624833333333333</v>
      </c>
      <c r="D64" s="7" t="str">
        <f>Currency&amp;"/part"</f>
        <v>USD/part</v>
      </c>
    </row>
    <row r="66" spans="2:15" ht="21" customHeight="1">
      <c r="B66" s="8" t="s">
        <v>217</v>
      </c>
      <c r="C66" s="8"/>
      <c r="D66" s="8"/>
      <c r="E66" s="8"/>
      <c r="F66" s="8"/>
      <c r="G66" s="8"/>
      <c r="H66" s="8"/>
      <c r="I66" s="8"/>
      <c r="J66" s="8"/>
      <c r="K66" s="8"/>
      <c r="L66" s="8"/>
      <c r="M66" s="8"/>
      <c r="N66" s="8"/>
      <c r="O66" s="8"/>
    </row>
    <row r="67" spans="2:15" ht="5" customHeight="1"/>
    <row r="68" spans="2:15" ht="14" customHeight="1">
      <c r="B68" s="35"/>
      <c r="C68" s="35" t="str">
        <f>Currency</f>
        <v>USD</v>
      </c>
      <c r="D68" s="35"/>
      <c r="E68" s="35"/>
    </row>
    <row r="69" spans="2:15" ht="20" customHeight="1">
      <c r="B69" s="36" t="s">
        <v>148</v>
      </c>
      <c r="C69" s="36" t="s">
        <v>149</v>
      </c>
      <c r="D69" s="36" t="s">
        <v>150</v>
      </c>
      <c r="E69" s="36" t="s">
        <v>151</v>
      </c>
    </row>
    <row r="70" spans="2:15">
      <c r="B70" s="28" t="s">
        <v>218</v>
      </c>
      <c r="C70" s="32">
        <v>375</v>
      </c>
      <c r="D70" s="28" t="s">
        <v>219</v>
      </c>
      <c r="E70" s="46">
        <f>IF(tblNRE[[#This Row],[Item]]="","",IF(tblNRE[[#This Row],[Billing]]="Bill separately",SUMPRODUCT((tblNRE[Billing]="Bill separately")*(ROW(tblNRE[Billing])&lt;=ROW(tblNRE[[#This Row],[Billing]]))),""))</f>
        <v/>
      </c>
    </row>
    <row r="71" spans="2:15">
      <c r="B71" s="28" t="s">
        <v>220</v>
      </c>
      <c r="C71" s="32">
        <v>240</v>
      </c>
      <c r="D71" s="28" t="s">
        <v>219</v>
      </c>
      <c r="E71" s="46">
        <f>IF(tblNRE[[#This Row],[Item]]="","",IF(tblNRE[[#This Row],[Billing]]="Bill separately",SUMPRODUCT((tblNRE[Billing]="Bill separately")*(ROW(tblNRE[Billing])&lt;=ROW(tblNRE[[#This Row],[Billing]]))),""))</f>
        <v/>
      </c>
    </row>
    <row r="72" spans="2:15">
      <c r="B72" s="28" t="s">
        <v>221</v>
      </c>
      <c r="C72" s="32">
        <v>180</v>
      </c>
      <c r="D72" s="28" t="s">
        <v>222</v>
      </c>
      <c r="E72" s="46">
        <f>IF(tblNRE[[#This Row],[Item]]="","",IF(tblNRE[[#This Row],[Billing]]="Bill separately",SUMPRODUCT((tblNRE[Billing]="Bill separately")*(ROW(tblNRE[Billing])&lt;=ROW(tblNRE[[#This Row],[Billing]]))),""))</f>
        <v>1</v>
      </c>
    </row>
    <row r="74" spans="2:15">
      <c r="B74" s="34" t="s">
        <v>223</v>
      </c>
      <c r="C74" s="34"/>
      <c r="D74" s="34"/>
    </row>
    <row r="75" spans="2:15">
      <c r="B75" s="27" t="s">
        <v>224</v>
      </c>
      <c r="C75" s="39">
        <f>SUMIFS(tblNRE[Cost],tblNRE[Billing],"Amortise")</f>
        <v>615</v>
      </c>
      <c r="D75" s="7" t="str">
        <f>Currency</f>
        <v>USD</v>
      </c>
    </row>
    <row r="77" spans="2:15" ht="21" customHeight="1">
      <c r="B77" s="8" t="s">
        <v>225</v>
      </c>
      <c r="C77" s="8"/>
      <c r="D77" s="8"/>
      <c r="E77" s="8"/>
      <c r="F77" s="8"/>
      <c r="G77" s="8"/>
      <c r="H77" s="8"/>
      <c r="I77" s="8"/>
      <c r="J77" s="8"/>
      <c r="K77" s="8"/>
      <c r="L77" s="8"/>
      <c r="M77" s="8"/>
      <c r="N77" s="8"/>
      <c r="O77" s="8"/>
    </row>
    <row r="78" spans="2:15" ht="5" customHeight="1"/>
    <row r="79" spans="2:15" ht="14" customHeight="1">
      <c r="B79" s="35"/>
      <c r="C79" s="35"/>
      <c r="D79" s="35" t="str">
        <f>Currency&amp;"/part"</f>
        <v>USD/part</v>
      </c>
      <c r="E79" s="35" t="str">
        <f>Currency&amp;"/lot"</f>
        <v>USD/lot</v>
      </c>
      <c r="F79" s="35" t="s">
        <v>226</v>
      </c>
    </row>
    <row r="80" spans="2:15" ht="32" customHeight="1">
      <c r="B80" s="36" t="s">
        <v>152</v>
      </c>
      <c r="C80" s="36" t="s">
        <v>153</v>
      </c>
      <c r="D80" s="36" t="s">
        <v>154</v>
      </c>
      <c r="E80" s="36" t="s">
        <v>155</v>
      </c>
      <c r="F80" s="36" t="s">
        <v>156</v>
      </c>
    </row>
    <row r="81" spans="2:15">
      <c r="B81" s="28" t="s">
        <v>227</v>
      </c>
      <c r="C81" s="28" t="s">
        <v>228</v>
      </c>
      <c r="D81" s="32">
        <v>2.4</v>
      </c>
      <c r="E81" s="32">
        <v>150</v>
      </c>
      <c r="F81" s="29">
        <v>6</v>
      </c>
    </row>
    <row r="82" spans="2:15">
      <c r="B82" s="28" t="s">
        <v>229</v>
      </c>
      <c r="C82" s="28" t="s">
        <v>230</v>
      </c>
      <c r="D82" s="32">
        <v>0.35</v>
      </c>
      <c r="E82" s="32">
        <v>60</v>
      </c>
      <c r="F82" s="29">
        <v>2</v>
      </c>
    </row>
    <row r="84" spans="2:15" ht="21" customHeight="1">
      <c r="B84" s="8" t="s">
        <v>231</v>
      </c>
      <c r="C84" s="8"/>
      <c r="D84" s="8"/>
      <c r="E84" s="8"/>
      <c r="F84" s="8"/>
      <c r="G84" s="8"/>
      <c r="H84" s="8"/>
      <c r="I84" s="8"/>
      <c r="J84" s="8"/>
      <c r="K84" s="8"/>
      <c r="L84" s="8"/>
      <c r="M84" s="8"/>
      <c r="N84" s="8"/>
      <c r="O84" s="8"/>
    </row>
    <row r="85" spans="2:15" ht="5" customHeight="1"/>
    <row r="86" spans="2:15">
      <c r="B86" s="27" t="s">
        <v>232</v>
      </c>
      <c r="C86" s="29">
        <v>3</v>
      </c>
      <c r="D86" s="7" t="s">
        <v>226</v>
      </c>
    </row>
    <row r="87" spans="2:15">
      <c r="B87" s="27" t="s">
        <v>233</v>
      </c>
      <c r="C87" s="29">
        <v>2</v>
      </c>
      <c r="D87" s="7" t="s">
        <v>226</v>
      </c>
    </row>
    <row r="88" spans="2:15">
      <c r="B88" s="27" t="s">
        <v>234</v>
      </c>
      <c r="C88" s="46">
        <f>SUM(tblOutside[Lead time (days)])</f>
        <v>8</v>
      </c>
      <c r="D88" s="7" t="s">
        <v>226</v>
      </c>
    </row>
    <row r="90" spans="2:15" ht="21" customHeight="1">
      <c r="B90" s="8" t="s">
        <v>235</v>
      </c>
      <c r="C90" s="8"/>
      <c r="D90" s="8"/>
      <c r="E90" s="8"/>
      <c r="F90" s="8"/>
      <c r="G90" s="8"/>
      <c r="H90" s="8"/>
      <c r="I90" s="8"/>
      <c r="J90" s="8"/>
      <c r="K90" s="8"/>
      <c r="L90" s="8"/>
      <c r="M90" s="8"/>
      <c r="N90" s="8"/>
      <c r="O90" s="8"/>
    </row>
    <row r="91" spans="2:15" ht="5" customHeight="1"/>
    <row r="92" spans="2:15">
      <c r="B92" s="47" t="s">
        <v>236</v>
      </c>
      <c r="C92" s="36" t="s">
        <v>237</v>
      </c>
      <c r="D92" s="48">
        <v>10</v>
      </c>
      <c r="E92" s="48">
        <v>25</v>
      </c>
      <c r="F92" s="48">
        <v>50</v>
      </c>
      <c r="G92" s="48">
        <v>100</v>
      </c>
      <c r="H92" s="48">
        <v>250</v>
      </c>
    </row>
    <row r="93" spans="2:15">
      <c r="B93" s="27" t="s">
        <v>238</v>
      </c>
      <c r="C93" s="7" t="s">
        <v>239</v>
      </c>
      <c r="D93" s="46">
        <f>CEILING($D$92/FPY,1)</f>
        <v>11</v>
      </c>
      <c r="E93" s="46">
        <f>CEILING($E$92/FPY,1)</f>
        <v>26</v>
      </c>
      <c r="F93" s="46">
        <f>CEILING($F$92/FPY,1)</f>
        <v>52</v>
      </c>
      <c r="G93" s="46">
        <f>CEILING($G$92/FPY,1)</f>
        <v>104</v>
      </c>
      <c r="H93" s="46">
        <f>CEILING($H$92/FPY,1)</f>
        <v>258</v>
      </c>
    </row>
    <row r="94" spans="2:15">
      <c r="B94" s="27" t="s">
        <v>240</v>
      </c>
      <c r="C94" s="7" t="str">
        <f>Currency&amp;"/part"</f>
        <v>USD/part</v>
      </c>
      <c r="D94" s="39">
        <f>MatCost*$D$93/$D$92*(1+BuyMarkup)</f>
        <v>5.7995212275</v>
      </c>
      <c r="E94" s="39">
        <f>MatCost*$E$93/$E$92*(1+BuyMarkup)</f>
        <v>5.483183706</v>
      </c>
      <c r="F94" s="39">
        <f>MatCost*$F$93/$F$92*(1+BuyMarkup)</f>
        <v>5.483183706</v>
      </c>
      <c r="G94" s="39">
        <f>MatCost*$G$93/$G$92*(1+BuyMarkup)</f>
        <v>5.483183706</v>
      </c>
      <c r="H94" s="39">
        <f>MatCost*$H$93/$H$92*(1+BuyMarkup)</f>
        <v>5.4410053698</v>
      </c>
    </row>
    <row r="95" spans="2:15">
      <c r="B95" s="27" t="s">
        <v>241</v>
      </c>
      <c r="C95" s="7" t="str">
        <f>Currency&amp;"/part"</f>
        <v>USD/part</v>
      </c>
      <c r="D95" s="39">
        <f>RunCost*$D$93/$D$92</f>
        <v>29.1591666666667</v>
      </c>
      <c r="E95" s="39">
        <f>RunCost*$E$93/$E$92</f>
        <v>27.5686666666667</v>
      </c>
      <c r="F95" s="39">
        <f>RunCost*$F$93/$F$92</f>
        <v>27.5686666666667</v>
      </c>
      <c r="G95" s="39">
        <f>RunCost*$G$93/$G$92</f>
        <v>27.5686666666667</v>
      </c>
      <c r="H95" s="39">
        <f>RunCost*$H$93/$H$92</f>
        <v>27.3566</v>
      </c>
    </row>
    <row r="96" spans="2:15">
      <c r="B96" s="27" t="s">
        <v>242</v>
      </c>
      <c r="C96" s="7" t="str">
        <f>Currency&amp;"/part"</f>
        <v>USD/part</v>
      </c>
      <c r="D96" s="39">
        <f>ToolWear*$D$93/$D$92</f>
        <v>0.687316666666667</v>
      </c>
      <c r="E96" s="39">
        <f>ToolWear*$E$93/$E$92</f>
        <v>0.649826666666667</v>
      </c>
      <c r="F96" s="39">
        <f>ToolWear*$F$93/$F$92</f>
        <v>0.649826666666667</v>
      </c>
      <c r="G96" s="39">
        <f>ToolWear*$G$93/$G$92</f>
        <v>0.649826666666667</v>
      </c>
      <c r="H96" s="39">
        <f>ToolWear*$H$93/$H$92</f>
        <v>0.644828</v>
      </c>
    </row>
    <row r="97" spans="2:8">
      <c r="B97" s="27" t="s">
        <v>243</v>
      </c>
      <c r="C97" s="7" t="str">
        <f>Currency&amp;"/part"</f>
        <v>USD/part</v>
      </c>
      <c r="D97" s="39">
        <f>SetupCost/$D$92</f>
        <v>27.875</v>
      </c>
      <c r="E97" s="39">
        <f>SetupCost/$E$92</f>
        <v>11.15</v>
      </c>
      <c r="F97" s="39">
        <f>SetupCost/$F$92</f>
        <v>5.575</v>
      </c>
      <c r="G97" s="39">
        <f>SetupCost/$G$92</f>
        <v>2.7875</v>
      </c>
      <c r="H97" s="39">
        <f>SetupCost/$H$92</f>
        <v>1.115</v>
      </c>
    </row>
    <row r="98" spans="2:8">
      <c r="B98" s="27" t="s">
        <v>244</v>
      </c>
      <c r="C98" s="7" t="str">
        <f>Currency&amp;"/part"</f>
        <v>USD/part</v>
      </c>
      <c r="D98" s="39">
        <f>NREAmort/$D$92</f>
        <v>61.5</v>
      </c>
      <c r="E98" s="39">
        <f>NREAmort/$E$92</f>
        <v>24.6</v>
      </c>
      <c r="F98" s="39">
        <f>NREAmort/$F$92</f>
        <v>12.3</v>
      </c>
      <c r="G98" s="39">
        <f>NREAmort/$G$92</f>
        <v>6.15</v>
      </c>
      <c r="H98" s="39">
        <f>NREAmort/$H$92</f>
        <v>2.46</v>
      </c>
    </row>
    <row r="99" spans="2:8">
      <c r="B99" s="27" t="s">
        <v>245</v>
      </c>
      <c r="C99" s="7" t="str">
        <f>Currency&amp;"/part"</f>
        <v>USD/part</v>
      </c>
      <c r="D99" s="39">
        <f>(SUMPRODUCT((tblOutside[Lot charge]&gt;tblOutside[Price per part]*$D$92)*tblOutside[Lot charge])+SUMPRODUCT((tblOutside[Lot charge]&lt;=tblOutside[Price per part]*$D$92)*tblOutside[Price per part])*$D$92)/$D$92*(1+BuyMarkup)</f>
        <v>23.1</v>
      </c>
      <c r="E99" s="39">
        <f>(SUMPRODUCT((tblOutside[Lot charge]&gt;tblOutside[Price per part]*$E$92)*tblOutside[Lot charge])+SUMPRODUCT((tblOutside[Lot charge]&lt;=tblOutside[Price per part]*$E$92)*tblOutside[Price per part])*$E$92)/$E$92*(1+BuyMarkup)</f>
        <v>9.24</v>
      </c>
      <c r="F99" s="39">
        <f>(SUMPRODUCT((tblOutside[Lot charge]&gt;tblOutside[Price per part]*$F$92)*tblOutside[Lot charge])+SUMPRODUCT((tblOutside[Lot charge]&lt;=tblOutside[Price per part]*$F$92)*tblOutside[Price per part])*$F$92)/$F$92*(1+BuyMarkup)</f>
        <v>4.62</v>
      </c>
      <c r="G99" s="39">
        <f>(SUMPRODUCT((tblOutside[Lot charge]&gt;tblOutside[Price per part]*$G$92)*tblOutside[Lot charge])+SUMPRODUCT((tblOutside[Lot charge]&lt;=tblOutside[Price per part]*$G$92)*tblOutside[Price per part])*$G$92)/$G$92*(1+BuyMarkup)</f>
        <v>3.3</v>
      </c>
      <c r="H99" s="39">
        <f>(SUMPRODUCT((tblOutside[Lot charge]&gt;tblOutside[Price per part]*$H$92)*tblOutside[Lot charge])+SUMPRODUCT((tblOutside[Lot charge]&lt;=tblOutside[Price per part]*$H$92)*tblOutside[Price per part])*$H$92)/$H$92*(1+BuyMarkup)</f>
        <v>3.025</v>
      </c>
    </row>
    <row r="100" spans="2:8">
      <c r="B100" s="27" t="s">
        <v>246</v>
      </c>
      <c r="C100" s="7" t="str">
        <f>Currency&amp;"/part"</f>
        <v>USD/part</v>
      </c>
      <c r="D100" s="39">
        <f>($D$97+$D$95)*Overhead</f>
        <v>6.8441</v>
      </c>
      <c r="E100" s="39">
        <f>($E$97+$E$95)*Overhead</f>
        <v>4.64624</v>
      </c>
      <c r="F100" s="39">
        <f>($F$97+$F$95)*Overhead</f>
        <v>3.97724</v>
      </c>
      <c r="G100" s="39">
        <f>($G$97+$G$95)*Overhead</f>
        <v>3.64274</v>
      </c>
      <c r="H100" s="39">
        <f>($H$97+$H$95)*Overhead</f>
        <v>3.416592</v>
      </c>
    </row>
    <row r="101" spans="2:8">
      <c r="B101" s="17" t="s">
        <v>247</v>
      </c>
      <c r="C101" s="7" t="str">
        <f>Currency&amp;"/part"</f>
        <v>USD/part</v>
      </c>
      <c r="D101" s="49">
        <f>$D$94+$D$95+$D$96+$D$97+$D$98+$D$99+$D$100</f>
        <v>154.965104560833</v>
      </c>
      <c r="E101" s="49">
        <f>$E$94+$E$95+$E$96+$E$97+$E$98+$E$99+$E$100</f>
        <v>83.3379170393334</v>
      </c>
      <c r="F101" s="49">
        <f>$F$94+$F$95+$F$96+$F$97+$F$98+$F$99+$F$100</f>
        <v>60.1739170393334</v>
      </c>
      <c r="G101" s="49">
        <f>$G$94+$G$95+$G$96+$G$97+$G$98+$G$99+$G$100</f>
        <v>49.5819170393333</v>
      </c>
      <c r="H101" s="49">
        <f>$H$94+$H$95+$H$96+$H$97+$H$98+$H$99+$H$100</f>
        <v>43.4590253698</v>
      </c>
    </row>
    <row r="102" spans="2:8">
      <c r="B102" s="27" t="s">
        <v>248</v>
      </c>
      <c r="C102" s="7" t="str">
        <f>Currency&amp;"/part"</f>
        <v>USD/part</v>
      </c>
      <c r="D102" s="50">
        <f>CEILING($D$101/(1-Margin),RoundStep)</f>
        <v>206.65</v>
      </c>
      <c r="E102" s="50">
        <f>CEILING($E$101/(1-Margin),RoundStep)</f>
        <v>111.15</v>
      </c>
      <c r="F102" s="50">
        <f>CEILING($F$101/(1-Margin),RoundStep)</f>
        <v>80.25</v>
      </c>
      <c r="G102" s="50">
        <f>CEILING($G$101/(1-Margin),RoundStep)</f>
        <v>66.15</v>
      </c>
      <c r="H102" s="50">
        <f>CEILING($H$101/(1-Margin),RoundStep)</f>
        <v>57.95</v>
      </c>
    </row>
    <row r="103" spans="2:8">
      <c r="B103" s="27" t="s">
        <v>249</v>
      </c>
      <c r="C103" s="7" t="str">
        <f>Currency</f>
        <v>USD</v>
      </c>
      <c r="D103" s="39">
        <f>$D$102*$D$92</f>
        <v>2066.5</v>
      </c>
      <c r="E103" s="39">
        <f>$E$102*$E$92</f>
        <v>2778.75</v>
      </c>
      <c r="F103" s="39">
        <f>$F$102*$F$92</f>
        <v>4012.5</v>
      </c>
      <c r="G103" s="39">
        <f>$G$102*$G$92</f>
        <v>6615</v>
      </c>
      <c r="H103" s="39">
        <f>$H$102*$H$92</f>
        <v>14487.5</v>
      </c>
    </row>
    <row r="104" spans="2:8">
      <c r="B104" s="27" t="s">
        <v>250</v>
      </c>
      <c r="C104" s="7" t="s">
        <v>251</v>
      </c>
      <c r="D104" s="51">
        <f>($D$102-$D$101)/$D$102</f>
        <v>0.250108373768046</v>
      </c>
      <c r="E104" s="51">
        <f>($E$102-$E$101)/$E$102</f>
        <v>0.250221169236767</v>
      </c>
      <c r="F104" s="51">
        <f>($F$102-$F$101)/$F$102</f>
        <v>0.250169258076843</v>
      </c>
      <c r="G104" s="51">
        <f>($G$102-$G$101)/$G$102</f>
        <v>0.25046232744772</v>
      </c>
      <c r="H104" s="51">
        <f>($H$102-$H$101)/$H$102</f>
        <v>0.250059959106126</v>
      </c>
    </row>
    <row r="105" spans="2:8">
      <c r="B105" s="27" t="s">
        <v>252</v>
      </c>
      <c r="C105" s="7" t="s">
        <v>205</v>
      </c>
      <c r="D105" s="52">
        <f>SetupHours+$D$93*CycleMin/60</f>
        <v>7.02259259259259</v>
      </c>
      <c r="E105" s="52">
        <f>SetupHours+$E$93*CycleMin/60</f>
        <v>12.167037037037</v>
      </c>
      <c r="F105" s="52">
        <f>SetupHours+$F$93*CycleMin/60</f>
        <v>21.0840740740741</v>
      </c>
      <c r="G105" s="52">
        <f>SetupHours+$G$93*CycleMin/60</f>
        <v>38.9181481481482</v>
      </c>
      <c r="H105" s="52">
        <f>SetupHours+$H$93*CycleMin/60</f>
        <v>91.7344444444445</v>
      </c>
    </row>
    <row r="106" spans="2:8">
      <c r="B106" s="27" t="s">
        <v>253</v>
      </c>
      <c r="C106" s="7" t="s">
        <v>226</v>
      </c>
      <c r="D106" s="53">
        <f>MatLead+CEILING($D$105/(HoursPerDay*Uptime),1)+OspDays+QueueShip</f>
        <v>14</v>
      </c>
      <c r="E106" s="53">
        <f>MatLead+CEILING($E$105/(HoursPerDay*Uptime),1)+OspDays+QueueShip</f>
        <v>14</v>
      </c>
      <c r="F106" s="53">
        <f>MatLead+CEILING($F$105/(HoursPerDay*Uptime),1)+OspDays+QueueShip</f>
        <v>15</v>
      </c>
      <c r="G106" s="53">
        <f>MatLead+CEILING($G$105/(HoursPerDay*Uptime),1)+OspDays+QueueShip</f>
        <v>17</v>
      </c>
      <c r="H106" s="53">
        <f>MatLead+CEILING($H$105/(HoursPerDay*Uptime),1)+OspDays+QueueShip</f>
        <v>21</v>
      </c>
    </row>
  </sheetData>
  <mergeCells count="29">
    <mergeCell ref="A1:O1"/>
    <mergeCell ref="B2:N2"/>
    <mergeCell ref="B4:O4"/>
    <mergeCell ref="B6:O6"/>
    <mergeCell ref="C8:F8"/>
    <mergeCell ref="C9:F9"/>
    <mergeCell ref="C10:F10"/>
    <mergeCell ref="C11:F11"/>
    <mergeCell ref="C12:F12"/>
    <mergeCell ref="C13:F13"/>
    <mergeCell ref="C14:F14"/>
    <mergeCell ref="C15:F15"/>
    <mergeCell ref="C16:F16"/>
    <mergeCell ref="B18:O18"/>
    <mergeCell ref="C20:D20"/>
    <mergeCell ref="C21:D21"/>
    <mergeCell ref="C22:D22"/>
    <mergeCell ref="C32:D32"/>
    <mergeCell ref="C33:D33"/>
    <mergeCell ref="B35:O35"/>
    <mergeCell ref="B37:O37"/>
    <mergeCell ref="B46:D46"/>
    <mergeCell ref="B52:O52"/>
    <mergeCell ref="B63:D63"/>
    <mergeCell ref="B66:O66"/>
    <mergeCell ref="B74:D74"/>
    <mergeCell ref="B77:O77"/>
    <mergeCell ref="B84:O84"/>
    <mergeCell ref="B90:O90"/>
  </mergeCells>
  <conditionalFormatting sqref="C33">
    <cfRule type="expression" dxfId="3" priority="1">
      <formula>$C33="OK"</formula>
    </cfRule>
    <cfRule type="expression" dxfId="1" priority="2">
      <formula>AND($C33&lt;&gt;"",$C33&lt;&gt;"OK")</formula>
    </cfRule>
  </conditionalFormatting>
  <conditionalFormatting sqref="G56:G91">
    <cfRule type="expression" dxfId="3" priority="5">
      <formula>$G56="OK"</formula>
    </cfRule>
    <cfRule type="expression" dxfId="1" priority="6">
      <formula>AND($G56&lt;&gt;"",$G56&lt;&gt;"OK")</formula>
    </cfRule>
  </conditionalFormatting>
  <conditionalFormatting sqref="O40:O84">
    <cfRule type="expression" dxfId="3" priority="3">
      <formula>$O40="OK"</formula>
    </cfRule>
    <cfRule type="expression" dxfId="1" priority="4">
      <formula>AND($O40&lt;&gt;"",$O40&lt;&gt;"OK")</formula>
    </cfRule>
  </conditionalFormatting>
  <dataValidations count="44">
    <dataValidation type="textLength" allowBlank="1" showInputMessage="1" showErrorMessage="1" errorTitle="Check this entry" error="Text up to 40 characters." promptTitle="Quote number" prompt="Text up to 40 characters." sqref="C8">
      <formula1>0</formula1>
      <formula2>40</formula2>
    </dataValidation>
    <dataValidation type="date" allowBlank="1" showInputMessage="1" showErrorMessage="1" errorTitle="Check this entry" error="Enter a date between 01 Jan 2000 and 31 Dec 2100." promptTitle="Quote date" prompt="Enter a date between 01 Jan 2000 and 31 Dec 2100." sqref="C9">
      <formula1>36526</formula1>
      <formula2>73415</formula2>
    </dataValidation>
    <dataValidation type="textLength" allowBlank="1" showInputMessage="1" showErrorMessage="1" errorTitle="Check this entry" error="Text up to 80 characters." promptTitle="Customer" prompt="Text up to 80 characters." sqref="C10">
      <formula1>0</formula1>
      <formula2>80</formula2>
    </dataValidation>
    <dataValidation type="textLength" allowBlank="1" showInputMessage="1" showErrorMessage="1" errorTitle="Check this entry" error="Text up to 80 characters." promptTitle="Attention" prompt="Text up to 80 characters." sqref="C11">
      <formula1>0</formula1>
      <formula2>80</formula2>
    </dataValidation>
    <dataValidation type="textLength" allowBlank="1" showInputMessage="1" showErrorMessage="1" errorTitle="Check this entry" error="Text up to 40 characters." promptTitle="Customer RFQ reference" prompt="Text up to 40 characters." sqref="C12">
      <formula1>0</formula1>
      <formula2>40</formula2>
    </dataValidation>
    <dataValidation type="textLength" allowBlank="1" showInputMessage="1" showErrorMessage="1" errorTitle="Check this entry" error="Text up to 40 characters." promptTitle="Part number" prompt="Text up to 40 characters." sqref="C13">
      <formula1>0</formula1>
      <formula2>40</formula2>
    </dataValidation>
    <dataValidation type="textLength" allowBlank="1" showInputMessage="1" showErrorMessage="1" errorTitle="Check this entry" error="Text up to 10 characters." promptTitle="Drawing revision" prompt="Text up to 10 characters." sqref="C14">
      <formula1>0</formula1>
      <formula2>10</formula2>
    </dataValidation>
    <dataValidation type="textLength" allowBlank="1" showInputMessage="1" showErrorMessage="1" errorTitle="Check this entry" error="Text up to 120 characters." promptTitle="Part description" prompt="Text up to 120 characters." sqref="C15">
      <formula1>0</formula1>
      <formula2>120</formula2>
    </dataValidation>
    <dataValidation type="textLength" allowBlank="1" showInputMessage="1" showErrorMessage="1" errorTitle="Check this entry" error="Text up to 60 characters." promptTitle="Prepared by" prompt="Text up to 60 characters." sqref="C16">
      <formula1>0</formula1>
      <formula2>60</formula2>
    </dataValidation>
    <dataValidation type="list" allowBlank="1" showInputMessage="1" showErrorMessage="1" errorTitle="Check this entry" error="Pick from the list (edit the list on Setup: Materials)." promptTitle="Material" prompt="Pick from the list (edit the list on Setup: Materials)." sqref="C20">
      <formula1>Materials</formula1>
    </dataValidation>
    <dataValidation type="list" allowBlank="1" showInputMessage="1" showErrorMessage="1" errorTitle="Check this entry" error="Pick one of: Round bar, Rectangular bar or plate." promptTitle="Stock shape" prompt="Pick one of: Round bar, Rectangular bar or plate." sqref="C21">
      <formula1>"Round bar,Rectangular bar or plate"</formula1>
    </dataValidation>
    <dataValidation type="list" allowBlank="1" showInputMessage="1" showErrorMessage="1" errorTitle="Check this entry" error="Pick one of: mm, in." promptTitle="Dimensions in" prompt="Unit for the blank sizes below and for toolpath length and feed in the operations table. Pick one of: mm, in." sqref="C22">
      <formula1>"mm,in"</formula1>
    </dataValidation>
    <dataValidation type="decimal" allowBlank="1" showInputMessage="1" showErrorMessage="1" errorTitle="Check this entry" error="Enter a number from 0.001 to 10,000." promptTitle="Diameter (round) or width" prompt="Enter a number from 0.001 to 10,000." sqref="C23">
      <formula1>0.001</formula1>
      <formula2>10000</formula2>
    </dataValidation>
    <dataValidation type="decimal" allowBlank="1" showInputMessage="1" showErrorMessage="1" errorTitle="Check this entry" error="Enter a number from 0 to 10,000." promptTitle="Thickness (rectangular only)" prompt="Enter a number from 0 to 10,000." sqref="C24">
      <formula1>0</formula1>
      <formula2>10000</formula2>
    </dataValidation>
    <dataValidation type="decimal" allowBlank="1" showInputMessage="1" showErrorMessage="1" errorTitle="Check this entry" error="Enter a number from 0.001 to 100,000." promptTitle="Blank length, incl. cut-off a..." prompt="Enter a number from 0.001 to 100,000." sqref="C25">
      <formula1>0.001</formula1>
      <formula2>100000</formula2>
    </dataValidation>
    <dataValidation type="decimal" allowBlank="1" showInputMessage="1" showErrorMessage="1" errorTitle="Check this entry" error="Enter a percentage from 0% to 200% (type 85% or 0.85)." promptTitle="Material allowance (bar ends,..." prompt="Extra material bought per blank for bar ends, saw kerf and offcuts. Enter a percentage from 0% to 200% (type 85% or 0.85)." sqref="C26">
      <formula1>0</formula1>
      <formula2>2</formula2>
    </dataValidation>
    <dataValidation type="textLength" allowBlank="1" showInputMessage="1" showErrorMessage="1" errorTitle="Check this entry" error="Text up to 80 characters." promptTitle="Operation" prompt="Text up to 80 characters." sqref="B40:B84">
      <formula1>0</formula1>
      <formula2>80</formula2>
    </dataValidation>
    <dataValidation type="list" allowBlank="1" showInputMessage="1" showErrorMessage="1" errorTitle="Check this entry" error="Pick from the list (edit the list on Setup: Machines)." promptTitle="Machine" prompt="Pick from the list (edit the list on Setup: Machines)." sqref="C40:C84">
      <formula1>Machines</formula1>
    </dataValidation>
    <dataValidation type="decimal" allowBlank="1" showInputMessage="1" showErrorMessage="1" errorTitle="Check this entry" error="Enter a number from 0 to 1,000." promptTitle="Setup (h)" prompt="Setup, proving and first-off approval for this operation, per batch. Enter a number from 0 to 1,000." sqref="D40:D84">
      <formula1>0</formula1>
      <formula2>1000</formula2>
    </dataValidation>
    <dataValidation type="decimal" allowBlank="1" showInputMessage="1" showErrorMessage="1" errorTitle="Check this entry" error="Enter a number from 0 to 10,000." promptTitle="Handling (min/part)" prompt="Load, unload, clamp, blow off, manual work: minutes per part that are not cutting. Enter a number from 0 to 10,000." sqref="E40:E84">
      <formula1>0</formula1>
      <formula2>10000</formula2>
    </dataValidation>
    <dataValidation type="decimal" allowBlank="1" showInputMessage="1" showErrorMessage="1" errorTitle="Check this entry" error="Enter a number from 0 to 10,000,000." promptTitle="Stock removed" prompt="Volume of material removed by roughing in this operation, per part (cm3, or in3 when dimensions are in inches). Enter a number from 0 to 10,000,000." sqref="F40:F84">
      <formula1>0</formula1>
      <formula2>10000000.0</formula2>
    </dataValidation>
    <dataValidation type="decimal" allowBlank="1" showInputMessage="1" showErrorMessage="1" errorTitle="Check this entry" error="Enter a number from 0 to 1,000,000." promptTitle="MRR" prompt="Metal-removal rate you achieve roughing this material on this machine (same volume unit as Stock removed). Enter a number from 0 to 1,000,000." sqref="G40:G84">
      <formula1>0</formula1>
      <formula2>1000000.0</formula2>
    </dataValidation>
    <dataValidation type="decimal" allowBlank="1" showInputMessage="1" showErrorMessage="1" errorTitle="Check this entry" error="Enter a number from 0 to 100,000,000." promptTitle="Toolpath" prompt="Length of finishing, drilling or sawing toolpath at feed, per part (mm or in, as set for the blank). Enter a number from 0 to 100,000,000." sqref="H40:H84">
      <formula1>0</formula1>
      <formula2>100000000.0</formula2>
    </dataValidation>
    <dataValidation type="decimal" allowBlank="1" showInputMessage="1" showErrorMessage="1" errorTitle="Check this entry" error="Enter a number from 0 to 1,000,000." promptTitle="Feed" prompt="Average feed along that toolpath (mm/min or in/min). Enter a number from 0 to 1,000,000." sqref="I40:I84">
      <formula1>0</formula1>
      <formula2>1000000.0</formula2>
    </dataValidation>
    <dataValidation type="whole" allowBlank="1" showInputMessage="1" showErrorMessage="1" errorTitle="Check this entry" error="Enter a whole number from 0 to 500." promptTitle="Tool changes" prompt="Tool changes per part in this operation; each adds the chip-to-chip time on Setup. Enter a whole number from 0 to 500." sqref="J40:J84">
      <formula1>0</formula1>
      <formula2>500</formula2>
    </dataValidation>
    <dataValidation type="textLength" allowBlank="1" showInputMessage="1" showErrorMessage="1" errorTitle="Check this entry" error="Text up to 80 characters." promptTitle="Tool" prompt="Text up to 80 characters." sqref="B56:B91">
      <formula1>0</formula1>
      <formula2>80</formula2>
    </dataValidation>
    <dataValidation type="decimal" allowBlank="1" showInputMessage="1" showErrorMessage="1" errorTitle="Check this entry" error="Enter a number from 0 to 1,000,000." promptTitle="Price" prompt="Price of the tool, or of one full set of inserts for the cutter. Enter a number from 0 to 1,000,000." sqref="C56:C91">
      <formula1>0</formula1>
      <formula2>1000000.0</formula2>
    </dataValidation>
    <dataValidation type="whole" allowBlank="1" showInputMessage="1" showErrorMessage="1" errorTitle="Check this entry" error="Enter a whole number from 1 to 1,000." promptTitle="Edges or lives" prompt="Cutting edges per insert, or lives per solid tool (new plus regrinds). Enter a whole number from 1 to 1,000." sqref="D56:D91">
      <formula1>1</formula1>
      <formula2>1000</formula2>
    </dataValidation>
    <dataValidation type="whole" allowBlank="1" showInputMessage="1" showErrorMessage="1" errorTitle="Check this entry" error="Enter a whole number from 1 to 10,000,000." promptTitle="Parts per edge" prompt="Parts one edge or one life machines before it is indexed or changed, from your tool-life records. Enter a whole number from 1 to 10,000,000." sqref="E56:E91">
      <formula1>1</formula1>
      <formula2>10000000</formula2>
    </dataValidation>
    <dataValidation type="textLength" allowBlank="1" showInputMessage="1" showErrorMessage="1" errorTitle="Check this entry" error="Text up to 80 characters." promptTitle="Item" prompt="Text up to 80 characters." sqref="B70:B92">
      <formula1>0</formula1>
      <formula2>80</formula2>
    </dataValidation>
    <dataValidation type="decimal" allowBlank="1" showInputMessage="1" showErrorMessage="1" errorTitle="Check this entry" error="Enter a number from 0 to 10,000,000." promptTitle="Cost" prompt="Enter a number from 0 to 10,000,000." sqref="C70:C92">
      <formula1>0</formula1>
      <formula2>10000000.0</formula2>
    </dataValidation>
    <dataValidation type="list" allowBlank="1" showInputMessage="1" showErrorMessage="1" errorTitle="Check this entry" error="Pick one of: Amortise, Bill separately." promptTitle="Billing" prompt="Amortise spreads the cost over each quantity break; Bill separately prints it as its own line on the Quote. Pick one of: Amortise, Bill separately." sqref="D70:D92">
      <formula1>"Amortise,Bill separately"</formula1>
    </dataValidation>
    <dataValidation type="textLength" allowBlank="1" showInputMessage="1" showErrorMessage="1" errorTitle="Check this entry" error="Text up to 80 characters." promptTitle="Process" prompt="Text up to 80 characters." sqref="B81:B102">
      <formula1>0</formula1>
      <formula2>80</formula2>
    </dataValidation>
    <dataValidation type="textLength" allowBlank="1" showInputMessage="1" showErrorMessage="1" errorTitle="Check this entry" error="Text up to 60 characters." promptTitle="Supplier" prompt="Text up to 60 characters." sqref="C81:C102">
      <formula1>0</formula1>
      <formula2>60</formula2>
    </dataValidation>
    <dataValidation type="decimal" allowBlank="1" showInputMessage="1" showErrorMessage="1" errorTitle="Check this entry" error="Enter a number from 0 to 1,000,000." promptTitle="Price per part" prompt="Enter a number from 0 to 1,000,000." sqref="D81:D102">
      <formula1>0</formula1>
      <formula2>1000000.0</formula2>
    </dataValidation>
    <dataValidation type="decimal" allowBlank="1" showInputMessage="1" showErrorMessage="1" errorTitle="Check this entry" error="Enter a number from 0 to 10,000,000." promptTitle="Lot charge" prompt="The supplier's minimum charge per lot. You pay the larger of this and price x quantity. Enter a number from 0 to 10,000,000." sqref="E81:E102">
      <formula1>0</formula1>
      <formula2>10000000.0</formula2>
    </dataValidation>
    <dataValidation type="whole" allowBlank="1" showInputMessage="1" showErrorMessage="1" errorTitle="Check this entry" error="Enter a whole number from 0 to 365." promptTitle="Lead time (days)" prompt="Enter a whole number from 0 to 365." sqref="F81:F102">
      <formula1>0</formula1>
      <formula2>365</formula2>
    </dataValidation>
    <dataValidation type="whole" allowBlank="1" showInputMessage="1" showErrorMessage="1" errorTitle="Check this entry" error="Enter a whole number from 0 to 365." promptTitle="Material lead time" prompt="Enter a whole number from 0 to 365." sqref="C86">
      <formula1>0</formula1>
      <formula2>365</formula2>
    </dataValidation>
    <dataValidation type="whole" allowBlank="1" showInputMessage="1" showErrorMessage="1" errorTitle="Check this entry" error="Enter a whole number from 0 to 365." promptTitle="Queue, packing and shipping" prompt="Enter a whole number from 0 to 365." sqref="C87">
      <formula1>0</formula1>
      <formula2>365</formula2>
    </dataValidation>
    <dataValidation type="whole" allowBlank="1" showInputMessage="1" showErrorMessage="1" errorTitle="Check this entry" error="Enter a whole number from 1 to 10,000,000." promptTitle="Quantity" prompt="Quantity of good parts for this price break. Enter a whole number from 1 to 10,000,000." sqref="D92">
      <formula1>1</formula1>
      <formula2>10000000</formula2>
    </dataValidation>
    <dataValidation type="whole" allowBlank="1" showInputMessage="1" showErrorMessage="1" errorTitle="Check this entry" error="Enter a whole number from 1 to 10,000,000." promptTitle="Quantity" prompt="Quantity of good parts for this price break. Enter a whole number from 1 to 10,000,000." sqref="E92">
      <formula1>1</formula1>
      <formula2>10000000</formula2>
    </dataValidation>
    <dataValidation type="whole" allowBlank="1" showInputMessage="1" showErrorMessage="1" errorTitle="Check this entry" error="Enter a whole number from 1 to 10,000,000." promptTitle="Quantity" prompt="Quantity of good parts for this price break. Enter a whole number from 1 to 10,000,000." sqref="F92">
      <formula1>1</formula1>
      <formula2>10000000</formula2>
    </dataValidation>
    <dataValidation type="whole" allowBlank="1" showInputMessage="1" showErrorMessage="1" errorTitle="Check this entry" error="Enter a whole number from 1 to 10,000,000." promptTitle="Quantity" prompt="Quantity of good parts for this price break. Enter a whole number from 1 to 10,000,000." sqref="G92">
      <formula1>1</formula1>
      <formula2>10000000</formula2>
    </dataValidation>
    <dataValidation type="whole" allowBlank="1" showInputMessage="1" showErrorMessage="1" errorTitle="Check this entry" error="Enter a whole number from 1 to 10,000,000." promptTitle="Quantity" prompt="Quantity of good parts for this price break. Enter a whole number from 1 to 10,000,000." sqref="H92">
      <formula1>1</formula1>
      <formula2>10000000</formula2>
    </dataValidation>
  </dataValidations>
  <hyperlinks>
    <hyperlink ref="O2" r:id="rId1" tooltip="Free manufacturing calculators and templates"/>
  </hyperlinks>
  <pageMargins left="0.4" right="0.4" top="0.7" bottom="0.65" header="0.3" footer="0.3"/>
  <pageSetup fitToHeight="0" orientation="landscape"/>
  <headerFooter>
    <oddHeader>&amp;L&amp;8MFG Calcs - CNC Machining Quote&amp;R&amp;8&amp;A</oddHeader>
    <oddFooter>&amp;L&amp;8mfgcalcs.com - free manufacturing templates&amp;R&amp;8Page &amp;P of &amp;N</oddFooter>
  </headerFooter>
  <rowBreaks count="2" manualBreakCount="2">
    <brk id="44" max="16383" man="1"/>
    <brk id="88" max="16383" man="1"/>
  </rowBreaks>
  <tableParts count="4">
    <tablePart r:id="rId2"/>
    <tablePart r:id="rId3"/>
    <tablePart r:id="rId4"/>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L47"/>
  <sheetViews>
    <sheetView showGridLines="0" zoomScale="90" zoomScaleNormal="90" workbookViewId="0"/>
  </sheetViews>
  <sheetFormatPr defaultRowHeight="15" x14ac:dyDescent="0.25"/>
  <cols>
    <col min="1" max="1" width="2.7109375" customWidth="1"/>
    <col min="2" max="2" width="20.7109375" customWidth="1"/>
    <col min="3" max="12" width="10.7109375" customWidth="1"/>
  </cols>
  <sheetData>
    <row r="1" spans="1:12" ht="30" customHeight="1" x14ac:dyDescent="0.25">
      <c r="A1" s="1" t="s">
        <v>0</v>
      </c>
      <c r="B1" s="1"/>
      <c r="C1" s="1"/>
      <c r="D1" s="1"/>
      <c r="E1" s="1"/>
      <c r="F1" s="1"/>
      <c r="G1" s="1"/>
      <c r="H1" s="1"/>
      <c r="I1" s="1"/>
      <c r="J1" s="1"/>
      <c r="K1" s="1"/>
      <c r="L1" s="1"/>
    </row>
    <row r="2" spans="1:12" ht="21" customHeight="1" x14ac:dyDescent="0.25">
      <c r="B2" s="2" t="s">
        <v>24</v>
      </c>
      <c r="C2" s="2"/>
      <c r="D2" s="2"/>
      <c r="E2" s="2"/>
      <c r="F2" s="2"/>
      <c r="G2" s="2"/>
      <c r="H2" s="2"/>
      <c r="I2" s="2"/>
      <c r="J2" s="2"/>
      <c r="K2" s="3" t="s">
        <v>2</v>
      </c>
      <c r="L2" s="3"/>
    </row>
    <row r="3" spans="1:12" ht="6" customHeight="1" x14ac:dyDescent="0.25"/>
    <row r="4" spans="1:12" x14ac:dyDescent="0.25">
      <c r="B4" s="27" t="s">
        <v>254</v>
      </c>
      <c r="C4" s="29">
        <v>100</v>
      </c>
    </row>
    <row r="5" spans="1:12" x14ac:dyDescent="0.25">
      <c r="B5" s="54" t="str">
        <f>"Showing "&amp;TEXT(INDEX('Quote Builder'!$D$92:$H$92,SelIdx),"#,##0")&amp;" parts of "&amp;PartNo&amp;" (rev "&amp;PartRev&amp;") for "&amp;Customer&amp;". Pick another quantity break in the yellow cell."</f>
        <v>Showing 100 parts of AFP-MB-204 (rev B) for Arden Fluid Power (example). Pick another quantity break in the yellow cell.</v>
      </c>
      <c r="C5" s="54"/>
      <c r="D5" s="54"/>
      <c r="E5" s="54"/>
      <c r="F5" s="54"/>
      <c r="G5" s="54"/>
      <c r="H5" s="54"/>
      <c r="I5" s="54"/>
      <c r="J5" s="54"/>
      <c r="K5" s="54"/>
      <c r="L5" s="54"/>
    </row>
    <row r="7" spans="1:12" ht="18" customHeight="1" x14ac:dyDescent="0.25">
      <c r="B7" s="55" t="str">
        <f>"UNIT PRICE ("&amp;Currency&amp;"/PART)"</f>
        <v>UNIT PRICE (USD/PART)</v>
      </c>
      <c r="C7" s="55"/>
      <c r="D7" s="55" t="str">
        <f>"COST PER PART ("&amp;Currency&amp;")"</f>
        <v>COST PER PART (USD)</v>
      </c>
      <c r="E7" s="55"/>
      <c r="F7" s="55"/>
      <c r="G7" s="55" t="s">
        <v>255</v>
      </c>
      <c r="H7" s="55"/>
      <c r="I7" s="55"/>
      <c r="J7" s="55" t="s">
        <v>256</v>
      </c>
      <c r="K7" s="55"/>
      <c r="L7" s="55"/>
    </row>
    <row r="8" spans="1:12" ht="21" customHeight="1" x14ac:dyDescent="0.25">
      <c r="B8" s="56">
        <f>INDEX('Quote Builder'!$D$102:$H$102,SelIdx)</f>
        <v>66.15</v>
      </c>
      <c r="C8" s="56"/>
      <c r="D8" s="56">
        <f>INDEX('Quote Builder'!$D$101:$H$101,SelIdx)</f>
        <v>49.5819170393333</v>
      </c>
      <c r="E8" s="56"/>
      <c r="F8" s="56"/>
      <c r="G8" s="57">
        <f>INDEX('Quote Builder'!$D$104:$H$104,SelIdx)</f>
        <v>0.25046232744772</v>
      </c>
      <c r="H8" s="57"/>
      <c r="I8" s="57"/>
      <c r="J8" s="58">
        <f>CycleMin</f>
        <v>20.5777777777778</v>
      </c>
      <c r="K8" s="58"/>
      <c r="L8" s="58"/>
    </row>
    <row r="9" spans="1:12" ht="21" customHeight="1" x14ac:dyDescent="0.25">
      <c r="B9" s="56"/>
      <c r="C9" s="56"/>
      <c r="D9" s="56"/>
      <c r="E9" s="56"/>
      <c r="F9" s="56"/>
      <c r="G9" s="57"/>
      <c r="H9" s="57"/>
      <c r="I9" s="57"/>
      <c r="J9" s="58"/>
      <c r="K9" s="58"/>
      <c r="L9" s="58"/>
    </row>
    <row r="10" spans="1:12" x14ac:dyDescent="0.25">
      <c r="B10" s="59" t="s">
        <v>257</v>
      </c>
      <c r="C10" s="59"/>
      <c r="D10" s="59" t="s">
        <v>258</v>
      </c>
      <c r="E10" s="59"/>
      <c r="F10" s="59"/>
      <c r="G10" s="60">
        <f>Margin</f>
        <v>0.25</v>
      </c>
      <c r="H10" s="60"/>
      <c r="I10" s="60"/>
      <c r="J10" s="59" t="str">
        <f>"Lead time "&amp;INDEX('Quote Builder'!$D$106:$H$106,SelIdx)&amp;" working days"</f>
        <v>Lead time 17 working days</v>
      </c>
      <c r="K10" s="59"/>
      <c r="L10" s="59"/>
    </row>
    <row r="11" spans="1:12" ht="18" customHeight="1" x14ac:dyDescent="0.25">
      <c r="B11" s="61"/>
      <c r="C11" s="61"/>
      <c r="D11" s="61"/>
      <c r="E11" s="61"/>
      <c r="F11" s="61"/>
      <c r="G11" s="61" t="str">
        <f>IF(NOT(ISNUMBER(KpiMargin)),"No data",IF(KpiMargin&gt;=(Margin),"On target",IF(KpiMargin&gt;=(Margin)*(1-0.02),"Near target","Below target")))</f>
        <v>On target</v>
      </c>
      <c r="H11" s="61"/>
      <c r="I11" s="61"/>
      <c r="J11" s="61"/>
      <c r="K11" s="61"/>
      <c r="L11" s="61"/>
    </row>
    <row r="30" spans="2:8" x14ac:dyDescent="0.25">
      <c r="B30" s="34" t="s">
        <v>259</v>
      </c>
      <c r="C30" s="34"/>
      <c r="D30" s="34"/>
      <c r="E30" s="34"/>
      <c r="F30" s="34"/>
      <c r="G30" s="34"/>
      <c r="H30" s="34"/>
    </row>
    <row r="31" spans="2:8" ht="20" customHeight="1" x14ac:dyDescent="0.25">
      <c r="B31" s="47" t="s">
        <v>260</v>
      </c>
      <c r="C31" s="36" t="s">
        <v>261</v>
      </c>
      <c r="D31" s="36"/>
      <c r="E31" s="36" t="s">
        <v>262</v>
      </c>
      <c r="F31" s="36"/>
      <c r="G31" s="36" t="s">
        <v>263</v>
      </c>
      <c r="H31" s="36"/>
    </row>
    <row r="32" spans="2:8" ht="14" customHeight="1" x14ac:dyDescent="0.25">
      <c r="B32" s="35"/>
      <c r="C32" s="35" t="str">
        <f>Currency&amp;"/part"</f>
        <v>USD/part</v>
      </c>
      <c r="D32" s="35"/>
      <c r="E32" s="35" t="s">
        <v>264</v>
      </c>
      <c r="F32" s="35"/>
      <c r="G32" s="35" t="str">
        <f>Currency</f>
        <v>USD</v>
      </c>
      <c r="H32" s="35"/>
    </row>
    <row r="33" spans="2:9" x14ac:dyDescent="0.25">
      <c r="B33" s="62" t="s">
        <v>68</v>
      </c>
      <c r="C33" s="39">
        <f>CHOOSE(1,INDEX('Quote Builder'!$D$94:$H$94,SelIdx),INDEX('Quote Builder'!$D$95:$H$95,SelIdx),INDEX('Quote Builder'!$D$96:$H$96,SelIdx),INDEX('Quote Builder'!$D$97:$H$97,SelIdx),INDEX('Quote Builder'!$D$98:$H$98,SelIdx),INDEX('Quote Builder'!$D$99:$H$99,SelIdx),INDEX('Quote Builder'!$D$100:$H$100,SelIdx))</f>
        <v>5.483183706</v>
      </c>
      <c r="D33" s="39"/>
      <c r="E33" s="51">
        <f>IF((INDEX('Quote Builder'!$D$101:$H$101,SelIdx))=0,"",($C$33)/(INDEX('Quote Builder'!$D$101:$H$101,SelIdx)))</f>
        <v>0.11058837643672</v>
      </c>
      <c r="F33" s="51"/>
      <c r="G33" s="46">
        <f>$C$33*INDEX('Quote Builder'!$D$92:$H$92,SelIdx)</f>
        <v>548.3183706</v>
      </c>
      <c r="H33" s="46"/>
    </row>
    <row r="34" spans="2:9" x14ac:dyDescent="0.25">
      <c r="B34" s="62" t="s">
        <v>241</v>
      </c>
      <c r="C34" s="39">
        <f>CHOOSE(2,INDEX('Quote Builder'!$D$94:$H$94,SelIdx),INDEX('Quote Builder'!$D$95:$H$95,SelIdx),INDEX('Quote Builder'!$D$96:$H$96,SelIdx),INDEX('Quote Builder'!$D$97:$H$97,SelIdx),INDEX('Quote Builder'!$D$98:$H$98,SelIdx),INDEX('Quote Builder'!$D$99:$H$99,SelIdx),INDEX('Quote Builder'!$D$100:$H$100,SelIdx))</f>
        <v>27.5686666666667</v>
      </c>
      <c r="D34" s="39"/>
      <c r="E34" s="51">
        <f>IF((INDEX('Quote Builder'!$D$101:$H$101,SelIdx))=0,"",($C$34)/(INDEX('Quote Builder'!$D$101:$H$101,SelIdx)))</f>
        <v>0.556022604870168</v>
      </c>
      <c r="F34" s="51"/>
      <c r="G34" s="46">
        <f>$C$34*INDEX('Quote Builder'!$D$92:$H$92,SelIdx)</f>
        <v>2756.86666666667</v>
      </c>
      <c r="H34" s="46"/>
    </row>
    <row r="35" spans="2:9" x14ac:dyDescent="0.25">
      <c r="B35" s="62" t="s">
        <v>242</v>
      </c>
      <c r="C35" s="39">
        <f>CHOOSE(3,INDEX('Quote Builder'!$D$94:$H$94,SelIdx),INDEX('Quote Builder'!$D$95:$H$95,SelIdx),INDEX('Quote Builder'!$D$96:$H$96,SelIdx),INDEX('Quote Builder'!$D$97:$H$97,SelIdx),INDEX('Quote Builder'!$D$98:$H$98,SelIdx),INDEX('Quote Builder'!$D$99:$H$99,SelIdx),INDEX('Quote Builder'!$D$100:$H$100,SelIdx))</f>
        <v>0.649826666666667</v>
      </c>
      <c r="D35" s="39"/>
      <c r="E35" s="51">
        <f>IF((INDEX('Quote Builder'!$D$101:$H$101,SelIdx))=0,"",($C$35)/(INDEX('Quote Builder'!$D$101:$H$101,SelIdx)))</f>
        <v>0.0131061222612905</v>
      </c>
      <c r="F35" s="51"/>
      <c r="G35" s="46">
        <f>$C$35*INDEX('Quote Builder'!$D$92:$H$92,SelIdx)</f>
        <v>64.9826666666667</v>
      </c>
      <c r="H35" s="46"/>
    </row>
    <row r="36" spans="2:9" x14ac:dyDescent="0.25">
      <c r="B36" s="62" t="s">
        <v>19</v>
      </c>
      <c r="C36" s="39">
        <f>CHOOSE(4,INDEX('Quote Builder'!$D$94:$H$94,SelIdx),INDEX('Quote Builder'!$D$95:$H$95,SelIdx),INDEX('Quote Builder'!$D$96:$H$96,SelIdx),INDEX('Quote Builder'!$D$97:$H$97,SelIdx),INDEX('Quote Builder'!$D$98:$H$98,SelIdx),INDEX('Quote Builder'!$D$99:$H$99,SelIdx),INDEX('Quote Builder'!$D$100:$H$100,SelIdx))</f>
        <v>2.7875</v>
      </c>
      <c r="D36" s="39"/>
      <c r="E36" s="51">
        <f>IF((INDEX('Quote Builder'!$D$101:$H$101,SelIdx))=0,"",($C$36)/(INDEX('Quote Builder'!$D$101:$H$101,SelIdx)))</f>
        <v>0.0562200932607885</v>
      </c>
      <c r="F36" s="51"/>
      <c r="G36" s="46">
        <f>$C$36*INDEX('Quote Builder'!$D$92:$H$92,SelIdx)</f>
        <v>278.75</v>
      </c>
      <c r="H36" s="46"/>
    </row>
    <row r="37" spans="2:9" x14ac:dyDescent="0.25">
      <c r="B37" s="62" t="s">
        <v>265</v>
      </c>
      <c r="C37" s="39">
        <f>CHOOSE(5,INDEX('Quote Builder'!$D$94:$H$94,SelIdx),INDEX('Quote Builder'!$D$95:$H$95,SelIdx),INDEX('Quote Builder'!$D$96:$H$96,SelIdx),INDEX('Quote Builder'!$D$97:$H$97,SelIdx),INDEX('Quote Builder'!$D$98:$H$98,SelIdx),INDEX('Quote Builder'!$D$99:$H$99,SelIdx),INDEX('Quote Builder'!$D$100:$H$100,SelIdx))</f>
        <v>6.15</v>
      </c>
      <c r="D37" s="39"/>
      <c r="E37" s="51">
        <f>IF((INDEX('Quote Builder'!$D$101:$H$101,SelIdx))=0,"",($C$37)/(INDEX('Quote Builder'!$D$101:$H$101,SelIdx)))</f>
        <v>0.124037156431874</v>
      </c>
      <c r="F37" s="51"/>
      <c r="G37" s="46">
        <f>$C$37*INDEX('Quote Builder'!$D$92:$H$92,SelIdx)</f>
        <v>615</v>
      </c>
      <c r="H37" s="46"/>
    </row>
    <row r="38" spans="2:9" x14ac:dyDescent="0.25">
      <c r="B38" s="62" t="s">
        <v>266</v>
      </c>
      <c r="C38" s="39">
        <f>CHOOSE(6,INDEX('Quote Builder'!$D$94:$H$94,SelIdx),INDEX('Quote Builder'!$D$95:$H$95,SelIdx),INDEX('Quote Builder'!$D$96:$H$96,SelIdx),INDEX('Quote Builder'!$D$97:$H$97,SelIdx),INDEX('Quote Builder'!$D$98:$H$98,SelIdx),INDEX('Quote Builder'!$D$99:$H$99,SelIdx),INDEX('Quote Builder'!$D$100:$H$100,SelIdx))</f>
        <v>3.3</v>
      </c>
      <c r="D38" s="39"/>
      <c r="E38" s="51">
        <f>IF((INDEX('Quote Builder'!$D$101:$H$101,SelIdx))=0,"",($C$38)/(INDEX('Quote Builder'!$D$101:$H$101,SelIdx)))</f>
        <v>0.0665565229634447</v>
      </c>
      <c r="F38" s="51"/>
      <c r="G38" s="46">
        <f>$C$38*INDEX('Quote Builder'!$D$92:$H$92,SelIdx)</f>
        <v>330</v>
      </c>
      <c r="H38" s="46"/>
    </row>
    <row r="39" spans="2:9" x14ac:dyDescent="0.25">
      <c r="B39" s="62" t="s">
        <v>246</v>
      </c>
      <c r="C39" s="39">
        <f>CHOOSE(7,INDEX('Quote Builder'!$D$94:$H$94,SelIdx),INDEX('Quote Builder'!$D$95:$H$95,SelIdx),INDEX('Quote Builder'!$D$96:$H$96,SelIdx),INDEX('Quote Builder'!$D$97:$H$97,SelIdx),INDEX('Quote Builder'!$D$98:$H$98,SelIdx),INDEX('Quote Builder'!$D$99:$H$99,SelIdx),INDEX('Quote Builder'!$D$100:$H$100,SelIdx))</f>
        <v>3.64274</v>
      </c>
      <c r="D39" s="39"/>
      <c r="E39" s="51">
        <f>IF((INDEX('Quote Builder'!$D$101:$H$101,SelIdx))=0,"",($C$39)/(INDEX('Quote Builder'!$D$101:$H$101,SelIdx)))</f>
        <v>0.0734691237757147</v>
      </c>
      <c r="F39" s="51"/>
      <c r="G39" s="46">
        <f>$C$39*INDEX('Quote Builder'!$D$92:$H$92,SelIdx)</f>
        <v>364.274</v>
      </c>
      <c r="H39" s="46"/>
    </row>
    <row r="41" spans="2:9" x14ac:dyDescent="0.25">
      <c r="B41" s="47" t="s">
        <v>267</v>
      </c>
      <c r="C41" s="47"/>
      <c r="D41" s="36" t="s">
        <v>237</v>
      </c>
      <c r="E41" s="63">
        <f>INDEX('Quote Builder'!$D$92:$H$92,1)</f>
        <v>10</v>
      </c>
      <c r="F41" s="63">
        <f>INDEX('Quote Builder'!$D$92:$H$92,2)</f>
        <v>25</v>
      </c>
      <c r="G41" s="63">
        <f>INDEX('Quote Builder'!$D$92:$H$92,3)</f>
        <v>50</v>
      </c>
      <c r="H41" s="63">
        <f>INDEX('Quote Builder'!$D$92:$H$92,4)</f>
        <v>100</v>
      </c>
      <c r="I41" s="63">
        <f>INDEX('Quote Builder'!$D$92:$H$92,5)</f>
        <v>250</v>
      </c>
    </row>
    <row r="42" spans="2:9" x14ac:dyDescent="0.25">
      <c r="B42" s="27" t="s">
        <v>268</v>
      </c>
      <c r="C42" s="27"/>
      <c r="D42" s="7" t="s">
        <v>239</v>
      </c>
      <c r="E42" s="46">
        <f>'Quote Builder'!$D$92</f>
        <v>10</v>
      </c>
      <c r="F42" s="46">
        <f>'Quote Builder'!$E$92</f>
        <v>25</v>
      </c>
      <c r="G42" s="46">
        <f>'Quote Builder'!$F$92</f>
        <v>50</v>
      </c>
      <c r="H42" s="46">
        <f>'Quote Builder'!$G$92</f>
        <v>100</v>
      </c>
      <c r="I42" s="46">
        <f>'Quote Builder'!$H$92</f>
        <v>250</v>
      </c>
    </row>
    <row r="43" spans="2:9" x14ac:dyDescent="0.25">
      <c r="B43" s="27" t="s">
        <v>68</v>
      </c>
      <c r="C43" s="27"/>
      <c r="D43" s="7" t="str">
        <f>Currency&amp;"/part"</f>
        <v>USD/part</v>
      </c>
      <c r="E43" s="39">
        <f>'Quote Builder'!$D$94</f>
        <v>5.7995212275</v>
      </c>
      <c r="F43" s="39">
        <f>'Quote Builder'!$E$94</f>
        <v>5.483183706</v>
      </c>
      <c r="G43" s="39">
        <f>'Quote Builder'!$F$94</f>
        <v>5.483183706</v>
      </c>
      <c r="H43" s="39">
        <f>'Quote Builder'!$G$94</f>
        <v>5.483183706</v>
      </c>
      <c r="I43" s="39">
        <f>'Quote Builder'!$H$94</f>
        <v>5.4410053698</v>
      </c>
    </row>
    <row r="44" spans="2:9" x14ac:dyDescent="0.25">
      <c r="B44" s="27" t="s">
        <v>269</v>
      </c>
      <c r="C44" s="27"/>
      <c r="D44" s="7" t="str">
        <f>Currency&amp;"/part"</f>
        <v>USD/part</v>
      </c>
      <c r="E44" s="39">
        <f>'Quote Builder'!$D$95+'Quote Builder'!$D$100</f>
        <v>36.0032666666667</v>
      </c>
      <c r="F44" s="39">
        <f>'Quote Builder'!$E$95+'Quote Builder'!$E$100</f>
        <v>32.2149066666667</v>
      </c>
      <c r="G44" s="39">
        <f>'Quote Builder'!$F$95+'Quote Builder'!$F$100</f>
        <v>31.5459066666667</v>
      </c>
      <c r="H44" s="39">
        <f>'Quote Builder'!$G$95+'Quote Builder'!$G$100</f>
        <v>31.2114066666667</v>
      </c>
      <c r="I44" s="39">
        <f>'Quote Builder'!$H$95+'Quote Builder'!$H$100</f>
        <v>30.773192</v>
      </c>
    </row>
    <row r="45" spans="2:9" x14ac:dyDescent="0.25">
      <c r="B45" s="27" t="s">
        <v>270</v>
      </c>
      <c r="C45" s="27"/>
      <c r="D45" s="7" t="str">
        <f>Currency&amp;"/part"</f>
        <v>USD/part</v>
      </c>
      <c r="E45" s="39">
        <f>'Quote Builder'!$D$96</f>
        <v>0.687316666666667</v>
      </c>
      <c r="F45" s="39">
        <f>'Quote Builder'!$E$96</f>
        <v>0.649826666666667</v>
      </c>
      <c r="G45" s="39">
        <f>'Quote Builder'!$F$96</f>
        <v>0.649826666666667</v>
      </c>
      <c r="H45" s="39">
        <f>'Quote Builder'!$G$96</f>
        <v>0.649826666666667</v>
      </c>
      <c r="I45" s="39">
        <f>'Quote Builder'!$H$96</f>
        <v>0.644828</v>
      </c>
    </row>
    <row r="46" spans="2:9" x14ac:dyDescent="0.25">
      <c r="B46" s="27" t="s">
        <v>271</v>
      </c>
      <c r="C46" s="27"/>
      <c r="D46" s="7" t="str">
        <f>Currency&amp;"/part"</f>
        <v>USD/part</v>
      </c>
      <c r="E46" s="39">
        <f>'Quote Builder'!$D$97+'Quote Builder'!$D$98</f>
        <v>89.375</v>
      </c>
      <c r="F46" s="39">
        <f>'Quote Builder'!$E$97+'Quote Builder'!$E$98</f>
        <v>35.75</v>
      </c>
      <c r="G46" s="39">
        <f>'Quote Builder'!$F$97+'Quote Builder'!$F$98</f>
        <v>17.875</v>
      </c>
      <c r="H46" s="39">
        <f>'Quote Builder'!$G$97+'Quote Builder'!$G$98</f>
        <v>8.9375</v>
      </c>
      <c r="I46" s="39">
        <f>'Quote Builder'!$H$97+'Quote Builder'!$H$98</f>
        <v>3.575</v>
      </c>
    </row>
    <row r="47" spans="2:9" x14ac:dyDescent="0.25">
      <c r="B47" s="27" t="s">
        <v>266</v>
      </c>
      <c r="C47" s="27"/>
      <c r="D47" s="7" t="str">
        <f>Currency&amp;"/part"</f>
        <v>USD/part</v>
      </c>
      <c r="E47" s="39">
        <f>'Quote Builder'!$D$99</f>
        <v>23.1</v>
      </c>
      <c r="F47" s="39">
        <f>'Quote Builder'!$E$99</f>
        <v>9.24</v>
      </c>
      <c r="G47" s="39">
        <f>'Quote Builder'!$F$99</f>
        <v>4.62</v>
      </c>
      <c r="H47" s="39">
        <f>'Quote Builder'!$G$99</f>
        <v>3.3</v>
      </c>
      <c r="I47" s="39">
        <f>'Quote Builder'!$H$99</f>
        <v>3.025</v>
      </c>
    </row>
  </sheetData>
  <sheetProtection sheet="1" formatColumns="0" formatRows="0"/>
  <mergeCells count="55">
    <mergeCell ref="A1:L1"/>
    <mergeCell ref="B2:J2"/>
    <mergeCell ref="K2:L2"/>
    <mergeCell ref="B5:L5"/>
    <mergeCell ref="B7:C7"/>
    <mergeCell ref="B8:C9"/>
    <mergeCell ref="B10:C10"/>
    <mergeCell ref="B11:C11"/>
    <mergeCell ref="D7:F7"/>
    <mergeCell ref="D8:F9"/>
    <mergeCell ref="D10:F10"/>
    <mergeCell ref="D11:F11"/>
    <mergeCell ref="G7:I7"/>
    <mergeCell ref="G8:I9"/>
    <mergeCell ref="G10:I10"/>
    <mergeCell ref="G11:I11"/>
    <mergeCell ref="J7:L7"/>
    <mergeCell ref="J8:L9"/>
    <mergeCell ref="J10:L10"/>
    <mergeCell ref="J11:L11"/>
    <mergeCell ref="B30:H30"/>
    <mergeCell ref="C31:D31"/>
    <mergeCell ref="E31:F31"/>
    <mergeCell ref="G31:H31"/>
    <mergeCell ref="C32:D32"/>
    <mergeCell ref="E32:F32"/>
    <mergeCell ref="G32:H32"/>
    <mergeCell ref="C33:D33"/>
    <mergeCell ref="C34:D34"/>
    <mergeCell ref="C35:D35"/>
    <mergeCell ref="C36:D36"/>
    <mergeCell ref="C37:D37"/>
    <mergeCell ref="C38:D38"/>
    <mergeCell ref="C39:D39"/>
    <mergeCell ref="E33:F33"/>
    <mergeCell ref="E34:F34"/>
    <mergeCell ref="E35:F35"/>
    <mergeCell ref="E36:F36"/>
    <mergeCell ref="E37:F37"/>
    <mergeCell ref="E38:F38"/>
    <mergeCell ref="E39:F39"/>
    <mergeCell ref="G33:H33"/>
    <mergeCell ref="G34:H34"/>
    <mergeCell ref="G35:H35"/>
    <mergeCell ref="G36:H36"/>
    <mergeCell ref="G37:H37"/>
    <mergeCell ref="G38:H38"/>
    <mergeCell ref="G39:H39"/>
    <mergeCell ref="B41:C41"/>
    <mergeCell ref="B42:C42"/>
    <mergeCell ref="B43:C43"/>
    <mergeCell ref="B44:C44"/>
    <mergeCell ref="B45:C45"/>
    <mergeCell ref="B46:C46"/>
    <mergeCell ref="B47:C47"/>
  </mergeCells>
  <conditionalFormatting sqref="E33:E39">
    <cfRule type="dataBar" priority="21">
      <dataBar>
        <cfvo type="num" val="0"/>
        <cfvo type="max"/>
        <color rgb="FFA8BDF0"/>
      </dataBar>
      <extLst>
        <ext xmlns:x14="http://schemas.microsoft.com/office/spreadsheetml/2009/9/main" uri="{B025F937-C7B1-47D3-B67F-A62EFF666E3E}">
          <x14:id>{DA7ABA51-AAAA-BBBB-0004-000000000001}</x14:id>
        </ext>
      </extLst>
    </cfRule>
  </conditionalFormatting>
  <conditionalFormatting sqref="G1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dataValidations count="1">
    <dataValidation type="list" allowBlank="1" showInputMessage="1" showErrorMessage="1" errorTitle="Check this entry" error="Pick from the list (edit the list on Setup: BreakList)." promptTitle="Quantity shown" prompt="One of the quantity breaks on the Quote Builder. The tiles and the cost build-up show this quantity. Pick from the list (edit the list on Setup: BreakList)." sqref="C4">
      <formula1>BreakList</formula1>
    </dataValidation>
  </dataValidations>
  <hyperlinks>
    <hyperlink ref="K2" r:id="rId1" tooltip="Free manufacturing calculators and templates"/>
  </hyperlinks>
  <pageMargins left="0.4" right="0.4" top="0.7" bottom="0.65" header="0.3" footer="0.3"/>
  <pageSetup fitToHeight="0" orientation="landscape"/>
  <headerFooter>
    <oddHeader>&amp;L&amp;8MFG Calcs - CNC Machining Quote&amp;R&amp;8&amp;A</oddHeader>
    <oddFooter>&amp;L&amp;8mfgcalcs.com - free manufacturing templates&amp;R&amp;8Page &amp;P of &amp;N</oddFooter>
  </headerFooter>
  <rowBreaks count="1" manualBreakCount="1">
    <brk id="29"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4-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E33:E39</xm:sqref>
        </x14:conditionalFormatting>
      </x14:conditionalFormattings>
    </ext>
  </extLst>
</worksheet>
</file>

<file path=xl/worksheets/sheet5.xml><?xml version="1.0" encoding="utf-8"?>
<worksheet xmlns="http://schemas.openxmlformats.org/spreadsheetml/2006/main" xmlns:r="http://schemas.openxmlformats.org/officeDocument/2006/relationships">
  <sheetPr>
    <tabColor rgb="FF1BA37A"/>
    <pageSetUpPr fitToPage="1"/>
  </sheetPr>
  <dimension ref="A1:G40"/>
  <sheetViews>
    <sheetView showGridLines="0" workbookViewId="0"/>
  </sheetViews>
  <sheetFormatPr defaultRowHeight="15"/>
  <cols>
    <col min="1" max="1" width="2.7109375" customWidth="1"/>
    <col min="2" max="7" width="16.7109375" customWidth="1"/>
  </cols>
  <sheetData>
    <row r="1" spans="1:7" ht="30" customHeight="1">
      <c r="A1" s="1" t="s">
        <v>0</v>
      </c>
      <c r="B1" s="1"/>
      <c r="C1" s="1"/>
      <c r="D1" s="1"/>
      <c r="E1" s="1"/>
      <c r="F1" s="1"/>
      <c r="G1" s="1"/>
    </row>
    <row r="2" spans="1:7" ht="21" customHeight="1">
      <c r="B2" s="2" t="s">
        <v>26</v>
      </c>
      <c r="C2" s="2"/>
      <c r="D2" s="2"/>
      <c r="E2" s="2"/>
      <c r="F2" s="2"/>
      <c r="G2" s="3" t="s">
        <v>2</v>
      </c>
    </row>
    <row r="3" spans="1:7" ht="6" customHeight="1"/>
    <row r="4" spans="1:7" ht="30" customHeight="1">
      <c r="B4" s="64" t="s">
        <v>272</v>
      </c>
      <c r="C4" s="64"/>
      <c r="D4" s="65" t="s">
        <v>273</v>
      </c>
      <c r="E4" s="65"/>
      <c r="F4" s="65"/>
      <c r="G4" s="65"/>
    </row>
    <row r="5" spans="1:7">
      <c r="B5" s="64"/>
      <c r="C5" s="64"/>
      <c r="D5" s="66" t="str">
        <f>CoName</f>
        <v>Kestrel Precision Machining (example)</v>
      </c>
      <c r="E5" s="66"/>
      <c r="F5" s="66"/>
      <c r="G5" s="66"/>
    </row>
    <row r="6" spans="1:7">
      <c r="B6" s="64"/>
      <c r="C6" s="64"/>
      <c r="D6" s="67" t="str">
        <f>CoAddress1&amp;", "&amp;CoAddress2</f>
        <v>Bay 7, Airfield Business Park, Kestrel Ridge, KR4 9TP</v>
      </c>
      <c r="E6" s="67"/>
      <c r="F6" s="67"/>
      <c r="G6" s="67"/>
    </row>
    <row r="7" spans="1:7">
      <c r="B7" s="64"/>
      <c r="C7" s="64"/>
      <c r="D7" s="67" t="str">
        <f>CoPhone&amp;"   "&amp;CoEmail</f>
        <v>+1 555 0117   estimating@example.com</v>
      </c>
      <c r="E7" s="67"/>
      <c r="F7" s="67"/>
      <c r="G7" s="67"/>
    </row>
    <row r="9" spans="1:7">
      <c r="B9" s="68" t="s">
        <v>274</v>
      </c>
      <c r="C9" s="69" t="str">
        <f>Customer</f>
        <v>Arden Fluid Power (example)</v>
      </c>
      <c r="D9" s="69"/>
      <c r="E9" s="68" t="s">
        <v>159</v>
      </c>
      <c r="F9" s="70" t="str">
        <f>QuoteNo</f>
        <v>Q-2026-0388</v>
      </c>
      <c r="G9" s="70"/>
    </row>
    <row r="10" spans="1:7">
      <c r="B10" s="68" t="s">
        <v>164</v>
      </c>
      <c r="C10" s="69" t="str">
        <f>Contact</f>
        <v>Purchasing</v>
      </c>
      <c r="D10" s="69"/>
      <c r="E10" s="68" t="s">
        <v>275</v>
      </c>
      <c r="F10" s="71">
        <f>QuoteDate</f>
        <v>46308</v>
      </c>
      <c r="G10" s="71"/>
    </row>
    <row r="11" spans="1:7">
      <c r="B11" s="68" t="s">
        <v>276</v>
      </c>
      <c r="C11" s="69" t="str">
        <f>RFQRef</f>
        <v>RFQ-5521</v>
      </c>
      <c r="D11" s="69"/>
      <c r="E11" s="68" t="s">
        <v>277</v>
      </c>
      <c r="F11" s="71">
        <f>QuoteDate+Validity</f>
        <v>46338</v>
      </c>
      <c r="G11" s="71"/>
    </row>
    <row r="12" spans="1:7">
      <c r="E12" s="68" t="s">
        <v>174</v>
      </c>
      <c r="F12" s="70" t="str">
        <f>PreparedBy</f>
        <v>Estimating</v>
      </c>
      <c r="G12" s="70"/>
    </row>
    <row r="13" spans="1:7" ht="8" customHeight="1"/>
    <row r="14" spans="1:7">
      <c r="B14" s="68" t="s">
        <v>168</v>
      </c>
      <c r="C14" s="69" t="str">
        <f>PartNo&amp;"  (rev "&amp;PartRev&amp;")"</f>
        <v>AFP-MB-204  (rev B)</v>
      </c>
      <c r="D14" s="69"/>
      <c r="E14" s="69"/>
      <c r="F14" s="69"/>
      <c r="G14" s="69"/>
    </row>
    <row r="15" spans="1:7">
      <c r="B15" s="68" t="s">
        <v>278</v>
      </c>
      <c r="C15" s="69" t="str">
        <f>PartDesc</f>
        <v>Hydraulic manifold block, milled two sides, hard anodised</v>
      </c>
      <c r="D15" s="69"/>
      <c r="E15" s="69"/>
      <c r="F15" s="69"/>
      <c r="G15" s="69"/>
    </row>
    <row r="16" spans="1:7">
      <c r="B16" s="68" t="s">
        <v>68</v>
      </c>
      <c r="C16" s="69" t="str">
        <f>Material</f>
        <v>Aluminium 6061-T6</v>
      </c>
      <c r="D16" s="69"/>
      <c r="E16" s="69"/>
      <c r="F16" s="69"/>
      <c r="G16" s="69"/>
    </row>
    <row r="17" spans="2:7" ht="10" customHeight="1"/>
    <row r="18" spans="2:7" ht="22" customHeight="1">
      <c r="B18" s="72" t="s">
        <v>268</v>
      </c>
      <c r="C18" s="72" t="str">
        <f>"Unit price ("&amp;Currency&amp;")"</f>
        <v>Unit price (USD)</v>
      </c>
      <c r="D18" s="72" t="str">
        <f>"Extended ("&amp;Currency&amp;")"</f>
        <v>Extended (USD)</v>
      </c>
      <c r="E18" s="72" t="s">
        <v>279</v>
      </c>
      <c r="F18" s="72"/>
      <c r="G18" s="72"/>
    </row>
    <row r="19" spans="2:7">
      <c r="B19" s="73">
        <f>INDEX('Quote Builder'!$D$92:$H$92,1)</f>
        <v>10</v>
      </c>
      <c r="C19" s="74">
        <f>INDEX('Quote Builder'!$D$102:$H$102,1)</f>
        <v>206.65</v>
      </c>
      <c r="D19" s="74">
        <f>INDEX('Quote Builder'!$D$103:$H$103,1)</f>
        <v>2066.5</v>
      </c>
      <c r="E19" s="75" t="str">
        <f>INDEX('Quote Builder'!$D$106:$H$106,1)&amp;" working days"</f>
        <v>14 working days</v>
      </c>
      <c r="F19" s="75"/>
      <c r="G19" s="75"/>
    </row>
    <row r="20" spans="2:7">
      <c r="B20" s="73">
        <f>INDEX('Quote Builder'!$D$92:$H$92,2)</f>
        <v>25</v>
      </c>
      <c r="C20" s="74">
        <f>INDEX('Quote Builder'!$D$102:$H$102,2)</f>
        <v>111.15</v>
      </c>
      <c r="D20" s="74">
        <f>INDEX('Quote Builder'!$D$103:$H$103,2)</f>
        <v>2778.75</v>
      </c>
      <c r="E20" s="75" t="str">
        <f>INDEX('Quote Builder'!$D$106:$H$106,2)&amp;" working days"</f>
        <v>14 working days</v>
      </c>
      <c r="F20" s="75"/>
      <c r="G20" s="75"/>
    </row>
    <row r="21" spans="2:7">
      <c r="B21" s="73">
        <f>INDEX('Quote Builder'!$D$92:$H$92,3)</f>
        <v>50</v>
      </c>
      <c r="C21" s="74">
        <f>INDEX('Quote Builder'!$D$102:$H$102,3)</f>
        <v>80.25</v>
      </c>
      <c r="D21" s="74">
        <f>INDEX('Quote Builder'!$D$103:$H$103,3)</f>
        <v>4012.5</v>
      </c>
      <c r="E21" s="75" t="str">
        <f>INDEX('Quote Builder'!$D$106:$H$106,3)&amp;" working days"</f>
        <v>15 working days</v>
      </c>
      <c r="F21" s="75"/>
      <c r="G21" s="75"/>
    </row>
    <row r="22" spans="2:7">
      <c r="B22" s="73">
        <f>INDEX('Quote Builder'!$D$92:$H$92,4)</f>
        <v>100</v>
      </c>
      <c r="C22" s="74">
        <f>INDEX('Quote Builder'!$D$102:$H$102,4)</f>
        <v>66.15</v>
      </c>
      <c r="D22" s="74">
        <f>INDEX('Quote Builder'!$D$103:$H$103,4)</f>
        <v>6615</v>
      </c>
      <c r="E22" s="75" t="str">
        <f>INDEX('Quote Builder'!$D$106:$H$106,4)&amp;" working days"</f>
        <v>17 working days</v>
      </c>
      <c r="F22" s="75"/>
      <c r="G22" s="75"/>
    </row>
    <row r="23" spans="2:7">
      <c r="B23" s="73">
        <f>INDEX('Quote Builder'!$D$92:$H$92,5)</f>
        <v>250</v>
      </c>
      <c r="C23" s="74">
        <f>INDEX('Quote Builder'!$D$102:$H$102,5)</f>
        <v>57.95</v>
      </c>
      <c r="D23" s="74">
        <f>INDEX('Quote Builder'!$D$103:$H$103,5)</f>
        <v>14487.5</v>
      </c>
      <c r="E23" s="75" t="str">
        <f>INDEX('Quote Builder'!$D$106:$H$106,5)&amp;" working days"</f>
        <v>21 working days</v>
      </c>
      <c r="F23" s="75"/>
      <c r="G23" s="75"/>
    </row>
    <row r="24" spans="2:7" ht="10" customHeight="1"/>
    <row r="25" spans="2:7">
      <c r="B25" s="34" t="s">
        <v>280</v>
      </c>
    </row>
    <row r="26" spans="2:7">
      <c r="B26" s="76" t="str">
        <f>IFERROR(INDEX(tblNRE[Item],MATCH(1,tblNRE[Quote line],0)),"")</f>
        <v>First article inspection report</v>
      </c>
      <c r="C26" s="76"/>
      <c r="D26" s="76"/>
      <c r="E26" s="76"/>
      <c r="F26" s="77" t="str">
        <f>IF(IFERROR(INDEX(tblNRE[Item],MATCH(1,tblNRE[Quote line],0)),"")="","",Currency)</f>
        <v>USD</v>
      </c>
      <c r="G26" s="74">
        <f>IFERROR(INDEX(tblNRE[Cost],MATCH(1,tblNRE[Quote line],0)),"")</f>
        <v>180</v>
      </c>
    </row>
    <row r="27" spans="2:7">
      <c r="B27" s="76">
        <f>IFERROR(INDEX(tblNRE[Item],MATCH(2,tblNRE[Quote line],0)),"")</f>
        <v/>
      </c>
      <c r="C27" s="76"/>
      <c r="D27" s="76"/>
      <c r="E27" s="76"/>
      <c r="F27" s="77">
        <f>IF(IFERROR(INDEX(tblNRE[Item],MATCH(2,tblNRE[Quote line],0)),"")="","",Currency)</f>
        <v/>
      </c>
      <c r="G27" s="74">
        <f>IFERROR(INDEX(tblNRE[Cost],MATCH(2,tblNRE[Quote line],0)),"")</f>
        <v/>
      </c>
    </row>
    <row r="28" spans="2:7">
      <c r="B28" s="76">
        <f>IFERROR(INDEX(tblNRE[Item],MATCH(3,tblNRE[Quote line],0)),"")</f>
        <v/>
      </c>
      <c r="C28" s="76"/>
      <c r="D28" s="76"/>
      <c r="E28" s="76"/>
      <c r="F28" s="77">
        <f>IF(IFERROR(INDEX(tblNRE[Item],MATCH(3,tblNRE[Quote line],0)),"")="","",Currency)</f>
        <v/>
      </c>
      <c r="G28" s="74">
        <f>IFERROR(INDEX(tblNRE[Cost],MATCH(3,tblNRE[Quote line],0)),"")</f>
        <v/>
      </c>
    </row>
    <row r="29" spans="2:7">
      <c r="B29" s="54">
        <f>IF(COUNTIF(tblNRE[Quote line],"&gt;3")&gt;0,"More separately billed items are listed on the Quote Builder.","")</f>
        <v/>
      </c>
      <c r="C29" s="54"/>
      <c r="D29" s="54"/>
      <c r="E29" s="54"/>
      <c r="F29" s="54"/>
      <c r="G29" s="54"/>
    </row>
    <row r="30" spans="2:7">
      <c r="B30" s="34" t="s">
        <v>281</v>
      </c>
    </row>
    <row r="31" spans="2:7">
      <c r="B31" s="68" t="s">
        <v>282</v>
      </c>
      <c r="C31" s="69" t="str">
        <f>PayTerms</f>
        <v>Net 30 days from invoice</v>
      </c>
      <c r="D31" s="69"/>
      <c r="E31" s="69"/>
      <c r="F31" s="69"/>
      <c r="G31" s="69"/>
    </row>
    <row r="32" spans="2:7">
      <c r="B32" s="68" t="s">
        <v>283</v>
      </c>
      <c r="C32" s="69" t="str">
        <f>DelTerms</f>
        <v>Ex works, packed for courier</v>
      </c>
      <c r="D32" s="69"/>
      <c r="E32" s="69"/>
      <c r="F32" s="69"/>
      <c r="G32" s="69"/>
    </row>
    <row r="33" spans="2:7">
      <c r="B33" s="68" t="s">
        <v>284</v>
      </c>
      <c r="C33" s="69" t="str">
        <f>"Valid for "&amp;Validity&amp;" days from the quote date."</f>
        <v>Valid for 30 days from the quote date.</v>
      </c>
      <c r="D33" s="69"/>
      <c r="E33" s="69"/>
      <c r="F33" s="69"/>
      <c r="G33" s="69"/>
    </row>
    <row r="34" spans="2:7" ht="42" customHeight="1">
      <c r="B34" s="10" t="str">
        <f>Terms</f>
        <v>Prices are per part in the currency shown and exclude sales taxes and freight unless stated. Lead times are working days from receipt of order, approved drawings and 3D models. Charges billed separately are invoiced with the first delivery. Replace this example text with your own terms of sale.</v>
      </c>
      <c r="C34" s="10"/>
      <c r="D34" s="10"/>
      <c r="E34" s="10"/>
      <c r="F34" s="10"/>
      <c r="G34" s="10"/>
    </row>
    <row r="35" spans="2:7" ht="10" customHeight="1"/>
    <row r="36" spans="2:7">
      <c r="B36" s="34" t="s">
        <v>285</v>
      </c>
    </row>
    <row r="37" spans="2:7" ht="21" customHeight="1">
      <c r="B37" s="78" t="s">
        <v>286</v>
      </c>
      <c r="C37" s="78"/>
      <c r="D37" s="69"/>
      <c r="E37" s="69"/>
      <c r="F37" s="69"/>
      <c r="G37" s="69"/>
    </row>
    <row r="38" spans="2:7" ht="21" customHeight="1">
      <c r="B38" s="78" t="s">
        <v>287</v>
      </c>
      <c r="C38" s="78"/>
      <c r="D38" s="69"/>
      <c r="E38" s="69"/>
      <c r="F38" s="69"/>
      <c r="G38" s="69"/>
    </row>
    <row r="39" spans="2:7" ht="21" customHeight="1">
      <c r="B39" s="78" t="s">
        <v>288</v>
      </c>
      <c r="C39" s="78"/>
      <c r="D39" s="69"/>
      <c r="E39" s="69"/>
      <c r="F39" s="69"/>
      <c r="G39" s="69"/>
    </row>
    <row r="40" spans="2:7" ht="21" customHeight="1">
      <c r="B40" s="78" t="s">
        <v>289</v>
      </c>
      <c r="C40" s="78"/>
      <c r="D40" s="69"/>
      <c r="E40" s="69"/>
      <c r="F40" s="69"/>
      <c r="G40" s="69"/>
    </row>
  </sheetData>
  <sheetProtection sheet="1" formatColumns="0" formatRows="0"/>
  <mergeCells count="39">
    <mergeCell ref="A1:G1"/>
    <mergeCell ref="B2:F2"/>
    <mergeCell ref="B4:C7"/>
    <mergeCell ref="D4:G4"/>
    <mergeCell ref="D5:G5"/>
    <mergeCell ref="D6:G6"/>
    <mergeCell ref="D7:G7"/>
    <mergeCell ref="C9:D9"/>
    <mergeCell ref="F9:G9"/>
    <mergeCell ref="C10:D10"/>
    <mergeCell ref="F10:G10"/>
    <mergeCell ref="C11:D11"/>
    <mergeCell ref="F11:G11"/>
    <mergeCell ref="F12:G12"/>
    <mergeCell ref="C14:G14"/>
    <mergeCell ref="C15:G15"/>
    <mergeCell ref="C16:G16"/>
    <mergeCell ref="E18:G18"/>
    <mergeCell ref="E19:G19"/>
    <mergeCell ref="E20:G20"/>
    <mergeCell ref="E21:G21"/>
    <mergeCell ref="E22:G22"/>
    <mergeCell ref="E23:G23"/>
    <mergeCell ref="B26:E26"/>
    <mergeCell ref="B27:E27"/>
    <mergeCell ref="B28:E28"/>
    <mergeCell ref="B29:G29"/>
    <mergeCell ref="C31:G31"/>
    <mergeCell ref="C32:G32"/>
    <mergeCell ref="C33:G33"/>
    <mergeCell ref="B34:G34"/>
    <mergeCell ref="B37:C37"/>
    <mergeCell ref="D37:G37"/>
    <mergeCell ref="B38:C38"/>
    <mergeCell ref="D38:G38"/>
    <mergeCell ref="B39:C39"/>
    <mergeCell ref="D39:G39"/>
    <mergeCell ref="B40:C40"/>
    <mergeCell ref="D40:G40"/>
  </mergeCells>
  <hyperlinks>
    <hyperlink ref="G2" r:id="rId1" tooltip="Free manufacturing calculators and templates"/>
  </hyperlinks>
  <printOptions horizontalCentered="1"/>
  <pageMargins left="0.4" right="0.4" top="0.7" bottom="0.65" header="0.3" footer="0.3"/>
  <pageSetup fitToHeight="0" orientation="portrait"/>
  <headerFooter>
    <oddHeader>&amp;L&amp;8MFG Calcs - CNC Machining Quote&amp;R&amp;8&amp;A</oddHeader>
    <oddFooter>&amp;L&amp;8mfgcalcs.com - free manufacturing templates&amp;R&amp;8Page &amp;P of &amp;N</oddFooter>
  </headerFooter>
</worksheet>
</file>

<file path=xl/worksheets/sheet6.xml><?xml version="1.0" encoding="utf-8"?>
<worksheet xmlns="http://schemas.openxmlformats.org/spreadsheetml/2006/main" xmlns:r="http://schemas.openxmlformats.org/officeDocument/2006/relationships">
  <sheetPr>
    <tabColor rgb="FF6B7280"/>
    <pageSetUpPr fitToPage="1"/>
  </sheetPr>
  <dimension ref="A1:D60"/>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28</v>
      </c>
      <c r="C2" s="2"/>
      <c r="D2" s="3" t="s">
        <v>2</v>
      </c>
    </row>
    <row r="3" spans="1:4" ht="6" customHeight="1"/>
    <row r="4" spans="1:4" ht="21" customHeight="1">
      <c r="B4" s="8" t="s">
        <v>290</v>
      </c>
      <c r="C4" s="8"/>
      <c r="D4" s="8"/>
    </row>
    <row r="5" spans="1:4" ht="5" customHeight="1"/>
    <row r="6" spans="1:4" ht="55.8" customHeight="1">
      <c r="B6" s="10" t="s">
        <v>291</v>
      </c>
      <c r="C6" s="10"/>
      <c r="D6" s="10"/>
    </row>
    <row r="8" spans="1:4" ht="21" customHeight="1">
      <c r="B8" s="8" t="s">
        <v>292</v>
      </c>
      <c r="C8" s="8"/>
      <c r="D8" s="8"/>
    </row>
    <row r="9" spans="1:4" ht="5" customHeight="1"/>
    <row r="10" spans="1:4" ht="20" customHeight="1">
      <c r="B10" s="47" t="s">
        <v>268</v>
      </c>
      <c r="C10" s="47" t="s">
        <v>293</v>
      </c>
      <c r="D10" s="36" t="s">
        <v>294</v>
      </c>
    </row>
    <row r="11" spans="1:4" ht="30.4" customHeight="1">
      <c r="B11" s="79" t="s">
        <v>295</v>
      </c>
      <c r="C11" s="80" t="s">
        <v>296</v>
      </c>
      <c r="D11" s="81" t="s">
        <v>297</v>
      </c>
    </row>
    <row r="12" spans="1:4" ht="17.2" customHeight="1">
      <c r="B12" s="79" t="s">
        <v>191</v>
      </c>
      <c r="C12" s="80" t="s">
        <v>298</v>
      </c>
      <c r="D12" s="81" t="s">
        <v>299</v>
      </c>
    </row>
    <row r="13" spans="1:4" ht="30.4" customHeight="1">
      <c r="B13" s="79" t="s">
        <v>300</v>
      </c>
      <c r="C13" s="80" t="s">
        <v>301</v>
      </c>
      <c r="D13" s="81" t="s">
        <v>207</v>
      </c>
    </row>
    <row r="14" spans="1:4" ht="30.4" customHeight="1">
      <c r="B14" s="79" t="s">
        <v>302</v>
      </c>
      <c r="C14" s="80" t="s">
        <v>303</v>
      </c>
      <c r="D14" s="81" t="s">
        <v>299</v>
      </c>
    </row>
    <row r="15" spans="1:4" ht="17.2" customHeight="1">
      <c r="B15" s="79" t="s">
        <v>304</v>
      </c>
      <c r="C15" s="80" t="s">
        <v>305</v>
      </c>
      <c r="D15" s="81" t="s">
        <v>306</v>
      </c>
    </row>
    <row r="16" spans="1:4" ht="30.4" customHeight="1">
      <c r="B16" s="79" t="s">
        <v>307</v>
      </c>
      <c r="C16" s="80" t="s">
        <v>308</v>
      </c>
      <c r="D16" s="81" t="s">
        <v>239</v>
      </c>
    </row>
    <row r="17" spans="2:4" ht="30.4" customHeight="1">
      <c r="B17" s="79" t="s">
        <v>309</v>
      </c>
      <c r="C17" s="80" t="s">
        <v>310</v>
      </c>
      <c r="D17" s="81" t="s">
        <v>306</v>
      </c>
    </row>
    <row r="18" spans="2:4" ht="17.2" customHeight="1">
      <c r="B18" s="79" t="s">
        <v>311</v>
      </c>
      <c r="C18" s="80" t="s">
        <v>312</v>
      </c>
      <c r="D18" s="81" t="s">
        <v>306</v>
      </c>
    </row>
    <row r="19" spans="2:4" ht="30.4" customHeight="1">
      <c r="B19" s="79" t="s">
        <v>266</v>
      </c>
      <c r="C19" s="80" t="s">
        <v>313</v>
      </c>
      <c r="D19" s="81" t="s">
        <v>306</v>
      </c>
    </row>
    <row r="20" spans="2:4" ht="17.2" customHeight="1">
      <c r="B20" s="79" t="s">
        <v>246</v>
      </c>
      <c r="C20" s="80" t="s">
        <v>314</v>
      </c>
      <c r="D20" s="81" t="s">
        <v>306</v>
      </c>
    </row>
    <row r="21" spans="2:4" ht="30.4" customHeight="1">
      <c r="B21" s="79" t="s">
        <v>248</v>
      </c>
      <c r="C21" s="80" t="s">
        <v>315</v>
      </c>
      <c r="D21" s="81" t="s">
        <v>306</v>
      </c>
    </row>
    <row r="22" spans="2:4" ht="30.4" customHeight="1">
      <c r="B22" s="79" t="s">
        <v>253</v>
      </c>
      <c r="C22" s="80" t="s">
        <v>316</v>
      </c>
      <c r="D22" s="81" t="s">
        <v>226</v>
      </c>
    </row>
    <row r="24" spans="2:4" ht="21" customHeight="1">
      <c r="B24" s="8" t="s">
        <v>317</v>
      </c>
      <c r="C24" s="8"/>
      <c r="D24" s="8"/>
    </row>
    <row r="25" spans="2:4" ht="5" customHeight="1"/>
    <row r="26" spans="2:4" ht="29.4" customHeight="1">
      <c r="B26" s="26" t="s">
        <v>57</v>
      </c>
      <c r="C26" s="10" t="s">
        <v>318</v>
      </c>
      <c r="D26" s="10"/>
    </row>
    <row r="27" spans="2:4" ht="29.4" customHeight="1">
      <c r="B27" s="26" t="s">
        <v>57</v>
      </c>
      <c r="C27" s="10" t="s">
        <v>319</v>
      </c>
      <c r="D27" s="10"/>
    </row>
    <row r="28" spans="2:4" ht="16.2" customHeight="1">
      <c r="B28" s="26" t="s">
        <v>57</v>
      </c>
      <c r="C28" s="10" t="s">
        <v>320</v>
      </c>
      <c r="D28" s="10"/>
    </row>
    <row r="29" spans="2:4" ht="16.2" customHeight="1">
      <c r="B29" s="26" t="s">
        <v>57</v>
      </c>
      <c r="C29" s="10" t="s">
        <v>321</v>
      </c>
      <c r="D29" s="10"/>
    </row>
    <row r="30" spans="2:4" ht="29.4" customHeight="1">
      <c r="B30" s="26" t="s">
        <v>57</v>
      </c>
      <c r="C30" s="10" t="s">
        <v>322</v>
      </c>
      <c r="D30" s="10"/>
    </row>
    <row r="32" spans="2:4" ht="21" customHeight="1">
      <c r="B32" s="8" t="s">
        <v>323</v>
      </c>
      <c r="C32" s="8"/>
      <c r="D32" s="8"/>
    </row>
    <row r="33" spans="2:4" ht="5" customHeight="1"/>
    <row r="34" spans="2:4" ht="29.4" customHeight="1">
      <c r="B34" s="26" t="s">
        <v>57</v>
      </c>
      <c r="C34" s="10" t="s">
        <v>324</v>
      </c>
      <c r="D34" s="10"/>
    </row>
    <row r="35" spans="2:4" ht="29.4" customHeight="1">
      <c r="B35" s="26" t="s">
        <v>57</v>
      </c>
      <c r="C35" s="10" t="s">
        <v>325</v>
      </c>
      <c r="D35" s="10"/>
    </row>
    <row r="36" spans="2:4" ht="16.2" customHeight="1">
      <c r="B36" s="26" t="s">
        <v>57</v>
      </c>
      <c r="C36" s="10" t="s">
        <v>326</v>
      </c>
      <c r="D36" s="10"/>
    </row>
    <row r="37" spans="2:4" ht="16.2" customHeight="1">
      <c r="B37" s="26" t="s">
        <v>57</v>
      </c>
      <c r="C37" s="10" t="s">
        <v>327</v>
      </c>
      <c r="D37" s="10"/>
    </row>
    <row r="39" spans="2:4" ht="21" customHeight="1">
      <c r="B39" s="8" t="s">
        <v>328</v>
      </c>
      <c r="C39" s="8"/>
      <c r="D39" s="8"/>
    </row>
    <row r="40" spans="2:4" ht="5" customHeight="1"/>
    <row r="41" spans="2:4" ht="82.2" customHeight="1">
      <c r="B41" s="10" t="s">
        <v>329</v>
      </c>
      <c r="C41" s="10"/>
      <c r="D41" s="10"/>
    </row>
    <row r="42" spans="2:4">
      <c r="B42" s="24" t="s">
        <v>330</v>
      </c>
      <c r="C42" s="24"/>
      <c r="D42" s="24"/>
    </row>
    <row r="44" spans="2:4" ht="21" customHeight="1">
      <c r="B44" s="8" t="s">
        <v>44</v>
      </c>
      <c r="C44" s="8"/>
      <c r="D44" s="8"/>
    </row>
    <row r="45" spans="2:4" ht="5" customHeight="1"/>
    <row r="46" spans="2:4" ht="42.6" customHeight="1">
      <c r="B46" s="10" t="s">
        <v>331</v>
      </c>
      <c r="C46" s="10"/>
      <c r="D46" s="10"/>
    </row>
    <row r="48" spans="2:4" ht="21" customHeight="1">
      <c r="B48" s="8" t="s">
        <v>332</v>
      </c>
      <c r="C48" s="8"/>
      <c r="D48" s="8"/>
    </row>
    <row r="49" spans="2:4" ht="5" customHeight="1"/>
    <row r="50" spans="2:4" ht="29.4" customHeight="1">
      <c r="B50" s="26" t="s">
        <v>57</v>
      </c>
      <c r="C50" s="10" t="s">
        <v>333</v>
      </c>
      <c r="D50" s="10"/>
    </row>
    <row r="51" spans="2:4" ht="29.4" customHeight="1">
      <c r="B51" s="26" t="s">
        <v>57</v>
      </c>
      <c r="C51" s="10" t="s">
        <v>334</v>
      </c>
      <c r="D51" s="10"/>
    </row>
    <row r="52" spans="2:4" ht="29.4" customHeight="1">
      <c r="B52" s="26" t="s">
        <v>57</v>
      </c>
      <c r="C52" s="10" t="s">
        <v>335</v>
      </c>
      <c r="D52" s="10"/>
    </row>
    <row r="53" spans="2:4">
      <c r="B53" s="21" t="s">
        <v>336</v>
      </c>
      <c r="C53" s="21"/>
      <c r="D53" s="21"/>
    </row>
    <row r="55" spans="2:4" ht="21" customHeight="1">
      <c r="B55" s="8" t="s">
        <v>337</v>
      </c>
      <c r="C55" s="8"/>
      <c r="D55" s="8"/>
    </row>
    <row r="56" spans="2:4" ht="5" customHeight="1"/>
    <row r="57" spans="2:4">
      <c r="B57" s="47" t="s">
        <v>52</v>
      </c>
      <c r="C57" s="47" t="s">
        <v>338</v>
      </c>
      <c r="D57" s="36" t="s">
        <v>275</v>
      </c>
    </row>
    <row r="58" spans="2:4" ht="16.2" customHeight="1">
      <c r="B58" s="76" t="s">
        <v>339</v>
      </c>
      <c r="C58" s="82" t="s">
        <v>340</v>
      </c>
      <c r="D58" s="75" t="s">
        <v>341</v>
      </c>
    </row>
    <row r="60" spans="2:4">
      <c r="B60" s="21" t="s">
        <v>64</v>
      </c>
      <c r="C60" s="21"/>
      <c r="D60" s="21"/>
    </row>
  </sheetData>
  <sheetProtection sheet="1" formatColumns="0" formatRows="0"/>
  <mergeCells count="28">
    <mergeCell ref="A1:D1"/>
    <mergeCell ref="B2:C2"/>
    <mergeCell ref="B4:D4"/>
    <mergeCell ref="B6:D6"/>
    <mergeCell ref="B8:D8"/>
    <mergeCell ref="B24:D24"/>
    <mergeCell ref="C26:D26"/>
    <mergeCell ref="C27:D27"/>
    <mergeCell ref="C28:D28"/>
    <mergeCell ref="C29:D29"/>
    <mergeCell ref="C30:D30"/>
    <mergeCell ref="B32:D32"/>
    <mergeCell ref="C34:D34"/>
    <mergeCell ref="C35:D35"/>
    <mergeCell ref="C36:D36"/>
    <mergeCell ref="C37:D37"/>
    <mergeCell ref="B39:D39"/>
    <mergeCell ref="B41:D41"/>
    <mergeCell ref="B42:D42"/>
    <mergeCell ref="B44:D44"/>
    <mergeCell ref="B46:D46"/>
    <mergeCell ref="B48:D48"/>
    <mergeCell ref="C50:D50"/>
    <mergeCell ref="C51:D51"/>
    <mergeCell ref="C52:D52"/>
    <mergeCell ref="B53:D53"/>
    <mergeCell ref="B55:D55"/>
    <mergeCell ref="B60:D60"/>
  </mergeCells>
  <hyperlinks>
    <hyperlink ref="D2" r:id="rId1" tooltip="Free manufacturing calculators and templates"/>
    <hyperlink ref="B42" r:id="rId2"/>
  </hyperlinks>
  <printOptions horizontalCentered="1"/>
  <pageMargins left="0.4" right="0.4" top="0.7" bottom="0.65" header="0.3" footer="0.3"/>
  <pageSetup fitToHeight="0" orientation="portrait"/>
  <headerFooter>
    <oddHeader>&amp;L&amp;8MFG Calcs - CNC Machining Quote&amp;R&amp;8&amp;A</oddHeader>
    <oddFooter>&amp;L&amp;8mfgcalcs.com - free manufacturing templates&amp;R&amp;8Page &amp;P of &amp;N</oddFooter>
  </headerFooter>
  <rowBreaks count="2" manualBreakCount="2">
    <brk id="23" max="16383" man="1"/>
    <brk id="53" max="16383" man="1"/>
  </rowBreaks>
</worksheet>
</file>

<file path=xl/worksheets/sheet7.xml><?xml version="1.0" encoding="utf-8"?>
<worksheet xmlns="http://schemas.openxmlformats.org/spreadsheetml/2006/main" xmlns:r="http://schemas.openxmlformats.org/officeDocument/2006/relationships">
  <sheetPr>
    <tabColor rgb="FF2C3440"/>
    <pageSetUpPr fitToPage="1"/>
  </sheetPr>
  <dimension ref="A1:O125"/>
  <sheetViews>
    <sheetView showGridLines="0" workbookViewId="0"/>
  </sheetViews>
  <sheetFormatPr defaultRowHeight="15"/>
  <cols>
    <col min="1" max="1" width="2.7109375" customWidth="1"/>
    <col min="2" max="19" width="12.7109375" customWidth="1"/>
  </cols>
  <sheetData>
    <row r="1" spans="1:15" ht="30" customHeight="1">
      <c r="A1" s="1" t="s">
        <v>0</v>
      </c>
      <c r="B1" s="1"/>
      <c r="C1" s="1"/>
      <c r="D1" s="1"/>
      <c r="E1" s="1"/>
      <c r="F1" s="1"/>
      <c r="G1" s="1"/>
      <c r="H1" s="1"/>
      <c r="I1" s="1"/>
      <c r="J1" s="1"/>
      <c r="K1" s="1"/>
      <c r="L1" s="1"/>
      <c r="M1" s="1"/>
      <c r="N1" s="1"/>
      <c r="O1" s="1"/>
    </row>
    <row r="2" spans="1:15" ht="21" customHeight="1">
      <c r="B2" s="2" t="s">
        <v>30</v>
      </c>
      <c r="C2" s="2"/>
      <c r="D2" s="2"/>
      <c r="E2" s="2"/>
      <c r="F2" s="2"/>
      <c r="G2" s="2"/>
      <c r="H2" s="2"/>
      <c r="I2" s="2"/>
      <c r="J2" s="2"/>
      <c r="K2" s="2"/>
      <c r="L2" s="2"/>
      <c r="M2" s="2"/>
      <c r="N2" s="2"/>
      <c r="O2" s="3" t="s">
        <v>2</v>
      </c>
    </row>
    <row r="3" spans="1:15" ht="6" customHeight="1"/>
    <row r="4" spans="1:15" ht="30" customHeight="1">
      <c r="B4" s="83" t="s">
        <v>342</v>
      </c>
      <c r="C4" s="83"/>
      <c r="D4" s="22" t="str">
        <f>IF(COUNTIF($K$11:$K$29,"PASS")=19,"PASS","FAIL")</f>
        <v>PASS</v>
      </c>
      <c r="E4" s="22"/>
      <c r="F4" s="23" t="str">
        <f>COUNTIF($K$11:$K$29,"PASS")&amp;" of 19 checks pass"</f>
        <v>19 of 19 checks pass</v>
      </c>
      <c r="G4" s="23"/>
      <c r="H4" s="23"/>
      <c r="I4" s="23"/>
      <c r="J4" s="23"/>
    </row>
    <row r="6" spans="1:15" ht="29.4" customHeight="1">
      <c r="B6" s="10" t="s">
        <v>343</v>
      </c>
      <c r="C6" s="10"/>
      <c r="D6" s="10"/>
      <c r="E6" s="10"/>
      <c r="F6" s="10"/>
      <c r="G6" s="10"/>
      <c r="H6" s="10"/>
      <c r="I6" s="10"/>
      <c r="J6" s="10"/>
      <c r="K6" s="10"/>
      <c r="L6" s="10"/>
    </row>
    <row r="8" spans="1:15" ht="21" customHeight="1">
      <c r="B8" s="8" t="s">
        <v>344</v>
      </c>
      <c r="C8" s="8"/>
      <c r="D8" s="8"/>
      <c r="E8" s="8"/>
      <c r="F8" s="8"/>
      <c r="G8" s="8"/>
      <c r="H8" s="8"/>
      <c r="I8" s="8"/>
      <c r="J8" s="8"/>
      <c r="K8" s="8"/>
      <c r="L8" s="8"/>
    </row>
    <row r="9" spans="1:15" ht="5" customHeight="1"/>
    <row r="10" spans="1:15" ht="30" customHeight="1">
      <c r="B10" s="36" t="s">
        <v>345</v>
      </c>
      <c r="C10" s="47" t="s">
        <v>143</v>
      </c>
      <c r="D10" s="47"/>
      <c r="E10" s="47"/>
      <c r="F10" s="47"/>
      <c r="G10" s="36" t="s">
        <v>346</v>
      </c>
      <c r="H10" s="36" t="s">
        <v>347</v>
      </c>
      <c r="I10" s="36" t="s">
        <v>348</v>
      </c>
      <c r="J10" s="36" t="s">
        <v>349</v>
      </c>
      <c r="K10" s="36" t="s">
        <v>350</v>
      </c>
    </row>
    <row r="11" spans="1:15" ht="16.2" customHeight="1">
      <c r="B11" s="63">
        <v>1</v>
      </c>
      <c r="C11" s="82" t="s">
        <v>351</v>
      </c>
      <c r="D11" s="82"/>
      <c r="E11" s="82"/>
      <c r="F11" s="82"/>
      <c r="G11" s="84">
        <v>0.6712875</v>
      </c>
      <c r="H11" s="40">
        <f>$E$99</f>
        <v>0.6712875</v>
      </c>
      <c r="I11" s="85">
        <f>IF(AND(ISNUMBER($G$11),ISNUMBER($H$11)),ABS($H$11-$G$11),"")</f>
        <v>0</v>
      </c>
      <c r="J11" s="86">
        <v>1E-09</v>
      </c>
      <c r="K11" s="87" t="str">
        <f>IF(AND(ISNUMBER($G$11),ISNUMBER($H$11)),IF(ABS($H$11-$G$11)&lt;=$J$11,"PASS","FAIL"),"FAIL")</f>
        <v>PASS</v>
      </c>
    </row>
    <row r="12" spans="1:15" ht="16.2" customHeight="1">
      <c r="B12" s="63">
        <v>2</v>
      </c>
      <c r="C12" s="82" t="s">
        <v>191</v>
      </c>
      <c r="D12" s="82"/>
      <c r="E12" s="82"/>
      <c r="F12" s="82"/>
      <c r="G12" s="88">
        <v>4.79299275</v>
      </c>
      <c r="H12" s="43">
        <f>$E$101</f>
        <v>4.79299275</v>
      </c>
      <c r="I12" s="85">
        <f>IF(AND(ISNUMBER($G$12),ISNUMBER($H$12)),ABS($H$12-$G$12),"")</f>
        <v>0</v>
      </c>
      <c r="J12" s="86">
        <v>1E-09</v>
      </c>
      <c r="K12" s="87" t="str">
        <f>IF(AND(ISNUMBER($G$12),ISNUMBER($H$12)),IF(ABS($H$12-$G$12)&lt;=$J$12,"PASS","FAIL"),"FAIL")</f>
        <v>PASS</v>
      </c>
    </row>
    <row r="13" spans="1:15" ht="16.2" customHeight="1">
      <c r="B13" s="63">
        <v>3</v>
      </c>
      <c r="C13" s="82" t="s">
        <v>352</v>
      </c>
      <c r="D13" s="82"/>
      <c r="E13" s="82"/>
      <c r="F13" s="82"/>
      <c r="G13" s="89">
        <v>5.777777777777778</v>
      </c>
      <c r="H13" s="90">
        <f>$L$48</f>
        <v>5.77777777777778</v>
      </c>
      <c r="I13" s="85">
        <f>IF(AND(ISNUMBER($G$13),ISNUMBER($H$13)),ABS($H$13-$G$13),"")</f>
        <v>0</v>
      </c>
      <c r="J13" s="86">
        <v>1E-09</v>
      </c>
      <c r="K13" s="87" t="str">
        <f>IF(AND(ISNUMBER($G$13),ISNUMBER($H$13)),IF(ABS($H$13-$G$13)&lt;=$J$13,"PASS","FAIL"),"FAIL")</f>
        <v>PASS</v>
      </c>
    </row>
    <row r="14" spans="1:15" ht="16.2" customHeight="1">
      <c r="B14" s="63">
        <v>4</v>
      </c>
      <c r="C14" s="82" t="s">
        <v>353</v>
      </c>
      <c r="D14" s="82"/>
      <c r="E14" s="82"/>
      <c r="F14" s="82"/>
      <c r="G14" s="88">
        <v>9.75</v>
      </c>
      <c r="H14" s="43">
        <f>$N$49</f>
        <v>9.75</v>
      </c>
      <c r="I14" s="85">
        <f>IF(AND(ISNUMBER($G$14),ISNUMBER($H$14)),ABS($H$14-$G$14),"")</f>
        <v>0</v>
      </c>
      <c r="J14" s="86">
        <v>1E-09</v>
      </c>
      <c r="K14" s="87" t="str">
        <f>IF(AND(ISNUMBER($G$14),ISNUMBER($H$14)),IF(ABS($H$14-$G$14)&lt;=$J$14,"PASS","FAIL"),"FAIL")</f>
        <v>PASS</v>
      </c>
    </row>
    <row r="15" spans="1:15" ht="16.2" customHeight="1">
      <c r="B15" s="63">
        <v>5</v>
      </c>
      <c r="C15" s="82" t="s">
        <v>354</v>
      </c>
      <c r="D15" s="82"/>
      <c r="E15" s="82"/>
      <c r="F15" s="82"/>
      <c r="G15" s="76" t="s">
        <v>355</v>
      </c>
      <c r="H15" s="42" t="str">
        <f>$O$52</f>
        <v>Toolpath needs a feed</v>
      </c>
      <c r="I15" s="42"/>
      <c r="J15" s="75" t="s">
        <v>356</v>
      </c>
      <c r="K15" s="87" t="str">
        <f>IF($H$15&amp;""=$G$15&amp;"","PASS","FAIL")</f>
        <v>PASS</v>
      </c>
    </row>
    <row r="16" spans="1:15" ht="16.2" customHeight="1">
      <c r="B16" s="63">
        <v>6</v>
      </c>
      <c r="C16" s="82" t="s">
        <v>357</v>
      </c>
      <c r="D16" s="82"/>
      <c r="E16" s="82"/>
      <c r="F16" s="82"/>
      <c r="G16" s="88">
        <v>0.1133333333333333</v>
      </c>
      <c r="H16" s="43">
        <f>$F$58</f>
        <v>0.113333333333333</v>
      </c>
      <c r="I16" s="85">
        <f>IF(AND(ISNUMBER($G$16),ISNUMBER($H$16)),ABS($H$16-$G$16),"")</f>
        <v>0</v>
      </c>
      <c r="J16" s="86">
        <v>1E-09</v>
      </c>
      <c r="K16" s="87" t="str">
        <f>IF(AND(ISNUMBER($G$16),ISNUMBER($H$16)),IF(ABS($H$16-$G$16)&lt;=$J$16,"PASS","FAIL"),"FAIL")</f>
        <v>PASS</v>
      </c>
    </row>
    <row r="17" spans="2:12" ht="16.2" customHeight="1">
      <c r="B17" s="63">
        <v>7</v>
      </c>
      <c r="C17" s="82" t="s">
        <v>358</v>
      </c>
      <c r="D17" s="82"/>
      <c r="E17" s="82"/>
      <c r="F17" s="82"/>
      <c r="G17" s="91">
        <v>1</v>
      </c>
      <c r="H17" s="46">
        <f>$E$75</f>
        <v>1</v>
      </c>
      <c r="I17" s="85">
        <f>IF(AND(ISNUMBER($G$17),ISNUMBER($H$17)),ABS($H$17-$G$17),"")</f>
        <v>0</v>
      </c>
      <c r="J17" s="86">
        <v>1E-09</v>
      </c>
      <c r="K17" s="87" t="str">
        <f>IF(AND(ISNUMBER($G$17),ISNUMBER($H$17)),IF(ABS($H$17-$G$17)&lt;=$J$17,"PASS","FAIL"),"FAIL")</f>
        <v>PASS</v>
      </c>
    </row>
    <row r="18" spans="2:12" ht="16.2" customHeight="1">
      <c r="B18" s="63">
        <v>8</v>
      </c>
      <c r="C18" s="82" t="s">
        <v>359</v>
      </c>
      <c r="D18" s="82"/>
      <c r="E18" s="82"/>
      <c r="F18" s="82"/>
      <c r="G18" s="88">
        <v>23.1</v>
      </c>
      <c r="H18" s="43">
        <f>$F$118</f>
        <v>23.1</v>
      </c>
      <c r="I18" s="85">
        <f>IF(AND(ISNUMBER($G$18),ISNUMBER($H$18)),ABS($H$18-$G$18),"")</f>
        <v>0</v>
      </c>
      <c r="J18" s="86">
        <v>1E-09</v>
      </c>
      <c r="K18" s="87" t="str">
        <f>IF(AND(ISNUMBER($G$18),ISNUMBER($H$18)),IF(ABS($H$18-$G$18)&lt;=$J$18,"PASS","FAIL"),"FAIL")</f>
        <v>PASS</v>
      </c>
    </row>
    <row r="19" spans="2:12" ht="16.2" customHeight="1">
      <c r="B19" s="63">
        <v>9</v>
      </c>
      <c r="C19" s="82" t="s">
        <v>360</v>
      </c>
      <c r="D19" s="82"/>
      <c r="E19" s="82"/>
      <c r="F19" s="82"/>
      <c r="G19" s="88">
        <v>156.8131045608333</v>
      </c>
      <c r="H19" s="43">
        <f>$F$120</f>
        <v>156.813104560833</v>
      </c>
      <c r="I19" s="85">
        <f>IF(AND(ISNUMBER($G$19),ISNUMBER($H$19)),ABS($H$19-$G$19),"")</f>
        <v>0</v>
      </c>
      <c r="J19" s="86">
        <v>1E-09</v>
      </c>
      <c r="K19" s="87" t="str">
        <f>IF(AND(ISNUMBER($G$19),ISNUMBER($H$19)),IF(ABS($H$19-$G$19)&lt;=$J$19,"PASS","FAIL"),"FAIL")</f>
        <v>PASS</v>
      </c>
    </row>
    <row r="20" spans="2:12" ht="16.2" customHeight="1">
      <c r="B20" s="63">
        <v>10</v>
      </c>
      <c r="C20" s="82" t="s">
        <v>361</v>
      </c>
      <c r="D20" s="82"/>
      <c r="E20" s="82"/>
      <c r="F20" s="82"/>
      <c r="G20" s="74">
        <v>209.1</v>
      </c>
      <c r="H20" s="39">
        <f>$F$121</f>
        <v>209.1</v>
      </c>
      <c r="I20" s="85">
        <f>IF(AND(ISNUMBER($G$20),ISNUMBER($H$20)),ABS($H$20-$G$20),"")</f>
        <v>0</v>
      </c>
      <c r="J20" s="86">
        <v>1E-09</v>
      </c>
      <c r="K20" s="87" t="str">
        <f>IF(AND(ISNUMBER($G$20),ISNUMBER($H$20)),IF(ABS($H$20-$G$20)&lt;=$J$20,"PASS","FAIL"),"FAIL")</f>
        <v>PASS</v>
      </c>
    </row>
    <row r="21" spans="2:12" ht="16.2" customHeight="1">
      <c r="B21" s="63">
        <v>11</v>
      </c>
      <c r="C21" s="82" t="s">
        <v>362</v>
      </c>
      <c r="D21" s="82"/>
      <c r="E21" s="82"/>
      <c r="F21" s="82"/>
      <c r="G21" s="91">
        <v>14</v>
      </c>
      <c r="H21" s="46">
        <f>$F$125</f>
        <v>14</v>
      </c>
      <c r="I21" s="85">
        <f>IF(AND(ISNUMBER($G$21),ISNUMBER($H$21)),ABS($H$21-$G$21),"")</f>
        <v>0</v>
      </c>
      <c r="J21" s="86">
        <v>1E-09</v>
      </c>
      <c r="K21" s="87" t="str">
        <f>IF(AND(ISNUMBER($G$21),ISNUMBER($H$21)),IF(ABS($H$21-$G$21)&lt;=$J$21,"PASS","FAIL"),"FAIL")</f>
        <v>PASS</v>
      </c>
    </row>
    <row r="22" spans="2:12" ht="16.2" customHeight="1">
      <c r="B22" s="63">
        <v>12</v>
      </c>
      <c r="C22" s="82" t="s">
        <v>363</v>
      </c>
      <c r="D22" s="82"/>
      <c r="E22" s="82"/>
      <c r="F22" s="82"/>
      <c r="G22" s="88">
        <v>3.3</v>
      </c>
      <c r="H22" s="43">
        <f>$I$118</f>
        <v>3.3</v>
      </c>
      <c r="I22" s="85">
        <f>IF(AND(ISNUMBER($G$22),ISNUMBER($H$22)),ABS($H$22-$G$22),"")</f>
        <v>0</v>
      </c>
      <c r="J22" s="86">
        <v>1E-09</v>
      </c>
      <c r="K22" s="87" t="str">
        <f>IF(AND(ISNUMBER($G$22),ISNUMBER($H$22)),IF(ABS($H$22-$G$22)&lt;=$J$22,"PASS","FAIL"),"FAIL")</f>
        <v>PASS</v>
      </c>
    </row>
    <row r="23" spans="2:12" ht="16.2" customHeight="1">
      <c r="B23" s="63">
        <v>13</v>
      </c>
      <c r="C23" s="82" t="s">
        <v>364</v>
      </c>
      <c r="D23" s="82"/>
      <c r="E23" s="82"/>
      <c r="F23" s="82"/>
      <c r="G23" s="88">
        <v>51.32911703933333</v>
      </c>
      <c r="H23" s="43">
        <f>$I$120</f>
        <v>51.3291170393333</v>
      </c>
      <c r="I23" s="85">
        <f>IF(AND(ISNUMBER($G$23),ISNUMBER($H$23)),ABS($H$23-$G$23),"")</f>
        <v>0</v>
      </c>
      <c r="J23" s="86">
        <v>1E-09</v>
      </c>
      <c r="K23" s="87" t="str">
        <f>IF(AND(ISNUMBER($G$23),ISNUMBER($H$23)),IF(ABS($H$23-$G$23)&lt;=$J$23,"PASS","FAIL"),"FAIL")</f>
        <v>PASS</v>
      </c>
    </row>
    <row r="24" spans="2:12" ht="16.2" customHeight="1">
      <c r="B24" s="63">
        <v>14</v>
      </c>
      <c r="C24" s="82" t="s">
        <v>365</v>
      </c>
      <c r="D24" s="82"/>
      <c r="E24" s="82"/>
      <c r="F24" s="82"/>
      <c r="G24" s="74">
        <v>68.45</v>
      </c>
      <c r="H24" s="39">
        <f>$I$121</f>
        <v>68.45</v>
      </c>
      <c r="I24" s="85">
        <f>IF(AND(ISNUMBER($G$24),ISNUMBER($H$24)),ABS($H$24-$G$24),"")</f>
        <v>0</v>
      </c>
      <c r="J24" s="86">
        <v>1E-09</v>
      </c>
      <c r="K24" s="87" t="str">
        <f>IF(AND(ISNUMBER($G$24),ISNUMBER($H$24)),IF(ABS($H$24-$G$24)&lt;=$J$24,"PASS","FAIL"),"FAIL")</f>
        <v>PASS</v>
      </c>
    </row>
    <row r="25" spans="2:12" ht="16.2" customHeight="1">
      <c r="B25" s="63">
        <v>15</v>
      </c>
      <c r="C25" s="82" t="s">
        <v>366</v>
      </c>
      <c r="D25" s="82"/>
      <c r="E25" s="82"/>
      <c r="F25" s="82"/>
      <c r="G25" s="91">
        <v>17</v>
      </c>
      <c r="H25" s="46">
        <f>$I$125</f>
        <v>17</v>
      </c>
      <c r="I25" s="85">
        <f>IF(AND(ISNUMBER($G$25),ISNUMBER($H$25)),ABS($H$25-$G$25),"")</f>
        <v>0</v>
      </c>
      <c r="J25" s="86">
        <v>1E-09</v>
      </c>
      <c r="K25" s="87" t="str">
        <f>IF(AND(ISNUMBER($G$25),ISNUMBER($H$25)),IF(ABS($H$25-$G$25)&lt;=$J$25,"PASS","FAIL"),"FAIL")</f>
        <v>PASS</v>
      </c>
    </row>
    <row r="26" spans="2:12" ht="16.2" customHeight="1">
      <c r="B26" s="63">
        <v>16</v>
      </c>
      <c r="C26" s="82" t="s">
        <v>367</v>
      </c>
      <c r="D26" s="82"/>
      <c r="E26" s="82"/>
      <c r="F26" s="82"/>
      <c r="G26" s="88">
        <v>3.025</v>
      </c>
      <c r="H26" s="43">
        <f>$J$118</f>
        <v>3.025</v>
      </c>
      <c r="I26" s="85">
        <f>IF(AND(ISNUMBER($G$26),ISNUMBER($H$26)),ABS($H$26-$G$26),"")</f>
        <v>0</v>
      </c>
      <c r="J26" s="86">
        <v>1E-09</v>
      </c>
      <c r="K26" s="87" t="str">
        <f>IF(AND(ISNUMBER($G$26),ISNUMBER($H$26)),IF(ABS($H$26-$G$26)&lt;=$J$26,"PASS","FAIL"),"FAIL")</f>
        <v>PASS</v>
      </c>
    </row>
    <row r="27" spans="2:12" ht="16.2" customHeight="1">
      <c r="B27" s="63">
        <v>17</v>
      </c>
      <c r="C27" s="82" t="s">
        <v>368</v>
      </c>
      <c r="D27" s="82"/>
      <c r="E27" s="82"/>
      <c r="F27" s="82"/>
      <c r="G27" s="88">
        <v>45.19278536979999</v>
      </c>
      <c r="H27" s="43">
        <f>$J$120</f>
        <v>45.1927853698</v>
      </c>
      <c r="I27" s="85">
        <f>IF(AND(ISNUMBER($G$27),ISNUMBER($H$27)),ABS($H$27-$G$27),"")</f>
        <v>0</v>
      </c>
      <c r="J27" s="86">
        <v>1E-09</v>
      </c>
      <c r="K27" s="87" t="str">
        <f>IF(AND(ISNUMBER($G$27),ISNUMBER($H$27)),IF(ABS($H$27-$G$27)&lt;=$J$27,"PASS","FAIL"),"FAIL")</f>
        <v>PASS</v>
      </c>
    </row>
    <row r="28" spans="2:12" ht="16.2" customHeight="1">
      <c r="B28" s="63">
        <v>18</v>
      </c>
      <c r="C28" s="82" t="s">
        <v>369</v>
      </c>
      <c r="D28" s="82"/>
      <c r="E28" s="82"/>
      <c r="F28" s="82"/>
      <c r="G28" s="74">
        <v>60.3</v>
      </c>
      <c r="H28" s="39">
        <f>$J$121</f>
        <v>60.3</v>
      </c>
      <c r="I28" s="85">
        <f>IF(AND(ISNUMBER($G$28),ISNUMBER($H$28)),ABS($H$28-$G$28),"")</f>
        <v>0</v>
      </c>
      <c r="J28" s="86">
        <v>1E-09</v>
      </c>
      <c r="K28" s="87" t="str">
        <f>IF(AND(ISNUMBER($G$28),ISNUMBER($H$28)),IF(ABS($H$28-$G$28)&lt;=$J$28,"PASS","FAIL"),"FAIL")</f>
        <v>PASS</v>
      </c>
    </row>
    <row r="29" spans="2:12" ht="16.2" customHeight="1">
      <c r="B29" s="63">
        <v>19</v>
      </c>
      <c r="C29" s="82" t="s">
        <v>370</v>
      </c>
      <c r="D29" s="82"/>
      <c r="E29" s="82"/>
      <c r="F29" s="82"/>
      <c r="G29" s="91">
        <v>21</v>
      </c>
      <c r="H29" s="46">
        <f>$J$125</f>
        <v>21</v>
      </c>
      <c r="I29" s="85">
        <f>IF(AND(ISNUMBER($G$29),ISNUMBER($H$29)),ABS($H$29-$G$29),"")</f>
        <v>0</v>
      </c>
      <c r="J29" s="86">
        <v>1E-09</v>
      </c>
      <c r="K29" s="87" t="str">
        <f>IF(AND(ISNUMBER($G$29),ISNUMBER($H$29)),IF(ABS($H$29-$G$29)&lt;=$J$29,"PASS","FAIL"),"FAIL")</f>
        <v>PASS</v>
      </c>
    </row>
    <row r="31" spans="2:12" ht="21" customHeight="1">
      <c r="B31" s="8" t="s">
        <v>371</v>
      </c>
      <c r="C31" s="8"/>
      <c r="D31" s="8"/>
      <c r="E31" s="8"/>
      <c r="F31" s="8"/>
      <c r="G31" s="8"/>
      <c r="H31" s="8"/>
      <c r="I31" s="8"/>
      <c r="J31" s="8"/>
      <c r="K31" s="8"/>
      <c r="L31" s="8"/>
    </row>
    <row r="32" spans="2:12" ht="5" customHeight="1"/>
    <row r="33" spans="2:15">
      <c r="B33" s="21" t="s">
        <v>372</v>
      </c>
      <c r="C33" s="21"/>
      <c r="D33" s="21"/>
      <c r="E33" s="21"/>
      <c r="F33" s="21"/>
      <c r="G33" s="21"/>
      <c r="H33" s="21"/>
      <c r="I33" s="21"/>
      <c r="J33" s="21"/>
      <c r="K33" s="21"/>
      <c r="L33" s="21"/>
    </row>
    <row r="34" spans="2:15">
      <c r="B34" s="34" t="s">
        <v>373</v>
      </c>
      <c r="C34" s="34"/>
      <c r="D34" s="34"/>
      <c r="E34" s="34"/>
      <c r="F34" s="34"/>
    </row>
    <row r="35" spans="2:15">
      <c r="B35" s="27" t="s">
        <v>246</v>
      </c>
      <c r="C35" s="27"/>
      <c r="D35" s="27"/>
      <c r="E35" s="92">
        <v>0.12</v>
      </c>
      <c r="F35" s="7"/>
    </row>
    <row r="36" spans="2:15">
      <c r="B36" s="27" t="s">
        <v>96</v>
      </c>
      <c r="C36" s="27"/>
      <c r="D36" s="27"/>
      <c r="E36" s="92">
        <v>0.1</v>
      </c>
      <c r="F36" s="7"/>
    </row>
    <row r="37" spans="2:15">
      <c r="B37" s="27" t="s">
        <v>97</v>
      </c>
      <c r="C37" s="27"/>
      <c r="D37" s="27"/>
      <c r="E37" s="92">
        <v>0.25</v>
      </c>
      <c r="F37" s="7"/>
    </row>
    <row r="38" spans="2:15">
      <c r="B38" s="27" t="s">
        <v>98</v>
      </c>
      <c r="C38" s="27"/>
      <c r="D38" s="27"/>
      <c r="E38" s="92">
        <v>0.97</v>
      </c>
      <c r="F38" s="7"/>
    </row>
    <row r="39" spans="2:15">
      <c r="B39" s="27" t="s">
        <v>374</v>
      </c>
      <c r="C39" s="27"/>
      <c r="D39" s="27"/>
      <c r="E39" s="74">
        <v>0.05</v>
      </c>
      <c r="F39" s="7"/>
    </row>
    <row r="40" spans="2:15">
      <c r="B40" s="27" t="s">
        <v>375</v>
      </c>
      <c r="C40" s="27"/>
      <c r="D40" s="27"/>
      <c r="E40" s="93">
        <v>5</v>
      </c>
      <c r="F40" s="7"/>
    </row>
    <row r="41" spans="2:15">
      <c r="B41" s="27" t="s">
        <v>376</v>
      </c>
      <c r="C41" s="27"/>
      <c r="D41" s="27"/>
      <c r="E41" s="93">
        <v>16</v>
      </c>
      <c r="F41" s="7"/>
    </row>
    <row r="42" spans="2:15">
      <c r="B42" s="27" t="s">
        <v>377</v>
      </c>
      <c r="C42" s="27"/>
      <c r="D42" s="27"/>
      <c r="E42" s="92">
        <v>0.8</v>
      </c>
      <c r="F42" s="7"/>
    </row>
    <row r="44" spans="2:15">
      <c r="B44" s="34" t="s">
        <v>378</v>
      </c>
      <c r="C44" s="34"/>
      <c r="D44" s="34"/>
      <c r="E44" s="34"/>
      <c r="F44" s="34"/>
      <c r="G44" s="34"/>
      <c r="H44" s="34"/>
      <c r="I44" s="34"/>
      <c r="J44" s="34"/>
      <c r="K44" s="34"/>
      <c r="L44" s="34"/>
    </row>
    <row r="45" spans="2:15" ht="14" customHeight="1">
      <c r="B45" s="35"/>
      <c r="C45" s="35"/>
      <c r="D45" s="35"/>
      <c r="E45" s="35"/>
      <c r="F45" s="35" t="str">
        <f>$E$102</f>
        <v>cm3</v>
      </c>
      <c r="G45" s="35" t="str">
        <f>$E$102&amp;"/min"</f>
        <v>cm3/min</v>
      </c>
      <c r="H45" s="35" t="str">
        <f>$E$92</f>
        <v>mm</v>
      </c>
      <c r="I45" s="35" t="str">
        <f>$E$92&amp;"/min"</f>
        <v>mm/min</v>
      </c>
      <c r="J45" s="35"/>
      <c r="K45" s="35" t="str">
        <f>Currency&amp;"/h"</f>
        <v>USD/h</v>
      </c>
      <c r="L45" s="35"/>
      <c r="M45" s="35" t="str">
        <f>Currency&amp;"/batch"</f>
        <v>USD/batch</v>
      </c>
      <c r="N45" s="35" t="str">
        <f>Currency&amp;"/part"</f>
        <v>USD/part</v>
      </c>
      <c r="O45" s="35"/>
    </row>
    <row r="46" spans="2:15" ht="32" customHeight="1">
      <c r="B46" s="36" t="s">
        <v>131</v>
      </c>
      <c r="C46" s="36" t="s">
        <v>65</v>
      </c>
      <c r="D46" s="36" t="s">
        <v>132</v>
      </c>
      <c r="E46" s="36" t="s">
        <v>133</v>
      </c>
      <c r="F46" s="36" t="s">
        <v>134</v>
      </c>
      <c r="G46" s="36" t="s">
        <v>135</v>
      </c>
      <c r="H46" s="36" t="s">
        <v>136</v>
      </c>
      <c r="I46" s="36" t="s">
        <v>137</v>
      </c>
      <c r="J46" s="36" t="s">
        <v>138</v>
      </c>
      <c r="K46" s="36" t="s">
        <v>139</v>
      </c>
      <c r="L46" s="36" t="s">
        <v>140</v>
      </c>
      <c r="M46" s="36" t="s">
        <v>141</v>
      </c>
      <c r="N46" s="36" t="s">
        <v>142</v>
      </c>
      <c r="O46" s="36" t="s">
        <v>143</v>
      </c>
    </row>
    <row r="47" spans="2:15">
      <c r="B47" s="76" t="s">
        <v>196</v>
      </c>
      <c r="C47" s="76" t="s">
        <v>107</v>
      </c>
      <c r="D47" s="74">
        <v>0.25</v>
      </c>
      <c r="E47" s="74">
        <v>0.5</v>
      </c>
      <c r="F47" s="93">
        <v>0</v>
      </c>
      <c r="G47" s="93">
        <v>0</v>
      </c>
      <c r="H47" s="91">
        <v>65</v>
      </c>
      <c r="I47" s="91">
        <v>50</v>
      </c>
      <c r="J47" s="91">
        <v>0</v>
      </c>
      <c r="K47" s="74">
        <v>45</v>
      </c>
      <c r="L47" s="39">
        <f>IF(tblVerifyOps[[#This Row],[Operation]]="","",tblVerifyOps[[#This Row],[Handling (min/part)]]+IF(N(tblVerifyOps[[#This Row],[MRR]])&gt;0,tblVerifyOps[[#This Row],[Stock removed]]/tblVerifyOps[[#This Row],[MRR]],0)+IF(N(tblVerifyOps[[#This Row],[Feed]])&gt;0,tblVerifyOps[[#This Row],[Toolpath]]/tblVerifyOps[[#This Row],[Feed]],0)+tblVerifyOps[[#This Row],[Tool changes]]*$E$40/60)</f>
        <v>1.8</v>
      </c>
      <c r="M47" s="39">
        <f>IF(tblVerifyOps[[#This Row],[Operation]]="","",IF(tblVerifyOps[[#This Row],[Rate]]="","",tblVerifyOps[[#This Row],[Setup (h)]]*tblVerifyOps[[#This Row],[Rate]]))</f>
        <v>11.25</v>
      </c>
      <c r="N47" s="43">
        <f>IF(tblVerifyOps[[#This Row],[Operation]]="","",IF(tblVerifyOps[[#This Row],[Rate]]="","",tblVerifyOps[[#This Row],[Cycle (min/part)]]/60*tblVerifyOps[[#This Row],[Rate]]))</f>
        <v>1.35</v>
      </c>
      <c r="O47" s="44" t="str">
        <f>IF(tblVerifyOps[[#This Row],[Operation]]="","",IF(tblVerifyOps[[#This Row],[Machine]]="","Missing machine",IF(tblVerifyOps[[#This Row],[Rate]]="","Machine not on Setup list",IF(AND(N(tblVerifyOps[[#This Row],[Stock removed]])&gt;0,N(tblVerifyOps[[#This Row],[MRR]])=0),"Stock removed needs an MRR",IF(AND(N(tblVerifyOps[[#This Row],[Toolpath]])&gt;0,N(tblVerifyOps[[#This Row],[Feed]])=0),"Toolpath needs a feed","OK")))))</f>
        <v>OK</v>
      </c>
    </row>
    <row r="48" spans="2:15">
      <c r="B48" s="76" t="s">
        <v>197</v>
      </c>
      <c r="C48" s="76" t="s">
        <v>109</v>
      </c>
      <c r="D48" s="74">
        <v>1.5</v>
      </c>
      <c r="E48" s="74">
        <v>1</v>
      </c>
      <c r="F48" s="93">
        <v>38</v>
      </c>
      <c r="G48" s="93">
        <v>18</v>
      </c>
      <c r="H48" s="91">
        <v>2400</v>
      </c>
      <c r="I48" s="91">
        <v>1200</v>
      </c>
      <c r="J48" s="91">
        <v>8</v>
      </c>
      <c r="K48" s="74">
        <v>90</v>
      </c>
      <c r="L48" s="39">
        <f>IF(tblVerifyOps[[#This Row],[Operation]]="","",tblVerifyOps[[#This Row],[Handling (min/part)]]+IF(N(tblVerifyOps[[#This Row],[MRR]])&gt;0,tblVerifyOps[[#This Row],[Stock removed]]/tblVerifyOps[[#This Row],[MRR]],0)+IF(N(tblVerifyOps[[#This Row],[Feed]])&gt;0,tblVerifyOps[[#This Row],[Toolpath]]/tblVerifyOps[[#This Row],[Feed]],0)+tblVerifyOps[[#This Row],[Tool changes]]*$E$40/60)</f>
        <v>5.77777777777778</v>
      </c>
      <c r="M48" s="39">
        <f>IF(tblVerifyOps[[#This Row],[Operation]]="","",IF(tblVerifyOps[[#This Row],[Rate]]="","",tblVerifyOps[[#This Row],[Setup (h)]]*tblVerifyOps[[#This Row],[Rate]]))</f>
        <v>135</v>
      </c>
      <c r="N48" s="43">
        <f>IF(tblVerifyOps[[#This Row],[Operation]]="","",IF(tblVerifyOps[[#This Row],[Rate]]="","",tblVerifyOps[[#This Row],[Cycle (min/part)]]/60*tblVerifyOps[[#This Row],[Rate]]))</f>
        <v>8.66666666666667</v>
      </c>
      <c r="O48" s="44" t="str">
        <f>IF(tblVerifyOps[[#This Row],[Operation]]="","",IF(tblVerifyOps[[#This Row],[Machine]]="","Missing machine",IF(tblVerifyOps[[#This Row],[Rate]]="","Machine not on Setup list",IF(AND(N(tblVerifyOps[[#This Row],[Stock removed]])&gt;0,N(tblVerifyOps[[#This Row],[MRR]])=0),"Stock removed needs an MRR",IF(AND(N(tblVerifyOps[[#This Row],[Toolpath]])&gt;0,N(tblVerifyOps[[#This Row],[Feed]])=0),"Toolpath needs a feed","OK")))))</f>
        <v>OK</v>
      </c>
    </row>
    <row r="49" spans="2:15">
      <c r="B49" s="76" t="s">
        <v>198</v>
      </c>
      <c r="C49" s="76" t="s">
        <v>109</v>
      </c>
      <c r="D49" s="74">
        <v>1</v>
      </c>
      <c r="E49" s="74">
        <v>1</v>
      </c>
      <c r="F49" s="93">
        <v>22</v>
      </c>
      <c r="G49" s="93">
        <v>18</v>
      </c>
      <c r="H49" s="91">
        <v>3100</v>
      </c>
      <c r="I49" s="91">
        <v>900</v>
      </c>
      <c r="J49" s="91">
        <v>10</v>
      </c>
      <c r="K49" s="74">
        <v>90</v>
      </c>
      <c r="L49" s="39">
        <f>IF(tblVerifyOps[[#This Row],[Operation]]="","",tblVerifyOps[[#This Row],[Handling (min/part)]]+IF(N(tblVerifyOps[[#This Row],[MRR]])&gt;0,tblVerifyOps[[#This Row],[Stock removed]]/tblVerifyOps[[#This Row],[MRR]],0)+IF(N(tblVerifyOps[[#This Row],[Feed]])&gt;0,tblVerifyOps[[#This Row],[Toolpath]]/tblVerifyOps[[#This Row],[Feed]],0)+tblVerifyOps[[#This Row],[Tool changes]]*$E$40/60)</f>
        <v>6.5</v>
      </c>
      <c r="M49" s="39">
        <f>IF(tblVerifyOps[[#This Row],[Operation]]="","",IF(tblVerifyOps[[#This Row],[Rate]]="","",tblVerifyOps[[#This Row],[Setup (h)]]*tblVerifyOps[[#This Row],[Rate]]))</f>
        <v>90</v>
      </c>
      <c r="N49" s="43">
        <f>IF(tblVerifyOps[[#This Row],[Operation]]="","",IF(tblVerifyOps[[#This Row],[Rate]]="","",tblVerifyOps[[#This Row],[Cycle (min/part)]]/60*tblVerifyOps[[#This Row],[Rate]]))</f>
        <v>9.75</v>
      </c>
      <c r="O49" s="44" t="str">
        <f>IF(tblVerifyOps[[#This Row],[Operation]]="","",IF(tblVerifyOps[[#This Row],[Machine]]="","Missing machine",IF(tblVerifyOps[[#This Row],[Rate]]="","Machine not on Setup list",IF(AND(N(tblVerifyOps[[#This Row],[Stock removed]])&gt;0,N(tblVerifyOps[[#This Row],[MRR]])=0),"Stock removed needs an MRR",IF(AND(N(tblVerifyOps[[#This Row],[Toolpath]])&gt;0,N(tblVerifyOps[[#This Row],[Feed]])=0),"Toolpath needs a feed","OK")))))</f>
        <v>OK</v>
      </c>
    </row>
    <row r="50" spans="2:15">
      <c r="B50" s="76" t="s">
        <v>199</v>
      </c>
      <c r="C50" s="76" t="s">
        <v>115</v>
      </c>
      <c r="D50" s="74">
        <v>0</v>
      </c>
      <c r="E50" s="74">
        <v>4</v>
      </c>
      <c r="F50" s="93">
        <v>0</v>
      </c>
      <c r="G50" s="93">
        <v>0</v>
      </c>
      <c r="H50" s="91">
        <v>0</v>
      </c>
      <c r="I50" s="91">
        <v>0</v>
      </c>
      <c r="J50" s="91">
        <v>0</v>
      </c>
      <c r="K50" s="74">
        <v>48</v>
      </c>
      <c r="L50" s="39">
        <f>IF(tblVerifyOps[[#This Row],[Operation]]="","",tblVerifyOps[[#This Row],[Handling (min/part)]]+IF(N(tblVerifyOps[[#This Row],[MRR]])&gt;0,tblVerifyOps[[#This Row],[Stock removed]]/tblVerifyOps[[#This Row],[MRR]],0)+IF(N(tblVerifyOps[[#This Row],[Feed]])&gt;0,tblVerifyOps[[#This Row],[Toolpath]]/tblVerifyOps[[#This Row],[Feed]],0)+tblVerifyOps[[#This Row],[Tool changes]]*$E$40/60)</f>
        <v>4</v>
      </c>
      <c r="M50" s="39">
        <f>IF(tblVerifyOps[[#This Row],[Operation]]="","",IF(tblVerifyOps[[#This Row],[Rate]]="","",tblVerifyOps[[#This Row],[Setup (h)]]*tblVerifyOps[[#This Row],[Rate]]))</f>
        <v>0</v>
      </c>
      <c r="N50" s="43">
        <f>IF(tblVerifyOps[[#This Row],[Operation]]="","",IF(tblVerifyOps[[#This Row],[Rate]]="","",tblVerifyOps[[#This Row],[Cycle (min/part)]]/60*tblVerifyOps[[#This Row],[Rate]]))</f>
        <v>3.2</v>
      </c>
      <c r="O50" s="44" t="str">
        <f>IF(tblVerifyOps[[#This Row],[Operation]]="","",IF(tblVerifyOps[[#This Row],[Machine]]="","Missing machine",IF(tblVerifyOps[[#This Row],[Rate]]="","Machine not on Setup list",IF(AND(N(tblVerifyOps[[#This Row],[Stock removed]])&gt;0,N(tblVerifyOps[[#This Row],[MRR]])=0),"Stock removed needs an MRR",IF(AND(N(tblVerifyOps[[#This Row],[Toolpath]])&gt;0,N(tblVerifyOps[[#This Row],[Feed]])=0),"Toolpath needs a feed","OK")))))</f>
        <v>OK</v>
      </c>
    </row>
    <row r="51" spans="2:15">
      <c r="B51" s="76" t="s">
        <v>200</v>
      </c>
      <c r="C51" s="76" t="s">
        <v>117</v>
      </c>
      <c r="D51" s="74">
        <v>0.5</v>
      </c>
      <c r="E51" s="74">
        <v>2.5</v>
      </c>
      <c r="F51" s="93">
        <v>0</v>
      </c>
      <c r="G51" s="93">
        <v>0</v>
      </c>
      <c r="H51" s="91">
        <v>0</v>
      </c>
      <c r="I51" s="91">
        <v>0</v>
      </c>
      <c r="J51" s="91">
        <v>0</v>
      </c>
      <c r="K51" s="74">
        <v>85</v>
      </c>
      <c r="L51" s="39">
        <f>IF(tblVerifyOps[[#This Row],[Operation]]="","",tblVerifyOps[[#This Row],[Handling (min/part)]]+IF(N(tblVerifyOps[[#This Row],[MRR]])&gt;0,tblVerifyOps[[#This Row],[Stock removed]]/tblVerifyOps[[#This Row],[MRR]],0)+IF(N(tblVerifyOps[[#This Row],[Feed]])&gt;0,tblVerifyOps[[#This Row],[Toolpath]]/tblVerifyOps[[#This Row],[Feed]],0)+tblVerifyOps[[#This Row],[Tool changes]]*$E$40/60)</f>
        <v>2.5</v>
      </c>
      <c r="M51" s="39">
        <f>IF(tblVerifyOps[[#This Row],[Operation]]="","",IF(tblVerifyOps[[#This Row],[Rate]]="","",tblVerifyOps[[#This Row],[Setup (h)]]*tblVerifyOps[[#This Row],[Rate]]))</f>
        <v>42.5</v>
      </c>
      <c r="N51" s="43">
        <f>IF(tblVerifyOps[[#This Row],[Operation]]="","",IF(tblVerifyOps[[#This Row],[Rate]]="","",tblVerifyOps[[#This Row],[Cycle (min/part)]]/60*tblVerifyOps[[#This Row],[Rate]]))</f>
        <v>3.54166666666667</v>
      </c>
      <c r="O51" s="44" t="str">
        <f>IF(tblVerifyOps[[#This Row],[Operation]]="","",IF(tblVerifyOps[[#This Row],[Machine]]="","Missing machine",IF(tblVerifyOps[[#This Row],[Rate]]="","Machine not on Setup list",IF(AND(N(tblVerifyOps[[#This Row],[Stock removed]])&gt;0,N(tblVerifyOps[[#This Row],[MRR]])=0),"Stock removed needs an MRR",IF(AND(N(tblVerifyOps[[#This Row],[Toolpath]])&gt;0,N(tblVerifyOps[[#This Row],[Feed]])=0),"Toolpath needs a feed","OK")))))</f>
        <v>OK</v>
      </c>
    </row>
    <row r="52" spans="2:15">
      <c r="B52" s="76" t="s">
        <v>379</v>
      </c>
      <c r="C52" s="76" t="s">
        <v>109</v>
      </c>
      <c r="D52" s="74">
        <v>0</v>
      </c>
      <c r="E52" s="74">
        <v>1</v>
      </c>
      <c r="F52" s="93">
        <v>0</v>
      </c>
      <c r="G52" s="93">
        <v>0</v>
      </c>
      <c r="H52" s="91">
        <v>500</v>
      </c>
      <c r="I52" s="91">
        <v>0</v>
      </c>
      <c r="J52" s="91">
        <v>0</v>
      </c>
      <c r="K52" s="74">
        <v>90</v>
      </c>
      <c r="L52" s="39">
        <f>IF(tblVerifyOps[[#This Row],[Operation]]="","",tblVerifyOps[[#This Row],[Handling (min/part)]]+IF(N(tblVerifyOps[[#This Row],[MRR]])&gt;0,tblVerifyOps[[#This Row],[Stock removed]]/tblVerifyOps[[#This Row],[MRR]],0)+IF(N(tblVerifyOps[[#This Row],[Feed]])&gt;0,tblVerifyOps[[#This Row],[Toolpath]]/tblVerifyOps[[#This Row],[Feed]],0)+tblVerifyOps[[#This Row],[Tool changes]]*$E$40/60)</f>
        <v>1</v>
      </c>
      <c r="M52" s="39">
        <f>IF(tblVerifyOps[[#This Row],[Operation]]="","",IF(tblVerifyOps[[#This Row],[Rate]]="","",tblVerifyOps[[#This Row],[Setup (h)]]*tblVerifyOps[[#This Row],[Rate]]))</f>
        <v>0</v>
      </c>
      <c r="N52" s="43">
        <f>IF(tblVerifyOps[[#This Row],[Operation]]="","",IF(tblVerifyOps[[#This Row],[Rate]]="","",tblVerifyOps[[#This Row],[Cycle (min/part)]]/60*tblVerifyOps[[#This Row],[Rate]]))</f>
        <v>1.5</v>
      </c>
      <c r="O52" s="44" t="str">
        <f>IF(tblVerifyOps[[#This Row],[Operation]]="","",IF(tblVerifyOps[[#This Row],[Machine]]="","Missing machine",IF(tblVerifyOps[[#This Row],[Rate]]="","Machine not on Setup list",IF(AND(N(tblVerifyOps[[#This Row],[Stock removed]])&gt;0,N(tblVerifyOps[[#This Row],[MRR]])=0),"Stock removed needs an MRR",IF(AND(N(tblVerifyOps[[#This Row],[Toolpath]])&gt;0,N(tblVerifyOps[[#This Row],[Feed]])=0),"Toolpath needs a feed","OK")))))</f>
        <v>Toolpath needs a feed</v>
      </c>
    </row>
    <row r="54" spans="2:15">
      <c r="B54" s="34" t="s">
        <v>380</v>
      </c>
      <c r="C54" s="34"/>
      <c r="D54" s="34"/>
      <c r="E54" s="34"/>
      <c r="F54" s="34"/>
      <c r="G54" s="34"/>
      <c r="H54" s="34"/>
      <c r="I54" s="34"/>
      <c r="J54" s="34"/>
      <c r="K54" s="34"/>
      <c r="L54" s="34"/>
    </row>
    <row r="55" spans="2:15" ht="14" customHeight="1">
      <c r="B55" s="35"/>
      <c r="C55" s="35" t="str">
        <f>Currency</f>
        <v>USD</v>
      </c>
      <c r="D55" s="35"/>
      <c r="E55" s="35"/>
      <c r="F55" s="35" t="str">
        <f>Currency&amp;"/part"</f>
        <v>USD/part</v>
      </c>
      <c r="G55" s="35"/>
    </row>
    <row r="56" spans="2:15" ht="32" customHeight="1">
      <c r="B56" s="36" t="s">
        <v>144</v>
      </c>
      <c r="C56" s="36" t="s">
        <v>70</v>
      </c>
      <c r="D56" s="36" t="s">
        <v>145</v>
      </c>
      <c r="E56" s="36" t="s">
        <v>146</v>
      </c>
      <c r="F56" s="36" t="s">
        <v>147</v>
      </c>
      <c r="G56" s="36" t="s">
        <v>143</v>
      </c>
    </row>
    <row r="57" spans="2:15">
      <c r="B57" s="76" t="s">
        <v>209</v>
      </c>
      <c r="C57" s="74">
        <v>60</v>
      </c>
      <c r="D57" s="91">
        <v>2</v>
      </c>
      <c r="E57" s="91">
        <v>400</v>
      </c>
      <c r="F57" s="43">
        <f>IF(tblVerifyTools[[#This Row],[Tool]]="","",IF(OR(N(tblVerifyTools[[#This Row],[Edges or lives]])=0,N(tblVerifyTools[[#This Row],[Parts per edge]])=0),"",tblVerifyTools[[#This Row],[Price]]/tblVerifyTools[[#This Row],[Edges or lives]]/tblVerifyTools[[#This Row],[Parts per edge]]))</f>
        <v>0.075</v>
      </c>
      <c r="G57" s="44" t="str">
        <f>IF(tblVerifyTools[[#This Row],[Tool]]="","",IF(tblVerifyTools[[#This Row],[Price]]="","Missing price",IF(N(tblVerifyTools[[#This Row],[Parts per edge]])=0,"Enter parts per edge",IF(N(tblVerifyTools[[#This Row],[Edges or lives]])=0,"Enter edges or lives","OK"))))</f>
        <v>OK</v>
      </c>
    </row>
    <row r="58" spans="2:15">
      <c r="B58" s="76" t="s">
        <v>210</v>
      </c>
      <c r="C58" s="74">
        <v>85</v>
      </c>
      <c r="D58" s="91">
        <v>3</v>
      </c>
      <c r="E58" s="91">
        <v>250</v>
      </c>
      <c r="F58" s="43">
        <f>IF(tblVerifyTools[[#This Row],[Tool]]="","",IF(OR(N(tblVerifyTools[[#This Row],[Edges or lives]])=0,N(tblVerifyTools[[#This Row],[Parts per edge]])=0),"",tblVerifyTools[[#This Row],[Price]]/tblVerifyTools[[#This Row],[Edges or lives]]/tblVerifyTools[[#This Row],[Parts per edge]]))</f>
        <v>0.113333333333333</v>
      </c>
      <c r="G58" s="44" t="str">
        <f>IF(tblVerifyTools[[#This Row],[Tool]]="","",IF(tblVerifyTools[[#This Row],[Price]]="","Missing price",IF(N(tblVerifyTools[[#This Row],[Parts per edge]])=0,"Enter parts per edge",IF(N(tblVerifyTools[[#This Row],[Edges or lives]])=0,"Enter edges or lives","OK"))))</f>
        <v>OK</v>
      </c>
    </row>
    <row r="59" spans="2:15">
      <c r="B59" s="76" t="s">
        <v>211</v>
      </c>
      <c r="C59" s="74">
        <v>48</v>
      </c>
      <c r="D59" s="91">
        <v>1</v>
      </c>
      <c r="E59" s="91">
        <v>300</v>
      </c>
      <c r="F59" s="43">
        <f>IF(tblVerifyTools[[#This Row],[Tool]]="","",IF(OR(N(tblVerifyTools[[#This Row],[Edges or lives]])=0,N(tblVerifyTools[[#This Row],[Parts per edge]])=0),"",tblVerifyTools[[#This Row],[Price]]/tblVerifyTools[[#This Row],[Edges or lives]]/tblVerifyTools[[#This Row],[Parts per edge]]))</f>
        <v>0.16</v>
      </c>
      <c r="G59" s="44" t="str">
        <f>IF(tblVerifyTools[[#This Row],[Tool]]="","",IF(tblVerifyTools[[#This Row],[Price]]="","Missing price",IF(N(tblVerifyTools[[#This Row],[Parts per edge]])=0,"Enter parts per edge",IF(N(tblVerifyTools[[#This Row],[Edges or lives]])=0,"Enter edges or lives","OK"))))</f>
        <v>OK</v>
      </c>
    </row>
    <row r="60" spans="2:15">
      <c r="B60" s="76" t="s">
        <v>212</v>
      </c>
      <c r="C60" s="74">
        <v>60</v>
      </c>
      <c r="D60" s="91">
        <v>1</v>
      </c>
      <c r="E60" s="91">
        <v>600</v>
      </c>
      <c r="F60" s="43">
        <f>IF(tblVerifyTools[[#This Row],[Tool]]="","",IF(OR(N(tblVerifyTools[[#This Row],[Edges or lives]])=0,N(tblVerifyTools[[#This Row],[Parts per edge]])=0),"",tblVerifyTools[[#This Row],[Price]]/tblVerifyTools[[#This Row],[Edges or lives]]/tblVerifyTools[[#This Row],[Parts per edge]]))</f>
        <v>0.1</v>
      </c>
      <c r="G60" s="44" t="str">
        <f>IF(tblVerifyTools[[#This Row],[Tool]]="","",IF(tblVerifyTools[[#This Row],[Price]]="","Missing price",IF(N(tblVerifyTools[[#This Row],[Parts per edge]])=0,"Enter parts per edge",IF(N(tblVerifyTools[[#This Row],[Edges or lives]])=0,"Enter edges or lives","OK"))))</f>
        <v>OK</v>
      </c>
    </row>
    <row r="61" spans="2:15">
      <c r="B61" s="76" t="s">
        <v>213</v>
      </c>
      <c r="C61" s="74">
        <v>180</v>
      </c>
      <c r="D61" s="91">
        <v>2</v>
      </c>
      <c r="E61" s="91">
        <v>800</v>
      </c>
      <c r="F61" s="43">
        <f>IF(tblVerifyTools[[#This Row],[Tool]]="","",IF(OR(N(tblVerifyTools[[#This Row],[Edges or lives]])=0,N(tblVerifyTools[[#This Row],[Parts per edge]])=0),"",tblVerifyTools[[#This Row],[Price]]/tblVerifyTools[[#This Row],[Edges or lives]]/tblVerifyTools[[#This Row],[Parts per edge]]))</f>
        <v>0.1125</v>
      </c>
      <c r="G61" s="44" t="str">
        <f>IF(tblVerifyTools[[#This Row],[Tool]]="","",IF(tblVerifyTools[[#This Row],[Price]]="","Missing price",IF(N(tblVerifyTools[[#This Row],[Parts per edge]])=0,"Enter parts per edge",IF(N(tblVerifyTools[[#This Row],[Edges or lives]])=0,"Enter edges or lives","OK"))))</f>
        <v>OK</v>
      </c>
    </row>
    <row r="62" spans="2:15">
      <c r="B62" s="76" t="s">
        <v>214</v>
      </c>
      <c r="C62" s="74">
        <v>32</v>
      </c>
      <c r="D62" s="91">
        <v>1</v>
      </c>
      <c r="E62" s="91">
        <v>500</v>
      </c>
      <c r="F62" s="43">
        <f>IF(tblVerifyTools[[#This Row],[Tool]]="","",IF(OR(N(tblVerifyTools[[#This Row],[Edges or lives]])=0,N(tblVerifyTools[[#This Row],[Parts per edge]])=0),"",tblVerifyTools[[#This Row],[Price]]/tblVerifyTools[[#This Row],[Edges or lives]]/tblVerifyTools[[#This Row],[Parts per edge]]))</f>
        <v>0.064</v>
      </c>
      <c r="G62" s="44" t="str">
        <f>IF(tblVerifyTools[[#This Row],[Tool]]="","",IF(tblVerifyTools[[#This Row],[Price]]="","Missing price",IF(N(tblVerifyTools[[#This Row],[Parts per edge]])=0,"Enter parts per edge",IF(N(tblVerifyTools[[#This Row],[Edges or lives]])=0,"Enter edges or lives","OK"))))</f>
        <v>OK</v>
      </c>
    </row>
    <row r="64" spans="2:15">
      <c r="B64" s="34" t="s">
        <v>381</v>
      </c>
      <c r="C64" s="34"/>
      <c r="D64" s="34"/>
      <c r="E64" s="34"/>
      <c r="F64" s="34"/>
      <c r="G64" s="34"/>
      <c r="H64" s="34"/>
      <c r="I64" s="34"/>
      <c r="J64" s="34"/>
      <c r="K64" s="34"/>
      <c r="L64" s="34"/>
    </row>
    <row r="65" spans="2:12" ht="14" customHeight="1">
      <c r="B65" s="35"/>
      <c r="C65" s="35"/>
      <c r="D65" s="35" t="str">
        <f>Currency&amp;"/part"</f>
        <v>USD/part</v>
      </c>
      <c r="E65" s="35" t="str">
        <f>Currency&amp;"/lot"</f>
        <v>USD/lot</v>
      </c>
      <c r="F65" s="35" t="s">
        <v>226</v>
      </c>
    </row>
    <row r="66" spans="2:12" ht="32" customHeight="1">
      <c r="B66" s="36" t="s">
        <v>152</v>
      </c>
      <c r="C66" s="36" t="s">
        <v>153</v>
      </c>
      <c r="D66" s="36" t="s">
        <v>154</v>
      </c>
      <c r="E66" s="36" t="s">
        <v>155</v>
      </c>
      <c r="F66" s="36" t="s">
        <v>156</v>
      </c>
    </row>
    <row r="67" spans="2:12">
      <c r="B67" s="76" t="s">
        <v>227</v>
      </c>
      <c r="C67" s="76" t="s">
        <v>228</v>
      </c>
      <c r="D67" s="74">
        <v>2.4</v>
      </c>
      <c r="E67" s="74">
        <v>150</v>
      </c>
      <c r="F67" s="91">
        <v>6</v>
      </c>
    </row>
    <row r="68" spans="2:12">
      <c r="B68" s="76" t="s">
        <v>229</v>
      </c>
      <c r="C68" s="76" t="s">
        <v>230</v>
      </c>
      <c r="D68" s="74">
        <v>0.35</v>
      </c>
      <c r="E68" s="74">
        <v>60</v>
      </c>
      <c r="F68" s="91">
        <v>2</v>
      </c>
    </row>
    <row r="70" spans="2:12">
      <c r="B70" s="34" t="s">
        <v>382</v>
      </c>
      <c r="C70" s="34"/>
      <c r="D70" s="34"/>
      <c r="E70" s="34"/>
      <c r="F70" s="34"/>
      <c r="G70" s="34"/>
      <c r="H70" s="34"/>
      <c r="I70" s="34"/>
      <c r="J70" s="34"/>
      <c r="K70" s="34"/>
      <c r="L70" s="34"/>
    </row>
    <row r="71" spans="2:12" ht="14" customHeight="1">
      <c r="B71" s="35"/>
      <c r="C71" s="35" t="str">
        <f>Currency</f>
        <v>USD</v>
      </c>
      <c r="D71" s="35"/>
      <c r="E71" s="35"/>
    </row>
    <row r="72" spans="2:12" ht="20" customHeight="1">
      <c r="B72" s="36" t="s">
        <v>148</v>
      </c>
      <c r="C72" s="36" t="s">
        <v>149</v>
      </c>
      <c r="D72" s="36" t="s">
        <v>150</v>
      </c>
      <c r="E72" s="36" t="s">
        <v>151</v>
      </c>
    </row>
    <row r="73" spans="2:12">
      <c r="B73" s="76" t="s">
        <v>218</v>
      </c>
      <c r="C73" s="74">
        <v>375</v>
      </c>
      <c r="D73" s="76" t="s">
        <v>219</v>
      </c>
      <c r="E73" s="46">
        <f>IF(tblVerifyNRE[[#This Row],[Item]]="","",IF(tblVerifyNRE[[#This Row],[Billing]]="Bill separately",SUMPRODUCT((tblVerifyNRE[Billing]="Bill separately")*(ROW(tblVerifyNRE[Billing])&lt;=ROW(tblVerifyNRE[[#This Row],[Billing]]))),""))</f>
        <v/>
      </c>
    </row>
    <row r="74" spans="2:12">
      <c r="B74" s="76" t="s">
        <v>220</v>
      </c>
      <c r="C74" s="74">
        <v>240</v>
      </c>
      <c r="D74" s="76" t="s">
        <v>219</v>
      </c>
      <c r="E74" s="46">
        <f>IF(tblVerifyNRE[[#This Row],[Item]]="","",IF(tblVerifyNRE[[#This Row],[Billing]]="Bill separately",SUMPRODUCT((tblVerifyNRE[Billing]="Bill separately")*(ROW(tblVerifyNRE[Billing])&lt;=ROW(tblVerifyNRE[[#This Row],[Billing]]))),""))</f>
        <v/>
      </c>
    </row>
    <row r="75" spans="2:12">
      <c r="B75" s="76" t="s">
        <v>221</v>
      </c>
      <c r="C75" s="74">
        <v>180</v>
      </c>
      <c r="D75" s="76" t="s">
        <v>222</v>
      </c>
      <c r="E75" s="46">
        <f>IF(tblVerifyNRE[[#This Row],[Item]]="","",IF(tblVerifyNRE[[#This Row],[Billing]]="Bill separately",SUMPRODUCT((tblVerifyNRE[Billing]="Bill separately")*(ROW(tblVerifyNRE[Billing])&lt;=ROW(tblVerifyNRE[[#This Row],[Billing]]))),""))</f>
        <v>1</v>
      </c>
    </row>
    <row r="77" spans="2:12">
      <c r="B77" s="34" t="s">
        <v>383</v>
      </c>
      <c r="C77" s="34"/>
      <c r="D77" s="34"/>
      <c r="E77" s="34"/>
      <c r="F77" s="34"/>
      <c r="G77" s="34"/>
      <c r="H77" s="34"/>
      <c r="I77" s="34"/>
      <c r="J77" s="34"/>
      <c r="K77" s="34"/>
      <c r="L77" s="34"/>
    </row>
    <row r="78" spans="2:12">
      <c r="B78" s="27" t="s">
        <v>202</v>
      </c>
      <c r="C78" s="27"/>
      <c r="D78" s="27"/>
      <c r="E78" s="39">
        <f>SUM(tblVerifyOps[Setup cost])</f>
        <v>278.75</v>
      </c>
      <c r="F78" s="7" t="str">
        <f>Currency</f>
        <v>USD</v>
      </c>
    </row>
    <row r="79" spans="2:12">
      <c r="B79" s="27" t="s">
        <v>203</v>
      </c>
      <c r="C79" s="27"/>
      <c r="D79" s="27"/>
      <c r="E79" s="43">
        <f>SUM(tblVerifyOps[Run cost])</f>
        <v>28.0083333333333</v>
      </c>
      <c r="F79" s="7" t="str">
        <f>Currency&amp;"/part"</f>
        <v>USD/part</v>
      </c>
    </row>
    <row r="80" spans="2:12">
      <c r="B80" s="27" t="s">
        <v>204</v>
      </c>
      <c r="C80" s="27"/>
      <c r="D80" s="27"/>
      <c r="E80" s="39">
        <f>SUM(tblVerifyOps[Setup (h)])</f>
        <v>3.25</v>
      </c>
      <c r="F80" s="7" t="s">
        <v>205</v>
      </c>
    </row>
    <row r="81" spans="2:12">
      <c r="B81" s="17" t="s">
        <v>206</v>
      </c>
      <c r="C81" s="17"/>
      <c r="D81" s="17"/>
      <c r="E81" s="45">
        <f>SUM(tblVerifyOps[Cycle (min/part)])</f>
        <v>21.5777777777778</v>
      </c>
      <c r="F81" s="7" t="s">
        <v>207</v>
      </c>
    </row>
    <row r="83" spans="2:12">
      <c r="B83" s="34" t="s">
        <v>384</v>
      </c>
      <c r="C83" s="34"/>
      <c r="D83" s="34"/>
      <c r="E83" s="34"/>
      <c r="F83" s="34"/>
      <c r="G83" s="34"/>
      <c r="H83" s="34"/>
      <c r="I83" s="34"/>
      <c r="J83" s="34"/>
      <c r="K83" s="34"/>
      <c r="L83" s="34"/>
    </row>
    <row r="84" spans="2:12">
      <c r="B84" s="27" t="s">
        <v>216</v>
      </c>
      <c r="C84" s="27"/>
      <c r="D84" s="27"/>
      <c r="E84" s="43">
        <f>SUM(tblVerifyTools[Cost per part])</f>
        <v>0.624833333333333</v>
      </c>
      <c r="F84" s="7" t="str">
        <f>Currency&amp;"/part"</f>
        <v>USD/part</v>
      </c>
    </row>
    <row r="86" spans="2:12">
      <c r="B86" s="34" t="s">
        <v>385</v>
      </c>
      <c r="C86" s="34"/>
      <c r="D86" s="34"/>
      <c r="E86" s="34"/>
      <c r="F86" s="34"/>
      <c r="G86" s="34"/>
      <c r="H86" s="34"/>
      <c r="I86" s="34"/>
      <c r="J86" s="34"/>
      <c r="K86" s="34"/>
      <c r="L86" s="34"/>
    </row>
    <row r="87" spans="2:12">
      <c r="B87" s="27" t="s">
        <v>224</v>
      </c>
      <c r="C87" s="27"/>
      <c r="D87" s="27"/>
      <c r="E87" s="39">
        <f>SUMIFS(tblVerifyNRE[Cost],tblVerifyNRE[Billing],"Amortise")</f>
        <v>615</v>
      </c>
      <c r="F87" s="7" t="str">
        <f>Currency</f>
        <v>USD</v>
      </c>
    </row>
    <row r="89" spans="2:12">
      <c r="B89" s="34" t="s">
        <v>386</v>
      </c>
      <c r="C89" s="34"/>
      <c r="D89" s="34"/>
      <c r="E89" s="34"/>
      <c r="F89" s="34"/>
      <c r="G89" s="34"/>
      <c r="H89" s="34"/>
      <c r="I89" s="34"/>
      <c r="J89" s="34"/>
      <c r="K89" s="34"/>
      <c r="L89" s="34"/>
    </row>
    <row r="90" spans="2:12">
      <c r="B90" s="27" t="s">
        <v>68</v>
      </c>
      <c r="C90" s="27"/>
      <c r="D90" s="27"/>
      <c r="E90" s="76" t="s">
        <v>120</v>
      </c>
      <c r="F90" s="76"/>
    </row>
    <row r="91" spans="2:12">
      <c r="B91" s="27" t="s">
        <v>177</v>
      </c>
      <c r="C91" s="27"/>
      <c r="D91" s="27"/>
      <c r="E91" s="76" t="s">
        <v>178</v>
      </c>
      <c r="F91" s="76"/>
    </row>
    <row r="92" spans="2:12">
      <c r="B92" s="27" t="s">
        <v>179</v>
      </c>
      <c r="C92" s="27"/>
      <c r="D92" s="27"/>
      <c r="E92" s="76" t="s">
        <v>180</v>
      </c>
      <c r="F92" s="76"/>
    </row>
    <row r="93" spans="2:12">
      <c r="B93" s="27" t="s">
        <v>181</v>
      </c>
      <c r="C93" s="27"/>
      <c r="D93" s="27"/>
      <c r="E93" s="74">
        <v>65</v>
      </c>
      <c r="F93" s="7" t="str">
        <f>$E$92</f>
        <v>mm</v>
      </c>
    </row>
    <row r="94" spans="2:12">
      <c r="B94" s="27" t="s">
        <v>182</v>
      </c>
      <c r="C94" s="27"/>
      <c r="D94" s="27"/>
      <c r="E94" s="74">
        <v>45</v>
      </c>
      <c r="F94" s="7" t="str">
        <f>$E$92</f>
        <v>mm</v>
      </c>
    </row>
    <row r="95" spans="2:12">
      <c r="B95" s="27" t="s">
        <v>183</v>
      </c>
      <c r="C95" s="27"/>
      <c r="D95" s="27"/>
      <c r="E95" s="74">
        <v>85</v>
      </c>
      <c r="F95" s="7" t="str">
        <f>$E$92</f>
        <v>mm</v>
      </c>
    </row>
    <row r="96" spans="2:12">
      <c r="B96" s="27" t="s">
        <v>184</v>
      </c>
      <c r="C96" s="27"/>
      <c r="D96" s="27"/>
      <c r="E96" s="92">
        <v>0.05</v>
      </c>
      <c r="F96" s="7"/>
    </row>
    <row r="97" spans="2:12">
      <c r="B97" s="27" t="s">
        <v>185</v>
      </c>
      <c r="C97" s="27"/>
      <c r="D97" s="27"/>
      <c r="E97" s="74">
        <v>2.7</v>
      </c>
      <c r="F97" s="7" t="s">
        <v>186</v>
      </c>
    </row>
    <row r="98" spans="2:12">
      <c r="B98" s="27" t="s">
        <v>187</v>
      </c>
      <c r="C98" s="27"/>
      <c r="D98" s="27"/>
      <c r="E98" s="39">
        <f>IF($E$91="Round bar",PI()*($E$93/2)^2*$E$95,$E$93*$E$94*$E$95)*IF($E$92="in",16.387064,0.001)</f>
        <v>248.625</v>
      </c>
      <c r="F98" s="7" t="s">
        <v>188</v>
      </c>
    </row>
    <row r="99" spans="2:12">
      <c r="B99" s="27" t="s">
        <v>189</v>
      </c>
      <c r="C99" s="27"/>
      <c r="D99" s="27"/>
      <c r="E99" s="40">
        <f>IF($E$97="","",$E$98*$E$97/1000)</f>
        <v>0.6712875</v>
      </c>
      <c r="F99" s="7" t="s">
        <v>121</v>
      </c>
    </row>
    <row r="100" spans="2:12">
      <c r="B100" s="27" t="s">
        <v>190</v>
      </c>
      <c r="C100" s="27"/>
      <c r="D100" s="27"/>
      <c r="E100" s="74">
        <v>6.8</v>
      </c>
      <c r="F100" s="7" t="str">
        <f>Currency&amp;"/kg"</f>
        <v>USD/kg</v>
      </c>
    </row>
    <row r="101" spans="2:12">
      <c r="B101" s="17" t="s">
        <v>191</v>
      </c>
      <c r="C101" s="17"/>
      <c r="D101" s="17"/>
      <c r="E101" s="41">
        <f>IF(OR($E$99="",$E$100=""),"",$E$99*$E$100*(1+$E$96))</f>
        <v>4.79299275</v>
      </c>
      <c r="F101" s="7" t="str">
        <f>Currency</f>
        <v>USD</v>
      </c>
    </row>
    <row r="102" spans="2:12">
      <c r="B102" s="27" t="s">
        <v>192</v>
      </c>
      <c r="C102" s="27"/>
      <c r="D102" s="27"/>
      <c r="E102" s="42" t="str">
        <f>IF($E$92="in","in3","cm3")</f>
        <v>cm3</v>
      </c>
      <c r="F102" s="42"/>
    </row>
    <row r="103" spans="2:12">
      <c r="B103" s="27" t="s">
        <v>193</v>
      </c>
      <c r="C103" s="27"/>
      <c r="D103" s="27"/>
      <c r="E103" s="42" t="str">
        <f>IF($E$97="","Material not on Setup list",IF(AND($E$91&lt;&gt;"Round bar",$E$94=0),"Enter a thickness",IF($E$98&lt;=0,"Blank size missing","OK")))</f>
        <v>OK</v>
      </c>
      <c r="F103" s="42"/>
    </row>
    <row r="105" spans="2:12">
      <c r="B105" s="34" t="s">
        <v>387</v>
      </c>
      <c r="C105" s="34"/>
      <c r="D105" s="34"/>
      <c r="E105" s="34"/>
      <c r="F105" s="34"/>
      <c r="G105" s="34"/>
      <c r="H105" s="34"/>
      <c r="I105" s="34"/>
      <c r="J105" s="34"/>
      <c r="K105" s="34"/>
      <c r="L105" s="34"/>
    </row>
    <row r="106" spans="2:12">
      <c r="B106" s="27" t="s">
        <v>232</v>
      </c>
      <c r="C106" s="27"/>
      <c r="D106" s="27"/>
      <c r="E106" s="91">
        <v>3</v>
      </c>
      <c r="F106" s="7" t="s">
        <v>226</v>
      </c>
    </row>
    <row r="107" spans="2:12">
      <c r="B107" s="27" t="s">
        <v>233</v>
      </c>
      <c r="C107" s="27"/>
      <c r="D107" s="27"/>
      <c r="E107" s="91">
        <v>2</v>
      </c>
      <c r="F107" s="7" t="s">
        <v>226</v>
      </c>
    </row>
    <row r="108" spans="2:12">
      <c r="B108" s="27" t="s">
        <v>234</v>
      </c>
      <c r="C108" s="27"/>
      <c r="D108" s="27"/>
      <c r="E108" s="46">
        <f>SUM(tblVerifyOutside[Lead time (days)])</f>
        <v>8</v>
      </c>
      <c r="F108" s="7" t="s">
        <v>226</v>
      </c>
    </row>
    <row r="110" spans="2:12">
      <c r="B110" s="34" t="s">
        <v>388</v>
      </c>
      <c r="C110" s="34"/>
      <c r="D110" s="34"/>
      <c r="E110" s="34"/>
      <c r="F110" s="34"/>
      <c r="G110" s="34"/>
      <c r="H110" s="34"/>
      <c r="I110" s="34"/>
      <c r="J110" s="34"/>
      <c r="K110" s="34"/>
      <c r="L110" s="34"/>
    </row>
    <row r="111" spans="2:12">
      <c r="B111" s="47" t="s">
        <v>236</v>
      </c>
      <c r="C111" s="47"/>
      <c r="D111" s="47"/>
      <c r="E111" s="36" t="s">
        <v>237</v>
      </c>
      <c r="F111" s="91">
        <v>10</v>
      </c>
      <c r="G111" s="91">
        <v>25</v>
      </c>
      <c r="H111" s="91">
        <v>50</v>
      </c>
      <c r="I111" s="91">
        <v>100</v>
      </c>
      <c r="J111" s="91">
        <v>250</v>
      </c>
    </row>
    <row r="112" spans="2:12">
      <c r="B112" s="27" t="s">
        <v>238</v>
      </c>
      <c r="C112" s="27"/>
      <c r="D112" s="27"/>
      <c r="E112" s="7" t="s">
        <v>239</v>
      </c>
      <c r="F112" s="46">
        <f>CEILING($F$111/$E$38,1)</f>
        <v>11</v>
      </c>
      <c r="G112" s="46">
        <f>CEILING($G$111/$E$38,1)</f>
        <v>26</v>
      </c>
      <c r="H112" s="46">
        <f>CEILING($H$111/$E$38,1)</f>
        <v>52</v>
      </c>
      <c r="I112" s="46">
        <f>CEILING($I$111/$E$38,1)</f>
        <v>104</v>
      </c>
      <c r="J112" s="46">
        <f>CEILING($J$111/$E$38,1)</f>
        <v>258</v>
      </c>
    </row>
    <row r="113" spans="2:10">
      <c r="B113" s="27" t="s">
        <v>240</v>
      </c>
      <c r="C113" s="27"/>
      <c r="D113" s="27"/>
      <c r="E113" s="7" t="str">
        <f>Currency&amp;"/part"</f>
        <v>USD/part</v>
      </c>
      <c r="F113" s="39">
        <f>$E$101*$F$112/$F$111*(1+$E$36)</f>
        <v>5.7995212275</v>
      </c>
      <c r="G113" s="39">
        <f>$E$101*$G$112/$G$111*(1+$E$36)</f>
        <v>5.483183706</v>
      </c>
      <c r="H113" s="39">
        <f>$E$101*$H$112/$H$111*(1+$E$36)</f>
        <v>5.483183706</v>
      </c>
      <c r="I113" s="39">
        <f>$E$101*$I$112/$I$111*(1+$E$36)</f>
        <v>5.483183706</v>
      </c>
      <c r="J113" s="39">
        <f>$E$101*$J$112/$J$111*(1+$E$36)</f>
        <v>5.4410053698</v>
      </c>
    </row>
    <row r="114" spans="2:10">
      <c r="B114" s="27" t="s">
        <v>241</v>
      </c>
      <c r="C114" s="27"/>
      <c r="D114" s="27"/>
      <c r="E114" s="7" t="str">
        <f>Currency&amp;"/part"</f>
        <v>USD/part</v>
      </c>
      <c r="F114" s="39">
        <f>$E$79*$F$112/$F$111</f>
        <v>30.8091666666667</v>
      </c>
      <c r="G114" s="39">
        <f>$E$79*$G$112/$G$111</f>
        <v>29.1286666666667</v>
      </c>
      <c r="H114" s="39">
        <f>$E$79*$H$112/$H$111</f>
        <v>29.1286666666667</v>
      </c>
      <c r="I114" s="39">
        <f>$E$79*$I$112/$I$111</f>
        <v>29.1286666666667</v>
      </c>
      <c r="J114" s="39">
        <f>$E$79*$J$112/$J$111</f>
        <v>28.9046</v>
      </c>
    </row>
    <row r="115" spans="2:10">
      <c r="B115" s="27" t="s">
        <v>242</v>
      </c>
      <c r="C115" s="27"/>
      <c r="D115" s="27"/>
      <c r="E115" s="7" t="str">
        <f>Currency&amp;"/part"</f>
        <v>USD/part</v>
      </c>
      <c r="F115" s="39">
        <f>$E$84*$F$112/$F$111</f>
        <v>0.687316666666667</v>
      </c>
      <c r="G115" s="39">
        <f>$E$84*$G$112/$G$111</f>
        <v>0.649826666666667</v>
      </c>
      <c r="H115" s="39">
        <f>$E$84*$H$112/$H$111</f>
        <v>0.649826666666667</v>
      </c>
      <c r="I115" s="39">
        <f>$E$84*$I$112/$I$111</f>
        <v>0.649826666666667</v>
      </c>
      <c r="J115" s="39">
        <f>$E$84*$J$112/$J$111</f>
        <v>0.644828</v>
      </c>
    </row>
    <row r="116" spans="2:10">
      <c r="B116" s="27" t="s">
        <v>243</v>
      </c>
      <c r="C116" s="27"/>
      <c r="D116" s="27"/>
      <c r="E116" s="7" t="str">
        <f>Currency&amp;"/part"</f>
        <v>USD/part</v>
      </c>
      <c r="F116" s="39">
        <f>$E$78/$F$111</f>
        <v>27.875</v>
      </c>
      <c r="G116" s="39">
        <f>$E$78/$G$111</f>
        <v>11.15</v>
      </c>
      <c r="H116" s="39">
        <f>$E$78/$H$111</f>
        <v>5.575</v>
      </c>
      <c r="I116" s="39">
        <f>$E$78/$I$111</f>
        <v>2.7875</v>
      </c>
      <c r="J116" s="39">
        <f>$E$78/$J$111</f>
        <v>1.115</v>
      </c>
    </row>
    <row r="117" spans="2:10">
      <c r="B117" s="27" t="s">
        <v>244</v>
      </c>
      <c r="C117" s="27"/>
      <c r="D117" s="27"/>
      <c r="E117" s="7" t="str">
        <f>Currency&amp;"/part"</f>
        <v>USD/part</v>
      </c>
      <c r="F117" s="39">
        <f>$E$87/$F$111</f>
        <v>61.5</v>
      </c>
      <c r="G117" s="39">
        <f>$E$87/$G$111</f>
        <v>24.6</v>
      </c>
      <c r="H117" s="39">
        <f>$E$87/$H$111</f>
        <v>12.3</v>
      </c>
      <c r="I117" s="39">
        <f>$E$87/$I$111</f>
        <v>6.15</v>
      </c>
      <c r="J117" s="39">
        <f>$E$87/$J$111</f>
        <v>2.46</v>
      </c>
    </row>
    <row r="118" spans="2:10">
      <c r="B118" s="27" t="s">
        <v>245</v>
      </c>
      <c r="C118" s="27"/>
      <c r="D118" s="27"/>
      <c r="E118" s="7" t="str">
        <f>Currency&amp;"/part"</f>
        <v>USD/part</v>
      </c>
      <c r="F118" s="39">
        <f>(SUMPRODUCT((tblVerifyOutside[Lot charge]&gt;tblVerifyOutside[Price per part]*$F$111)*tblVerifyOutside[Lot charge])+SUMPRODUCT((tblVerifyOutside[Lot charge]&lt;=tblVerifyOutside[Price per part]*$F$111)*tblVerifyOutside[Price per part])*$F$111)/$F$111*(1+$E$36)</f>
        <v>23.1</v>
      </c>
      <c r="G118" s="39">
        <f>(SUMPRODUCT((tblVerifyOutside[Lot charge]&gt;tblVerifyOutside[Price per part]*$G$111)*tblVerifyOutside[Lot charge])+SUMPRODUCT((tblVerifyOutside[Lot charge]&lt;=tblVerifyOutside[Price per part]*$G$111)*tblVerifyOutside[Price per part])*$G$111)/$G$111*(1+$E$36)</f>
        <v>9.24</v>
      </c>
      <c r="H118" s="39">
        <f>(SUMPRODUCT((tblVerifyOutside[Lot charge]&gt;tblVerifyOutside[Price per part]*$H$111)*tblVerifyOutside[Lot charge])+SUMPRODUCT((tblVerifyOutside[Lot charge]&lt;=tblVerifyOutside[Price per part]*$H$111)*tblVerifyOutside[Price per part])*$H$111)/$H$111*(1+$E$36)</f>
        <v>4.62</v>
      </c>
      <c r="I118" s="39">
        <f>(SUMPRODUCT((tblVerifyOutside[Lot charge]&gt;tblVerifyOutside[Price per part]*$I$111)*tblVerifyOutside[Lot charge])+SUMPRODUCT((tblVerifyOutside[Lot charge]&lt;=tblVerifyOutside[Price per part]*$I$111)*tblVerifyOutside[Price per part])*$I$111)/$I$111*(1+$E$36)</f>
        <v>3.3</v>
      </c>
      <c r="J118" s="39">
        <f>(SUMPRODUCT((tblVerifyOutside[Lot charge]&gt;tblVerifyOutside[Price per part]*$J$111)*tblVerifyOutside[Lot charge])+SUMPRODUCT((tblVerifyOutside[Lot charge]&lt;=tblVerifyOutside[Price per part]*$J$111)*tblVerifyOutside[Price per part])*$J$111)/$J$111*(1+$E$36)</f>
        <v>3.025</v>
      </c>
    </row>
    <row r="119" spans="2:10">
      <c r="B119" s="27" t="s">
        <v>246</v>
      </c>
      <c r="C119" s="27"/>
      <c r="D119" s="27"/>
      <c r="E119" s="7" t="str">
        <f>Currency&amp;"/part"</f>
        <v>USD/part</v>
      </c>
      <c r="F119" s="39">
        <f>($F$116+$F$114)*$E$35</f>
        <v>7.0421</v>
      </c>
      <c r="G119" s="39">
        <f>($G$116+$G$114)*$E$35</f>
        <v>4.83344</v>
      </c>
      <c r="H119" s="39">
        <f>($H$116+$H$114)*$E$35</f>
        <v>4.16444</v>
      </c>
      <c r="I119" s="39">
        <f>($I$116+$I$114)*$E$35</f>
        <v>3.82994</v>
      </c>
      <c r="J119" s="39">
        <f>($J$116+$J$114)*$E$35</f>
        <v>3.602352</v>
      </c>
    </row>
    <row r="120" spans="2:10">
      <c r="B120" s="17" t="s">
        <v>247</v>
      </c>
      <c r="C120" s="17"/>
      <c r="D120" s="17"/>
      <c r="E120" s="7" t="str">
        <f>Currency&amp;"/part"</f>
        <v>USD/part</v>
      </c>
      <c r="F120" s="49">
        <f>$F$113+$F$114+$F$115+$F$116+$F$117+$F$118+$F$119</f>
        <v>156.813104560833</v>
      </c>
      <c r="G120" s="49">
        <f>$G$113+$G$114+$G$115+$G$116+$G$117+$G$118+$G$119</f>
        <v>85.0851170393333</v>
      </c>
      <c r="H120" s="49">
        <f>$H$113+$H$114+$H$115+$H$116+$H$117+$H$118+$H$119</f>
        <v>61.9211170393333</v>
      </c>
      <c r="I120" s="49">
        <f>$I$113+$I$114+$I$115+$I$116+$I$117+$I$118+$I$119</f>
        <v>51.3291170393333</v>
      </c>
      <c r="J120" s="49">
        <f>$J$113+$J$114+$J$115+$J$116+$J$117+$J$118+$J$119</f>
        <v>45.1927853698</v>
      </c>
    </row>
    <row r="121" spans="2:10">
      <c r="B121" s="27" t="s">
        <v>248</v>
      </c>
      <c r="C121" s="27"/>
      <c r="D121" s="27"/>
      <c r="E121" s="7" t="str">
        <f>Currency&amp;"/part"</f>
        <v>USD/part</v>
      </c>
      <c r="F121" s="50">
        <f>CEILING($F$120/(1-$E$37),$E$39)</f>
        <v>209.1</v>
      </c>
      <c r="G121" s="50">
        <f>CEILING($G$120/(1-$E$37),$E$39)</f>
        <v>113.45</v>
      </c>
      <c r="H121" s="50">
        <f>CEILING($H$120/(1-$E$37),$E$39)</f>
        <v>82.6</v>
      </c>
      <c r="I121" s="50">
        <f>CEILING($I$120/(1-$E$37),$E$39)</f>
        <v>68.45</v>
      </c>
      <c r="J121" s="50">
        <f>CEILING($J$120/(1-$E$37),$E$39)</f>
        <v>60.3</v>
      </c>
    </row>
    <row r="122" spans="2:10">
      <c r="B122" s="27" t="s">
        <v>249</v>
      </c>
      <c r="C122" s="27"/>
      <c r="D122" s="27"/>
      <c r="E122" s="7" t="str">
        <f>Currency</f>
        <v>USD</v>
      </c>
      <c r="F122" s="39">
        <f>$F$121*$F$111</f>
        <v>2091</v>
      </c>
      <c r="G122" s="39">
        <f>$G$121*$G$111</f>
        <v>2836.25</v>
      </c>
      <c r="H122" s="39">
        <f>$H$121*$H$111</f>
        <v>4130</v>
      </c>
      <c r="I122" s="39">
        <f>$I$121*$I$111</f>
        <v>6845</v>
      </c>
      <c r="J122" s="39">
        <f>$J$121*$J$111</f>
        <v>15075</v>
      </c>
    </row>
    <row r="123" spans="2:10">
      <c r="B123" s="27" t="s">
        <v>250</v>
      </c>
      <c r="C123" s="27"/>
      <c r="D123" s="27"/>
      <c r="E123" s="7" t="s">
        <v>251</v>
      </c>
      <c r="F123" s="51">
        <f>($F$121-$F$120)/$F$121</f>
        <v>0.250056888757373</v>
      </c>
      <c r="G123" s="51">
        <f>($G$121-$G$120)/$G$121</f>
        <v>0.250021004501249</v>
      </c>
      <c r="H123" s="51">
        <f>($H$121-$H$120)/$H$121</f>
        <v>0.250349672647296</v>
      </c>
      <c r="I123" s="51">
        <f>($I$121-$I$120)/$I$121</f>
        <v>0.250122468380813</v>
      </c>
      <c r="J123" s="51">
        <f>($J$121-$J$120)/$J$121</f>
        <v>0.2505342393068</v>
      </c>
    </row>
    <row r="124" spans="2:10">
      <c r="B124" s="27" t="s">
        <v>252</v>
      </c>
      <c r="C124" s="27"/>
      <c r="D124" s="27"/>
      <c r="E124" s="7" t="s">
        <v>205</v>
      </c>
      <c r="F124" s="52">
        <f>$E$80+$F$112*$E$81/60</f>
        <v>7.20592592592593</v>
      </c>
      <c r="G124" s="52">
        <f>$E$80+$G$112*$E$81/60</f>
        <v>12.6003703703704</v>
      </c>
      <c r="H124" s="52">
        <f>$E$80+$H$112*$E$81/60</f>
        <v>21.9507407407407</v>
      </c>
      <c r="I124" s="52">
        <f>$E$80+$I$112*$E$81/60</f>
        <v>40.6514814814815</v>
      </c>
      <c r="J124" s="52">
        <f>$E$80+$J$112*$E$81/60</f>
        <v>96.0344444444445</v>
      </c>
    </row>
    <row r="125" spans="2:10">
      <c r="B125" s="27" t="s">
        <v>253</v>
      </c>
      <c r="C125" s="27"/>
      <c r="D125" s="27"/>
      <c r="E125" s="7" t="s">
        <v>226</v>
      </c>
      <c r="F125" s="53">
        <f>$E$106+CEILING($F$124/($E$41*$E$42),1)+$E$108+$E$107</f>
        <v>14</v>
      </c>
      <c r="G125" s="53">
        <f>$E$106+CEILING($G$124/($E$41*$E$42),1)+$E$108+$E$107</f>
        <v>14</v>
      </c>
      <c r="H125" s="53">
        <f>$E$106+CEILING($H$124/($E$41*$E$42),1)+$E$108+$E$107</f>
        <v>15</v>
      </c>
      <c r="I125" s="53">
        <f>$E$106+CEILING($I$124/($E$41*$E$42),1)+$E$108+$E$107</f>
        <v>17</v>
      </c>
      <c r="J125" s="53">
        <f>$E$106+CEILING($J$124/($E$41*$E$42),1)+$E$108+$E$107</f>
        <v>21</v>
      </c>
    </row>
  </sheetData>
  <sheetProtection sheet="1" formatColumns="0" formatRows="0"/>
  <mergeCells count="91">
    <mergeCell ref="A1:O1"/>
    <mergeCell ref="B2:N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B31:L31"/>
    <mergeCell ref="B33:L33"/>
    <mergeCell ref="B34:F34"/>
    <mergeCell ref="B35:D35"/>
    <mergeCell ref="B36:D36"/>
    <mergeCell ref="B37:D37"/>
    <mergeCell ref="B38:D38"/>
    <mergeCell ref="B39:D39"/>
    <mergeCell ref="B40:D40"/>
    <mergeCell ref="B41:D41"/>
    <mergeCell ref="B42:D42"/>
    <mergeCell ref="B44:L44"/>
    <mergeCell ref="B54:L54"/>
    <mergeCell ref="B64:L64"/>
    <mergeCell ref="B70:L70"/>
    <mergeCell ref="B77:L77"/>
    <mergeCell ref="B78:D78"/>
    <mergeCell ref="B79:D79"/>
    <mergeCell ref="B80:D80"/>
    <mergeCell ref="B81:D81"/>
    <mergeCell ref="B83:L83"/>
    <mergeCell ref="B84:D84"/>
    <mergeCell ref="B86:L86"/>
    <mergeCell ref="B87:D87"/>
    <mergeCell ref="B89:L89"/>
    <mergeCell ref="B90:D90"/>
    <mergeCell ref="E90:F90"/>
    <mergeCell ref="B91:D91"/>
    <mergeCell ref="E91:F91"/>
    <mergeCell ref="B92:D92"/>
    <mergeCell ref="E92:F92"/>
    <mergeCell ref="B93:D93"/>
    <mergeCell ref="B94:D94"/>
    <mergeCell ref="B95:D95"/>
    <mergeCell ref="B96:D96"/>
    <mergeCell ref="B97:D97"/>
    <mergeCell ref="B98:D98"/>
    <mergeCell ref="B99:D99"/>
    <mergeCell ref="B100:D100"/>
    <mergeCell ref="B101:D101"/>
    <mergeCell ref="B102:D102"/>
    <mergeCell ref="E102:F102"/>
    <mergeCell ref="B103:D103"/>
    <mergeCell ref="E103:F103"/>
    <mergeCell ref="B105:L105"/>
    <mergeCell ref="B106:D106"/>
    <mergeCell ref="B107:D107"/>
    <mergeCell ref="B108:D108"/>
    <mergeCell ref="B110:L110"/>
    <mergeCell ref="B111:D111"/>
    <mergeCell ref="B112:D112"/>
    <mergeCell ref="B113:D113"/>
    <mergeCell ref="B114:D114"/>
    <mergeCell ref="B115:D115"/>
    <mergeCell ref="B116:D116"/>
    <mergeCell ref="B117:D117"/>
    <mergeCell ref="B118:D118"/>
    <mergeCell ref="B119:D119"/>
    <mergeCell ref="B120:D120"/>
    <mergeCell ref="B121:D121"/>
    <mergeCell ref="B122:D122"/>
    <mergeCell ref="B123:D123"/>
    <mergeCell ref="B124:D124"/>
    <mergeCell ref="B125:D125"/>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G57:G62">
    <cfRule type="expression" dxfId="3" priority="43">
      <formula>$G57="OK"</formula>
    </cfRule>
    <cfRule type="expression" dxfId="1" priority="44">
      <formula>AND($G57&lt;&gt;"",$G57&lt;&gt;"OK")</formula>
    </cfRule>
  </conditionalFormatting>
  <conditionalFormatting sqref="K11:K29">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O47:O52">
    <cfRule type="expression" dxfId="3" priority="41">
      <formula>$O47="OK"</formula>
    </cfRule>
    <cfRule type="expression" dxfId="1" priority="42">
      <formula>AND($O47&lt;&gt;"",$O47&lt;&gt;"OK")</formula>
    </cfRule>
  </conditionalFormatting>
  <hyperlinks>
    <hyperlink ref="O2" r:id="rId1" tooltip="Free manufacturing calculators and templates"/>
  </hyperlinks>
  <printOptions horizontalCentered="1"/>
  <pageMargins left="0.4" right="0.4" top="0.7" bottom="0.65" header="0.3" footer="0.3"/>
  <pageSetup fitToHeight="0" orientation="landscape"/>
  <headerFooter>
    <oddHeader>&amp;L&amp;8MFG Calcs - CNC Machining Quote&amp;R&amp;8&amp;A</oddHeader>
    <oddFooter>&amp;L&amp;8mfgcalcs.com - free manufacturing templates&amp;R&amp;8Page &amp;P of &amp;N</oddFooter>
  </headerFooter>
  <rowBreaks count="3" manualBreakCount="3">
    <brk id="33" max="16383" man="1"/>
    <brk id="69" max="16383" man="1"/>
    <brk id="109" max="16383" man="1"/>
  </rowBreaks>
  <tableParts count="4">
    <tablePart r:id="rId2"/>
    <tablePart r:id="rId3"/>
    <tablePart r:id="rId4"/>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67</vt:i4>
      </vt:variant>
    </vt:vector>
  </HeadingPairs>
  <TitlesOfParts>
    <vt:vector size="74" baseType="lpstr">
      <vt:lpstr>Start Here</vt:lpstr>
      <vt:lpstr>Setup</vt:lpstr>
      <vt:lpstr>Quote Builder</vt:lpstr>
      <vt:lpstr>Dashboard</vt:lpstr>
      <vt:lpstr>Quote</vt:lpstr>
      <vt:lpstr>Method</vt:lpstr>
      <vt:lpstr>Verify</vt:lpstr>
      <vt:lpstr>Allowance</vt:lpstr>
      <vt:lpstr>BlankKg</vt:lpstr>
      <vt:lpstr>BlankLen</vt:lpstr>
      <vt:lpstr>BlankVol</vt:lpstr>
      <vt:lpstr>BreakList</vt:lpstr>
      <vt:lpstr>BuyMarkup</vt:lpstr>
      <vt:lpstr>CoAddress1</vt:lpstr>
      <vt:lpstr>CoAddress2</vt:lpstr>
      <vt:lpstr>CoEmail</vt:lpstr>
      <vt:lpstr>CoName</vt:lpstr>
      <vt:lpstr>Contact</vt:lpstr>
      <vt:lpstr>CoPhone</vt:lpstr>
      <vt:lpstr>Currency</vt:lpstr>
      <vt:lpstr>Customer</vt:lpstr>
      <vt:lpstr>CycleMin</vt:lpstr>
      <vt:lpstr>DashBreak</vt:lpstr>
      <vt:lpstr>DelTerms</vt:lpstr>
      <vt:lpstr>Density</vt:lpstr>
      <vt:lpstr>DiaW</vt:lpstr>
      <vt:lpstr>DimUnit</vt:lpstr>
      <vt:lpstr>FPY</vt:lpstr>
      <vt:lpstr>HoursPerDay</vt:lpstr>
      <vt:lpstr>KpiCost</vt:lpstr>
      <vt:lpstr>KpiCycle</vt:lpstr>
      <vt:lpstr>KpiMargin</vt:lpstr>
      <vt:lpstr>KpiPrice</vt:lpstr>
      <vt:lpstr>Margin</vt:lpstr>
      <vt:lpstr>MatCheck</vt:lpstr>
      <vt:lpstr>MatCost</vt:lpstr>
      <vt:lpstr>Material</vt:lpstr>
      <vt:lpstr>MatLead</vt:lpstr>
      <vt:lpstr>NREAmort</vt:lpstr>
      <vt:lpstr>OspDays</vt:lpstr>
      <vt:lpstr>Overhead</vt:lpstr>
      <vt:lpstr>PartDesc</vt:lpstr>
      <vt:lpstr>PartNo</vt:lpstr>
      <vt:lpstr>PartRev</vt:lpstr>
      <vt:lpstr>PayTerms</vt:lpstr>
      <vt:lpstr>PreparedBy</vt:lpstr>
      <vt:lpstr>PriceKg</vt:lpstr>
      <vt:lpstr>Dashboard!Print_Area</vt:lpstr>
      <vt:lpstr>Method!Print_Area</vt:lpstr>
      <vt:lpstr>'Quote Builder'!Print_Area</vt:lpstr>
      <vt:lpstr>Quote!Print_Area</vt:lpstr>
      <vt:lpstr>Setup!Print_Area</vt:lpstr>
      <vt:lpstr>'Start Here'!Print_Area</vt:lpstr>
      <vt:lpstr>Verify!Print_Area</vt:lpstr>
      <vt:lpstr>Method!Print_Titles</vt:lpstr>
      <vt:lpstr>QueueShip</vt:lpstr>
      <vt:lpstr>QuoteDate</vt:lpstr>
      <vt:lpstr>QuoteNo</vt:lpstr>
      <vt:lpstr>RFQRef</vt:lpstr>
      <vt:lpstr>RoundStep</vt:lpstr>
      <vt:lpstr>RunCost</vt:lpstr>
      <vt:lpstr>SelfCheck</vt:lpstr>
      <vt:lpstr>SelfCheckSummary</vt:lpstr>
      <vt:lpstr>SelIdx</vt:lpstr>
      <vt:lpstr>SetupCost</vt:lpstr>
      <vt:lpstr>SetupHours</vt:lpstr>
      <vt:lpstr>Shape</vt:lpstr>
      <vt:lpstr>Terms</vt:lpstr>
      <vt:lpstr>Thick</vt:lpstr>
      <vt:lpstr>ToolChangeS</vt:lpstr>
      <vt:lpstr>ToolWear</vt:lpstr>
      <vt:lpstr>Uptime</vt:lpstr>
      <vt:lpstr>Validity</vt:lpstr>
      <vt:lpstr>VolUnit</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CNC Machining Quote - free Excel template from MFG Calcs</dc:title>
  <dc:subject>Estimate CNC cycle time from cutting data, cost every operation, tool and charge, and price five quantity breaks on a printable quote.</dc:subject>
  <dc:creator>MFG Calcs</dc:creator>
  <cp:keywords>CNC quote, machining quote, cycle time estimate, metal removal rate, tool wear cost, quantity breaks, machine shop, RFQ</cp:keywords>
  <dc:description>https://www.mfgcalcs.com/templates/cnc-machining-quote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cnc-machining-quote</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form</vt:lpwstr>
  </property>
  <property fmtid="{D5CDD505-2E9C-101B-9397-08002B2CF9AE}" pid="6" name="Template URL">
    <vt:lpwstr>https://www.mfgcalcs.com/templates/cnc-machining-quote</vt:lpwstr>
  </property>
  <property fmtid="{D5CDD505-2E9C-101B-9397-08002B2CF9AE}" pid="7" name="Template sheet roles">
    <vt:lpwstr>Start Here=start;Setup=setup;Quote Builder=form;Dashboard=dashboard;Quote=output;Method=method;Verify=verify</vt:lpwstr>
  </property>
</Properties>
</file>