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Leak Register" sheetId="3" r:id="rId3"/>
    <sheet name="Dashboard" sheetId="4" r:id="rId4"/>
    <sheet name="Method" sheetId="5" r:id="rId5"/>
    <sheet name="Verify" sheetId="6" r:id="rId6"/>
  </sheets>
  <definedNames>
    <definedName name="Areas">tblAreas[Area]</definedName>
    <definedName name="AsOf">Setup!$C$26</definedName>
    <definedName name="AvoidShare">Setup!$C$17</definedName>
    <definedName name="Capacity">Setup!$C$21</definedName>
    <definedName name="CapCfm">Setup!$C$23</definedName>
    <definedName name="CapUnit">Setup!$C$22</definedName>
    <definedName name="Components">tblComponents[Component]</definedName>
    <definedName name="CostPerCfm">Setup!$C$16</definedName>
    <definedName name="Currency">Setup!$C$7</definedName>
    <definedName name="DbAsOf">Dashboard!$D$4</definedName>
    <definedName name="DbCostPerCfm">Dashboard!$J$4</definedName>
    <definedName name="KpiDays">Dashboard!$G$30</definedName>
    <definedName name="KpiFlow">Dashboard!$D$30</definedName>
    <definedName name="KpiFound">Dashboard!$B$30</definedName>
    <definedName name="KpiLeakage">Dashboard!$G$8</definedName>
    <definedName name="KpiOpenCost">Dashboard!$B$8</definedName>
    <definedName name="KpiOverdue">Dashboard!$J$8</definedName>
    <definedName name="KpiPayback">Dashboard!$J$30</definedName>
    <definedName name="KpiSaved">Dashboard!$D$8</definedName>
    <definedName name="KwPerCfm">Setup!$C$14</definedName>
    <definedName name="PlantName">Setup!$C$6</definedName>
    <definedName name="PressHours">Setup!$C$15</definedName>
    <definedName name="_xlnm.Print_Area" localSheetId="3">Dashboard!$A$1:$L$75</definedName>
    <definedName name="_xlnm.Print_Area" localSheetId="2">'Leak Register'!$A$1:$U$54</definedName>
    <definedName name="_xlnm.Print_Area" localSheetId="4">Method!$A$1:$D$59</definedName>
    <definedName name="_xlnm.Print_Area" localSheetId="1">Setup!$A$1:$E$53</definedName>
    <definedName name="_xlnm.Print_Area" localSheetId="0">'Start Here'!$A$1:$F$56</definedName>
    <definedName name="_xlnm.Print_Area" localSheetId="5">Verify!$A$1:$U$68</definedName>
    <definedName name="_xlnm.Print_Titles" localSheetId="2">'Leak Register'!$1:$6</definedName>
    <definedName name="_xlnm.Print_Titles" localSheetId="4">Method!$1:$2</definedName>
    <definedName name="Rate">Setup!$C$11</definedName>
    <definedName name="RepairDays">Setup!$C$27</definedName>
    <definedName name="SelfCheck">Verify!$D$4</definedName>
    <definedName name="SelfCheckSummary">Verify!$F$4</definedName>
    <definedName name="SpecPower">Setup!$C$12</definedName>
    <definedName name="SpecUnit">Setup!$C$13</definedName>
    <definedName name="TargetLeak">Setup!$C$24</definedName>
  </definedNames>
  <calcPr calcId="124519" fullCalcOnLoad="1"/>
</workbook>
</file>

<file path=xl/sharedStrings.xml><?xml version="1.0" encoding="utf-8"?>
<sst xmlns="http://schemas.openxmlformats.org/spreadsheetml/2006/main" count="769" uniqueCount="378">
  <si>
    <t>Compressed Air Leak Cost Tracker</t>
  </si>
  <si>
    <t>Read this first: what the workbook does and how to use it.</t>
  </si>
  <si>
    <t>mfgcalcs.com</t>
  </si>
  <si>
    <t>Log every compressed air leak from a survey, see what each one costs a year, fix them in the order that saves most, and track the savings.</t>
  </si>
  <si>
    <t>For: Maintenance and energy managers, plant engineers and anyone running a compressed air leak detection and repair program.</t>
  </si>
  <si>
    <t>Version 1.0.0  ·  updated 15 October 2026</t>
  </si>
  <si>
    <t>Quick start</t>
  </si>
  <si>
    <t>1.</t>
  </si>
  <si>
    <t>On Setup, type your electricity rate, the compressor's specific power, the hours the system is pressurized, its capacity and your leakage target.</t>
  </si>
  <si>
    <t>2.</t>
  </si>
  <si>
    <t>Replace the example areas and component types with your own.</t>
  </si>
  <si>
    <t>3.</t>
  </si>
  <si>
    <t>On Leak Register, add one row per tagged leak: tag, date found, area, location, component, the flow your detector reads and its unit, and the repair estimate.</t>
  </si>
  <si>
    <t>4.</t>
  </si>
  <si>
    <t>When a leak is fixed, type the repair date; move the status date on Setup forward each time you update the log.</t>
  </si>
  <si>
    <t>5.</t>
  </si>
  <si>
    <t>Open the Dashboard: work down the repair list and watch open leakage against your target.</t>
  </si>
  <si>
    <t>What is in this workbook</t>
  </si>
  <si>
    <t>Start Here</t>
  </si>
  <si>
    <t>Setup</t>
  </si>
  <si>
    <t>Your rate, compressor, pressurized hours, capacity, targets and the area and component lists.</t>
  </si>
  <si>
    <t>Leak Register</t>
  </si>
  <si>
    <t>One row per tagged leak: flow, annual cost, avoidable cost, payback, repair status and repair order.</t>
  </si>
  <si>
    <t>Dashboard</t>
  </si>
  <si>
    <t>What open leaks still cost, what repairs have saved, leakage against your target, and what to fix next.</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</si>
  <si>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</si>
  <si>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</si>
  <si>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</si>
  <si>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</si>
  <si>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</si>
  <si>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</si>
  <si>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</si>
  <si>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</si>
  <si>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</si>
  <si>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</si>
  <si>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</si>
  <si>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</si>
  <si>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</si>
  <si>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</si>
  <si>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</si>
  <si>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</si>
  <si>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</si>
  <si>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</si>
  <si>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</si>
  <si>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</si>
  <si>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Compressed Air Leak Cost Calculator on mfgcalcs.com</t>
  </si>
  <si>
    <t>Latest version</t>
  </si>
  <si>
    <t>mfgcalcs.com/templates/compressed-air-leak-cost</t>
  </si>
  <si>
    <t>More free templates</t>
  </si>
  <si>
    <t>mfgcalcs.com/templates</t>
  </si>
  <si>
    <t>Version</t>
  </si>
  <si>
    <t>1.0.0 (updated 15 October 2026)</t>
  </si>
  <si>
    <t>About the example data</t>
  </si>
  <si>
    <t>Every number already in this workbook is example data for Northgate Fabrication, a fictional business invented for this template, so the dashboard and charts show something meaningful on day one. It covers a contractor's ultrasonic survey on 18 to 20 August 2026 and leaks tagged by operators up to the status date of 9 October 2026, generated from a fixed seed; rates, specific power and repair costs are example values.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</si>
  <si>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</si>
  <si>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</si>
  <si>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</si>
  <si>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</si>
  <si>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</si>
  <si>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</si>
  <si>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</si>
  <si>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</si>
  <si>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Area</t>
  </si>
  <si>
    <t>Owner</t>
  </si>
  <si>
    <t>Notes</t>
  </si>
  <si>
    <t>Component</t>
  </si>
  <si>
    <t>Typical fix</t>
  </si>
  <si>
    <t>Plant</t>
  </si>
  <si>
    <t>Plant or site name</t>
  </si>
  <si>
    <t>Northgate Fabrication (example)</t>
  </si>
  <si>
    <t>Currency label</t>
  </si>
  <si>
    <t>USD</t>
  </si>
  <si>
    <t>What one cfm of leakage costs</t>
  </si>
  <si>
    <t>Electricity rate (blended)</t>
  </si>
  <si>
    <t>Compressor specific power</t>
  </si>
  <si>
    <t>in the unit below</t>
  </si>
  <si>
    <t>Specific power unit</t>
  </si>
  <si>
    <t>kW per 100 cfm</t>
  </si>
  <si>
    <t>Power per cfm of leakage</t>
  </si>
  <si>
    <t>kW per cfm</t>
  </si>
  <si>
    <t>Hours the system is pressurized</t>
  </si>
  <si>
    <t>h per year</t>
  </si>
  <si>
    <t>Annual cost of one cfm of leakage</t>
  </si>
  <si>
    <t>Share of leak cost a repair avoids</t>
  </si>
  <si>
    <t>Capacity, target and repair window</t>
  </si>
  <si>
    <t>Compressor capacity normally online</t>
  </si>
  <si>
    <t>Capacity unit</t>
  </si>
  <si>
    <t>cfm</t>
  </si>
  <si>
    <t>Capacity in cfm</t>
  </si>
  <si>
    <t>Open leakage target</t>
  </si>
  <si>
    <t>Status date (as of)</t>
  </si>
  <si>
    <t>Repair window</t>
  </si>
  <si>
    <t>days after found</t>
  </si>
  <si>
    <t>Rates, specific power, capacity and targets here are example values for a fictional plant; replace them with your own. Nothing in this workbook assumes an industry benchmark.</t>
  </si>
  <si>
    <t>Lists that feed the dropdowns</t>
  </si>
  <si>
    <t>Edit, add or remove rows; the Area and Component dropdowns on the Leak Register read these lists. Keep names unique.</t>
  </si>
  <si>
    <t>Areas</t>
  </si>
  <si>
    <t>Compressor room</t>
  </si>
  <si>
    <t>Maintenance</t>
  </si>
  <si>
    <t>Compressors, dryers, receivers, drains and the main header</t>
  </si>
  <si>
    <t>Press shop</t>
  </si>
  <si>
    <t>Press shop lead</t>
  </si>
  <si>
    <t>Press clutches, blow-offs, die cushions</t>
  </si>
  <si>
    <t>Weld cells</t>
  </si>
  <si>
    <t>Weld lead</t>
  </si>
  <si>
    <t>Robot clamps, fixture cylinders, torch cleaners</t>
  </si>
  <si>
    <t>Paint line</t>
  </si>
  <si>
    <t>Paint lead</t>
  </si>
  <si>
    <t>Spray guns, pumps, booth drops</t>
  </si>
  <si>
    <t>Assembly</t>
  </si>
  <si>
    <t>Assembly lead</t>
  </si>
  <si>
    <t>Tools, balancers, test fixtures</t>
  </si>
  <si>
    <t>Shipping</t>
  </si>
  <si>
    <t>Shipping lead</t>
  </si>
  <si>
    <t>Strapping tools, blow guns</t>
  </si>
  <si>
    <t>Component types</t>
  </si>
  <si>
    <t>Quick coupling</t>
  </si>
  <si>
    <t>Replace coupling and plug; fit a safety coupling</t>
  </si>
  <si>
    <t>Hose</t>
  </si>
  <si>
    <t>Replace hose or re-make the end with a new ferrule</t>
  </si>
  <si>
    <t>Push-in fitting</t>
  </si>
  <si>
    <t>Re-cut the tube square and replace the fitting</t>
  </si>
  <si>
    <t>Threaded fitting</t>
  </si>
  <si>
    <t>Re-seal the thread or replace the fitting</t>
  </si>
  <si>
    <t>FRL unit</t>
  </si>
  <si>
    <t>Replace bowl seal, drain or regulator diaphragm</t>
  </si>
  <si>
    <t>Valve</t>
  </si>
  <si>
    <t>Replace seals or the valve</t>
  </si>
  <si>
    <t>Cylinder seal</t>
  </si>
  <si>
    <t>Reseal or replace the cylinder (needs downtime)</t>
  </si>
  <si>
    <t>Condensate drain</t>
  </si>
  <si>
    <t>Replace a timer drain stuck open with a zero-loss drain</t>
  </si>
  <si>
    <t>Pipe joint</t>
  </si>
  <si>
    <t>Re-make the joint at a planned shutdown</t>
  </si>
  <si>
    <t>Tag no.</t>
  </si>
  <si>
    <t>Found</t>
  </si>
  <si>
    <t>Location</t>
  </si>
  <si>
    <t>Leak flow</t>
  </si>
  <si>
    <t>Flow unit</t>
  </si>
  <si>
    <t>Repair cost (est.)</t>
  </si>
  <si>
    <t>Repaired on</t>
  </si>
  <si>
    <t>Flow (cfm)</t>
  </si>
  <si>
    <t>Annual energy (kWh/yr)</t>
  </si>
  <si>
    <t>Annual cost</t>
  </si>
  <si>
    <t>Avoidable cost</t>
  </si>
  <si>
    <t>Payback (months)</t>
  </si>
  <si>
    <t>Repair due</t>
  </si>
  <si>
    <t>Days open</t>
  </si>
  <si>
    <t>Status</t>
  </si>
  <si>
    <t>Repair order</t>
  </si>
  <si>
    <t>Check</t>
  </si>
  <si>
    <t>Example data for Northgate Fabrication (fictional). Replace it with your own: select the example rows, right-click, Delete &gt; Table Rows. Yellow = you type; blue = calculated; Check names any problem.</t>
  </si>
  <si>
    <t>L-001</t>
  </si>
  <si>
    <t>Header drop C1</t>
  </si>
  <si>
    <t>Waiting for zero-loss drain</t>
  </si>
  <si>
    <t>L-002</t>
  </si>
  <si>
    <t>Dryer bypass</t>
  </si>
  <si>
    <t>L-003</t>
  </si>
  <si>
    <t>Cell 1 fixture</t>
  </si>
  <si>
    <t>Planned for shutdown</t>
  </si>
  <si>
    <t>L-004</t>
  </si>
  <si>
    <t>Drop P-12</t>
  </si>
  <si>
    <t>L-005</t>
  </si>
  <si>
    <t>Compressor 1 discharge</t>
  </si>
  <si>
    <t>L-006</t>
  </si>
  <si>
    <t>Receiver 2 drain</t>
  </si>
  <si>
    <t/>
  </si>
  <si>
    <t>L-007</t>
  </si>
  <si>
    <t>Booth 1 gun drop</t>
  </si>
  <si>
    <t>L-008</t>
  </si>
  <si>
    <t>Drop W-04</t>
  </si>
  <si>
    <t>L-009</t>
  </si>
  <si>
    <t>Cell 2 clamp manifold</t>
  </si>
  <si>
    <t>L-010</t>
  </si>
  <si>
    <t>Flash-off blower</t>
  </si>
  <si>
    <t>L-011</t>
  </si>
  <si>
    <t>Balancer line B</t>
  </si>
  <si>
    <t>Survey tag</t>
  </si>
  <si>
    <t>L-012</t>
  </si>
  <si>
    <t>L-013</t>
  </si>
  <si>
    <t>L-014</t>
  </si>
  <si>
    <t>Leak test fixture</t>
  </si>
  <si>
    <t>L-015</t>
  </si>
  <si>
    <t>L-016</t>
  </si>
  <si>
    <t>L-017</t>
  </si>
  <si>
    <t>L-018</t>
  </si>
  <si>
    <t>L-019</t>
  </si>
  <si>
    <t>Press 3 clutch valve</t>
  </si>
  <si>
    <t>L-020</t>
  </si>
  <si>
    <t>Press 7 die cushion</t>
  </si>
  <si>
    <t>L-021</t>
  </si>
  <si>
    <t>Packing bench</t>
  </si>
  <si>
    <t>L-022</t>
  </si>
  <si>
    <t>L-023</t>
  </si>
  <si>
    <t>L-024</t>
  </si>
  <si>
    <t>Press 2 guard</t>
  </si>
  <si>
    <t>L-025</t>
  </si>
  <si>
    <t>L-026</t>
  </si>
  <si>
    <t>L-027</t>
  </si>
  <si>
    <t>L-028</t>
  </si>
  <si>
    <t>L-029</t>
  </si>
  <si>
    <t>Pump station</t>
  </si>
  <si>
    <t>L-030</t>
  </si>
  <si>
    <t>L-031</t>
  </si>
  <si>
    <t>L-032</t>
  </si>
  <si>
    <t>L-033</t>
  </si>
  <si>
    <t>L-034</t>
  </si>
  <si>
    <t>L-035</t>
  </si>
  <si>
    <t>L-036</t>
  </si>
  <si>
    <t>L-037</t>
  </si>
  <si>
    <t>Strapping tool drop</t>
  </si>
  <si>
    <t>L-038</t>
  </si>
  <si>
    <t>L-039</t>
  </si>
  <si>
    <t>Station 6 nutrunner</t>
  </si>
  <si>
    <t>L-040</t>
  </si>
  <si>
    <t>L-041</t>
  </si>
  <si>
    <t>Dock 2 blow gun</t>
  </si>
  <si>
    <t>L/min</t>
  </si>
  <si>
    <t>Operator tag, plant detector in L/min</t>
  </si>
  <si>
    <t>L-042</t>
  </si>
  <si>
    <t>Station 3 drop</t>
  </si>
  <si>
    <t>L-043</t>
  </si>
  <si>
    <t>L-044</t>
  </si>
  <si>
    <t>L-045</t>
  </si>
  <si>
    <t>L-046</t>
  </si>
  <si>
    <t>L-047</t>
  </si>
  <si>
    <t>L-048</t>
  </si>
  <si>
    <t>Status date</t>
  </si>
  <si>
    <t>Cost of 1 cfm of leakage</t>
  </si>
  <si>
    <t>OPEN LEAKAGE (SHARE OF CAPACITY)</t>
  </si>
  <si>
    <t>OVERDUE REPAIRS</t>
  </si>
  <si>
    <t>Fix every open leak to save this</t>
  </si>
  <si>
    <t>Avoidable cost of repaired leaks</t>
  </si>
  <si>
    <t>Open past the repair window</t>
  </si>
  <si>
    <t>LEAKS LOGGED</t>
  </si>
  <si>
    <t>LEAK FLOW FOUND (CFM)</t>
  </si>
  <si>
    <t>AVERAGE DAYS TO REPAIR</t>
  </si>
  <si>
    <t>PROGRAM PAYBACK (MONTHS)</t>
  </si>
  <si>
    <t>Rows on the Leak Register</t>
  </si>
  <si>
    <t>Open and repaired</t>
  </si>
  <si>
    <t>Repair cost / avoidable cost, all leaks</t>
  </si>
  <si>
    <t>Repair list: the ten open leaks that save most</t>
  </si>
  <si>
    <t>Tag</t>
  </si>
  <si>
    <t>Flow</t>
  </si>
  <si>
    <t>Avoidable</t>
  </si>
  <si>
    <t>Payback</t>
  </si>
  <si>
    <t>months</t>
  </si>
  <si>
    <t>By area (open = not yet repaired; avoidable cost per year)</t>
  </si>
  <si>
    <t>Leaks</t>
  </si>
  <si>
    <t>Open</t>
  </si>
  <si>
    <t>Overdue</t>
  </si>
  <si>
    <t>Open flow</t>
  </si>
  <si>
    <t>Still open</t>
  </si>
  <si>
    <t>Saved</t>
  </si>
  <si>
    <t>Repairs</t>
  </si>
  <si>
    <t>Total</t>
  </si>
  <si>
    <t>Avoidable cost by component, all leaks found (Pareto)</t>
  </si>
  <si>
    <t>Rank</t>
  </si>
  <si>
    <t>Share</t>
  </si>
  <si>
    <t>Cumulative</t>
  </si>
  <si>
    <t>Helper: Component (list order)</t>
  </si>
  <si>
    <t>Helper: value (-1 = unused slot)</t>
  </si>
  <si>
    <t>Helper: rank, ties by list order</t>
  </si>
  <si>
    <t>%</t>
  </si>
  <si>
    <t>The Dashboard shows the 6 areas and 9 component types of the Setup lists. If you add more, extend the 'By area' and Pareto blocks (see Method) or they will not appear here; the tiles still count every leak.</t>
  </si>
  <si>
    <t>What this workbook calculates</t>
  </si>
  <si>
    <t>A leak costs the electricity the compressors use to make the air it loses. This workbook prices one cfm of leakage from three Setup numbers (specific power, pressurized hours and the electricity rate), multiplies it by each leak's flow, and separates the attributed cost from the share a repair really avoids, which depends on how the compressors are controlled. Each open leak is ranked by avoidable cost, so the register doubles as the repair work list, and the status words track the repair window against a status date you set.</t>
  </si>
  <si>
    <t>Calculations</t>
  </si>
  <si>
    <t>Quantity</t>
  </si>
  <si>
    <t>How it is calculated</t>
  </si>
  <si>
    <t>Units</t>
  </si>
  <si>
    <t>Specific power / 100 for kW per 100 cfm, or x 0.028316846592 for kW per m3/min (1 cfm = 0.028316846592 m3/min, exact).</t>
  </si>
  <si>
    <t>Annual cost of one cfm</t>
  </si>
  <si>
    <t>Power per cfm x pressurized hours per year x electricity rate (Setup).</t>
  </si>
  <si>
    <t>currency/cfm-yr</t>
  </si>
  <si>
    <t>Leak flow converted exactly: L/min / 28.316846592; L/s x 60 / 28.316846592; m3/min / 0.028316846592.</t>
  </si>
  <si>
    <t>Annual energy</t>
  </si>
  <si>
    <t>Flow (cfm) x power per cfm x pressurized hours.</t>
  </si>
  <si>
    <t>kWh/yr</t>
  </si>
  <si>
    <t>Annual energy x electricity rate: the cost attributed to the leak.</t>
  </si>
  <si>
    <t>currency/yr</t>
  </si>
  <si>
    <t>Annual cost x the share a repair avoids (Setup).</t>
  </si>
  <si>
    <t>Repair cost (est.) / avoidable cost x 12. Blank without a repair estimate.</t>
  </si>
  <si>
    <t>Repair due, days open</t>
  </si>
  <si>
    <t>Found + repair window. Days open: repaired date (or the status date while open) - found.</t>
  </si>
  <si>
    <t>date, days</t>
  </si>
  <si>
    <t>Complete when repaired; else Overdue after the due date, Due soon within 7 days of it, otherwise Open (all against the status date).</t>
  </si>
  <si>
    <t>-</t>
  </si>
  <si>
    <t>Rank of an open leak by avoidable cost, 1 = largest (COUNTIFS of open leaks costing more, ties by tag number).</t>
  </si>
  <si>
    <t>Open leakage</t>
  </si>
  <si>
    <t>Sum of Flow (cfm) of leaks not Complete / capacity in cfm (capacity converted like the flow).</t>
  </si>
  <si>
    <t>Dashboard totals</t>
  </si>
  <si>
    <t>SUMIFS/COUNTIFS over the register by Status, area and component. Program payback = all repair cost / all avoidable cost x 12. Pareto helper columns AO:AQ (hidden) hold the unsorted values and ranks.</t>
  </si>
  <si>
    <t>Assumptions</t>
  </si>
  <si>
    <t>A leak blows at a constant rate for every pressurized hour of the year; flow is what the detector or orifice table reports at your working pressure.</t>
  </si>
  <si>
    <t>Specific power is the compressor's average input power per unit of air at your operating point, and it applies to the leaked air too.</t>
  </si>
  <si>
    <t>The avoidable share is the same for every leak; it is your estimate of how much compressor power falls when demand falls.</t>
  </si>
  <si>
    <t>A repaired leak stays repaired. Re-survey to find new ones.</t>
  </si>
  <si>
    <t>Limitations</t>
  </si>
  <si>
    <t>Flow comes from the detector or an orifice table, not from a flow meter: ultrasonic estimates can be well off for a single leak; totals are more reliable than any one row.</t>
  </si>
  <si>
    <t>Lower system pressure also cuts leak flow and compressor power; this workbook does not model pressure changes.</t>
  </si>
  <si>
    <t>Demand charges are inside the blended rate, not modelled separately.</t>
  </si>
  <si>
    <t>The Dashboard has fixed blocks for the areas and component types in the example lists and a top-ten repair list; a warning appears when the lists are longer.</t>
  </si>
  <si>
    <t>Agreement with the live calculator</t>
  </si>
  <si>
    <t>The live Compressed Air Leak Cost Calculator takes a leak's cfm, a calibrated annual cost per cfm, an exposure share, the avoidable share and the repair quote. This workbook builds the cost per cfm from specific power, pressurized hours and the rate: with annual cost per cfm = power per cfm x 8,760 h x rate and exposure = pressurized hours / 8,760, the two give the same attributed cost, avoidable cost and payback (the calculator reports payback in years, this workbook in months). verify.py checks the reference against the calculator's engine for the calculator's 85 cfm, 900 repair example on every build. The workbook adds unit conversion, the register, repair status and the program view.</t>
  </si>
  <si>
    <t>Open the Compressed Air Leak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</si>
  <si>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</si>
  <si>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</si>
  <si>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US Department of Energy, Improving Compressed Air System Performance: A Sourcebook for Industry (leak cost, leak survey and leakage rate guidance).</t>
  </si>
  <si>
    <t>ISO 1217, Displacement compressors - Acceptance tests (specific power and free air delivery), and CAGI data sheets (kW per 100 cfm).</t>
  </si>
  <si>
    <t>MFG Calcs Compressed Air Leak Cost Calculator (compressed-air-leak-cost): the same attributed and avoidable cost for one leak.</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</si>
  <si>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</si>
  <si>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</si>
  <si>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</si>
  <si>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</si>
  <si>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</si>
  <si>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</si>
  <si>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</si>
  <si>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</si>
  <si>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</si>
  <si>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</si>
  <si>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</si>
  <si>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</si>
  <si>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</si>
  <si>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</si>
  <si>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</si>
  <si>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</si>
  <si>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85 cfm): flow (cfm)</t>
  </si>
  <si>
    <t>Row 1: annual cost</t>
  </si>
  <si>
    <t>Row 1: avoidable cost</t>
  </si>
  <si>
    <t>Row 1: status</t>
  </si>
  <si>
    <t>exact</t>
  </si>
  <si>
    <t>Row 2 (10 L/s, repaired): flow (cfm)</t>
  </si>
  <si>
    <t>Row 2: annual cost</t>
  </si>
  <si>
    <t>Row 2: avoidable cost</t>
  </si>
  <si>
    <t>Row 2: status</t>
  </si>
  <si>
    <t>Complete</t>
  </si>
  <si>
    <t>Row 3 (150 L/min): flow (cfm)</t>
  </si>
  <si>
    <t>Row 3: annual cost</t>
  </si>
  <si>
    <t>Row 3: avoidable cost</t>
  </si>
  <si>
    <t>Row 3: status</t>
  </si>
  <si>
    <t>Due soon</t>
  </si>
  <si>
    <t>Row 4 (0.5 m3/min, no estimate): flow (cfm)</t>
  </si>
  <si>
    <t>Row 4: annual cost</t>
  </si>
  <si>
    <t>Row 4: avoidable cost</t>
  </si>
  <si>
    <t>Row 4: status</t>
  </si>
  <si>
    <t>Row 1: annual energy</t>
  </si>
  <si>
    <t>Row 1: payback</t>
  </si>
  <si>
    <t>Row 3: payback</t>
  </si>
  <si>
    <t>Row 2: days open (found to repaired)</t>
  </si>
  <si>
    <t>Row 1: repair order</t>
  </si>
  <si>
    <t>Row 4: repair order</t>
  </si>
  <si>
    <t>Row 5: Check reports a repair before the find</t>
  </si>
  <si>
    <t>Repaired before found</t>
  </si>
  <si>
    <t>All rows: avoidable cost still open (Dashboard formula)</t>
  </si>
  <si>
    <t>All rows: saved by repairs (Dashboard formula)</t>
  </si>
  <si>
    <t>All rows: open leakage, 20 m3/min capacity (Dashboard formula)</t>
  </si>
  <si>
    <t>All rows: overdue repairs (Dashboard formula)</t>
  </si>
  <si>
    <t>Fixed test inputs</t>
  </si>
  <si>
    <t>White cells are fixed test inputs; blue cells are the workbook's formulas evaluated on them.</t>
  </si>
  <si>
    <t>Test economics (example Setup values)</t>
  </si>
  <si>
    <t>Test capacity: 20 m3/min</t>
  </si>
  <si>
    <t>m3/min</t>
  </si>
  <si>
    <t>Test status date 2 Mar 2026, 30-day window</t>
  </si>
  <si>
    <t>Test table: Leaks</t>
  </si>
  <si>
    <t>T-01</t>
  </si>
  <si>
    <t>A</t>
  </si>
  <si>
    <t>Header</t>
  </si>
  <si>
    <t>T-02</t>
  </si>
  <si>
    <t>Drop 3</t>
  </si>
  <si>
    <t>L/s</t>
  </si>
  <si>
    <t>T-03</t>
  </si>
  <si>
    <t>B</t>
  </si>
  <si>
    <t>Press 1</t>
  </si>
  <si>
    <t>T-04</t>
  </si>
  <si>
    <t>Dryer</t>
  </si>
  <si>
    <t>T-05</t>
  </si>
  <si>
    <t>Cell 2</t>
  </si>
</sst>
</file>

<file path=xl/styles.xml><?xml version="1.0" encoding="utf-8"?>
<styleSheet xmlns="http://schemas.openxmlformats.org/spreadsheetml/2006/main">
  <numFmts count="13">
    <numFmt numFmtId="164" formatCode="#,##0.0000"/>
    <numFmt numFmtId="165" formatCode="#,##0.00"/>
    <numFmt numFmtId="166" formatCode="0.0000"/>
    <numFmt numFmtId="167" formatCode="#,##0"/>
    <numFmt numFmtId="168" formatCode="0%"/>
    <numFmt numFmtId="169" formatCode="d mmm yyyy"/>
    <numFmt numFmtId="170" formatCode="#,##0.0"/>
    <numFmt numFmtId="171" formatCode="0.0%"/>
    <numFmt numFmtId="172" formatCode="&quot;Target &quot;0.0%"/>
    <numFmt numFmtId="173" formatCode="&quot;Target &quot;#,##0.0"/>
    <numFmt numFmtId="174" formatCode="#,##0.000"/>
    <numFmt numFmtId="175" formatCode="0.0E+00"/>
    <numFmt numFmtId="176"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165" fontId="9" fillId="4" borderId="3" xfId="0" applyNumberFormat="1" applyFont="1" applyFill="1" applyBorder="1" applyAlignment="1">
      <alignment vertical="center"/>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9"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170" fontId="10" fillId="3" borderId="2" xfId="0" applyNumberFormat="1" applyFont="1" applyFill="1" applyBorder="1" applyAlignment="1" applyProtection="1">
      <alignment vertical="center"/>
      <protection locked="0"/>
    </xf>
    <xf numFmtId="170"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65"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71"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2"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70" fontId="4" fillId="9" borderId="7" xfId="0" applyNumberFormat="1" applyFont="1" applyFill="1" applyBorder="1" applyAlignment="1">
      <alignment horizontal="left" vertical="center"/>
    </xf>
    <xf numFmtId="173" fontId="23"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67" fontId="9" fillId="0" borderId="9" xfId="0" applyNumberFormat="1" applyFont="1" applyBorder="1" applyAlignment="1">
      <alignment vertical="center"/>
    </xf>
    <xf numFmtId="0" fontId="10" fillId="4" borderId="3" xfId="0" applyFont="1" applyFill="1" applyBorder="1" applyAlignment="1">
      <alignment vertical="center"/>
    </xf>
    <xf numFmtId="0" fontId="9" fillId="0" borderId="9" xfId="0" applyFont="1" applyBorder="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170" fontId="9" fillId="4" borderId="10" xfId="0" applyNumberFormat="1" applyFont="1" applyFill="1" applyBorder="1" applyAlignment="1">
      <alignment vertical="center"/>
    </xf>
    <xf numFmtId="167" fontId="9" fillId="0" borderId="9" xfId="0" applyNumberFormat="1" applyFont="1" applyBorder="1" applyAlignment="1">
      <alignment horizontal="center" vertical="center"/>
    </xf>
    <xf numFmtId="171" fontId="10" fillId="4" borderId="3" xfId="0" applyNumberFormat="1" applyFont="1" applyFill="1" applyBorder="1" applyAlignment="1">
      <alignment vertical="center"/>
    </xf>
    <xf numFmtId="167" fontId="10" fillId="0" borderId="0" xfId="0" applyNumberFormat="1" applyFont="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8" fontId="10" fillId="0" borderId="9" xfId="0" applyNumberFormat="1" applyFont="1" applyBorder="1" applyAlignment="1">
      <alignment vertical="center"/>
    </xf>
    <xf numFmtId="169" fontId="10" fillId="0" borderId="9" xfId="0" applyNumberFormat="1" applyFont="1" applyBorder="1" applyAlignment="1">
      <alignment vertical="center"/>
    </xf>
    <xf numFmtId="170"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Avoidable cost by area (per year)</a:t>
            </a:r>
          </a:p>
        </c:rich>
      </c:tx>
      <c:layout/>
    </c:title>
    <c:plotArea>
      <c:layout/>
      <c:barChart>
        <c:barDir val="bar"/>
        <c:grouping val="stacked"/>
        <c:ser>
          <c:idx val="0"/>
          <c:order val="0"/>
          <c:tx>
            <c:v>Still open</c:v>
          </c:tx>
          <c:spPr>
            <a:solidFill>
              <a:srgbClr val="3B64D8"/>
            </a:solidFill>
            <a:ln w="9525">
              <a:solidFill>
                <a:srgbClr val="FFFFFF"/>
              </a:solidFill>
            </a:ln>
          </c:spPr>
          <c:cat>
            <c:strRef>
              <c:f>Dashboard!$B$52:$B$57</c:f>
              <c:strCache>
                <c:ptCount val="6"/>
                <c:pt idx="0">
                  <c:v>Compressor room</c:v>
                </c:pt>
                <c:pt idx="1">
                  <c:v>Press shop</c:v>
                </c:pt>
                <c:pt idx="2">
                  <c:v>Weld cells</c:v>
                </c:pt>
                <c:pt idx="3">
                  <c:v>Paint line</c:v>
                </c:pt>
                <c:pt idx="4">
                  <c:v>Assembly</c:v>
                </c:pt>
                <c:pt idx="5">
                  <c:v>Shipping</c:v>
                </c:pt>
              </c:strCache>
            </c:strRef>
          </c:cat>
          <c:val>
            <c:numRef>
              <c:f>Dashboard!$I$52:$I$57</c:f>
              <c:numCache>
                <c:formatCode>General</c:formatCode>
                <c:ptCount val="6"/>
                <c:pt idx="0">
                  <c:v>4815.53522606748</c:v>
                </c:pt>
                <c:pt idx="1">
                  <c:v>2328.05534731</c:v>
                </c:pt>
                <c:pt idx="2">
                  <c:v>1254</c:v>
                </c:pt>
                <c:pt idx="3">
                  <c:v>2233.69836827499</c:v>
                </c:pt>
                <c:pt idx="4">
                  <c:v>410.224531447488</c:v>
                </c:pt>
                <c:pt idx="5">
                  <c:v>451.615226067478</c:v>
                </c:pt>
              </c:numCache>
            </c:numRef>
          </c:val>
        </c:ser>
        <c:ser>
          <c:idx val="1"/>
          <c:order val="1"/>
          <c:tx>
            <c:v>Saved by repairs</c:v>
          </c:tx>
          <c:spPr>
            <a:solidFill>
              <a:srgbClr val="E8702A"/>
            </a:solidFill>
            <a:ln w="9525">
              <a:solidFill>
                <a:srgbClr val="FFFFFF"/>
              </a:solidFill>
            </a:ln>
          </c:spPr>
          <c:cat>
            <c:strRef>
              <c:f>Dashboard!$B$52:$B$57</c:f>
              <c:strCache>
                <c:ptCount val="6"/>
                <c:pt idx="0">
                  <c:v>Compressor room</c:v>
                </c:pt>
                <c:pt idx="1">
                  <c:v>Press shop</c:v>
                </c:pt>
                <c:pt idx="2">
                  <c:v>Weld cells</c:v>
                </c:pt>
                <c:pt idx="3">
                  <c:v>Paint line</c:v>
                </c:pt>
                <c:pt idx="4">
                  <c:v>Assembly</c:v>
                </c:pt>
                <c:pt idx="5">
                  <c:v>Shipping</c:v>
                </c:pt>
              </c:strCache>
            </c:strRef>
          </c:cat>
          <c:val>
            <c:numRef>
              <c:f>Dashboard!$J$52:$J$57</c:f>
              <c:numCache>
                <c:formatCode>General</c:formatCode>
                <c:ptCount val="6"/>
                <c:pt idx="0">
                  <c:v>852.72</c:v>
                </c:pt>
                <c:pt idx="1">
                  <c:v>702.24</c:v>
                </c:pt>
                <c:pt idx="2">
                  <c:v>2708.64</c:v>
                </c:pt>
                <c:pt idx="3">
                  <c:v>2307.36</c:v>
                </c:pt>
                <c:pt idx="4">
                  <c:v>3109.92</c:v>
                </c:pt>
                <c:pt idx="5">
                  <c:v>640.504410204971</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Avoidable cost by component (Pareto)</a:t>
            </a:r>
          </a:p>
        </c:rich>
      </c:tx>
      <c:layout/>
    </c:title>
    <c:plotArea>
      <c:layout/>
      <c:barChart>
        <c:barDir val="col"/>
        <c:grouping val="clustered"/>
        <c:ser>
          <c:idx val="0"/>
          <c:order val="0"/>
          <c:tx>
            <c:v>Avoidable cost</c:v>
          </c:tx>
          <c:spPr>
            <a:solidFill>
              <a:srgbClr val="3B64D8"/>
            </a:solidFill>
            <a:ln w="9525">
              <a:solidFill>
                <a:srgbClr val="FFFFFF"/>
              </a:solidFill>
            </a:ln>
          </c:spPr>
          <c:cat>
            <c:strRef>
              <c:f>Dashboard!$C$63:$C$71</c:f>
              <c:strCache>
                <c:ptCount val="9"/>
                <c:pt idx="0">
                  <c:v>Condensate drain</c:v>
                </c:pt>
                <c:pt idx="1">
                  <c:v>FRL unit</c:v>
                </c:pt>
                <c:pt idx="2">
                  <c:v>Hose</c:v>
                </c:pt>
                <c:pt idx="3">
                  <c:v>Quick coupling</c:v>
                </c:pt>
                <c:pt idx="4">
                  <c:v>Push-in fitting</c:v>
                </c:pt>
                <c:pt idx="5">
                  <c:v>Pipe joint</c:v>
                </c:pt>
                <c:pt idx="6">
                  <c:v>Cylinder seal</c:v>
                </c:pt>
                <c:pt idx="7">
                  <c:v>Threaded fitting</c:v>
                </c:pt>
                <c:pt idx="8">
                  <c:v>Valve</c:v>
                </c:pt>
              </c:strCache>
            </c:strRef>
          </c:cat>
          <c:val>
            <c:numRef>
              <c:f>Dashboard!$E$63:$E$71</c:f>
              <c:numCache>
                <c:formatCode>General</c:formatCode>
                <c:ptCount val="9"/>
                <c:pt idx="0">
                  <c:v>5116.32</c:v>
                </c:pt>
                <c:pt idx="1">
                  <c:v>3711.84</c:v>
                </c:pt>
                <c:pt idx="2">
                  <c:v>3343.18138923998</c:v>
                </c:pt>
                <c:pt idx="3">
                  <c:v>3009.6</c:v>
                </c:pt>
                <c:pt idx="4">
                  <c:v>2721.09172013242</c:v>
                </c:pt>
                <c:pt idx="5">
                  <c:v>2106.72</c:v>
                </c:pt>
                <c:pt idx="6">
                  <c:v>702.24</c:v>
                </c:pt>
                <c:pt idx="7">
                  <c:v>652.08</c:v>
                </c:pt>
                <c:pt idx="8">
                  <c:v>451.44</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Dashboard!$C$63:$C$71</c:f>
              <c:strCache>
                <c:ptCount val="9"/>
                <c:pt idx="0">
                  <c:v>Condensate drain</c:v>
                </c:pt>
                <c:pt idx="1">
                  <c:v>FRL unit</c:v>
                </c:pt>
                <c:pt idx="2">
                  <c:v>Hose</c:v>
                </c:pt>
                <c:pt idx="3">
                  <c:v>Quick coupling</c:v>
                </c:pt>
                <c:pt idx="4">
                  <c:v>Push-in fitting</c:v>
                </c:pt>
                <c:pt idx="5">
                  <c:v>Pipe joint</c:v>
                </c:pt>
                <c:pt idx="6">
                  <c:v>Cylinder seal</c:v>
                </c:pt>
                <c:pt idx="7">
                  <c:v>Threaded fitting</c:v>
                </c:pt>
                <c:pt idx="8">
                  <c:v>Valve</c:v>
                </c:pt>
              </c:strCache>
            </c:strRef>
          </c:cat>
          <c:val>
            <c:numRef>
              <c:f>Dashboard!$G$63:$G$71</c:f>
              <c:numCache>
                <c:formatCode>General</c:formatCode>
                <c:ptCount val="9"/>
                <c:pt idx="0">
                  <c:v>0.234537437271603</c:v>
                </c:pt>
                <c:pt idx="1">
                  <c:v>0.404692048625512</c:v>
                </c:pt>
                <c:pt idx="2">
                  <c:v>0.557946965316896</c:v>
                </c:pt>
                <c:pt idx="3">
                  <c:v>0.695910163711957</c:v>
                </c:pt>
                <c:pt idx="4">
                  <c:v>0.820647842086421</c:v>
                </c:pt>
                <c:pt idx="5">
                  <c:v>0.917222080962964</c:v>
                </c:pt>
                <c:pt idx="6">
                  <c:v>0.949413493921811</c:v>
                </c:pt>
                <c:pt idx="7">
                  <c:v>0.979305520240741</c:v>
                </c:pt>
                <c:pt idx="8">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bar chart of avoidable leak cost per year in each area, split into leaks still open and leaks already repaire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avoidable leak cost per year by component type over all leaks found,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reas" displayName="tblAreas" ref="B35:D41" totalsRowShown="0">
  <autoFilter ref="B35:D41"/>
  <tableColumns count="3">
    <tableColumn id="1" name="Area"/>
    <tableColumn id="2" name="Owner"/>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Components" displayName="tblComponents" ref="B44:C53" totalsRowShown="0">
  <autoFilter ref="B44:C53"/>
  <tableColumns count="2">
    <tableColumn id="1" name="Component"/>
    <tableColumn id="2" name="Typical fix"/>
  </tableColumns>
  <tableStyleInfo name="TableStyleLight1" showFirstColumn="0" showLastColumn="0" showRowStripes="0" showColumnStripes="0"/>
</table>
</file>

<file path=xl/tables/table3.xml><?xml version="1.0" encoding="utf-8"?>
<table xmlns="http://schemas.openxmlformats.org/spreadsheetml/2006/main" id="3" name="tblLeaks" displayName="tblLeaks" ref="B6:U54" totalsRowShown="0">
  <autoFilter ref="B6:U54"/>
  <tableColumns count="20">
    <tableColumn id="1" name="Tag no."/>
    <tableColumn id="2" name="Found"/>
    <tableColumn id="3" name="Area"/>
    <tableColumn id="4" name="Location"/>
    <tableColumn id="5" name="Component"/>
    <tableColumn id="6" name="Leak flow"/>
    <tableColumn id="7" name="Flow unit"/>
    <tableColumn id="8" name="Repair cost (est.)"/>
    <tableColumn id="9" name="Repaired on"/>
    <tableColumn id="10" name="Flow (cfm)">
      <calculatedColumnFormula>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calculatedColumnFormula>
    </tableColumn>
    <tableColumn id="11" name="Annual energy (kWh/yr)">
      <calculatedColumnFormula>IF(tblLeaks[[#This Row],[Tag no.]]="","",IF(ISNUMBER(tblLeaks[[#This Row],[Flow (cfm)]]),tblLeaks[[#This Row],[Flow (cfm)]]*KwPerCfm*PressHours,""))</calculatedColumnFormula>
    </tableColumn>
    <tableColumn id="12" name="Annual cost">
      <calculatedColumnFormula>IF(tblLeaks[[#This Row],[Tag no.]]="","",IF(ISNUMBER(tblLeaks[[#This Row],[Flow (cfm)]]),tblLeaks[[#This Row],[Flow (cfm)]]*KwPerCfm*PressHours*Rate,""))</calculatedColumnFormula>
    </tableColumn>
    <tableColumn id="13" name="Avoidable cost">
      <calculatedColumnFormula>IF(tblLeaks[[#This Row],[Tag no.]]="","",IF(ISNUMBER(tblLeaks[[#This Row],[Flow (cfm)]]),tblLeaks[[#This Row],[Flow (cfm)]]*KwPerCfm*PressHours*Rate*AvoidShare,""))</calculatedColumnFormula>
    </tableColumn>
    <tableColumn id="14" name="Payback (months)">
      <calculatedColumnFormula>IF(tblLeaks[[#This Row],[Tag no.]]="","",IF(AND(ISNUMBER(tblLeaks[[#This Row],[Repair cost (est.)]]),N(tblLeaks[[#This Row],[Flow (cfm)]])*KwPerCfm*PressHours*Rate*AvoidShare&gt;0),tblLeaks[[#This Row],[Repair cost (est.)]]/(tblLeaks[[#This Row],[Flow (cfm)]]*KwPerCfm*PressHours*Rate*AvoidShare)*12,""))</calculatedColumnFormula>
    </tableColumn>
    <tableColumn id="15" name="Repair due">
      <calculatedColumnFormula>IF(tblLeaks[[#This Row],[Tag no.]]="","",IF(tblLeaks[[#This Row],[Found]]="","",tblLeaks[[#This Row],[Found]]+RepairDays))</calculatedColumnFormula>
    </tableColumn>
    <tableColumn id="16" name="Days open">
      <calculatedColumnFormula>IF(tblLeaks[[#This Row],[Tag no.]]="","",IF(tblLeaks[[#This Row],[Found]]="","",IF(tblLeaks[[#This Row],[Repaired on]]&lt;&gt;"",tblLeaks[[#This Row],[Repaired on]],AsOf)-tblLeaks[[#This Row],[Found]]))</calculatedColumnFormula>
    </tableColumn>
    <tableColumn id="17" name="Status">
      <calculatedColumnFormula>IF(tblLeaks[[#This Row],[Tag no.]]="","",IF(tblLeaks[[#This Row],[Found]]="","",IF(tblLeaks[[#This Row],[Repaired on]]&lt;&gt;"","Complete",IF(AsOf&gt;tblLeaks[[#This Row],[Repair due]],"Overdue",IF(tblLeaks[[#This Row],[Repair due]]-AsOf&lt;=7,"Due soon","Open")))))</calculatedColumnFormula>
    </tableColumn>
    <tableColumn id="18" name="Repair order">
      <calculatedColumnFormula>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calculatedColumnFormula>
    </tableColumn>
    <tableColumn id="19" name="Check">
      <calculatedColumnFormula>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calculatedColumnFormula>
    </tableColumn>
    <tableColumn id="20" name="Notes"/>
  </tableColumns>
  <tableStyleInfo name="TableStyleLight1" showFirstColumn="0" showLastColumn="0" showRowStripes="0" showColumnStripes="0"/>
</table>
</file>

<file path=xl/tables/table4.xml><?xml version="1.0" encoding="utf-8"?>
<table xmlns="http://schemas.openxmlformats.org/spreadsheetml/2006/main" id="4" name="tblVerifyLeaks" displayName="tblVerifyLeaks" ref="B63:U68" totalsRowShown="0">
  <tableColumns count="20">
    <tableColumn id="1" name="Tag no."/>
    <tableColumn id="2" name="Found"/>
    <tableColumn id="3" name="Area"/>
    <tableColumn id="4" name="Location"/>
    <tableColumn id="5" name="Component"/>
    <tableColumn id="6" name="Leak flow"/>
    <tableColumn id="7" name="Flow unit"/>
    <tableColumn id="8" name="Repair cost (est.)"/>
    <tableColumn id="9" name="Repaired on"/>
    <tableColumn id="10" name="Flow (cfm)">
      <calculatedColumnFormula>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calculatedColumnFormula>
    </tableColumn>
    <tableColumn id="11" name="Annual energy (kWh/yr)">
      <calculatedColumnFormula>IF(tblVerifyLeaks[[#This Row],[Tag no.]]="","",IF(ISNUMBER(tblVerifyLeaks[[#This Row],[Flow (cfm)]]),tblVerifyLeaks[[#This Row],[Flow (cfm)]]*$E$46*$E$47,""))</calculatedColumnFormula>
    </tableColumn>
    <tableColumn id="12" name="Annual cost">
      <calculatedColumnFormula>IF(tblVerifyLeaks[[#This Row],[Tag no.]]="","",IF(ISNUMBER(tblVerifyLeaks[[#This Row],[Flow (cfm)]]),tblVerifyLeaks[[#This Row],[Flow (cfm)]]*$E$46*$E$47*$E$43,""))</calculatedColumnFormula>
    </tableColumn>
    <tableColumn id="13" name="Avoidable cost">
      <calculatedColumnFormula>IF(tblVerifyLeaks[[#This Row],[Tag no.]]="","",IF(ISNUMBER(tblVerifyLeaks[[#This Row],[Flow (cfm)]]),tblVerifyLeaks[[#This Row],[Flow (cfm)]]*$E$46*$E$47*$E$43*$E$49,""))</calculatedColumnFormula>
    </tableColumn>
    <tableColumn id="14" name="Payback (months)">
      <calculatedColumnFormula>IF(tblVerifyLeaks[[#This Row],[Tag no.]]="","",IF(AND(ISNUMBER(tblVerifyLeaks[[#This Row],[Repair cost (est.)]]),N(tblVerifyLeaks[[#This Row],[Flow (cfm)]])*$E$46*$E$47*$E$43*$E$49&gt;0),tblVerifyLeaks[[#This Row],[Repair cost (est.)]]/(tblVerifyLeaks[[#This Row],[Flow (cfm)]]*$E$46*$E$47*$E$43*$E$49)*12,""))</calculatedColumnFormula>
    </tableColumn>
    <tableColumn id="15" name="Repair due">
      <calculatedColumnFormula>IF(tblVerifyLeaks[[#This Row],[Tag no.]]="","",IF(tblVerifyLeaks[[#This Row],[Found]]="","",tblVerifyLeaks[[#This Row],[Found]]+$E$59))</calculatedColumnFormula>
    </tableColumn>
    <tableColumn id="16" name="Days open">
      <calculatedColumnFormula>IF(tblVerifyLeaks[[#This Row],[Tag no.]]="","",IF(tblVerifyLeaks[[#This Row],[Found]]="","",IF(tblVerifyLeaks[[#This Row],[Repaired on]]&lt;&gt;"",tblVerifyLeaks[[#This Row],[Repaired on]],$E$58)-tblVerifyLeaks[[#This Row],[Found]]))</calculatedColumnFormula>
    </tableColumn>
    <tableColumn id="17" name="Status">
      <calculatedColumnFormula>IF(tblVerifyLeaks[[#This Row],[Tag no.]]="","",IF(tblVerifyLeaks[[#This Row],[Found]]="","",IF(tblVerifyLeaks[[#This Row],[Repaired on]]&lt;&gt;"","Complete",IF($E$58&gt;tblVerifyLeaks[[#This Row],[Repair due]],"Overdue",IF(tblVerifyLeaks[[#This Row],[Repair due]]-$E$58&lt;=7,"Due soon","Open")))))</calculatedColumnFormula>
    </tableColumn>
    <tableColumn id="18" name="Repair order">
      <calculatedColumnFormula>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calculatedColumnFormula>
    </tableColumn>
    <tableColumn id="19" name="Check">
      <calculatedColumnFormula>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calculatedColumnFormula>
    </tableColumn>
    <tableColumn id="20"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hyperlink" Target="https://www.mfgcalcs.com/calculators/energy-carbon-sustainability/compressed-air-leak-cost?utm_source=mfgcalcs-template&amp;utm_medium=xlsx&amp;utm_campaign=compressed-air-leak-cost" TargetMode="External"/><Relationship Id="rId3" Type="http://schemas.openxmlformats.org/officeDocument/2006/relationships/hyperlink" Target="https://www.mfgcalcs.com/templates/compressed-air-leak-cost?utm_source=mfgcalcs-template&amp;utm_medium=xlsx&amp;utm_campaign=compressed-air-leak-cost" TargetMode="External"/><Relationship Id="rId4" Type="http://schemas.openxmlformats.org/officeDocument/2006/relationships/hyperlink" Target="https://www.mfgcalcs.com/templates?utm_source=mfgcalcs-template&amp;utm_medium=xlsx&amp;utm_campaign=compressed-air-leak-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hyperlink" Target="https://www.mfgcalcs.com/calculators/energy-carbon-sustainability/compressed-air-leak-cost?utm_source=mfgcalcs-template&amp;utm_medium=xlsx&amp;utm_campaign=compressed-air-leak-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mpressed-air-leak-cost"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27 of 27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Leak Register'!A1" tooltip="Go to Leak Register" display="Leak Register"/>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Compressed Air Leak Cost Tracker&amp;R&amp;8&amp;A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3"/>
  <sheetViews>
    <sheetView showGridLines="0" workbookViewId="0"/>
  </sheetViews>
  <sheetFormatPr defaultRowHeight="15"/>
  <cols>
    <col min="1" max="1" width="2.7109375" customWidth="1"/>
    <col min="2" max="2" width="34.7109375" customWidth="1"/>
    <col min="3" max="3" width="16.7109375" customWidth="1"/>
    <col min="4" max="4" width="4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9" spans="1:5" ht="21" customHeight="1">
      <c r="B9" s="8" t="s">
        <v>72</v>
      </c>
      <c r="C9" s="8"/>
      <c r="D9" s="8"/>
    </row>
    <row r="10" spans="1:5" ht="5" customHeight="1"/>
    <row r="11" spans="1:5">
      <c r="B11" s="27" t="s">
        <v>73</v>
      </c>
      <c r="C11" s="29">
        <v>0.11</v>
      </c>
      <c r="D11" s="7" t="str">
        <f>Currency&amp;"/kWh"</f>
        <v>USD/kWh</v>
      </c>
    </row>
    <row r="12" spans="1:5">
      <c r="B12" s="27" t="s">
        <v>74</v>
      </c>
      <c r="C12" s="30">
        <v>19</v>
      </c>
      <c r="D12" s="7" t="s">
        <v>75</v>
      </c>
    </row>
    <row r="13" spans="1:5">
      <c r="B13" s="27" t="s">
        <v>76</v>
      </c>
      <c r="C13" s="28" t="s">
        <v>77</v>
      </c>
      <c r="D13" s="28"/>
    </row>
    <row r="14" spans="1:5">
      <c r="B14" s="27" t="s">
        <v>78</v>
      </c>
      <c r="C14" s="31">
        <f>IF(SpecUnit="kW per m3/min",SpecPower*0.028316846592,SpecPower/100)</f>
        <v>0.19</v>
      </c>
      <c r="D14" s="7" t="s">
        <v>79</v>
      </c>
    </row>
    <row r="15" spans="1:5">
      <c r="B15" s="27" t="s">
        <v>80</v>
      </c>
      <c r="C15" s="32">
        <v>6000</v>
      </c>
      <c r="D15" s="7" t="s">
        <v>81</v>
      </c>
    </row>
    <row r="16" spans="1:5">
      <c r="B16" s="17" t="s">
        <v>82</v>
      </c>
      <c r="C16" s="33">
        <f>KwPerCfm*PressHours*Rate</f>
        <v>125.4</v>
      </c>
      <c r="D16" s="7" t="str">
        <f>Currency&amp;" per cfm-year"</f>
        <v>USD per cfm-year</v>
      </c>
    </row>
    <row r="17" spans="2:4">
      <c r="B17" s="27" t="s">
        <v>83</v>
      </c>
      <c r="C17" s="34">
        <v>0.8</v>
      </c>
      <c r="D17" s="7"/>
    </row>
    <row r="19" spans="2:4" ht="21" customHeight="1">
      <c r="B19" s="8" t="s">
        <v>84</v>
      </c>
      <c r="C19" s="8"/>
      <c r="D19" s="8"/>
    </row>
    <row r="20" spans="2:4" ht="5" customHeight="1"/>
    <row r="21" spans="2:4">
      <c r="B21" s="27" t="s">
        <v>85</v>
      </c>
      <c r="C21" s="32">
        <v>800</v>
      </c>
      <c r="D21" s="7" t="s">
        <v>75</v>
      </c>
    </row>
    <row r="22" spans="2:4">
      <c r="B22" s="27" t="s">
        <v>86</v>
      </c>
      <c r="C22" s="28" t="s">
        <v>87</v>
      </c>
      <c r="D22" s="28"/>
    </row>
    <row r="23" spans="2:4">
      <c r="B23" s="27" t="s">
        <v>88</v>
      </c>
      <c r="C23" s="35">
        <f>IF(CapUnit="L/s",Capacity*60/28.316846592,IF(CapUnit="m3/min",Capacity/0.028316846592,Capacity))</f>
        <v>800</v>
      </c>
      <c r="D23" s="7" t="s">
        <v>87</v>
      </c>
    </row>
    <row r="24" spans="2:4">
      <c r="B24" s="27" t="s">
        <v>89</v>
      </c>
      <c r="C24" s="34">
        <v>0.1</v>
      </c>
      <c r="D24" s="7"/>
    </row>
    <row r="26" spans="2:4">
      <c r="B26" s="27" t="s">
        <v>90</v>
      </c>
      <c r="C26" s="36">
        <v>46304</v>
      </c>
      <c r="D26" s="7"/>
    </row>
    <row r="27" spans="2:4">
      <c r="B27" s="27" t="s">
        <v>91</v>
      </c>
      <c r="C27" s="32">
        <v>30</v>
      </c>
      <c r="D27" s="7" t="s">
        <v>92</v>
      </c>
    </row>
    <row r="29" spans="2:4" ht="35.4" customHeight="1">
      <c r="B29" s="25" t="s">
        <v>93</v>
      </c>
      <c r="C29" s="25"/>
      <c r="D29" s="25"/>
    </row>
    <row r="31" spans="2:4" ht="21" customHeight="1">
      <c r="B31" s="8" t="s">
        <v>94</v>
      </c>
      <c r="C31" s="8"/>
      <c r="D31" s="8"/>
    </row>
    <row r="32" spans="2:4" ht="5" customHeight="1"/>
    <row r="33" spans="2:4">
      <c r="B33" s="21" t="s">
        <v>95</v>
      </c>
      <c r="C33" s="21"/>
      <c r="D33" s="21"/>
    </row>
    <row r="34" spans="2:4">
      <c r="B34" s="37" t="s">
        <v>96</v>
      </c>
      <c r="C34" s="37"/>
      <c r="D34" s="37"/>
    </row>
    <row r="35" spans="2:4" ht="20" customHeight="1">
      <c r="B35" s="38" t="s">
        <v>62</v>
      </c>
      <c r="C35" s="38" t="s">
        <v>63</v>
      </c>
      <c r="D35" s="38" t="s">
        <v>64</v>
      </c>
    </row>
    <row r="36" spans="2:4">
      <c r="B36" s="28" t="s">
        <v>97</v>
      </c>
      <c r="C36" s="28" t="s">
        <v>98</v>
      </c>
      <c r="D36" s="28" t="s">
        <v>99</v>
      </c>
    </row>
    <row r="37" spans="2:4">
      <c r="B37" s="28" t="s">
        <v>100</v>
      </c>
      <c r="C37" s="28" t="s">
        <v>101</v>
      </c>
      <c r="D37" s="28" t="s">
        <v>102</v>
      </c>
    </row>
    <row r="38" spans="2:4">
      <c r="B38" s="28" t="s">
        <v>103</v>
      </c>
      <c r="C38" s="28" t="s">
        <v>104</v>
      </c>
      <c r="D38" s="28" t="s">
        <v>105</v>
      </c>
    </row>
    <row r="39" spans="2:4">
      <c r="B39" s="28" t="s">
        <v>106</v>
      </c>
      <c r="C39" s="28" t="s">
        <v>107</v>
      </c>
      <c r="D39" s="28" t="s">
        <v>108</v>
      </c>
    </row>
    <row r="40" spans="2:4">
      <c r="B40" s="28" t="s">
        <v>109</v>
      </c>
      <c r="C40" s="28" t="s">
        <v>110</v>
      </c>
      <c r="D40" s="28" t="s">
        <v>111</v>
      </c>
    </row>
    <row r="41" spans="2:4">
      <c r="B41" s="28" t="s">
        <v>112</v>
      </c>
      <c r="C41" s="28" t="s">
        <v>113</v>
      </c>
      <c r="D41" s="28" t="s">
        <v>114</v>
      </c>
    </row>
    <row r="43" spans="2:4">
      <c r="B43" s="37" t="s">
        <v>115</v>
      </c>
      <c r="C43" s="37"/>
    </row>
    <row r="44" spans="2:4" ht="20" customHeight="1">
      <c r="B44" s="38" t="s">
        <v>65</v>
      </c>
      <c r="C44" s="38" t="s">
        <v>66</v>
      </c>
    </row>
    <row r="45" spans="2:4">
      <c r="B45" s="28" t="s">
        <v>116</v>
      </c>
      <c r="C45" s="39" t="s">
        <v>117</v>
      </c>
    </row>
    <row r="46" spans="2:4">
      <c r="B46" s="28" t="s">
        <v>118</v>
      </c>
      <c r="C46" s="39" t="s">
        <v>119</v>
      </c>
    </row>
    <row r="47" spans="2:4">
      <c r="B47" s="28" t="s">
        <v>120</v>
      </c>
      <c r="C47" s="39" t="s">
        <v>121</v>
      </c>
    </row>
    <row r="48" spans="2:4">
      <c r="B48" s="28" t="s">
        <v>122</v>
      </c>
      <c r="C48" s="39" t="s">
        <v>123</v>
      </c>
    </row>
    <row r="49" spans="2:3">
      <c r="B49" s="28" t="s">
        <v>124</v>
      </c>
      <c r="C49" s="39" t="s">
        <v>125</v>
      </c>
    </row>
    <row r="50" spans="2:3">
      <c r="B50" s="28" t="s">
        <v>126</v>
      </c>
      <c r="C50" s="39" t="s">
        <v>127</v>
      </c>
    </row>
    <row r="51" spans="2:3">
      <c r="B51" s="28" t="s">
        <v>128</v>
      </c>
      <c r="C51" s="39" t="s">
        <v>129</v>
      </c>
    </row>
    <row r="52" spans="2:3">
      <c r="B52" s="28" t="s">
        <v>130</v>
      </c>
      <c r="C52" s="39" t="s">
        <v>131</v>
      </c>
    </row>
    <row r="53" spans="2:3">
      <c r="B53" s="28" t="s">
        <v>132</v>
      </c>
      <c r="C53" s="39" t="s">
        <v>133</v>
      </c>
    </row>
  </sheetData>
  <mergeCells count="15">
    <mergeCell ref="A1:E1"/>
    <mergeCell ref="B2:C2"/>
    <mergeCell ref="D2:E2"/>
    <mergeCell ref="B4:D4"/>
    <mergeCell ref="C6:D6"/>
    <mergeCell ref="C7:D7"/>
    <mergeCell ref="B9:D9"/>
    <mergeCell ref="C13:D13"/>
    <mergeCell ref="B19:D19"/>
    <mergeCell ref="C22:D22"/>
    <mergeCell ref="B29:D29"/>
    <mergeCell ref="B31:D31"/>
    <mergeCell ref="B33:D33"/>
    <mergeCell ref="B34:D34"/>
    <mergeCell ref="B43:C43"/>
  </mergeCells>
  <dataValidations count="17">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 promptTitle="Electricity rate (blended)" prompt="Total bill / total kWh from recent bills, demand charges included. Example value: use your own. Enter a number from 0 to 100." sqref="C11">
      <formula1>0</formula1>
      <formula2>100</formula2>
    </dataValidation>
    <dataValidation type="decimal" allowBlank="1" showInputMessage="1" showErrorMessage="1" errorTitle="Check this entry" error="Enter a number from 0.1 to 500." promptTitle="Compressor specific power" prompt="Input power per unit of air delivered, from the compressor's data sheet (CAGI or ISO 1217) or a power and flow log. Example value: use your own. Enter a number from 0.1 to 500." sqref="C12">
      <formula1>0.1</formula1>
      <formula2>500</formula2>
    </dataValidation>
    <dataValidation type="list" allowBlank="1" showInputMessage="1" showErrorMessage="1" errorTitle="Check this entry" error="Pick one of: kW per 100 cfm, kW per m3/min." promptTitle="Specific power unit" prompt="kW per 100 cfm (US data sheets) or kW per m3/min (ISO 1217 data sheets). Converted exactly: 1 cfm = 0.028316846592 m3/min. Pick one of: kW per 100 cfm, kW per m3/min." sqref="C13">
      <formula1>"kW per 100 cfm,kW per m3/min"</formula1>
    </dataValidation>
    <dataValidation type="whole" allowBlank="1" showInputMessage="1" showErrorMessage="1" errorTitle="Check this entry" error="Enter a whole number from 1 to 8,784." promptTitle="Hours the system is pressurized" prompt="Leaks blow whenever the header is under pressure, not only when production runs. 24/7 = 8,760 h. Enter a whole number from 1 to 8,784." sqref="C15">
      <formula1>1</formula1>
      <formula2>8784</formula2>
    </dataValidation>
    <dataValidation type="decimal" allowBlank="1" showInputMessage="1" showErrorMessage="1" errorTitle="Check this entry" error="Enter a percentage from 0% to 100% (type 85% or 0.85)." promptTitle="Share of leak cost a repair a..." prompt="Your estimate. Close to 100% when a variable-speed or well-sequenced compressor trims to demand; lower with load/unload or modulating control, where part of the power is drawn anyway. Check with a before/after power log. Enter a percentage from 0% to 1..." sqref="C17">
      <formula1>0</formula1>
      <formula2>1</formula2>
    </dataValidation>
    <dataValidation type="decimal" allowBlank="1" showInputMessage="1" showErrorMessage="1" errorTitle="Check this entry" error="Enter a number from 1 to 1,000,000." promptTitle="Compressor capacity normally ..." prompt="Free air delivery of the compressors that normally run. Used only for open leakage as a share of capacity. Enter a number from 1 to 1,000,000." sqref="C21">
      <formula1>1</formula1>
      <formula2>1000000</formula2>
    </dataValidation>
    <dataValidation type="list" allowBlank="1" showInputMessage="1" showErrorMessage="1" errorTitle="Check this entry" error="Pick one of: cfm, L/s, m3/min." promptTitle="Capacity unit" prompt="Converted exactly: 1 L/s = 60/28.316846592 cfm; 1 m3/min = 1/0.028316846592 cfm. Pick one of: cfm, L/s, m3/min." sqref="C22">
      <formula1>"cfm,L/s,m3/min"</formula1>
    </dataValidation>
    <dataValidation type="decimal" allowBlank="1" showInputMessage="1" showErrorMessage="1" errorTitle="Check this entry" error="Enter a percentage from 0% to 100% (type 85% or 0.85)." promptTitle="Open leakage target" prompt="Your own target for open leak flow as a share of capacity. The US DOE compressed air sourcebook describes leakage under 10% of output as achievable in a well-maintained system. Enter a percentage from 0% to 100% (type 85% or 0.85)." sqref="C24">
      <formula1>0</formula1>
      <formula2>1</formula2>
    </dataValidation>
    <dataValidation type="date" allowBlank="1" showInputMessage="1" showErrorMessage="1" errorTitle="Check this entry" error="Enter a date between 01 Jan 2000 and 31 Dec 2100." promptTitle="Status date (as of)" prompt="The date the register was last brought up to date. Due and overdue are measured to this date; move it forward when you update the log. Enter a date between 01 Jan 2000 and 31 Dec 2100." sqref="C26">
      <formula1>36526</formula1>
      <formula2>73415</formula2>
    </dataValidation>
    <dataValidation type="whole" allowBlank="1" showInputMessage="1" showErrorMessage="1" errorTitle="Check this entry" error="Enter a whole number from 1 to 365." promptTitle="Repair window" prompt="Your target time from tagging a leak to fixing it. Enter a whole number from 1 to 365." sqref="C27">
      <formula1>1</formula1>
      <formula2>365</formula2>
    </dataValidation>
    <dataValidation type="textLength" allowBlank="1" showInputMessage="1" showErrorMessage="1" errorTitle="Check this entry" error="Text up to 40 characters." promptTitle="Area" prompt="Text up to 40 characters." sqref="B36:B141">
      <formula1>0</formula1>
      <formula2>40</formula2>
    </dataValidation>
    <dataValidation type="textLength" allowBlank="1" showInputMessage="1" showErrorMessage="1" errorTitle="Check this entry" error="Text up to 40 characters." promptTitle="Owner" prompt="Text up to 40 characters." sqref="C36:C141">
      <formula1>0</formula1>
      <formula2>40</formula2>
    </dataValidation>
    <dataValidation type="textLength" allowBlank="1" showInputMessage="1" showErrorMessage="1" errorTitle="Check this entry" error="Text up to 120 characters." promptTitle="Notes" prompt="Text up to 120 characters." sqref="D36:D141">
      <formula1>0</formula1>
      <formula2>120</formula2>
    </dataValidation>
    <dataValidation type="textLength" allowBlank="1" showInputMessage="1" showErrorMessage="1" errorTitle="Check this entry" error="Text up to 40 characters." promptTitle="Component" prompt="Text up to 40 characters." sqref="B45:B153">
      <formula1>0</formula1>
      <formula2>40</formula2>
    </dataValidation>
    <dataValidation type="textLength" allowBlank="1" showInputMessage="1" showErrorMessage="1" errorTitle="Check this entry" error="Text up to 120 characters." promptTitle="Typical fix" prompt="Text up to 120 characters." sqref="C45:C153">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Compressed Air Leak Cost Tracker&amp;R&amp;8&amp;A</oddHeader>
    <oddFooter>&amp;L&amp;8mfgcalcs.com - free manufacturing templates&amp;R&amp;8Page &amp;P of &amp;N</oddFooter>
  </headerFooter>
  <rowBreaks count="1" manualBreakCount="1">
    <brk id="42"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U54"/>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8.7109375" customWidth="1"/>
    <col min="3" max="3" width="12.28515625" customWidth="1"/>
    <col min="4" max="4" width="15.7109375" customWidth="1"/>
    <col min="5" max="5" width="20.7109375" customWidth="1"/>
    <col min="6" max="6" width="15.7109375" customWidth="1"/>
    <col min="7" max="7" width="8.7109375" customWidth="1"/>
    <col min="8" max="8" width="8.28515625" customWidth="1"/>
    <col min="9" max="9" width="10.28515625" customWidth="1"/>
    <col min="10" max="10" width="12.28515625" customWidth="1"/>
    <col min="11" max="11" width="8.7109375" customWidth="1"/>
    <col min="12" max="12" width="11.7109375" customWidth="1"/>
    <col min="13" max="13" width="9.7109375" customWidth="1"/>
    <col min="14" max="14" width="10.28515625" customWidth="1"/>
    <col min="15" max="15" width="9.7109375" customWidth="1"/>
    <col min="16" max="16" width="12.28515625" customWidth="1"/>
    <col min="17" max="17" width="7.7109375" customWidth="1"/>
    <col min="18" max="18" width="10.7109375" customWidth="1"/>
    <col min="19" max="19" width="8.7109375" customWidth="1"/>
    <col min="20" max="20" width="22.7109375" customWidth="1"/>
    <col min="21" max="21" width="26.7109375" customWidth="1"/>
  </cols>
  <sheetData>
    <row r="1" spans="1:21" ht="30" customHeight="1" x14ac:dyDescent="0.25">
      <c r="A1" s="1" t="s">
        <v>0</v>
      </c>
      <c r="B1" s="1"/>
      <c r="C1" s="1"/>
      <c r="D1" s="1"/>
      <c r="E1" s="1"/>
      <c r="F1" s="1"/>
      <c r="G1" s="1"/>
      <c r="H1" s="1"/>
      <c r="I1" s="1"/>
      <c r="J1" s="1"/>
      <c r="K1" s="1"/>
      <c r="L1" s="1"/>
      <c r="M1" s="1"/>
      <c r="N1" s="1"/>
      <c r="O1" s="1"/>
      <c r="P1" s="1"/>
      <c r="Q1" s="1"/>
      <c r="R1" s="1"/>
      <c r="S1" s="1"/>
      <c r="T1" s="1"/>
      <c r="U1" s="1"/>
    </row>
    <row r="2" spans="1:21" ht="21" customHeight="1" x14ac:dyDescent="0.25">
      <c r="B2" s="2" t="s">
        <v>22</v>
      </c>
      <c r="C2" s="2"/>
      <c r="D2" s="2"/>
      <c r="E2" s="2"/>
      <c r="F2" s="2"/>
      <c r="G2" s="2"/>
      <c r="H2" s="2"/>
      <c r="I2" s="2"/>
      <c r="J2" s="2"/>
      <c r="K2" s="2"/>
      <c r="L2" s="2"/>
      <c r="M2" s="2"/>
      <c r="N2" s="2"/>
      <c r="O2" s="2"/>
      <c r="P2" s="2"/>
      <c r="Q2" s="2"/>
      <c r="R2" s="2"/>
      <c r="S2" s="2"/>
      <c r="T2" s="2"/>
      <c r="U2" s="3" t="s">
        <v>2</v>
      </c>
    </row>
    <row r="3" spans="1:21" ht="6" customHeight="1" x14ac:dyDescent="0.25"/>
    <row r="4" spans="1:21" ht="18" customHeight="1" x14ac:dyDescent="0.25">
      <c r="B4" s="40" t="s">
        <v>151</v>
      </c>
      <c r="C4" s="40"/>
      <c r="D4" s="40"/>
      <c r="E4" s="40"/>
      <c r="F4" s="40"/>
      <c r="G4" s="40"/>
      <c r="H4" s="40"/>
      <c r="I4" s="40"/>
      <c r="J4" s="40"/>
      <c r="K4" s="40"/>
      <c r="L4" s="40"/>
      <c r="M4" s="40"/>
      <c r="N4" s="40"/>
      <c r="O4" s="40"/>
      <c r="P4" s="40"/>
      <c r="Q4" s="40"/>
      <c r="R4" s="40"/>
      <c r="S4" s="40"/>
      <c r="T4" s="40"/>
      <c r="U4" s="40"/>
    </row>
    <row r="5" spans="1:21" ht="14" customHeight="1" x14ac:dyDescent="0.25">
      <c r="B5" s="41"/>
      <c r="C5" s="41"/>
      <c r="D5" s="41"/>
      <c r="E5" s="41"/>
      <c r="F5" s="41"/>
      <c r="G5" s="41"/>
      <c r="H5" s="41"/>
      <c r="I5" s="41" t="str">
        <f>Currency</f>
        <v>USD</v>
      </c>
      <c r="J5" s="41"/>
      <c r="K5" s="41"/>
      <c r="L5" s="41"/>
      <c r="M5" s="41" t="str">
        <f>Currency&amp;"/yr"</f>
        <v>USD/yr</v>
      </c>
      <c r="N5" s="41" t="str">
        <f>Currency&amp;"/yr"</f>
        <v>USD/yr</v>
      </c>
      <c r="O5" s="41"/>
      <c r="P5" s="41"/>
      <c r="Q5" s="41"/>
      <c r="R5" s="41"/>
      <c r="S5" s="41"/>
      <c r="T5" s="41"/>
      <c r="U5" s="41"/>
    </row>
    <row r="6" spans="1:21" ht="32" customHeight="1" x14ac:dyDescent="0.25">
      <c r="B6" s="38" t="s">
        <v>134</v>
      </c>
      <c r="C6" s="38" t="s">
        <v>135</v>
      </c>
      <c r="D6" s="38" t="s">
        <v>62</v>
      </c>
      <c r="E6" s="38" t="s">
        <v>136</v>
      </c>
      <c r="F6" s="38" t="s">
        <v>65</v>
      </c>
      <c r="G6" s="38" t="s">
        <v>137</v>
      </c>
      <c r="H6" s="38" t="s">
        <v>138</v>
      </c>
      <c r="I6" s="38" t="s">
        <v>139</v>
      </c>
      <c r="J6" s="38" t="s">
        <v>140</v>
      </c>
      <c r="K6" s="38" t="s">
        <v>141</v>
      </c>
      <c r="L6" s="38" t="s">
        <v>142</v>
      </c>
      <c r="M6" s="38" t="s">
        <v>143</v>
      </c>
      <c r="N6" s="38" t="s">
        <v>144</v>
      </c>
      <c r="O6" s="38" t="s">
        <v>145</v>
      </c>
      <c r="P6" s="38" t="s">
        <v>146</v>
      </c>
      <c r="Q6" s="38" t="s">
        <v>147</v>
      </c>
      <c r="R6" s="38" t="s">
        <v>148</v>
      </c>
      <c r="S6" s="38" t="s">
        <v>149</v>
      </c>
      <c r="T6" s="38" t="s">
        <v>150</v>
      </c>
      <c r="U6" s="38" t="s">
        <v>64</v>
      </c>
    </row>
    <row r="7" spans="1:21" x14ac:dyDescent="0.25">
      <c r="B7" s="28" t="s">
        <v>152</v>
      </c>
      <c r="C7" s="36">
        <v>46252</v>
      </c>
      <c r="D7" s="28" t="s">
        <v>97</v>
      </c>
      <c r="E7" s="28" t="s">
        <v>153</v>
      </c>
      <c r="F7" s="28" t="s">
        <v>130</v>
      </c>
      <c r="G7" s="42">
        <v>9</v>
      </c>
      <c r="H7" s="28" t="s">
        <v>87</v>
      </c>
      <c r="I7" s="32">
        <v>485</v>
      </c>
      <c r="J7" s="36"/>
      <c r="K7"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9</v>
      </c>
      <c r="L7" s="35">
        <f>IF(tblLeaks[[#This Row],[Tag no.]]="","",IF(ISNUMBER(tblLeaks[[#This Row],[Flow (cfm)]]),tblLeaks[[#This Row],[Flow (cfm)]]*KwPerCfm*PressHours,""))</f>
        <v>10260</v>
      </c>
      <c r="M7" s="35">
        <f>IF(tblLeaks[[#This Row],[Tag no.]]="","",IF(ISNUMBER(tblLeaks[[#This Row],[Flow (cfm)]]),tblLeaks[[#This Row],[Flow (cfm)]]*KwPerCfm*PressHours*Rate,""))</f>
        <v>1128.6</v>
      </c>
      <c r="N7" s="35">
        <f>IF(tblLeaks[[#This Row],[Tag no.]]="","",IF(ISNUMBER(tblLeaks[[#This Row],[Flow (cfm)]]),tblLeaks[[#This Row],[Flow (cfm)]]*KwPerCfm*PressHours*Rate*AvoidShare,""))</f>
        <v>902.88</v>
      </c>
      <c r="O7" s="43">
        <f>IF(tblLeaks[[#This Row],[Tag no.]]="","",IF(AND(ISNUMBER(tblLeaks[[#This Row],[Repair cost (est.)]]),N(tblLeaks[[#This Row],[Flow (cfm)]])*KwPerCfm*PressHours*Rate*AvoidShare&gt;0),tblLeaks[[#This Row],[Repair cost (est.)]]/(tblLeaks[[#This Row],[Flow (cfm)]]*KwPerCfm*PressHours*Rate*AvoidShare)*12,""))</f>
        <v>6.44603934077618</v>
      </c>
      <c r="P7" s="44">
        <f>IF(tblLeaks[[#This Row],[Tag no.]]="","",IF(tblLeaks[[#This Row],[Found]]="","",tblLeaks[[#This Row],[Found]]+RepairDays))</f>
        <v>46282</v>
      </c>
      <c r="Q7" s="35">
        <f>IF(tblLeaks[[#This Row],[Tag no.]]="","",IF(tblLeaks[[#This Row],[Found]]="","",IF(tblLeaks[[#This Row],[Repaired on]]&lt;&gt;"",tblLeaks[[#This Row],[Repaired on]],AsOf)-tblLeaks[[#This Row],[Found]]))</f>
        <v>52</v>
      </c>
      <c r="R7" s="45" t="str">
        <f>IF(tblLeaks[[#This Row],[Tag no.]]="","",IF(tblLeaks[[#This Row],[Found]]="","",IF(tblLeaks[[#This Row],[Repaired on]]&lt;&gt;"","Complete",IF(AsOf&gt;tblLeaks[[#This Row],[Repair due]],"Overdue",IF(tblLeaks[[#This Row],[Repair due]]-AsOf&lt;=7,"Due soon","Open")))))</f>
        <v>Overdue</v>
      </c>
      <c r="S7"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5</v>
      </c>
      <c r="T7"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7" s="28" t="s">
        <v>154</v>
      </c>
    </row>
    <row r="8" spans="1:21" x14ac:dyDescent="0.25">
      <c r="B8" s="28" t="s">
        <v>155</v>
      </c>
      <c r="C8" s="36">
        <v>46252</v>
      </c>
      <c r="D8" s="28" t="s">
        <v>97</v>
      </c>
      <c r="E8" s="28" t="s">
        <v>156</v>
      </c>
      <c r="F8" s="28" t="s">
        <v>130</v>
      </c>
      <c r="G8" s="42">
        <v>16.5</v>
      </c>
      <c r="H8" s="28" t="s">
        <v>87</v>
      </c>
      <c r="I8" s="32">
        <v>580</v>
      </c>
      <c r="J8" s="36"/>
      <c r="K8"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16.5</v>
      </c>
      <c r="L8" s="35">
        <f>IF(tblLeaks[[#This Row],[Tag no.]]="","",IF(ISNUMBER(tblLeaks[[#This Row],[Flow (cfm)]]),tblLeaks[[#This Row],[Flow (cfm)]]*KwPerCfm*PressHours,""))</f>
        <v>18810</v>
      </c>
      <c r="M8" s="35">
        <f>IF(tblLeaks[[#This Row],[Tag no.]]="","",IF(ISNUMBER(tblLeaks[[#This Row],[Flow (cfm)]]),tblLeaks[[#This Row],[Flow (cfm)]]*KwPerCfm*PressHours*Rate,""))</f>
        <v>2069.1</v>
      </c>
      <c r="N8" s="35">
        <f>IF(tblLeaks[[#This Row],[Tag no.]]="","",IF(ISNUMBER(tblLeaks[[#This Row],[Flow (cfm)]]),tblLeaks[[#This Row],[Flow (cfm)]]*KwPerCfm*PressHours*Rate*AvoidShare,""))</f>
        <v>1655.28</v>
      </c>
      <c r="O8" s="43">
        <f>IF(tblLeaks[[#This Row],[Tag no.]]="","",IF(AND(ISNUMBER(tblLeaks[[#This Row],[Repair cost (est.)]]),N(tblLeaks[[#This Row],[Flow (cfm)]])*KwPerCfm*PressHours*Rate*AvoidShare&gt;0),tblLeaks[[#This Row],[Repair cost (est.)]]/(tblLeaks[[#This Row],[Flow (cfm)]]*KwPerCfm*PressHours*Rate*AvoidShare)*12,""))</f>
        <v>4.20472669276497</v>
      </c>
      <c r="P8" s="44">
        <f>IF(tblLeaks[[#This Row],[Tag no.]]="","",IF(tblLeaks[[#This Row],[Found]]="","",tblLeaks[[#This Row],[Found]]+RepairDays))</f>
        <v>46282</v>
      </c>
      <c r="Q8" s="35">
        <f>IF(tblLeaks[[#This Row],[Tag no.]]="","",IF(tblLeaks[[#This Row],[Found]]="","",IF(tblLeaks[[#This Row],[Repaired on]]&lt;&gt;"",tblLeaks[[#This Row],[Repaired on]],AsOf)-tblLeaks[[#This Row],[Found]]))</f>
        <v>52</v>
      </c>
      <c r="R8" s="45" t="str">
        <f>IF(tblLeaks[[#This Row],[Tag no.]]="","",IF(tblLeaks[[#This Row],[Found]]="","",IF(tblLeaks[[#This Row],[Repaired on]]&lt;&gt;"","Complete",IF(AsOf&gt;tblLeaks[[#This Row],[Repair due]],"Overdue",IF(tblLeaks[[#This Row],[Repair due]]-AsOf&lt;=7,"Due soon","Open")))))</f>
        <v>Overdue</v>
      </c>
      <c r="S8"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v>
      </c>
      <c r="T8"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8" s="28" t="s">
        <v>154</v>
      </c>
    </row>
    <row r="9" spans="1:21" x14ac:dyDescent="0.25">
      <c r="B9" s="28" t="s">
        <v>157</v>
      </c>
      <c r="C9" s="36">
        <v>46252</v>
      </c>
      <c r="D9" s="28" t="s">
        <v>103</v>
      </c>
      <c r="E9" s="28" t="s">
        <v>158</v>
      </c>
      <c r="F9" s="28" t="s">
        <v>132</v>
      </c>
      <c r="G9" s="42">
        <v>5.5</v>
      </c>
      <c r="H9" s="28" t="s">
        <v>87</v>
      </c>
      <c r="I9" s="32">
        <v>655</v>
      </c>
      <c r="J9" s="36"/>
      <c r="K9"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5.5</v>
      </c>
      <c r="L9" s="35">
        <f>IF(tblLeaks[[#This Row],[Tag no.]]="","",IF(ISNUMBER(tblLeaks[[#This Row],[Flow (cfm)]]),tblLeaks[[#This Row],[Flow (cfm)]]*KwPerCfm*PressHours,""))</f>
        <v>6270</v>
      </c>
      <c r="M9" s="35">
        <f>IF(tblLeaks[[#This Row],[Tag no.]]="","",IF(ISNUMBER(tblLeaks[[#This Row],[Flow (cfm)]]),tblLeaks[[#This Row],[Flow (cfm)]]*KwPerCfm*PressHours*Rate,""))</f>
        <v>689.7</v>
      </c>
      <c r="N9" s="35">
        <f>IF(tblLeaks[[#This Row],[Tag no.]]="","",IF(ISNUMBER(tblLeaks[[#This Row],[Flow (cfm)]]),tblLeaks[[#This Row],[Flow (cfm)]]*KwPerCfm*PressHours*Rate*AvoidShare,""))</f>
        <v>551.76</v>
      </c>
      <c r="O9" s="43">
        <f>IF(tblLeaks[[#This Row],[Tag no.]]="","",IF(AND(ISNUMBER(tblLeaks[[#This Row],[Repair cost (est.)]]),N(tblLeaks[[#This Row],[Flow (cfm)]])*KwPerCfm*PressHours*Rate*AvoidShare&gt;0),tblLeaks[[#This Row],[Repair cost (est.)]]/(tblLeaks[[#This Row],[Flow (cfm)]]*KwPerCfm*PressHours*Rate*AvoidShare)*12,""))</f>
        <v>14.2453240539365</v>
      </c>
      <c r="P9" s="44">
        <f>IF(tblLeaks[[#This Row],[Tag no.]]="","",IF(tblLeaks[[#This Row],[Found]]="","",tblLeaks[[#This Row],[Found]]+RepairDays))</f>
        <v>46282</v>
      </c>
      <c r="Q9" s="35">
        <f>IF(tblLeaks[[#This Row],[Tag no.]]="","",IF(tblLeaks[[#This Row],[Found]]="","",IF(tblLeaks[[#This Row],[Repaired on]]&lt;&gt;"",tblLeaks[[#This Row],[Repaired on]],AsOf)-tblLeaks[[#This Row],[Found]]))</f>
        <v>52</v>
      </c>
      <c r="R9" s="45" t="str">
        <f>IF(tblLeaks[[#This Row],[Tag no.]]="","",IF(tblLeaks[[#This Row],[Found]]="","",IF(tblLeaks[[#This Row],[Repaired on]]&lt;&gt;"","Complete",IF(AsOf&gt;tblLeaks[[#This Row],[Repair due]],"Overdue",IF(tblLeaks[[#This Row],[Repair due]]-AsOf&lt;=7,"Due soon","Open")))))</f>
        <v>Overdue</v>
      </c>
      <c r="S9"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7</v>
      </c>
      <c r="T9"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9" s="28" t="s">
        <v>159</v>
      </c>
    </row>
    <row r="10" spans="1:21" x14ac:dyDescent="0.25">
      <c r="B10" s="28" t="s">
        <v>160</v>
      </c>
      <c r="C10" s="36">
        <v>46252</v>
      </c>
      <c r="D10" s="28" t="s">
        <v>100</v>
      </c>
      <c r="E10" s="28" t="s">
        <v>161</v>
      </c>
      <c r="F10" s="28" t="s">
        <v>132</v>
      </c>
      <c r="G10" s="42">
        <v>11.5</v>
      </c>
      <c r="H10" s="28" t="s">
        <v>87</v>
      </c>
      <c r="I10" s="32">
        <v>710</v>
      </c>
      <c r="J10" s="36"/>
      <c r="K10"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11.5</v>
      </c>
      <c r="L10" s="35">
        <f>IF(tblLeaks[[#This Row],[Tag no.]]="","",IF(ISNUMBER(tblLeaks[[#This Row],[Flow (cfm)]]),tblLeaks[[#This Row],[Flow (cfm)]]*KwPerCfm*PressHours,""))</f>
        <v>13110</v>
      </c>
      <c r="M10" s="35">
        <f>IF(tblLeaks[[#This Row],[Tag no.]]="","",IF(ISNUMBER(tblLeaks[[#This Row],[Flow (cfm)]]),tblLeaks[[#This Row],[Flow (cfm)]]*KwPerCfm*PressHours*Rate,""))</f>
        <v>1442.1</v>
      </c>
      <c r="N10" s="35">
        <f>IF(tblLeaks[[#This Row],[Tag no.]]="","",IF(ISNUMBER(tblLeaks[[#This Row],[Flow (cfm)]]),tblLeaks[[#This Row],[Flow (cfm)]]*KwPerCfm*PressHours*Rate*AvoidShare,""))</f>
        <v>1153.68</v>
      </c>
      <c r="O10" s="43">
        <f>IF(tblLeaks[[#This Row],[Tag no.]]="","",IF(AND(ISNUMBER(tblLeaks[[#This Row],[Repair cost (est.)]]),N(tblLeaks[[#This Row],[Flow (cfm)]])*KwPerCfm*PressHours*Rate*AvoidShare&gt;0),tblLeaks[[#This Row],[Repair cost (est.)]]/(tblLeaks[[#This Row],[Flow (cfm)]]*KwPerCfm*PressHours*Rate*AvoidShare)*12,""))</f>
        <v>7.38506344913668</v>
      </c>
      <c r="P10" s="44">
        <f>IF(tblLeaks[[#This Row],[Tag no.]]="","",IF(tblLeaks[[#This Row],[Found]]="","",tblLeaks[[#This Row],[Found]]+RepairDays))</f>
        <v>46282</v>
      </c>
      <c r="Q10" s="35">
        <f>IF(tblLeaks[[#This Row],[Tag no.]]="","",IF(tblLeaks[[#This Row],[Found]]="","",IF(tblLeaks[[#This Row],[Repaired on]]&lt;&gt;"",tblLeaks[[#This Row],[Repaired on]],AsOf)-tblLeaks[[#This Row],[Found]]))</f>
        <v>52</v>
      </c>
      <c r="R10" s="45" t="str">
        <f>IF(tblLeaks[[#This Row],[Tag no.]]="","",IF(tblLeaks[[#This Row],[Found]]="","",IF(tblLeaks[[#This Row],[Repaired on]]&lt;&gt;"","Complete",IF(AsOf&gt;tblLeaks[[#This Row],[Repair due]],"Overdue",IF(tblLeaks[[#This Row],[Repair due]]-AsOf&lt;=7,"Due soon","Open")))))</f>
        <v>Overdue</v>
      </c>
      <c r="S10"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3</v>
      </c>
      <c r="T10"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0" s="28" t="s">
        <v>159</v>
      </c>
    </row>
    <row r="11" spans="1:21" x14ac:dyDescent="0.25">
      <c r="B11" s="28" t="s">
        <v>162</v>
      </c>
      <c r="C11" s="36">
        <v>46252</v>
      </c>
      <c r="D11" s="28" t="s">
        <v>97</v>
      </c>
      <c r="E11" s="28" t="s">
        <v>163</v>
      </c>
      <c r="F11" s="28" t="s">
        <v>130</v>
      </c>
      <c r="G11" s="42">
        <v>15</v>
      </c>
      <c r="H11" s="28" t="s">
        <v>87</v>
      </c>
      <c r="I11" s="32">
        <v>490</v>
      </c>
      <c r="J11" s="36"/>
      <c r="K11"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v>
      </c>
      <c r="L11" s="35">
        <f>IF(tblLeaks[[#This Row],[Tag no.]]="","",IF(ISNUMBER(tblLeaks[[#This Row],[Flow (cfm)]]),tblLeaks[[#This Row],[Flow (cfm)]]*KwPerCfm*PressHours,""))</f>
        <v>17100</v>
      </c>
      <c r="M11" s="35">
        <f>IF(tblLeaks[[#This Row],[Tag no.]]="","",IF(ISNUMBER(tblLeaks[[#This Row],[Flow (cfm)]]),tblLeaks[[#This Row],[Flow (cfm)]]*KwPerCfm*PressHours*Rate,""))</f>
        <v>1881</v>
      </c>
      <c r="N11" s="35">
        <f>IF(tblLeaks[[#This Row],[Tag no.]]="","",IF(ISNUMBER(tblLeaks[[#This Row],[Flow (cfm)]]),tblLeaks[[#This Row],[Flow (cfm)]]*KwPerCfm*PressHours*Rate*AvoidShare,""))</f>
        <v>1504.8</v>
      </c>
      <c r="O11" s="43">
        <f>IF(tblLeaks[[#This Row],[Tag no.]]="","",IF(AND(ISNUMBER(tblLeaks[[#This Row],[Repair cost (est.)]]),N(tblLeaks[[#This Row],[Flow (cfm)]])*KwPerCfm*PressHours*Rate*AvoidShare&gt;0),tblLeaks[[#This Row],[Repair cost (est.)]]/(tblLeaks[[#This Row],[Flow (cfm)]]*KwPerCfm*PressHours*Rate*AvoidShare)*12,""))</f>
        <v>3.90749601275917</v>
      </c>
      <c r="P11" s="44">
        <f>IF(tblLeaks[[#This Row],[Tag no.]]="","",IF(tblLeaks[[#This Row],[Found]]="","",tblLeaks[[#This Row],[Found]]+RepairDays))</f>
        <v>46282</v>
      </c>
      <c r="Q11" s="35">
        <f>IF(tblLeaks[[#This Row],[Tag no.]]="","",IF(tblLeaks[[#This Row],[Found]]="","",IF(tblLeaks[[#This Row],[Repaired on]]&lt;&gt;"",tblLeaks[[#This Row],[Repaired on]],AsOf)-tblLeaks[[#This Row],[Found]]))</f>
        <v>52</v>
      </c>
      <c r="R11" s="45" t="str">
        <f>IF(tblLeaks[[#This Row],[Tag no.]]="","",IF(tblLeaks[[#This Row],[Found]]="","",IF(tblLeaks[[#This Row],[Repaired on]]&lt;&gt;"","Complete",IF(AsOf&gt;tblLeaks[[#This Row],[Repair due]],"Overdue",IF(tblLeaks[[#This Row],[Repair due]]-AsOf&lt;=7,"Due soon","Open")))))</f>
        <v>Overdue</v>
      </c>
      <c r="S11"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2</v>
      </c>
      <c r="T11"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1" s="28" t="s">
        <v>154</v>
      </c>
    </row>
    <row r="12" spans="1:21" x14ac:dyDescent="0.25">
      <c r="B12" s="28" t="s">
        <v>164</v>
      </c>
      <c r="C12" s="36">
        <v>46252</v>
      </c>
      <c r="D12" s="28" t="s">
        <v>97</v>
      </c>
      <c r="E12" s="28" t="s">
        <v>165</v>
      </c>
      <c r="F12" s="28" t="s">
        <v>120</v>
      </c>
      <c r="G12" s="42">
        <v>1</v>
      </c>
      <c r="H12" s="28" t="s">
        <v>87</v>
      </c>
      <c r="I12" s="32">
        <v>20</v>
      </c>
      <c r="J12" s="36">
        <v>46281</v>
      </c>
      <c r="K12"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v>
      </c>
      <c r="L12" s="35">
        <f>IF(tblLeaks[[#This Row],[Tag no.]]="","",IF(ISNUMBER(tblLeaks[[#This Row],[Flow (cfm)]]),tblLeaks[[#This Row],[Flow (cfm)]]*KwPerCfm*PressHours,""))</f>
        <v>1140</v>
      </c>
      <c r="M12" s="35">
        <f>IF(tblLeaks[[#This Row],[Tag no.]]="","",IF(ISNUMBER(tblLeaks[[#This Row],[Flow (cfm)]]),tblLeaks[[#This Row],[Flow (cfm)]]*KwPerCfm*PressHours*Rate,""))</f>
        <v>125.4</v>
      </c>
      <c r="N12" s="35">
        <f>IF(tblLeaks[[#This Row],[Tag no.]]="","",IF(ISNUMBER(tblLeaks[[#This Row],[Flow (cfm)]]),tblLeaks[[#This Row],[Flow (cfm)]]*KwPerCfm*PressHours*Rate*AvoidShare,""))</f>
        <v>100.32</v>
      </c>
      <c r="O12" s="43">
        <f>IF(tblLeaks[[#This Row],[Tag no.]]="","",IF(AND(ISNUMBER(tblLeaks[[#This Row],[Repair cost (est.)]]),N(tblLeaks[[#This Row],[Flow (cfm)]])*KwPerCfm*PressHours*Rate*AvoidShare&gt;0),tblLeaks[[#This Row],[Repair cost (est.)]]/(tblLeaks[[#This Row],[Flow (cfm)]]*KwPerCfm*PressHours*Rate*AvoidShare)*12,""))</f>
        <v>2.39234449760766</v>
      </c>
      <c r="P12" s="44">
        <f>IF(tblLeaks[[#This Row],[Tag no.]]="","",IF(tblLeaks[[#This Row],[Found]]="","",tblLeaks[[#This Row],[Found]]+RepairDays))</f>
        <v>46282</v>
      </c>
      <c r="Q12" s="35">
        <f>IF(tblLeaks[[#This Row],[Tag no.]]="","",IF(tblLeaks[[#This Row],[Found]]="","",IF(tblLeaks[[#This Row],[Repaired on]]&lt;&gt;"",tblLeaks[[#This Row],[Repaired on]],AsOf)-tblLeaks[[#This Row],[Found]]))</f>
        <v>29</v>
      </c>
      <c r="R12" s="45" t="str">
        <f>IF(tblLeaks[[#This Row],[Tag no.]]="","",IF(tblLeaks[[#This Row],[Found]]="","",IF(tblLeaks[[#This Row],[Repaired on]]&lt;&gt;"","Complete",IF(AsOf&gt;tblLeaks[[#This Row],[Repair due]],"Overdue",IF(tblLeaks[[#This Row],[Repair due]]-AsOf&lt;=7,"Due soon","Open")))))</f>
        <v>Complete</v>
      </c>
      <c r="S12"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12"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2" s="28" t="s">
        <v>166</v>
      </c>
    </row>
    <row r="13" spans="1:21" x14ac:dyDescent="0.25">
      <c r="B13" s="28" t="s">
        <v>167</v>
      </c>
      <c r="C13" s="36">
        <v>46252</v>
      </c>
      <c r="D13" s="28" t="s">
        <v>106</v>
      </c>
      <c r="E13" s="28" t="s">
        <v>168</v>
      </c>
      <c r="F13" s="28" t="s">
        <v>130</v>
      </c>
      <c r="G13" s="42">
        <v>10.5</v>
      </c>
      <c r="H13" s="28" t="s">
        <v>87</v>
      </c>
      <c r="I13" s="32">
        <v>440</v>
      </c>
      <c r="J13" s="36"/>
      <c r="K13"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10.5</v>
      </c>
      <c r="L13" s="35">
        <f>IF(tblLeaks[[#This Row],[Tag no.]]="","",IF(ISNUMBER(tblLeaks[[#This Row],[Flow (cfm)]]),tblLeaks[[#This Row],[Flow (cfm)]]*KwPerCfm*PressHours,""))</f>
        <v>11970</v>
      </c>
      <c r="M13" s="35">
        <f>IF(tblLeaks[[#This Row],[Tag no.]]="","",IF(ISNUMBER(tblLeaks[[#This Row],[Flow (cfm)]]),tblLeaks[[#This Row],[Flow (cfm)]]*KwPerCfm*PressHours*Rate,""))</f>
        <v>1316.7</v>
      </c>
      <c r="N13" s="35">
        <f>IF(tblLeaks[[#This Row],[Tag no.]]="","",IF(ISNUMBER(tblLeaks[[#This Row],[Flow (cfm)]]),tblLeaks[[#This Row],[Flow (cfm)]]*KwPerCfm*PressHours*Rate*AvoidShare,""))</f>
        <v>1053.36</v>
      </c>
      <c r="O13" s="43">
        <f>IF(tblLeaks[[#This Row],[Tag no.]]="","",IF(AND(ISNUMBER(tblLeaks[[#This Row],[Repair cost (est.)]]),N(tblLeaks[[#This Row],[Flow (cfm)]])*KwPerCfm*PressHours*Rate*AvoidShare&gt;0),tblLeaks[[#This Row],[Repair cost (est.)]]/(tblLeaks[[#This Row],[Flow (cfm)]]*KwPerCfm*PressHours*Rate*AvoidShare)*12,""))</f>
        <v>5.0125313283208</v>
      </c>
      <c r="P13" s="44">
        <f>IF(tblLeaks[[#This Row],[Tag no.]]="","",IF(tblLeaks[[#This Row],[Found]]="","",tblLeaks[[#This Row],[Found]]+RepairDays))</f>
        <v>46282</v>
      </c>
      <c r="Q13" s="35">
        <f>IF(tblLeaks[[#This Row],[Tag no.]]="","",IF(tblLeaks[[#This Row],[Found]]="","",IF(tblLeaks[[#This Row],[Repaired on]]&lt;&gt;"",tblLeaks[[#This Row],[Repaired on]],AsOf)-tblLeaks[[#This Row],[Found]]))</f>
        <v>52</v>
      </c>
      <c r="R13" s="45" t="str">
        <f>IF(tblLeaks[[#This Row],[Tag no.]]="","",IF(tblLeaks[[#This Row],[Found]]="","",IF(tblLeaks[[#This Row],[Repaired on]]&lt;&gt;"","Complete",IF(AsOf&gt;tblLeaks[[#This Row],[Repair due]],"Overdue",IF(tblLeaks[[#This Row],[Repair due]]-AsOf&lt;=7,"Due soon","Open")))))</f>
        <v>Overdue</v>
      </c>
      <c r="S13"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4</v>
      </c>
      <c r="T13"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3" s="28" t="s">
        <v>154</v>
      </c>
    </row>
    <row r="14" spans="1:21" x14ac:dyDescent="0.25">
      <c r="B14" s="28" t="s">
        <v>169</v>
      </c>
      <c r="C14" s="36">
        <v>46252</v>
      </c>
      <c r="D14" s="28" t="s">
        <v>103</v>
      </c>
      <c r="E14" s="28" t="s">
        <v>170</v>
      </c>
      <c r="F14" s="28" t="s">
        <v>132</v>
      </c>
      <c r="G14" s="42">
        <v>4</v>
      </c>
      <c r="H14" s="28" t="s">
        <v>87</v>
      </c>
      <c r="I14" s="32">
        <v>730</v>
      </c>
      <c r="J14" s="36"/>
      <c r="K14"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v>
      </c>
      <c r="L14" s="35">
        <f>IF(tblLeaks[[#This Row],[Tag no.]]="","",IF(ISNUMBER(tblLeaks[[#This Row],[Flow (cfm)]]),tblLeaks[[#This Row],[Flow (cfm)]]*KwPerCfm*PressHours,""))</f>
        <v>4560</v>
      </c>
      <c r="M14" s="35">
        <f>IF(tblLeaks[[#This Row],[Tag no.]]="","",IF(ISNUMBER(tblLeaks[[#This Row],[Flow (cfm)]]),tblLeaks[[#This Row],[Flow (cfm)]]*KwPerCfm*PressHours*Rate,""))</f>
        <v>501.6</v>
      </c>
      <c r="N14" s="35">
        <f>IF(tblLeaks[[#This Row],[Tag no.]]="","",IF(ISNUMBER(tblLeaks[[#This Row],[Flow (cfm)]]),tblLeaks[[#This Row],[Flow (cfm)]]*KwPerCfm*PressHours*Rate*AvoidShare,""))</f>
        <v>401.28</v>
      </c>
      <c r="O14" s="43">
        <f>IF(tblLeaks[[#This Row],[Tag no.]]="","",IF(AND(ISNUMBER(tblLeaks[[#This Row],[Repair cost (est.)]]),N(tblLeaks[[#This Row],[Flow (cfm)]])*KwPerCfm*PressHours*Rate*AvoidShare&gt;0),tblLeaks[[#This Row],[Repair cost (est.)]]/(tblLeaks[[#This Row],[Flow (cfm)]]*KwPerCfm*PressHours*Rate*AvoidShare)*12,""))</f>
        <v>21.8301435406699</v>
      </c>
      <c r="P14" s="44">
        <f>IF(tblLeaks[[#This Row],[Tag no.]]="","",IF(tblLeaks[[#This Row],[Found]]="","",tblLeaks[[#This Row],[Found]]+RepairDays))</f>
        <v>46282</v>
      </c>
      <c r="Q14" s="35">
        <f>IF(tblLeaks[[#This Row],[Tag no.]]="","",IF(tblLeaks[[#This Row],[Found]]="","",IF(tblLeaks[[#This Row],[Repaired on]]&lt;&gt;"",tblLeaks[[#This Row],[Repaired on]],AsOf)-tblLeaks[[#This Row],[Found]]))</f>
        <v>52</v>
      </c>
      <c r="R14" s="45" t="str">
        <f>IF(tblLeaks[[#This Row],[Tag no.]]="","",IF(tblLeaks[[#This Row],[Found]]="","",IF(tblLeaks[[#This Row],[Repaired on]]&lt;&gt;"","Complete",IF(AsOf&gt;tblLeaks[[#This Row],[Repair due]],"Overdue",IF(tblLeaks[[#This Row],[Repair due]]-AsOf&lt;=7,"Due soon","Open")))))</f>
        <v>Overdue</v>
      </c>
      <c r="S14"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9</v>
      </c>
      <c r="T14"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4" s="28" t="s">
        <v>159</v>
      </c>
    </row>
    <row r="15" spans="1:21" x14ac:dyDescent="0.25">
      <c r="B15" s="28" t="s">
        <v>171</v>
      </c>
      <c r="C15" s="36">
        <v>46252</v>
      </c>
      <c r="D15" s="28" t="s">
        <v>103</v>
      </c>
      <c r="E15" s="28" t="s">
        <v>172</v>
      </c>
      <c r="F15" s="28" t="s">
        <v>128</v>
      </c>
      <c r="G15" s="42">
        <v>4.5</v>
      </c>
      <c r="H15" s="28" t="s">
        <v>87</v>
      </c>
      <c r="I15" s="32">
        <v>430</v>
      </c>
      <c r="J15" s="36">
        <v>46279</v>
      </c>
      <c r="K15"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15" s="35">
        <f>IF(tblLeaks[[#This Row],[Tag no.]]="","",IF(ISNUMBER(tblLeaks[[#This Row],[Flow (cfm)]]),tblLeaks[[#This Row],[Flow (cfm)]]*KwPerCfm*PressHours,""))</f>
        <v>5130</v>
      </c>
      <c r="M15" s="35">
        <f>IF(tblLeaks[[#This Row],[Tag no.]]="","",IF(ISNUMBER(tblLeaks[[#This Row],[Flow (cfm)]]),tblLeaks[[#This Row],[Flow (cfm)]]*KwPerCfm*PressHours*Rate,""))</f>
        <v>564.3</v>
      </c>
      <c r="N15" s="35">
        <f>IF(tblLeaks[[#This Row],[Tag no.]]="","",IF(ISNUMBER(tblLeaks[[#This Row],[Flow (cfm)]]),tblLeaks[[#This Row],[Flow (cfm)]]*KwPerCfm*PressHours*Rate*AvoidShare,""))</f>
        <v>451.44</v>
      </c>
      <c r="O15" s="43">
        <f>IF(tblLeaks[[#This Row],[Tag no.]]="","",IF(AND(ISNUMBER(tblLeaks[[#This Row],[Repair cost (est.)]]),N(tblLeaks[[#This Row],[Flow (cfm)]])*KwPerCfm*PressHours*Rate*AvoidShare&gt;0),tblLeaks[[#This Row],[Repair cost (est.)]]/(tblLeaks[[#This Row],[Flow (cfm)]]*KwPerCfm*PressHours*Rate*AvoidShare)*12,""))</f>
        <v>11.4300903774588</v>
      </c>
      <c r="P15" s="44">
        <f>IF(tblLeaks[[#This Row],[Tag no.]]="","",IF(tblLeaks[[#This Row],[Found]]="","",tblLeaks[[#This Row],[Found]]+RepairDays))</f>
        <v>46282</v>
      </c>
      <c r="Q15" s="35">
        <f>IF(tblLeaks[[#This Row],[Tag no.]]="","",IF(tblLeaks[[#This Row],[Found]]="","",IF(tblLeaks[[#This Row],[Repaired on]]&lt;&gt;"",tblLeaks[[#This Row],[Repaired on]],AsOf)-tblLeaks[[#This Row],[Found]]))</f>
        <v>27</v>
      </c>
      <c r="R15" s="45" t="str">
        <f>IF(tblLeaks[[#This Row],[Tag no.]]="","",IF(tblLeaks[[#This Row],[Found]]="","",IF(tblLeaks[[#This Row],[Repaired on]]&lt;&gt;"","Complete",IF(AsOf&gt;tblLeaks[[#This Row],[Repair due]],"Overdue",IF(tblLeaks[[#This Row],[Repair due]]-AsOf&lt;=7,"Due soon","Open")))))</f>
        <v>Complete</v>
      </c>
      <c r="S15"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15"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5" s="28" t="s">
        <v>166</v>
      </c>
    </row>
    <row r="16" spans="1:21" x14ac:dyDescent="0.25">
      <c r="B16" s="28" t="s">
        <v>173</v>
      </c>
      <c r="C16" s="36">
        <v>46252</v>
      </c>
      <c r="D16" s="28" t="s">
        <v>106</v>
      </c>
      <c r="E16" s="28" t="s">
        <v>174</v>
      </c>
      <c r="F16" s="28" t="s">
        <v>124</v>
      </c>
      <c r="G16" s="42">
        <v>7.5</v>
      </c>
      <c r="H16" s="28" t="s">
        <v>87</v>
      </c>
      <c r="I16" s="32">
        <v>195</v>
      </c>
      <c r="J16" s="36">
        <v>46276</v>
      </c>
      <c r="K16"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7.5</v>
      </c>
      <c r="L16" s="35">
        <f>IF(tblLeaks[[#This Row],[Tag no.]]="","",IF(ISNUMBER(tblLeaks[[#This Row],[Flow (cfm)]]),tblLeaks[[#This Row],[Flow (cfm)]]*KwPerCfm*PressHours,""))</f>
        <v>8550</v>
      </c>
      <c r="M16" s="35">
        <f>IF(tblLeaks[[#This Row],[Tag no.]]="","",IF(ISNUMBER(tblLeaks[[#This Row],[Flow (cfm)]]),tblLeaks[[#This Row],[Flow (cfm)]]*KwPerCfm*PressHours*Rate,""))</f>
        <v>940.5</v>
      </c>
      <c r="N16" s="35">
        <f>IF(tblLeaks[[#This Row],[Tag no.]]="","",IF(ISNUMBER(tblLeaks[[#This Row],[Flow (cfm)]]),tblLeaks[[#This Row],[Flow (cfm)]]*KwPerCfm*PressHours*Rate*AvoidShare,""))</f>
        <v>752.4</v>
      </c>
      <c r="O16" s="43">
        <f>IF(tblLeaks[[#This Row],[Tag no.]]="","",IF(AND(ISNUMBER(tblLeaks[[#This Row],[Repair cost (est.)]]),N(tblLeaks[[#This Row],[Flow (cfm)]])*KwPerCfm*PressHours*Rate*AvoidShare&gt;0),tblLeaks[[#This Row],[Repair cost (est.)]]/(tblLeaks[[#This Row],[Flow (cfm)]]*KwPerCfm*PressHours*Rate*AvoidShare)*12,""))</f>
        <v>3.11004784688995</v>
      </c>
      <c r="P16" s="44">
        <f>IF(tblLeaks[[#This Row],[Tag no.]]="","",IF(tblLeaks[[#This Row],[Found]]="","",tblLeaks[[#This Row],[Found]]+RepairDays))</f>
        <v>46282</v>
      </c>
      <c r="Q16" s="35">
        <f>IF(tblLeaks[[#This Row],[Tag no.]]="","",IF(tblLeaks[[#This Row],[Found]]="","",IF(tblLeaks[[#This Row],[Repaired on]]&lt;&gt;"",tblLeaks[[#This Row],[Repaired on]],AsOf)-tblLeaks[[#This Row],[Found]]))</f>
        <v>24</v>
      </c>
      <c r="R16" s="45" t="str">
        <f>IF(tblLeaks[[#This Row],[Tag no.]]="","",IF(tblLeaks[[#This Row],[Found]]="","",IF(tblLeaks[[#This Row],[Repaired on]]&lt;&gt;"","Complete",IF(AsOf&gt;tblLeaks[[#This Row],[Repair due]],"Overdue",IF(tblLeaks[[#This Row],[Repair due]]-AsOf&lt;=7,"Due soon","Open")))))</f>
        <v>Complete</v>
      </c>
      <c r="S16"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16"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6" s="28" t="s">
        <v>166</v>
      </c>
    </row>
    <row r="17" spans="2:21" x14ac:dyDescent="0.25">
      <c r="B17" s="28" t="s">
        <v>175</v>
      </c>
      <c r="C17" s="36">
        <v>46252</v>
      </c>
      <c r="D17" s="28" t="s">
        <v>109</v>
      </c>
      <c r="E17" s="28" t="s">
        <v>176</v>
      </c>
      <c r="F17" s="28" t="s">
        <v>128</v>
      </c>
      <c r="G17" s="42">
        <v>2.5</v>
      </c>
      <c r="H17" s="28" t="s">
        <v>87</v>
      </c>
      <c r="I17" s="32">
        <v>485</v>
      </c>
      <c r="J17" s="36"/>
      <c r="K17"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2.5</v>
      </c>
      <c r="L17" s="35">
        <f>IF(tblLeaks[[#This Row],[Tag no.]]="","",IF(ISNUMBER(tblLeaks[[#This Row],[Flow (cfm)]]),tblLeaks[[#This Row],[Flow (cfm)]]*KwPerCfm*PressHours,""))</f>
        <v>2850</v>
      </c>
      <c r="M17" s="35">
        <f>IF(tblLeaks[[#This Row],[Tag no.]]="","",IF(ISNUMBER(tblLeaks[[#This Row],[Flow (cfm)]]),tblLeaks[[#This Row],[Flow (cfm)]]*KwPerCfm*PressHours*Rate,""))</f>
        <v>313.5</v>
      </c>
      <c r="N17" s="35">
        <f>IF(tblLeaks[[#This Row],[Tag no.]]="","",IF(ISNUMBER(tblLeaks[[#This Row],[Flow (cfm)]]),tblLeaks[[#This Row],[Flow (cfm)]]*KwPerCfm*PressHours*Rate*AvoidShare,""))</f>
        <v>250.8</v>
      </c>
      <c r="O17" s="43">
        <f>IF(tblLeaks[[#This Row],[Tag no.]]="","",IF(AND(ISNUMBER(tblLeaks[[#This Row],[Repair cost (est.)]]),N(tblLeaks[[#This Row],[Flow (cfm)]])*KwPerCfm*PressHours*Rate*AvoidShare&gt;0),tblLeaks[[#This Row],[Repair cost (est.)]]/(tblLeaks[[#This Row],[Flow (cfm)]]*KwPerCfm*PressHours*Rate*AvoidShare)*12,""))</f>
        <v>23.2057416267943</v>
      </c>
      <c r="P17" s="44">
        <f>IF(tblLeaks[[#This Row],[Tag no.]]="","",IF(tblLeaks[[#This Row],[Found]]="","",tblLeaks[[#This Row],[Found]]+RepairDays))</f>
        <v>46282</v>
      </c>
      <c r="Q17" s="35">
        <f>IF(tblLeaks[[#This Row],[Tag no.]]="","",IF(tblLeaks[[#This Row],[Found]]="","",IF(tblLeaks[[#This Row],[Repaired on]]&lt;&gt;"",tblLeaks[[#This Row],[Repaired on]],AsOf)-tblLeaks[[#This Row],[Found]]))</f>
        <v>52</v>
      </c>
      <c r="R17" s="45" t="str">
        <f>IF(tblLeaks[[#This Row],[Tag no.]]="","",IF(tblLeaks[[#This Row],[Found]]="","",IF(tblLeaks[[#This Row],[Repaired on]]&lt;&gt;"","Complete",IF(AsOf&gt;tblLeaks[[#This Row],[Repair due]],"Overdue",IF(tblLeaks[[#This Row],[Repair due]]-AsOf&lt;=7,"Due soon","Open")))))</f>
        <v>Overdue</v>
      </c>
      <c r="S17"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16</v>
      </c>
      <c r="T17"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7" s="28" t="s">
        <v>177</v>
      </c>
    </row>
    <row r="18" spans="2:21" x14ac:dyDescent="0.25">
      <c r="B18" s="28" t="s">
        <v>178</v>
      </c>
      <c r="C18" s="36">
        <v>46252</v>
      </c>
      <c r="D18" s="28" t="s">
        <v>109</v>
      </c>
      <c r="E18" s="28" t="s">
        <v>176</v>
      </c>
      <c r="F18" s="28" t="s">
        <v>118</v>
      </c>
      <c r="G18" s="42">
        <v>7.5</v>
      </c>
      <c r="H18" s="28" t="s">
        <v>87</v>
      </c>
      <c r="I18" s="32">
        <v>85</v>
      </c>
      <c r="J18" s="36">
        <v>46282</v>
      </c>
      <c r="K18"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7.5</v>
      </c>
      <c r="L18" s="35">
        <f>IF(tblLeaks[[#This Row],[Tag no.]]="","",IF(ISNUMBER(tblLeaks[[#This Row],[Flow (cfm)]]),tblLeaks[[#This Row],[Flow (cfm)]]*KwPerCfm*PressHours,""))</f>
        <v>8550</v>
      </c>
      <c r="M18" s="35">
        <f>IF(tblLeaks[[#This Row],[Tag no.]]="","",IF(ISNUMBER(tblLeaks[[#This Row],[Flow (cfm)]]),tblLeaks[[#This Row],[Flow (cfm)]]*KwPerCfm*PressHours*Rate,""))</f>
        <v>940.5</v>
      </c>
      <c r="N18" s="35">
        <f>IF(tblLeaks[[#This Row],[Tag no.]]="","",IF(ISNUMBER(tblLeaks[[#This Row],[Flow (cfm)]]),tblLeaks[[#This Row],[Flow (cfm)]]*KwPerCfm*PressHours*Rate*AvoidShare,""))</f>
        <v>752.4</v>
      </c>
      <c r="O18" s="43">
        <f>IF(tblLeaks[[#This Row],[Tag no.]]="","",IF(AND(ISNUMBER(tblLeaks[[#This Row],[Repair cost (est.)]]),N(tblLeaks[[#This Row],[Flow (cfm)]])*KwPerCfm*PressHours*Rate*AvoidShare&gt;0),tblLeaks[[#This Row],[Repair cost (est.)]]/(tblLeaks[[#This Row],[Flow (cfm)]]*KwPerCfm*PressHours*Rate*AvoidShare)*12,""))</f>
        <v>1.35566188197767</v>
      </c>
      <c r="P18" s="44">
        <f>IF(tblLeaks[[#This Row],[Tag no.]]="","",IF(tblLeaks[[#This Row],[Found]]="","",tblLeaks[[#This Row],[Found]]+RepairDays))</f>
        <v>46282</v>
      </c>
      <c r="Q18" s="35">
        <f>IF(tblLeaks[[#This Row],[Tag no.]]="","",IF(tblLeaks[[#This Row],[Found]]="","",IF(tblLeaks[[#This Row],[Repaired on]]&lt;&gt;"",tblLeaks[[#This Row],[Repaired on]],AsOf)-tblLeaks[[#This Row],[Found]]))</f>
        <v>30</v>
      </c>
      <c r="R18" s="45" t="str">
        <f>IF(tblLeaks[[#This Row],[Tag no.]]="","",IF(tblLeaks[[#This Row],[Found]]="","",IF(tblLeaks[[#This Row],[Repaired on]]&lt;&gt;"","Complete",IF(AsOf&gt;tblLeaks[[#This Row],[Repair due]],"Overdue",IF(tblLeaks[[#This Row],[Repair due]]-AsOf&lt;=7,"Due soon","Open")))))</f>
        <v>Complete</v>
      </c>
      <c r="S18"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18"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8" s="28" t="s">
        <v>166</v>
      </c>
    </row>
    <row r="19" spans="2:21" x14ac:dyDescent="0.25">
      <c r="B19" s="28" t="s">
        <v>179</v>
      </c>
      <c r="C19" s="36">
        <v>46252</v>
      </c>
      <c r="D19" s="28" t="s">
        <v>109</v>
      </c>
      <c r="E19" s="28" t="s">
        <v>176</v>
      </c>
      <c r="F19" s="28" t="s">
        <v>118</v>
      </c>
      <c r="G19" s="42">
        <v>3.5</v>
      </c>
      <c r="H19" s="28" t="s">
        <v>87</v>
      </c>
      <c r="I19" s="32">
        <v>95</v>
      </c>
      <c r="J19" s="36">
        <v>46290</v>
      </c>
      <c r="K19"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3.5</v>
      </c>
      <c r="L19" s="35">
        <f>IF(tblLeaks[[#This Row],[Tag no.]]="","",IF(ISNUMBER(tblLeaks[[#This Row],[Flow (cfm)]]),tblLeaks[[#This Row],[Flow (cfm)]]*KwPerCfm*PressHours,""))</f>
        <v>3990</v>
      </c>
      <c r="M19" s="35">
        <f>IF(tblLeaks[[#This Row],[Tag no.]]="","",IF(ISNUMBER(tblLeaks[[#This Row],[Flow (cfm)]]),tblLeaks[[#This Row],[Flow (cfm)]]*KwPerCfm*PressHours*Rate,""))</f>
        <v>438.9</v>
      </c>
      <c r="N19" s="35">
        <f>IF(tblLeaks[[#This Row],[Tag no.]]="","",IF(ISNUMBER(tblLeaks[[#This Row],[Flow (cfm)]]),tblLeaks[[#This Row],[Flow (cfm)]]*KwPerCfm*PressHours*Rate*AvoidShare,""))</f>
        <v>351.12</v>
      </c>
      <c r="O19" s="43">
        <f>IF(tblLeaks[[#This Row],[Tag no.]]="","",IF(AND(ISNUMBER(tblLeaks[[#This Row],[Repair cost (est.)]]),N(tblLeaks[[#This Row],[Flow (cfm)]])*KwPerCfm*PressHours*Rate*AvoidShare&gt;0),tblLeaks[[#This Row],[Repair cost (est.)]]/(tblLeaks[[#This Row],[Flow (cfm)]]*KwPerCfm*PressHours*Rate*AvoidShare)*12,""))</f>
        <v>3.24675324675325</v>
      </c>
      <c r="P19" s="44">
        <f>IF(tblLeaks[[#This Row],[Tag no.]]="","",IF(tblLeaks[[#This Row],[Found]]="","",tblLeaks[[#This Row],[Found]]+RepairDays))</f>
        <v>46282</v>
      </c>
      <c r="Q19" s="35">
        <f>IF(tblLeaks[[#This Row],[Tag no.]]="","",IF(tblLeaks[[#This Row],[Found]]="","",IF(tblLeaks[[#This Row],[Repaired on]]&lt;&gt;"",tblLeaks[[#This Row],[Repaired on]],AsOf)-tblLeaks[[#This Row],[Found]]))</f>
        <v>38</v>
      </c>
      <c r="R19" s="45" t="str">
        <f>IF(tblLeaks[[#This Row],[Tag no.]]="","",IF(tblLeaks[[#This Row],[Found]]="","",IF(tblLeaks[[#This Row],[Repaired on]]&lt;&gt;"","Complete",IF(AsOf&gt;tblLeaks[[#This Row],[Repair due]],"Overdue",IF(tblLeaks[[#This Row],[Repair due]]-AsOf&lt;=7,"Due soon","Open")))))</f>
        <v>Complete</v>
      </c>
      <c r="S19"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19"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19" s="28" t="s">
        <v>166</v>
      </c>
    </row>
    <row r="20" spans="2:21" x14ac:dyDescent="0.25">
      <c r="B20" s="28" t="s">
        <v>180</v>
      </c>
      <c r="C20" s="36">
        <v>46252</v>
      </c>
      <c r="D20" s="28" t="s">
        <v>109</v>
      </c>
      <c r="E20" s="28" t="s">
        <v>181</v>
      </c>
      <c r="F20" s="28" t="s">
        <v>124</v>
      </c>
      <c r="G20" s="42">
        <v>4.5</v>
      </c>
      <c r="H20" s="28" t="s">
        <v>87</v>
      </c>
      <c r="I20" s="32">
        <v>260</v>
      </c>
      <c r="J20" s="36">
        <v>46266</v>
      </c>
      <c r="K20"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20" s="35">
        <f>IF(tblLeaks[[#This Row],[Tag no.]]="","",IF(ISNUMBER(tblLeaks[[#This Row],[Flow (cfm)]]),tblLeaks[[#This Row],[Flow (cfm)]]*KwPerCfm*PressHours,""))</f>
        <v>5130</v>
      </c>
      <c r="M20" s="35">
        <f>IF(tblLeaks[[#This Row],[Tag no.]]="","",IF(ISNUMBER(tblLeaks[[#This Row],[Flow (cfm)]]),tblLeaks[[#This Row],[Flow (cfm)]]*KwPerCfm*PressHours*Rate,""))</f>
        <v>564.3</v>
      </c>
      <c r="N20" s="35">
        <f>IF(tblLeaks[[#This Row],[Tag no.]]="","",IF(ISNUMBER(tblLeaks[[#This Row],[Flow (cfm)]]),tblLeaks[[#This Row],[Flow (cfm)]]*KwPerCfm*PressHours*Rate*AvoidShare,""))</f>
        <v>451.44</v>
      </c>
      <c r="O20" s="43">
        <f>IF(tblLeaks[[#This Row],[Tag no.]]="","",IF(AND(ISNUMBER(tblLeaks[[#This Row],[Repair cost (est.)]]),N(tblLeaks[[#This Row],[Flow (cfm)]])*KwPerCfm*PressHours*Rate*AvoidShare&gt;0),tblLeaks[[#This Row],[Repair cost (est.)]]/(tblLeaks[[#This Row],[Flow (cfm)]]*KwPerCfm*PressHours*Rate*AvoidShare)*12,""))</f>
        <v>6.91121743753323</v>
      </c>
      <c r="P20" s="44">
        <f>IF(tblLeaks[[#This Row],[Tag no.]]="","",IF(tblLeaks[[#This Row],[Found]]="","",tblLeaks[[#This Row],[Found]]+RepairDays))</f>
        <v>46282</v>
      </c>
      <c r="Q20" s="35">
        <f>IF(tblLeaks[[#This Row],[Tag no.]]="","",IF(tblLeaks[[#This Row],[Found]]="","",IF(tblLeaks[[#This Row],[Repaired on]]&lt;&gt;"",tblLeaks[[#This Row],[Repaired on]],AsOf)-tblLeaks[[#This Row],[Found]]))</f>
        <v>14</v>
      </c>
      <c r="R20" s="45" t="str">
        <f>IF(tblLeaks[[#This Row],[Tag no.]]="","",IF(tblLeaks[[#This Row],[Found]]="","",IF(tblLeaks[[#This Row],[Repaired on]]&lt;&gt;"","Complete",IF(AsOf&gt;tblLeaks[[#This Row],[Repair due]],"Overdue",IF(tblLeaks[[#This Row],[Repair due]]-AsOf&lt;=7,"Due soon","Open")))))</f>
        <v>Complete</v>
      </c>
      <c r="S20"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0"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0" s="28" t="s">
        <v>166</v>
      </c>
    </row>
    <row r="21" spans="2:21" x14ac:dyDescent="0.25">
      <c r="B21" s="28" t="s">
        <v>182</v>
      </c>
      <c r="C21" s="36">
        <v>46253</v>
      </c>
      <c r="D21" s="28" t="s">
        <v>106</v>
      </c>
      <c r="E21" s="28" t="s">
        <v>174</v>
      </c>
      <c r="F21" s="28" t="s">
        <v>124</v>
      </c>
      <c r="G21" s="42">
        <v>7</v>
      </c>
      <c r="H21" s="28" t="s">
        <v>87</v>
      </c>
      <c r="I21" s="32">
        <v>280</v>
      </c>
      <c r="J21" s="36">
        <v>46264</v>
      </c>
      <c r="K21"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7</v>
      </c>
      <c r="L21" s="35">
        <f>IF(tblLeaks[[#This Row],[Tag no.]]="","",IF(ISNUMBER(tblLeaks[[#This Row],[Flow (cfm)]]),tblLeaks[[#This Row],[Flow (cfm)]]*KwPerCfm*PressHours,""))</f>
        <v>7980</v>
      </c>
      <c r="M21" s="35">
        <f>IF(tblLeaks[[#This Row],[Tag no.]]="","",IF(ISNUMBER(tblLeaks[[#This Row],[Flow (cfm)]]),tblLeaks[[#This Row],[Flow (cfm)]]*KwPerCfm*PressHours*Rate,""))</f>
        <v>877.8</v>
      </c>
      <c r="N21" s="35">
        <f>IF(tblLeaks[[#This Row],[Tag no.]]="","",IF(ISNUMBER(tblLeaks[[#This Row],[Flow (cfm)]]),tblLeaks[[#This Row],[Flow (cfm)]]*KwPerCfm*PressHours*Rate*AvoidShare,""))</f>
        <v>702.24</v>
      </c>
      <c r="O21" s="43">
        <f>IF(tblLeaks[[#This Row],[Tag no.]]="","",IF(AND(ISNUMBER(tblLeaks[[#This Row],[Repair cost (est.)]]),N(tblLeaks[[#This Row],[Flow (cfm)]])*KwPerCfm*PressHours*Rate*AvoidShare&gt;0),tblLeaks[[#This Row],[Repair cost (est.)]]/(tblLeaks[[#This Row],[Flow (cfm)]]*KwPerCfm*PressHours*Rate*AvoidShare)*12,""))</f>
        <v>4.78468899521531</v>
      </c>
      <c r="P21" s="44">
        <f>IF(tblLeaks[[#This Row],[Tag no.]]="","",IF(tblLeaks[[#This Row],[Found]]="","",tblLeaks[[#This Row],[Found]]+RepairDays))</f>
        <v>46283</v>
      </c>
      <c r="Q21" s="35">
        <f>IF(tblLeaks[[#This Row],[Tag no.]]="","",IF(tblLeaks[[#This Row],[Found]]="","",IF(tblLeaks[[#This Row],[Repaired on]]&lt;&gt;"",tblLeaks[[#This Row],[Repaired on]],AsOf)-tblLeaks[[#This Row],[Found]]))</f>
        <v>11</v>
      </c>
      <c r="R21" s="45" t="str">
        <f>IF(tblLeaks[[#This Row],[Tag no.]]="","",IF(tblLeaks[[#This Row],[Found]]="","",IF(tblLeaks[[#This Row],[Repaired on]]&lt;&gt;"","Complete",IF(AsOf&gt;tblLeaks[[#This Row],[Repair due]],"Overdue",IF(tblLeaks[[#This Row],[Repair due]]-AsOf&lt;=7,"Due soon","Open")))))</f>
        <v>Complete</v>
      </c>
      <c r="S21"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1"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1" s="28" t="s">
        <v>166</v>
      </c>
    </row>
    <row r="22" spans="2:21" x14ac:dyDescent="0.25">
      <c r="B22" s="28" t="s">
        <v>183</v>
      </c>
      <c r="C22" s="36">
        <v>46253</v>
      </c>
      <c r="D22" s="28" t="s">
        <v>103</v>
      </c>
      <c r="E22" s="28" t="s">
        <v>170</v>
      </c>
      <c r="F22" s="28" t="s">
        <v>124</v>
      </c>
      <c r="G22" s="42">
        <v>8</v>
      </c>
      <c r="H22" s="28" t="s">
        <v>87</v>
      </c>
      <c r="I22" s="32">
        <v>220</v>
      </c>
      <c r="J22" s="36">
        <v>46280</v>
      </c>
      <c r="K22"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8</v>
      </c>
      <c r="L22" s="35">
        <f>IF(tblLeaks[[#This Row],[Tag no.]]="","",IF(ISNUMBER(tblLeaks[[#This Row],[Flow (cfm)]]),tblLeaks[[#This Row],[Flow (cfm)]]*KwPerCfm*PressHours,""))</f>
        <v>9120</v>
      </c>
      <c r="M22" s="35">
        <f>IF(tblLeaks[[#This Row],[Tag no.]]="","",IF(ISNUMBER(tblLeaks[[#This Row],[Flow (cfm)]]),tblLeaks[[#This Row],[Flow (cfm)]]*KwPerCfm*PressHours*Rate,""))</f>
        <v>1003.2</v>
      </c>
      <c r="N22" s="35">
        <f>IF(tblLeaks[[#This Row],[Tag no.]]="","",IF(ISNUMBER(tblLeaks[[#This Row],[Flow (cfm)]]),tblLeaks[[#This Row],[Flow (cfm)]]*KwPerCfm*PressHours*Rate*AvoidShare,""))</f>
        <v>802.56</v>
      </c>
      <c r="O22" s="43">
        <f>IF(tblLeaks[[#This Row],[Tag no.]]="","",IF(AND(ISNUMBER(tblLeaks[[#This Row],[Repair cost (est.)]]),N(tblLeaks[[#This Row],[Flow (cfm)]])*KwPerCfm*PressHours*Rate*AvoidShare&gt;0),tblLeaks[[#This Row],[Repair cost (est.)]]/(tblLeaks[[#This Row],[Flow (cfm)]]*KwPerCfm*PressHours*Rate*AvoidShare)*12,""))</f>
        <v>3.28947368421053</v>
      </c>
      <c r="P22" s="44">
        <f>IF(tblLeaks[[#This Row],[Tag no.]]="","",IF(tblLeaks[[#This Row],[Found]]="","",tblLeaks[[#This Row],[Found]]+RepairDays))</f>
        <v>46283</v>
      </c>
      <c r="Q22" s="35">
        <f>IF(tblLeaks[[#This Row],[Tag no.]]="","",IF(tblLeaks[[#This Row],[Found]]="","",IF(tblLeaks[[#This Row],[Repaired on]]&lt;&gt;"",tblLeaks[[#This Row],[Repaired on]],AsOf)-tblLeaks[[#This Row],[Found]]))</f>
        <v>27</v>
      </c>
      <c r="R22" s="45" t="str">
        <f>IF(tblLeaks[[#This Row],[Tag no.]]="","",IF(tblLeaks[[#This Row],[Found]]="","",IF(tblLeaks[[#This Row],[Repaired on]]&lt;&gt;"","Complete",IF(AsOf&gt;tblLeaks[[#This Row],[Repair due]],"Overdue",IF(tblLeaks[[#This Row],[Repair due]]-AsOf&lt;=7,"Due soon","Open")))))</f>
        <v>Complete</v>
      </c>
      <c r="S22"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2"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2" s="28" t="s">
        <v>166</v>
      </c>
    </row>
    <row r="23" spans="2:21" x14ac:dyDescent="0.25">
      <c r="B23" s="28" t="s">
        <v>184</v>
      </c>
      <c r="C23" s="36">
        <v>46253</v>
      </c>
      <c r="D23" s="28" t="s">
        <v>106</v>
      </c>
      <c r="E23" s="28" t="s">
        <v>168</v>
      </c>
      <c r="F23" s="28" t="s">
        <v>120</v>
      </c>
      <c r="G23" s="42">
        <v>3</v>
      </c>
      <c r="H23" s="28" t="s">
        <v>87</v>
      </c>
      <c r="I23" s="32">
        <v>40</v>
      </c>
      <c r="J23" s="36">
        <v>46288</v>
      </c>
      <c r="K23"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v>
      </c>
      <c r="L23" s="35">
        <f>IF(tblLeaks[[#This Row],[Tag no.]]="","",IF(ISNUMBER(tblLeaks[[#This Row],[Flow (cfm)]]),tblLeaks[[#This Row],[Flow (cfm)]]*KwPerCfm*PressHours,""))</f>
        <v>3420</v>
      </c>
      <c r="M23" s="35">
        <f>IF(tblLeaks[[#This Row],[Tag no.]]="","",IF(ISNUMBER(tblLeaks[[#This Row],[Flow (cfm)]]),tblLeaks[[#This Row],[Flow (cfm)]]*KwPerCfm*PressHours*Rate,""))</f>
        <v>376.2</v>
      </c>
      <c r="N23" s="35">
        <f>IF(tblLeaks[[#This Row],[Tag no.]]="","",IF(ISNUMBER(tblLeaks[[#This Row],[Flow (cfm)]]),tblLeaks[[#This Row],[Flow (cfm)]]*KwPerCfm*PressHours*Rate*AvoidShare,""))</f>
        <v>300.96</v>
      </c>
      <c r="O23" s="43">
        <f>IF(tblLeaks[[#This Row],[Tag no.]]="","",IF(AND(ISNUMBER(tblLeaks[[#This Row],[Repair cost (est.)]]),N(tblLeaks[[#This Row],[Flow (cfm)]])*KwPerCfm*PressHours*Rate*AvoidShare&gt;0),tblLeaks[[#This Row],[Repair cost (est.)]]/(tblLeaks[[#This Row],[Flow (cfm)]]*KwPerCfm*PressHours*Rate*AvoidShare)*12,""))</f>
        <v>1.59489633173844</v>
      </c>
      <c r="P23" s="44">
        <f>IF(tblLeaks[[#This Row],[Tag no.]]="","",IF(tblLeaks[[#This Row],[Found]]="","",tblLeaks[[#This Row],[Found]]+RepairDays))</f>
        <v>46283</v>
      </c>
      <c r="Q23" s="35">
        <f>IF(tblLeaks[[#This Row],[Tag no.]]="","",IF(tblLeaks[[#This Row],[Found]]="","",IF(tblLeaks[[#This Row],[Repaired on]]&lt;&gt;"",tblLeaks[[#This Row],[Repaired on]],AsOf)-tblLeaks[[#This Row],[Found]]))</f>
        <v>35</v>
      </c>
      <c r="R23" s="45" t="str">
        <f>IF(tblLeaks[[#This Row],[Tag no.]]="","",IF(tblLeaks[[#This Row],[Found]]="","",IF(tblLeaks[[#This Row],[Repaired on]]&lt;&gt;"","Complete",IF(AsOf&gt;tblLeaks[[#This Row],[Repair due]],"Overdue",IF(tblLeaks[[#This Row],[Repair due]]-AsOf&lt;=7,"Due soon","Open")))))</f>
        <v>Complete</v>
      </c>
      <c r="S23"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3"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3" s="28" t="s">
        <v>166</v>
      </c>
    </row>
    <row r="24" spans="2:21" x14ac:dyDescent="0.25">
      <c r="B24" s="28" t="s">
        <v>185</v>
      </c>
      <c r="C24" s="36">
        <v>46253</v>
      </c>
      <c r="D24" s="28" t="s">
        <v>103</v>
      </c>
      <c r="E24" s="28" t="s">
        <v>158</v>
      </c>
      <c r="F24" s="28" t="s">
        <v>120</v>
      </c>
      <c r="G24" s="42">
        <v>3</v>
      </c>
      <c r="H24" s="28" t="s">
        <v>87</v>
      </c>
      <c r="I24" s="32">
        <v>25</v>
      </c>
      <c r="J24" s="36"/>
      <c r="K24"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v>
      </c>
      <c r="L24" s="35">
        <f>IF(tblLeaks[[#This Row],[Tag no.]]="","",IF(ISNUMBER(tblLeaks[[#This Row],[Flow (cfm)]]),tblLeaks[[#This Row],[Flow (cfm)]]*KwPerCfm*PressHours,""))</f>
        <v>3420</v>
      </c>
      <c r="M24" s="35">
        <f>IF(tblLeaks[[#This Row],[Tag no.]]="","",IF(ISNUMBER(tblLeaks[[#This Row],[Flow (cfm)]]),tblLeaks[[#This Row],[Flow (cfm)]]*KwPerCfm*PressHours*Rate,""))</f>
        <v>376.2</v>
      </c>
      <c r="N24" s="35">
        <f>IF(tblLeaks[[#This Row],[Tag no.]]="","",IF(ISNUMBER(tblLeaks[[#This Row],[Flow (cfm)]]),tblLeaks[[#This Row],[Flow (cfm)]]*KwPerCfm*PressHours*Rate*AvoidShare,""))</f>
        <v>300.96</v>
      </c>
      <c r="O24" s="43">
        <f>IF(tblLeaks[[#This Row],[Tag no.]]="","",IF(AND(ISNUMBER(tblLeaks[[#This Row],[Repair cost (est.)]]),N(tblLeaks[[#This Row],[Flow (cfm)]])*KwPerCfm*PressHours*Rate*AvoidShare&gt;0),tblLeaks[[#This Row],[Repair cost (est.)]]/(tblLeaks[[#This Row],[Flow (cfm)]]*KwPerCfm*PressHours*Rate*AvoidShare)*12,""))</f>
        <v>0.996810207336523</v>
      </c>
      <c r="P24" s="44">
        <f>IF(tblLeaks[[#This Row],[Tag no.]]="","",IF(tblLeaks[[#This Row],[Found]]="","",tblLeaks[[#This Row],[Found]]+RepairDays))</f>
        <v>46283</v>
      </c>
      <c r="Q24" s="35">
        <f>IF(tblLeaks[[#This Row],[Tag no.]]="","",IF(tblLeaks[[#This Row],[Found]]="","",IF(tblLeaks[[#This Row],[Repaired on]]&lt;&gt;"",tblLeaks[[#This Row],[Repaired on]],AsOf)-tblLeaks[[#This Row],[Found]]))</f>
        <v>51</v>
      </c>
      <c r="R24" s="45" t="str">
        <f>IF(tblLeaks[[#This Row],[Tag no.]]="","",IF(tblLeaks[[#This Row],[Found]]="","",IF(tblLeaks[[#This Row],[Repaired on]]&lt;&gt;"","Complete",IF(AsOf&gt;tblLeaks[[#This Row],[Repair due]],"Overdue",IF(tblLeaks[[#This Row],[Repair due]]-AsOf&lt;=7,"Due soon","Open")))))</f>
        <v>Overdue</v>
      </c>
      <c r="S24"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14</v>
      </c>
      <c r="T24"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4" s="28" t="s">
        <v>177</v>
      </c>
    </row>
    <row r="25" spans="2:21" x14ac:dyDescent="0.25">
      <c r="B25" s="28" t="s">
        <v>186</v>
      </c>
      <c r="C25" s="36">
        <v>46253</v>
      </c>
      <c r="D25" s="28" t="s">
        <v>100</v>
      </c>
      <c r="E25" s="28" t="s">
        <v>187</v>
      </c>
      <c r="F25" s="28" t="s">
        <v>118</v>
      </c>
      <c r="G25" s="42">
        <v>4.5</v>
      </c>
      <c r="H25" s="28" t="s">
        <v>87</v>
      </c>
      <c r="I25" s="32">
        <v>170</v>
      </c>
      <c r="J25" s="36">
        <v>46271</v>
      </c>
      <c r="K25"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25" s="35">
        <f>IF(tblLeaks[[#This Row],[Tag no.]]="","",IF(ISNUMBER(tblLeaks[[#This Row],[Flow (cfm)]]),tblLeaks[[#This Row],[Flow (cfm)]]*KwPerCfm*PressHours,""))</f>
        <v>5130</v>
      </c>
      <c r="M25" s="35">
        <f>IF(tblLeaks[[#This Row],[Tag no.]]="","",IF(ISNUMBER(tblLeaks[[#This Row],[Flow (cfm)]]),tblLeaks[[#This Row],[Flow (cfm)]]*KwPerCfm*PressHours*Rate,""))</f>
        <v>564.3</v>
      </c>
      <c r="N25" s="35">
        <f>IF(tblLeaks[[#This Row],[Tag no.]]="","",IF(ISNUMBER(tblLeaks[[#This Row],[Flow (cfm)]]),tblLeaks[[#This Row],[Flow (cfm)]]*KwPerCfm*PressHours*Rate*AvoidShare,""))</f>
        <v>451.44</v>
      </c>
      <c r="O25" s="43">
        <f>IF(tblLeaks[[#This Row],[Tag no.]]="","",IF(AND(ISNUMBER(tblLeaks[[#This Row],[Repair cost (est.)]]),N(tblLeaks[[#This Row],[Flow (cfm)]])*KwPerCfm*PressHours*Rate*AvoidShare&gt;0),tblLeaks[[#This Row],[Repair cost (est.)]]/(tblLeaks[[#This Row],[Flow (cfm)]]*KwPerCfm*PressHours*Rate*AvoidShare)*12,""))</f>
        <v>4.51887293992557</v>
      </c>
      <c r="P25" s="44">
        <f>IF(tblLeaks[[#This Row],[Tag no.]]="","",IF(tblLeaks[[#This Row],[Found]]="","",tblLeaks[[#This Row],[Found]]+RepairDays))</f>
        <v>46283</v>
      </c>
      <c r="Q25" s="35">
        <f>IF(tblLeaks[[#This Row],[Tag no.]]="","",IF(tblLeaks[[#This Row],[Found]]="","",IF(tblLeaks[[#This Row],[Repaired on]]&lt;&gt;"",tblLeaks[[#This Row],[Repaired on]],AsOf)-tblLeaks[[#This Row],[Found]]))</f>
        <v>18</v>
      </c>
      <c r="R25" s="45" t="str">
        <f>IF(tblLeaks[[#This Row],[Tag no.]]="","",IF(tblLeaks[[#This Row],[Found]]="","",IF(tblLeaks[[#This Row],[Repaired on]]&lt;&gt;"","Complete",IF(AsOf&gt;tblLeaks[[#This Row],[Repair due]],"Overdue",IF(tblLeaks[[#This Row],[Repair due]]-AsOf&lt;=7,"Due soon","Open")))))</f>
        <v>Complete</v>
      </c>
      <c r="S25"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5"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5" s="28" t="s">
        <v>166</v>
      </c>
    </row>
    <row r="26" spans="2:21" x14ac:dyDescent="0.25">
      <c r="B26" s="28" t="s">
        <v>188</v>
      </c>
      <c r="C26" s="36">
        <v>46253</v>
      </c>
      <c r="D26" s="28" t="s">
        <v>100</v>
      </c>
      <c r="E26" s="28" t="s">
        <v>189</v>
      </c>
      <c r="F26" s="28" t="s">
        <v>120</v>
      </c>
      <c r="G26" s="42">
        <v>2.5</v>
      </c>
      <c r="H26" s="28" t="s">
        <v>87</v>
      </c>
      <c r="I26" s="32">
        <v>35</v>
      </c>
      <c r="J26" s="36">
        <v>46286</v>
      </c>
      <c r="K26"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2.5</v>
      </c>
      <c r="L26" s="35">
        <f>IF(tblLeaks[[#This Row],[Tag no.]]="","",IF(ISNUMBER(tblLeaks[[#This Row],[Flow (cfm)]]),tblLeaks[[#This Row],[Flow (cfm)]]*KwPerCfm*PressHours,""))</f>
        <v>2850</v>
      </c>
      <c r="M26" s="35">
        <f>IF(tblLeaks[[#This Row],[Tag no.]]="","",IF(ISNUMBER(tblLeaks[[#This Row],[Flow (cfm)]]),tblLeaks[[#This Row],[Flow (cfm)]]*KwPerCfm*PressHours*Rate,""))</f>
        <v>313.5</v>
      </c>
      <c r="N26" s="35">
        <f>IF(tblLeaks[[#This Row],[Tag no.]]="","",IF(ISNUMBER(tblLeaks[[#This Row],[Flow (cfm)]]),tblLeaks[[#This Row],[Flow (cfm)]]*KwPerCfm*PressHours*Rate*AvoidShare,""))</f>
        <v>250.8</v>
      </c>
      <c r="O26" s="43">
        <f>IF(tblLeaks[[#This Row],[Tag no.]]="","",IF(AND(ISNUMBER(tblLeaks[[#This Row],[Repair cost (est.)]]),N(tblLeaks[[#This Row],[Flow (cfm)]])*KwPerCfm*PressHours*Rate*AvoidShare&gt;0),tblLeaks[[#This Row],[Repair cost (est.)]]/(tblLeaks[[#This Row],[Flow (cfm)]]*KwPerCfm*PressHours*Rate*AvoidShare)*12,""))</f>
        <v>1.67464114832536</v>
      </c>
      <c r="P26" s="44">
        <f>IF(tblLeaks[[#This Row],[Tag no.]]="","",IF(tblLeaks[[#This Row],[Found]]="","",tblLeaks[[#This Row],[Found]]+RepairDays))</f>
        <v>46283</v>
      </c>
      <c r="Q26" s="35">
        <f>IF(tblLeaks[[#This Row],[Tag no.]]="","",IF(tblLeaks[[#This Row],[Found]]="","",IF(tblLeaks[[#This Row],[Repaired on]]&lt;&gt;"",tblLeaks[[#This Row],[Repaired on]],AsOf)-tblLeaks[[#This Row],[Found]]))</f>
        <v>33</v>
      </c>
      <c r="R26" s="45" t="str">
        <f>IF(tblLeaks[[#This Row],[Tag no.]]="","",IF(tblLeaks[[#This Row],[Found]]="","",IF(tblLeaks[[#This Row],[Repaired on]]&lt;&gt;"","Complete",IF(AsOf&gt;tblLeaks[[#This Row],[Repair due]],"Overdue",IF(tblLeaks[[#This Row],[Repair due]]-AsOf&lt;=7,"Due soon","Open")))))</f>
        <v>Complete</v>
      </c>
      <c r="S26"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6"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6" s="28" t="s">
        <v>166</v>
      </c>
    </row>
    <row r="27" spans="2:21" x14ac:dyDescent="0.25">
      <c r="B27" s="28" t="s">
        <v>190</v>
      </c>
      <c r="C27" s="36">
        <v>46253</v>
      </c>
      <c r="D27" s="28" t="s">
        <v>112</v>
      </c>
      <c r="E27" s="28" t="s">
        <v>191</v>
      </c>
      <c r="F27" s="28" t="s">
        <v>116</v>
      </c>
      <c r="G27" s="42">
        <v>2.5</v>
      </c>
      <c r="H27" s="28" t="s">
        <v>87</v>
      </c>
      <c r="I27" s="32">
        <v>50</v>
      </c>
      <c r="J27" s="36">
        <v>46287</v>
      </c>
      <c r="K27"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2.5</v>
      </c>
      <c r="L27" s="35">
        <f>IF(tblLeaks[[#This Row],[Tag no.]]="","",IF(ISNUMBER(tblLeaks[[#This Row],[Flow (cfm)]]),tblLeaks[[#This Row],[Flow (cfm)]]*KwPerCfm*PressHours,""))</f>
        <v>2850</v>
      </c>
      <c r="M27" s="35">
        <f>IF(tblLeaks[[#This Row],[Tag no.]]="","",IF(ISNUMBER(tblLeaks[[#This Row],[Flow (cfm)]]),tblLeaks[[#This Row],[Flow (cfm)]]*KwPerCfm*PressHours*Rate,""))</f>
        <v>313.5</v>
      </c>
      <c r="N27" s="35">
        <f>IF(tblLeaks[[#This Row],[Tag no.]]="","",IF(ISNUMBER(tblLeaks[[#This Row],[Flow (cfm)]]),tblLeaks[[#This Row],[Flow (cfm)]]*KwPerCfm*PressHours*Rate*AvoidShare,""))</f>
        <v>250.8</v>
      </c>
      <c r="O27" s="43">
        <f>IF(tblLeaks[[#This Row],[Tag no.]]="","",IF(AND(ISNUMBER(tblLeaks[[#This Row],[Repair cost (est.)]]),N(tblLeaks[[#This Row],[Flow (cfm)]])*KwPerCfm*PressHours*Rate*AvoidShare&gt;0),tblLeaks[[#This Row],[Repair cost (est.)]]/(tblLeaks[[#This Row],[Flow (cfm)]]*KwPerCfm*PressHours*Rate*AvoidShare)*12,""))</f>
        <v>2.39234449760766</v>
      </c>
      <c r="P27" s="44">
        <f>IF(tblLeaks[[#This Row],[Tag no.]]="","",IF(tblLeaks[[#This Row],[Found]]="","",tblLeaks[[#This Row],[Found]]+RepairDays))</f>
        <v>46283</v>
      </c>
      <c r="Q27" s="35">
        <f>IF(tblLeaks[[#This Row],[Tag no.]]="","",IF(tblLeaks[[#This Row],[Found]]="","",IF(tblLeaks[[#This Row],[Repaired on]]&lt;&gt;"",tblLeaks[[#This Row],[Repaired on]],AsOf)-tblLeaks[[#This Row],[Found]]))</f>
        <v>34</v>
      </c>
      <c r="R27" s="45" t="str">
        <f>IF(tblLeaks[[#This Row],[Tag no.]]="","",IF(tblLeaks[[#This Row],[Found]]="","",IF(tblLeaks[[#This Row],[Repaired on]]&lt;&gt;"","Complete",IF(AsOf&gt;tblLeaks[[#This Row],[Repair due]],"Overdue",IF(tblLeaks[[#This Row],[Repair due]]-AsOf&lt;=7,"Due soon","Open")))))</f>
        <v>Complete</v>
      </c>
      <c r="S27"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7"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7" s="28" t="s">
        <v>166</v>
      </c>
    </row>
    <row r="28" spans="2:21" x14ac:dyDescent="0.25">
      <c r="B28" s="28" t="s">
        <v>192</v>
      </c>
      <c r="C28" s="36">
        <v>46253</v>
      </c>
      <c r="D28" s="28" t="s">
        <v>103</v>
      </c>
      <c r="E28" s="28" t="s">
        <v>170</v>
      </c>
      <c r="F28" s="28" t="s">
        <v>118</v>
      </c>
      <c r="G28" s="42">
        <v>4.5</v>
      </c>
      <c r="H28" s="28" t="s">
        <v>87</v>
      </c>
      <c r="I28" s="32">
        <v>160</v>
      </c>
      <c r="J28" s="36">
        <v>46261</v>
      </c>
      <c r="K28"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28" s="35">
        <f>IF(tblLeaks[[#This Row],[Tag no.]]="","",IF(ISNUMBER(tblLeaks[[#This Row],[Flow (cfm)]]),tblLeaks[[#This Row],[Flow (cfm)]]*KwPerCfm*PressHours,""))</f>
        <v>5130</v>
      </c>
      <c r="M28" s="35">
        <f>IF(tblLeaks[[#This Row],[Tag no.]]="","",IF(ISNUMBER(tblLeaks[[#This Row],[Flow (cfm)]]),tblLeaks[[#This Row],[Flow (cfm)]]*KwPerCfm*PressHours*Rate,""))</f>
        <v>564.3</v>
      </c>
      <c r="N28" s="35">
        <f>IF(tblLeaks[[#This Row],[Tag no.]]="","",IF(ISNUMBER(tblLeaks[[#This Row],[Flow (cfm)]]),tblLeaks[[#This Row],[Flow (cfm)]]*KwPerCfm*PressHours*Rate*AvoidShare,""))</f>
        <v>451.44</v>
      </c>
      <c r="O28" s="43">
        <f>IF(tblLeaks[[#This Row],[Tag no.]]="","",IF(AND(ISNUMBER(tblLeaks[[#This Row],[Repair cost (est.)]]),N(tblLeaks[[#This Row],[Flow (cfm)]])*KwPerCfm*PressHours*Rate*AvoidShare&gt;0),tblLeaks[[#This Row],[Repair cost (est.)]]/(tblLeaks[[#This Row],[Flow (cfm)]]*KwPerCfm*PressHours*Rate*AvoidShare)*12,""))</f>
        <v>4.25305688463583</v>
      </c>
      <c r="P28" s="44">
        <f>IF(tblLeaks[[#This Row],[Tag no.]]="","",IF(tblLeaks[[#This Row],[Found]]="","",tblLeaks[[#This Row],[Found]]+RepairDays))</f>
        <v>46283</v>
      </c>
      <c r="Q28" s="35">
        <f>IF(tblLeaks[[#This Row],[Tag no.]]="","",IF(tblLeaks[[#This Row],[Found]]="","",IF(tblLeaks[[#This Row],[Repaired on]]&lt;&gt;"",tblLeaks[[#This Row],[Repaired on]],AsOf)-tblLeaks[[#This Row],[Found]]))</f>
        <v>8</v>
      </c>
      <c r="R28" s="45" t="str">
        <f>IF(tblLeaks[[#This Row],[Tag no.]]="","",IF(tblLeaks[[#This Row],[Found]]="","",IF(tblLeaks[[#This Row],[Repaired on]]&lt;&gt;"","Complete",IF(AsOf&gt;tblLeaks[[#This Row],[Repair due]],"Overdue",IF(tblLeaks[[#This Row],[Repair due]]-AsOf&lt;=7,"Due soon","Open")))))</f>
        <v>Complete</v>
      </c>
      <c r="S28"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28"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8" s="28" t="s">
        <v>166</v>
      </c>
    </row>
    <row r="29" spans="2:21" x14ac:dyDescent="0.25">
      <c r="B29" s="28" t="s">
        <v>193</v>
      </c>
      <c r="C29" s="36">
        <v>46253</v>
      </c>
      <c r="D29" s="28" t="s">
        <v>106</v>
      </c>
      <c r="E29" s="28" t="s">
        <v>174</v>
      </c>
      <c r="F29" s="28" t="s">
        <v>122</v>
      </c>
      <c r="G29" s="42">
        <v>3.5</v>
      </c>
      <c r="H29" s="28" t="s">
        <v>87</v>
      </c>
      <c r="I29" s="32">
        <v>45</v>
      </c>
      <c r="J29" s="36"/>
      <c r="K29"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3.5</v>
      </c>
      <c r="L29" s="35">
        <f>IF(tblLeaks[[#This Row],[Tag no.]]="","",IF(ISNUMBER(tblLeaks[[#This Row],[Flow (cfm)]]),tblLeaks[[#This Row],[Flow (cfm)]]*KwPerCfm*PressHours,""))</f>
        <v>3990</v>
      </c>
      <c r="M29" s="35">
        <f>IF(tblLeaks[[#This Row],[Tag no.]]="","",IF(ISNUMBER(tblLeaks[[#This Row],[Flow (cfm)]]),tblLeaks[[#This Row],[Flow (cfm)]]*KwPerCfm*PressHours*Rate,""))</f>
        <v>438.9</v>
      </c>
      <c r="N29" s="35">
        <f>IF(tblLeaks[[#This Row],[Tag no.]]="","",IF(ISNUMBER(tblLeaks[[#This Row],[Flow (cfm)]]),tblLeaks[[#This Row],[Flow (cfm)]]*KwPerCfm*PressHours*Rate*AvoidShare,""))</f>
        <v>351.12</v>
      </c>
      <c r="O29" s="43">
        <f>IF(tblLeaks[[#This Row],[Tag no.]]="","",IF(AND(ISNUMBER(tblLeaks[[#This Row],[Repair cost (est.)]]),N(tblLeaks[[#This Row],[Flow (cfm)]])*KwPerCfm*PressHours*Rate*AvoidShare&gt;0),tblLeaks[[#This Row],[Repair cost (est.)]]/(tblLeaks[[#This Row],[Flow (cfm)]]*KwPerCfm*PressHours*Rate*AvoidShare)*12,""))</f>
        <v>1.53793574846206</v>
      </c>
      <c r="P29" s="44">
        <f>IF(tblLeaks[[#This Row],[Tag no.]]="","",IF(tblLeaks[[#This Row],[Found]]="","",tblLeaks[[#This Row],[Found]]+RepairDays))</f>
        <v>46283</v>
      </c>
      <c r="Q29" s="35">
        <f>IF(tblLeaks[[#This Row],[Tag no.]]="","",IF(tblLeaks[[#This Row],[Found]]="","",IF(tblLeaks[[#This Row],[Repaired on]]&lt;&gt;"",tblLeaks[[#This Row],[Repaired on]],AsOf)-tblLeaks[[#This Row],[Found]]))</f>
        <v>51</v>
      </c>
      <c r="R29" s="45" t="str">
        <f>IF(tblLeaks[[#This Row],[Tag no.]]="","",IF(tblLeaks[[#This Row],[Found]]="","",IF(tblLeaks[[#This Row],[Repaired on]]&lt;&gt;"","Complete",IF(AsOf&gt;tblLeaks[[#This Row],[Repair due]],"Overdue",IF(tblLeaks[[#This Row],[Repair due]]-AsOf&lt;=7,"Due soon","Open")))))</f>
        <v>Overdue</v>
      </c>
      <c r="S29"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11</v>
      </c>
      <c r="T29"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29" s="28" t="s">
        <v>177</v>
      </c>
    </row>
    <row r="30" spans="2:21" x14ac:dyDescent="0.25">
      <c r="B30" s="28" t="s">
        <v>194</v>
      </c>
      <c r="C30" s="36">
        <v>46253</v>
      </c>
      <c r="D30" s="28" t="s">
        <v>100</v>
      </c>
      <c r="E30" s="28" t="s">
        <v>195</v>
      </c>
      <c r="F30" s="28" t="s">
        <v>124</v>
      </c>
      <c r="G30" s="42">
        <v>7</v>
      </c>
      <c r="H30" s="28" t="s">
        <v>87</v>
      </c>
      <c r="I30" s="32">
        <v>250</v>
      </c>
      <c r="J30" s="36"/>
      <c r="K30"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7</v>
      </c>
      <c r="L30" s="35">
        <f>IF(tblLeaks[[#This Row],[Tag no.]]="","",IF(ISNUMBER(tblLeaks[[#This Row],[Flow (cfm)]]),tblLeaks[[#This Row],[Flow (cfm)]]*KwPerCfm*PressHours,""))</f>
        <v>7980</v>
      </c>
      <c r="M30" s="35">
        <f>IF(tblLeaks[[#This Row],[Tag no.]]="","",IF(ISNUMBER(tblLeaks[[#This Row],[Flow (cfm)]]),tblLeaks[[#This Row],[Flow (cfm)]]*KwPerCfm*PressHours*Rate,""))</f>
        <v>877.8</v>
      </c>
      <c r="N30" s="35">
        <f>IF(tblLeaks[[#This Row],[Tag no.]]="","",IF(ISNUMBER(tblLeaks[[#This Row],[Flow (cfm)]]),tblLeaks[[#This Row],[Flow (cfm)]]*KwPerCfm*PressHours*Rate*AvoidShare,""))</f>
        <v>702.24</v>
      </c>
      <c r="O30" s="43">
        <f>IF(tblLeaks[[#This Row],[Tag no.]]="","",IF(AND(ISNUMBER(tblLeaks[[#This Row],[Repair cost (est.)]]),N(tblLeaks[[#This Row],[Flow (cfm)]])*KwPerCfm*PressHours*Rate*AvoidShare&gt;0),tblLeaks[[#This Row],[Repair cost (est.)]]/(tblLeaks[[#This Row],[Flow (cfm)]]*KwPerCfm*PressHours*Rate*AvoidShare)*12,""))</f>
        <v>4.27204374572796</v>
      </c>
      <c r="P30" s="44">
        <f>IF(tblLeaks[[#This Row],[Tag no.]]="","",IF(tblLeaks[[#This Row],[Found]]="","",tblLeaks[[#This Row],[Found]]+RepairDays))</f>
        <v>46283</v>
      </c>
      <c r="Q30" s="35">
        <f>IF(tblLeaks[[#This Row],[Tag no.]]="","",IF(tblLeaks[[#This Row],[Found]]="","",IF(tblLeaks[[#This Row],[Repaired on]]&lt;&gt;"",tblLeaks[[#This Row],[Repaired on]],AsOf)-tblLeaks[[#This Row],[Found]]))</f>
        <v>51</v>
      </c>
      <c r="R30" s="45" t="str">
        <f>IF(tblLeaks[[#This Row],[Tag no.]]="","",IF(tblLeaks[[#This Row],[Found]]="","",IF(tblLeaks[[#This Row],[Repaired on]]&lt;&gt;"","Complete",IF(AsOf&gt;tblLeaks[[#This Row],[Repair due]],"Overdue",IF(tblLeaks[[#This Row],[Repair due]]-AsOf&lt;=7,"Due soon","Open")))))</f>
        <v>Overdue</v>
      </c>
      <c r="S30"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6</v>
      </c>
      <c r="T30"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0" s="28" t="s">
        <v>177</v>
      </c>
    </row>
    <row r="31" spans="2:21" x14ac:dyDescent="0.25">
      <c r="B31" s="28" t="s">
        <v>196</v>
      </c>
      <c r="C31" s="36">
        <v>46253</v>
      </c>
      <c r="D31" s="28" t="s">
        <v>97</v>
      </c>
      <c r="E31" s="28" t="s">
        <v>156</v>
      </c>
      <c r="F31" s="28" t="s">
        <v>120</v>
      </c>
      <c r="G31" s="42">
        <v>1.5</v>
      </c>
      <c r="H31" s="28" t="s">
        <v>87</v>
      </c>
      <c r="I31" s="32">
        <v>40</v>
      </c>
      <c r="J31" s="36">
        <v>46274</v>
      </c>
      <c r="K31"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v>
      </c>
      <c r="L31" s="35">
        <f>IF(tblLeaks[[#This Row],[Tag no.]]="","",IF(ISNUMBER(tblLeaks[[#This Row],[Flow (cfm)]]),tblLeaks[[#This Row],[Flow (cfm)]]*KwPerCfm*PressHours,""))</f>
        <v>1710</v>
      </c>
      <c r="M31" s="35">
        <f>IF(tblLeaks[[#This Row],[Tag no.]]="","",IF(ISNUMBER(tblLeaks[[#This Row],[Flow (cfm)]]),tblLeaks[[#This Row],[Flow (cfm)]]*KwPerCfm*PressHours*Rate,""))</f>
        <v>188.1</v>
      </c>
      <c r="N31" s="35">
        <f>IF(tblLeaks[[#This Row],[Tag no.]]="","",IF(ISNUMBER(tblLeaks[[#This Row],[Flow (cfm)]]),tblLeaks[[#This Row],[Flow (cfm)]]*KwPerCfm*PressHours*Rate*AvoidShare,""))</f>
        <v>150.48</v>
      </c>
      <c r="O31" s="43">
        <f>IF(tblLeaks[[#This Row],[Tag no.]]="","",IF(AND(ISNUMBER(tblLeaks[[#This Row],[Repair cost (est.)]]),N(tblLeaks[[#This Row],[Flow (cfm)]])*KwPerCfm*PressHours*Rate*AvoidShare&gt;0),tblLeaks[[#This Row],[Repair cost (est.)]]/(tblLeaks[[#This Row],[Flow (cfm)]]*KwPerCfm*PressHours*Rate*AvoidShare)*12,""))</f>
        <v>3.18979266347687</v>
      </c>
      <c r="P31" s="44">
        <f>IF(tblLeaks[[#This Row],[Tag no.]]="","",IF(tblLeaks[[#This Row],[Found]]="","",tblLeaks[[#This Row],[Found]]+RepairDays))</f>
        <v>46283</v>
      </c>
      <c r="Q31" s="35">
        <f>IF(tblLeaks[[#This Row],[Tag no.]]="","",IF(tblLeaks[[#This Row],[Found]]="","",IF(tblLeaks[[#This Row],[Repaired on]]&lt;&gt;"",tblLeaks[[#This Row],[Repaired on]],AsOf)-tblLeaks[[#This Row],[Found]]))</f>
        <v>21</v>
      </c>
      <c r="R31" s="45" t="str">
        <f>IF(tblLeaks[[#This Row],[Tag no.]]="","",IF(tblLeaks[[#This Row],[Found]]="","",IF(tblLeaks[[#This Row],[Repaired on]]&lt;&gt;"","Complete",IF(AsOf&gt;tblLeaks[[#This Row],[Repair due]],"Overdue",IF(tblLeaks[[#This Row],[Repair due]]-AsOf&lt;=7,"Due soon","Open")))))</f>
        <v>Complete</v>
      </c>
      <c r="S31"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1"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1" s="28" t="s">
        <v>166</v>
      </c>
    </row>
    <row r="32" spans="2:21" x14ac:dyDescent="0.25">
      <c r="B32" s="28" t="s">
        <v>197</v>
      </c>
      <c r="C32" s="36">
        <v>46253</v>
      </c>
      <c r="D32" s="28" t="s">
        <v>97</v>
      </c>
      <c r="E32" s="28" t="s">
        <v>156</v>
      </c>
      <c r="F32" s="28" t="s">
        <v>116</v>
      </c>
      <c r="G32" s="42">
        <v>3</v>
      </c>
      <c r="H32" s="28" t="s">
        <v>87</v>
      </c>
      <c r="I32" s="32">
        <v>60</v>
      </c>
      <c r="J32" s="36">
        <v>46281</v>
      </c>
      <c r="K32"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v>
      </c>
      <c r="L32" s="35">
        <f>IF(tblLeaks[[#This Row],[Tag no.]]="","",IF(ISNUMBER(tblLeaks[[#This Row],[Flow (cfm)]]),tblLeaks[[#This Row],[Flow (cfm)]]*KwPerCfm*PressHours,""))</f>
        <v>3420</v>
      </c>
      <c r="M32" s="35">
        <f>IF(tblLeaks[[#This Row],[Tag no.]]="","",IF(ISNUMBER(tblLeaks[[#This Row],[Flow (cfm)]]),tblLeaks[[#This Row],[Flow (cfm)]]*KwPerCfm*PressHours*Rate,""))</f>
        <v>376.2</v>
      </c>
      <c r="N32" s="35">
        <f>IF(tblLeaks[[#This Row],[Tag no.]]="","",IF(ISNUMBER(tblLeaks[[#This Row],[Flow (cfm)]]),tblLeaks[[#This Row],[Flow (cfm)]]*KwPerCfm*PressHours*Rate*AvoidShare,""))</f>
        <v>300.96</v>
      </c>
      <c r="O32" s="43">
        <f>IF(tblLeaks[[#This Row],[Tag no.]]="","",IF(AND(ISNUMBER(tblLeaks[[#This Row],[Repair cost (est.)]]),N(tblLeaks[[#This Row],[Flow (cfm)]])*KwPerCfm*PressHours*Rate*AvoidShare&gt;0),tblLeaks[[#This Row],[Repair cost (est.)]]/(tblLeaks[[#This Row],[Flow (cfm)]]*KwPerCfm*PressHours*Rate*AvoidShare)*12,""))</f>
        <v>2.39234449760766</v>
      </c>
      <c r="P32" s="44">
        <f>IF(tblLeaks[[#This Row],[Tag no.]]="","",IF(tblLeaks[[#This Row],[Found]]="","",tblLeaks[[#This Row],[Found]]+RepairDays))</f>
        <v>46283</v>
      </c>
      <c r="Q32" s="35">
        <f>IF(tblLeaks[[#This Row],[Tag no.]]="","",IF(tblLeaks[[#This Row],[Found]]="","",IF(tblLeaks[[#This Row],[Repaired on]]&lt;&gt;"",tblLeaks[[#This Row],[Repaired on]],AsOf)-tblLeaks[[#This Row],[Found]]))</f>
        <v>28</v>
      </c>
      <c r="R32" s="45" t="str">
        <f>IF(tblLeaks[[#This Row],[Tag no.]]="","",IF(tblLeaks[[#This Row],[Found]]="","",IF(tblLeaks[[#This Row],[Repaired on]]&lt;&gt;"","Complete",IF(AsOf&gt;tblLeaks[[#This Row],[Repair due]],"Overdue",IF(tblLeaks[[#This Row],[Repair due]]-AsOf&lt;=7,"Due soon","Open")))))</f>
        <v>Complete</v>
      </c>
      <c r="S32"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2"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2" s="28" t="s">
        <v>166</v>
      </c>
    </row>
    <row r="33" spans="2:21" x14ac:dyDescent="0.25">
      <c r="B33" s="28" t="s">
        <v>198</v>
      </c>
      <c r="C33" s="36">
        <v>46253</v>
      </c>
      <c r="D33" s="28" t="s">
        <v>103</v>
      </c>
      <c r="E33" s="28" t="s">
        <v>172</v>
      </c>
      <c r="F33" s="28" t="s">
        <v>120</v>
      </c>
      <c r="G33" s="42">
        <v>0.5</v>
      </c>
      <c r="H33" s="28" t="s">
        <v>87</v>
      </c>
      <c r="I33" s="32">
        <v>20</v>
      </c>
      <c r="J33" s="36">
        <v>46259</v>
      </c>
      <c r="K33"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0.5</v>
      </c>
      <c r="L33" s="35">
        <f>IF(tblLeaks[[#This Row],[Tag no.]]="","",IF(ISNUMBER(tblLeaks[[#This Row],[Flow (cfm)]]),tblLeaks[[#This Row],[Flow (cfm)]]*KwPerCfm*PressHours,""))</f>
        <v>570</v>
      </c>
      <c r="M33" s="35">
        <f>IF(tblLeaks[[#This Row],[Tag no.]]="","",IF(ISNUMBER(tblLeaks[[#This Row],[Flow (cfm)]]),tblLeaks[[#This Row],[Flow (cfm)]]*KwPerCfm*PressHours*Rate,""))</f>
        <v>62.7</v>
      </c>
      <c r="N33" s="35">
        <f>IF(tblLeaks[[#This Row],[Tag no.]]="","",IF(ISNUMBER(tblLeaks[[#This Row],[Flow (cfm)]]),tblLeaks[[#This Row],[Flow (cfm)]]*KwPerCfm*PressHours*Rate*AvoidShare,""))</f>
        <v>50.16</v>
      </c>
      <c r="O33" s="43">
        <f>IF(tblLeaks[[#This Row],[Tag no.]]="","",IF(AND(ISNUMBER(tblLeaks[[#This Row],[Repair cost (est.)]]),N(tblLeaks[[#This Row],[Flow (cfm)]])*KwPerCfm*PressHours*Rate*AvoidShare&gt;0),tblLeaks[[#This Row],[Repair cost (est.)]]/(tblLeaks[[#This Row],[Flow (cfm)]]*KwPerCfm*PressHours*Rate*AvoidShare)*12,""))</f>
        <v>4.78468899521531</v>
      </c>
      <c r="P33" s="44">
        <f>IF(tblLeaks[[#This Row],[Tag no.]]="","",IF(tblLeaks[[#This Row],[Found]]="","",tblLeaks[[#This Row],[Found]]+RepairDays))</f>
        <v>46283</v>
      </c>
      <c r="Q33" s="35">
        <f>IF(tblLeaks[[#This Row],[Tag no.]]="","",IF(tblLeaks[[#This Row],[Found]]="","",IF(tblLeaks[[#This Row],[Repaired on]]&lt;&gt;"",tblLeaks[[#This Row],[Repaired on]],AsOf)-tblLeaks[[#This Row],[Found]]))</f>
        <v>6</v>
      </c>
      <c r="R33" s="45" t="str">
        <f>IF(tblLeaks[[#This Row],[Tag no.]]="","",IF(tblLeaks[[#This Row],[Found]]="","",IF(tblLeaks[[#This Row],[Repaired on]]&lt;&gt;"","Complete",IF(AsOf&gt;tblLeaks[[#This Row],[Repair due]],"Overdue",IF(tblLeaks[[#This Row],[Repair due]]-AsOf&lt;=7,"Due soon","Open")))))</f>
        <v>Complete</v>
      </c>
      <c r="S33"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3"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3" s="28" t="s">
        <v>166</v>
      </c>
    </row>
    <row r="34" spans="2:21" x14ac:dyDescent="0.25">
      <c r="B34" s="28" t="s">
        <v>199</v>
      </c>
      <c r="C34" s="36">
        <v>46253</v>
      </c>
      <c r="D34" s="28" t="s">
        <v>103</v>
      </c>
      <c r="E34" s="28" t="s">
        <v>170</v>
      </c>
      <c r="F34" s="28" t="s">
        <v>116</v>
      </c>
      <c r="G34" s="42">
        <v>4.5</v>
      </c>
      <c r="H34" s="28" t="s">
        <v>87</v>
      </c>
      <c r="I34" s="32">
        <v>35</v>
      </c>
      <c r="J34" s="36">
        <v>46259</v>
      </c>
      <c r="K34"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34" s="35">
        <f>IF(tblLeaks[[#This Row],[Tag no.]]="","",IF(ISNUMBER(tblLeaks[[#This Row],[Flow (cfm)]]),tblLeaks[[#This Row],[Flow (cfm)]]*KwPerCfm*PressHours,""))</f>
        <v>5130</v>
      </c>
      <c r="M34" s="35">
        <f>IF(tblLeaks[[#This Row],[Tag no.]]="","",IF(ISNUMBER(tblLeaks[[#This Row],[Flow (cfm)]]),tblLeaks[[#This Row],[Flow (cfm)]]*KwPerCfm*PressHours*Rate,""))</f>
        <v>564.3</v>
      </c>
      <c r="N34" s="35">
        <f>IF(tblLeaks[[#This Row],[Tag no.]]="","",IF(ISNUMBER(tblLeaks[[#This Row],[Flow (cfm)]]),tblLeaks[[#This Row],[Flow (cfm)]]*KwPerCfm*PressHours*Rate*AvoidShare,""))</f>
        <v>451.44</v>
      </c>
      <c r="O34" s="43">
        <f>IF(tblLeaks[[#This Row],[Tag no.]]="","",IF(AND(ISNUMBER(tblLeaks[[#This Row],[Repair cost (est.)]]),N(tblLeaks[[#This Row],[Flow (cfm)]])*KwPerCfm*PressHours*Rate*AvoidShare&gt;0),tblLeaks[[#This Row],[Repair cost (est.)]]/(tblLeaks[[#This Row],[Flow (cfm)]]*KwPerCfm*PressHours*Rate*AvoidShare)*12,""))</f>
        <v>0.930356193514088</v>
      </c>
      <c r="P34" s="44">
        <f>IF(tblLeaks[[#This Row],[Tag no.]]="","",IF(tblLeaks[[#This Row],[Found]]="","",tblLeaks[[#This Row],[Found]]+RepairDays))</f>
        <v>46283</v>
      </c>
      <c r="Q34" s="35">
        <f>IF(tblLeaks[[#This Row],[Tag no.]]="","",IF(tblLeaks[[#This Row],[Found]]="","",IF(tblLeaks[[#This Row],[Repaired on]]&lt;&gt;"",tblLeaks[[#This Row],[Repaired on]],AsOf)-tblLeaks[[#This Row],[Found]]))</f>
        <v>6</v>
      </c>
      <c r="R34" s="45" t="str">
        <f>IF(tblLeaks[[#This Row],[Tag no.]]="","",IF(tblLeaks[[#This Row],[Found]]="","",IF(tblLeaks[[#This Row],[Repaired on]]&lt;&gt;"","Complete",IF(AsOf&gt;tblLeaks[[#This Row],[Repair due]],"Overdue",IF(tblLeaks[[#This Row],[Repair due]]-AsOf&lt;=7,"Due soon","Open")))))</f>
        <v>Complete</v>
      </c>
      <c r="S34"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4"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4" s="28" t="s">
        <v>166</v>
      </c>
    </row>
    <row r="35" spans="2:21" x14ac:dyDescent="0.25">
      <c r="B35" s="28" t="s">
        <v>200</v>
      </c>
      <c r="C35" s="36">
        <v>46254</v>
      </c>
      <c r="D35" s="28" t="s">
        <v>106</v>
      </c>
      <c r="E35" s="28" t="s">
        <v>201</v>
      </c>
      <c r="F35" s="28" t="s">
        <v>122</v>
      </c>
      <c r="G35" s="42">
        <v>3</v>
      </c>
      <c r="H35" s="28" t="s">
        <v>87</v>
      </c>
      <c r="I35" s="32">
        <v>95</v>
      </c>
      <c r="J35" s="36"/>
      <c r="K35"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v>
      </c>
      <c r="L35" s="35">
        <f>IF(tblLeaks[[#This Row],[Tag no.]]="","",IF(ISNUMBER(tblLeaks[[#This Row],[Flow (cfm)]]),tblLeaks[[#This Row],[Flow (cfm)]]*KwPerCfm*PressHours,""))</f>
        <v>3420</v>
      </c>
      <c r="M35" s="35">
        <f>IF(tblLeaks[[#This Row],[Tag no.]]="","",IF(ISNUMBER(tblLeaks[[#This Row],[Flow (cfm)]]),tblLeaks[[#This Row],[Flow (cfm)]]*KwPerCfm*PressHours*Rate,""))</f>
        <v>376.2</v>
      </c>
      <c r="N35" s="35">
        <f>IF(tblLeaks[[#This Row],[Tag no.]]="","",IF(ISNUMBER(tblLeaks[[#This Row],[Flow (cfm)]]),tblLeaks[[#This Row],[Flow (cfm)]]*KwPerCfm*PressHours*Rate*AvoidShare,""))</f>
        <v>300.96</v>
      </c>
      <c r="O35" s="43">
        <f>IF(tblLeaks[[#This Row],[Tag no.]]="","",IF(AND(ISNUMBER(tblLeaks[[#This Row],[Repair cost (est.)]]),N(tblLeaks[[#This Row],[Flow (cfm)]])*KwPerCfm*PressHours*Rate*AvoidShare&gt;0),tblLeaks[[#This Row],[Repair cost (est.)]]/(tblLeaks[[#This Row],[Flow (cfm)]]*KwPerCfm*PressHours*Rate*AvoidShare)*12,""))</f>
        <v>3.78787878787879</v>
      </c>
      <c r="P35" s="44">
        <f>IF(tblLeaks[[#This Row],[Tag no.]]="","",IF(tblLeaks[[#This Row],[Found]]="","",tblLeaks[[#This Row],[Found]]+RepairDays))</f>
        <v>46284</v>
      </c>
      <c r="Q35" s="35">
        <f>IF(tblLeaks[[#This Row],[Tag no.]]="","",IF(tblLeaks[[#This Row],[Found]]="","",IF(tblLeaks[[#This Row],[Repaired on]]&lt;&gt;"",tblLeaks[[#This Row],[Repaired on]],AsOf)-tblLeaks[[#This Row],[Found]]))</f>
        <v>50</v>
      </c>
      <c r="R35" s="45" t="str">
        <f>IF(tblLeaks[[#This Row],[Tag no.]]="","",IF(tblLeaks[[#This Row],[Found]]="","",IF(tblLeaks[[#This Row],[Repaired on]]&lt;&gt;"","Complete",IF(AsOf&gt;tblLeaks[[#This Row],[Repair due]],"Overdue",IF(tblLeaks[[#This Row],[Repair due]]-AsOf&lt;=7,"Due soon","Open")))))</f>
        <v>Overdue</v>
      </c>
      <c r="S35"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15</v>
      </c>
      <c r="T35"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5" s="28" t="s">
        <v>177</v>
      </c>
    </row>
    <row r="36" spans="2:21" x14ac:dyDescent="0.25">
      <c r="B36" s="28" t="s">
        <v>202</v>
      </c>
      <c r="C36" s="36">
        <v>46254</v>
      </c>
      <c r="D36" s="28" t="s">
        <v>109</v>
      </c>
      <c r="E36" s="28" t="s">
        <v>176</v>
      </c>
      <c r="F36" s="28" t="s">
        <v>116</v>
      </c>
      <c r="G36" s="42">
        <v>5.5</v>
      </c>
      <c r="H36" s="28" t="s">
        <v>87</v>
      </c>
      <c r="I36" s="32">
        <v>40</v>
      </c>
      <c r="J36" s="36">
        <v>46277</v>
      </c>
      <c r="K36"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5.5</v>
      </c>
      <c r="L36" s="35">
        <f>IF(tblLeaks[[#This Row],[Tag no.]]="","",IF(ISNUMBER(tblLeaks[[#This Row],[Flow (cfm)]]),tblLeaks[[#This Row],[Flow (cfm)]]*KwPerCfm*PressHours,""))</f>
        <v>6270</v>
      </c>
      <c r="M36" s="35">
        <f>IF(tblLeaks[[#This Row],[Tag no.]]="","",IF(ISNUMBER(tblLeaks[[#This Row],[Flow (cfm)]]),tblLeaks[[#This Row],[Flow (cfm)]]*KwPerCfm*PressHours*Rate,""))</f>
        <v>689.7</v>
      </c>
      <c r="N36" s="35">
        <f>IF(tblLeaks[[#This Row],[Tag no.]]="","",IF(ISNUMBER(tblLeaks[[#This Row],[Flow (cfm)]]),tblLeaks[[#This Row],[Flow (cfm)]]*KwPerCfm*PressHours*Rate*AvoidShare,""))</f>
        <v>551.76</v>
      </c>
      <c r="O36" s="43">
        <f>IF(tblLeaks[[#This Row],[Tag no.]]="","",IF(AND(ISNUMBER(tblLeaks[[#This Row],[Repair cost (est.)]]),N(tblLeaks[[#This Row],[Flow (cfm)]])*KwPerCfm*PressHours*Rate*AvoidShare&gt;0),tblLeaks[[#This Row],[Repair cost (est.)]]/(tblLeaks[[#This Row],[Flow (cfm)]]*KwPerCfm*PressHours*Rate*AvoidShare)*12,""))</f>
        <v>0.869943453675511</v>
      </c>
      <c r="P36" s="44">
        <f>IF(tblLeaks[[#This Row],[Tag no.]]="","",IF(tblLeaks[[#This Row],[Found]]="","",tblLeaks[[#This Row],[Found]]+RepairDays))</f>
        <v>46284</v>
      </c>
      <c r="Q36" s="35">
        <f>IF(tblLeaks[[#This Row],[Tag no.]]="","",IF(tblLeaks[[#This Row],[Found]]="","",IF(tblLeaks[[#This Row],[Repaired on]]&lt;&gt;"",tblLeaks[[#This Row],[Repaired on]],AsOf)-tblLeaks[[#This Row],[Found]]))</f>
        <v>23</v>
      </c>
      <c r="R36" s="45" t="str">
        <f>IF(tblLeaks[[#This Row],[Tag no.]]="","",IF(tblLeaks[[#This Row],[Found]]="","",IF(tblLeaks[[#This Row],[Repaired on]]&lt;&gt;"","Complete",IF(AsOf&gt;tblLeaks[[#This Row],[Repair due]],"Overdue",IF(tblLeaks[[#This Row],[Repair due]]-AsOf&lt;=7,"Due soon","Open")))))</f>
        <v>Complete</v>
      </c>
      <c r="S36"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6"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6" s="28" t="s">
        <v>166</v>
      </c>
    </row>
    <row r="37" spans="2:21" x14ac:dyDescent="0.25">
      <c r="B37" s="28" t="s">
        <v>203</v>
      </c>
      <c r="C37" s="36">
        <v>46254</v>
      </c>
      <c r="D37" s="28" t="s">
        <v>97</v>
      </c>
      <c r="E37" s="28" t="s">
        <v>156</v>
      </c>
      <c r="F37" s="28" t="s">
        <v>120</v>
      </c>
      <c r="G37" s="42">
        <v>1.5</v>
      </c>
      <c r="H37" s="28" t="s">
        <v>87</v>
      </c>
      <c r="I37" s="32">
        <v>20</v>
      </c>
      <c r="J37" s="36">
        <v>46268</v>
      </c>
      <c r="K37"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v>
      </c>
      <c r="L37" s="35">
        <f>IF(tblLeaks[[#This Row],[Tag no.]]="","",IF(ISNUMBER(tblLeaks[[#This Row],[Flow (cfm)]]),tblLeaks[[#This Row],[Flow (cfm)]]*KwPerCfm*PressHours,""))</f>
        <v>1710</v>
      </c>
      <c r="M37" s="35">
        <f>IF(tblLeaks[[#This Row],[Tag no.]]="","",IF(ISNUMBER(tblLeaks[[#This Row],[Flow (cfm)]]),tblLeaks[[#This Row],[Flow (cfm)]]*KwPerCfm*PressHours*Rate,""))</f>
        <v>188.1</v>
      </c>
      <c r="N37" s="35">
        <f>IF(tblLeaks[[#This Row],[Tag no.]]="","",IF(ISNUMBER(tblLeaks[[#This Row],[Flow (cfm)]]),tblLeaks[[#This Row],[Flow (cfm)]]*KwPerCfm*PressHours*Rate*AvoidShare,""))</f>
        <v>150.48</v>
      </c>
      <c r="O37" s="43">
        <f>IF(tblLeaks[[#This Row],[Tag no.]]="","",IF(AND(ISNUMBER(tblLeaks[[#This Row],[Repair cost (est.)]]),N(tblLeaks[[#This Row],[Flow (cfm)]])*KwPerCfm*PressHours*Rate*AvoidShare&gt;0),tblLeaks[[#This Row],[Repair cost (est.)]]/(tblLeaks[[#This Row],[Flow (cfm)]]*KwPerCfm*PressHours*Rate*AvoidShare)*12,""))</f>
        <v>1.59489633173844</v>
      </c>
      <c r="P37" s="44">
        <f>IF(tblLeaks[[#This Row],[Tag no.]]="","",IF(tblLeaks[[#This Row],[Found]]="","",tblLeaks[[#This Row],[Found]]+RepairDays))</f>
        <v>46284</v>
      </c>
      <c r="Q37" s="35">
        <f>IF(tblLeaks[[#This Row],[Tag no.]]="","",IF(tblLeaks[[#This Row],[Found]]="","",IF(tblLeaks[[#This Row],[Repaired on]]&lt;&gt;"",tblLeaks[[#This Row],[Repaired on]],AsOf)-tblLeaks[[#This Row],[Found]]))</f>
        <v>14</v>
      </c>
      <c r="R37" s="45" t="str">
        <f>IF(tblLeaks[[#This Row],[Tag no.]]="","",IF(tblLeaks[[#This Row],[Found]]="","",IF(tblLeaks[[#This Row],[Repaired on]]&lt;&gt;"","Complete",IF(AsOf&gt;tblLeaks[[#This Row],[Repair due]],"Overdue",IF(tblLeaks[[#This Row],[Repair due]]-AsOf&lt;=7,"Due soon","Open")))))</f>
        <v>Complete</v>
      </c>
      <c r="S37"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7"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7" s="28" t="s">
        <v>166</v>
      </c>
    </row>
    <row r="38" spans="2:21" x14ac:dyDescent="0.25">
      <c r="B38" s="28" t="s">
        <v>204</v>
      </c>
      <c r="C38" s="36">
        <v>46254</v>
      </c>
      <c r="D38" s="28" t="s">
        <v>97</v>
      </c>
      <c r="E38" s="28" t="s">
        <v>163</v>
      </c>
      <c r="F38" s="28" t="s">
        <v>120</v>
      </c>
      <c r="G38" s="42">
        <v>1.5</v>
      </c>
      <c r="H38" s="28" t="s">
        <v>87</v>
      </c>
      <c r="I38" s="32">
        <v>45</v>
      </c>
      <c r="J38" s="36">
        <v>46257</v>
      </c>
      <c r="K38"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v>
      </c>
      <c r="L38" s="35">
        <f>IF(tblLeaks[[#This Row],[Tag no.]]="","",IF(ISNUMBER(tblLeaks[[#This Row],[Flow (cfm)]]),tblLeaks[[#This Row],[Flow (cfm)]]*KwPerCfm*PressHours,""))</f>
        <v>1710</v>
      </c>
      <c r="M38" s="35">
        <f>IF(tblLeaks[[#This Row],[Tag no.]]="","",IF(ISNUMBER(tblLeaks[[#This Row],[Flow (cfm)]]),tblLeaks[[#This Row],[Flow (cfm)]]*KwPerCfm*PressHours*Rate,""))</f>
        <v>188.1</v>
      </c>
      <c r="N38" s="35">
        <f>IF(tblLeaks[[#This Row],[Tag no.]]="","",IF(ISNUMBER(tblLeaks[[#This Row],[Flow (cfm)]]),tblLeaks[[#This Row],[Flow (cfm)]]*KwPerCfm*PressHours*Rate*AvoidShare,""))</f>
        <v>150.48</v>
      </c>
      <c r="O38" s="43">
        <f>IF(tblLeaks[[#This Row],[Tag no.]]="","",IF(AND(ISNUMBER(tblLeaks[[#This Row],[Repair cost (est.)]]),N(tblLeaks[[#This Row],[Flow (cfm)]])*KwPerCfm*PressHours*Rate*AvoidShare&gt;0),tblLeaks[[#This Row],[Repair cost (est.)]]/(tblLeaks[[#This Row],[Flow (cfm)]]*KwPerCfm*PressHours*Rate*AvoidShare)*12,""))</f>
        <v>3.58851674641148</v>
      </c>
      <c r="P38" s="44">
        <f>IF(tblLeaks[[#This Row],[Tag no.]]="","",IF(tblLeaks[[#This Row],[Found]]="","",tblLeaks[[#This Row],[Found]]+RepairDays))</f>
        <v>46284</v>
      </c>
      <c r="Q38" s="35">
        <f>IF(tblLeaks[[#This Row],[Tag no.]]="","",IF(tblLeaks[[#This Row],[Found]]="","",IF(tblLeaks[[#This Row],[Repaired on]]&lt;&gt;"",tblLeaks[[#This Row],[Repaired on]],AsOf)-tblLeaks[[#This Row],[Found]]))</f>
        <v>3</v>
      </c>
      <c r="R38" s="45" t="str">
        <f>IF(tblLeaks[[#This Row],[Tag no.]]="","",IF(tblLeaks[[#This Row],[Found]]="","",IF(tblLeaks[[#This Row],[Repaired on]]&lt;&gt;"","Complete",IF(AsOf&gt;tblLeaks[[#This Row],[Repair due]],"Overdue",IF(tblLeaks[[#This Row],[Repair due]]-AsOf&lt;=7,"Due soon","Open")))))</f>
        <v>Complete</v>
      </c>
      <c r="S38"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38"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8" s="28" t="s">
        <v>166</v>
      </c>
    </row>
    <row r="39" spans="2:21" x14ac:dyDescent="0.25">
      <c r="B39" s="28" t="s">
        <v>205</v>
      </c>
      <c r="C39" s="36">
        <v>46254</v>
      </c>
      <c r="D39" s="28" t="s">
        <v>97</v>
      </c>
      <c r="E39" s="28" t="s">
        <v>153</v>
      </c>
      <c r="F39" s="28" t="s">
        <v>126</v>
      </c>
      <c r="G39" s="42">
        <v>4.5</v>
      </c>
      <c r="H39" s="28" t="s">
        <v>87</v>
      </c>
      <c r="I39" s="32">
        <v>220</v>
      </c>
      <c r="J39" s="36"/>
      <c r="K39"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4.5</v>
      </c>
      <c r="L39" s="35">
        <f>IF(tblLeaks[[#This Row],[Tag no.]]="","",IF(ISNUMBER(tblLeaks[[#This Row],[Flow (cfm)]]),tblLeaks[[#This Row],[Flow (cfm)]]*KwPerCfm*PressHours,""))</f>
        <v>5130</v>
      </c>
      <c r="M39" s="35">
        <f>IF(tblLeaks[[#This Row],[Tag no.]]="","",IF(ISNUMBER(tblLeaks[[#This Row],[Flow (cfm)]]),tblLeaks[[#This Row],[Flow (cfm)]]*KwPerCfm*PressHours*Rate,""))</f>
        <v>564.3</v>
      </c>
      <c r="N39" s="35">
        <f>IF(tblLeaks[[#This Row],[Tag no.]]="","",IF(ISNUMBER(tblLeaks[[#This Row],[Flow (cfm)]]),tblLeaks[[#This Row],[Flow (cfm)]]*KwPerCfm*PressHours*Rate*AvoidShare,""))</f>
        <v>451.44</v>
      </c>
      <c r="O39" s="43">
        <f>IF(tblLeaks[[#This Row],[Tag no.]]="","",IF(AND(ISNUMBER(tblLeaks[[#This Row],[Repair cost (est.)]]),N(tblLeaks[[#This Row],[Flow (cfm)]])*KwPerCfm*PressHours*Rate*AvoidShare&gt;0),tblLeaks[[#This Row],[Repair cost (est.)]]/(tblLeaks[[#This Row],[Flow (cfm)]]*KwPerCfm*PressHours*Rate*AvoidShare)*12,""))</f>
        <v>5.84795321637427</v>
      </c>
      <c r="P39" s="44">
        <f>IF(tblLeaks[[#This Row],[Tag no.]]="","",IF(tblLeaks[[#This Row],[Found]]="","",tblLeaks[[#This Row],[Found]]+RepairDays))</f>
        <v>46284</v>
      </c>
      <c r="Q39" s="35">
        <f>IF(tblLeaks[[#This Row],[Tag no.]]="","",IF(tblLeaks[[#This Row],[Found]]="","",IF(tblLeaks[[#This Row],[Repaired on]]&lt;&gt;"",tblLeaks[[#This Row],[Repaired on]],AsOf)-tblLeaks[[#This Row],[Found]]))</f>
        <v>50</v>
      </c>
      <c r="R39" s="45" t="str">
        <f>IF(tblLeaks[[#This Row],[Tag no.]]="","",IF(tblLeaks[[#This Row],[Found]]="","",IF(tblLeaks[[#This Row],[Repaired on]]&lt;&gt;"","Complete",IF(AsOf&gt;tblLeaks[[#This Row],[Repair due]],"Overdue",IF(tblLeaks[[#This Row],[Repair due]]-AsOf&lt;=7,"Due soon","Open")))))</f>
        <v>Overdue</v>
      </c>
      <c r="S39"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8</v>
      </c>
      <c r="T39"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39" s="28" t="s">
        <v>177</v>
      </c>
    </row>
    <row r="40" spans="2:21" x14ac:dyDescent="0.25">
      <c r="B40" s="28" t="s">
        <v>206</v>
      </c>
      <c r="C40" s="36">
        <v>46254</v>
      </c>
      <c r="D40" s="28" t="s">
        <v>109</v>
      </c>
      <c r="E40" s="28" t="s">
        <v>176</v>
      </c>
      <c r="F40" s="28" t="s">
        <v>124</v>
      </c>
      <c r="G40" s="42">
        <v>3</v>
      </c>
      <c r="H40" s="28" t="s">
        <v>87</v>
      </c>
      <c r="I40" s="32">
        <v>410</v>
      </c>
      <c r="J40" s="36">
        <v>46282</v>
      </c>
      <c r="K40"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v>
      </c>
      <c r="L40" s="35">
        <f>IF(tblLeaks[[#This Row],[Tag no.]]="","",IF(ISNUMBER(tblLeaks[[#This Row],[Flow (cfm)]]),tblLeaks[[#This Row],[Flow (cfm)]]*KwPerCfm*PressHours,""))</f>
        <v>3420</v>
      </c>
      <c r="M40" s="35">
        <f>IF(tblLeaks[[#This Row],[Tag no.]]="","",IF(ISNUMBER(tblLeaks[[#This Row],[Flow (cfm)]]),tblLeaks[[#This Row],[Flow (cfm)]]*KwPerCfm*PressHours*Rate,""))</f>
        <v>376.2</v>
      </c>
      <c r="N40" s="35">
        <f>IF(tblLeaks[[#This Row],[Tag no.]]="","",IF(ISNUMBER(tblLeaks[[#This Row],[Flow (cfm)]]),tblLeaks[[#This Row],[Flow (cfm)]]*KwPerCfm*PressHours*Rate*AvoidShare,""))</f>
        <v>300.96</v>
      </c>
      <c r="O40" s="43">
        <f>IF(tblLeaks[[#This Row],[Tag no.]]="","",IF(AND(ISNUMBER(tblLeaks[[#This Row],[Repair cost (est.)]]),N(tblLeaks[[#This Row],[Flow (cfm)]])*KwPerCfm*PressHours*Rate*AvoidShare&gt;0),tblLeaks[[#This Row],[Repair cost (est.)]]/(tblLeaks[[#This Row],[Flow (cfm)]]*KwPerCfm*PressHours*Rate*AvoidShare)*12,""))</f>
        <v>16.347687400319</v>
      </c>
      <c r="P40" s="44">
        <f>IF(tblLeaks[[#This Row],[Tag no.]]="","",IF(tblLeaks[[#This Row],[Found]]="","",tblLeaks[[#This Row],[Found]]+RepairDays))</f>
        <v>46284</v>
      </c>
      <c r="Q40" s="35">
        <f>IF(tblLeaks[[#This Row],[Tag no.]]="","",IF(tblLeaks[[#This Row],[Found]]="","",IF(tblLeaks[[#This Row],[Repaired on]]&lt;&gt;"",tblLeaks[[#This Row],[Repaired on]],AsOf)-tblLeaks[[#This Row],[Found]]))</f>
        <v>28</v>
      </c>
      <c r="R40" s="45" t="str">
        <f>IF(tblLeaks[[#This Row],[Tag no.]]="","",IF(tblLeaks[[#This Row],[Found]]="","",IF(tblLeaks[[#This Row],[Repaired on]]&lt;&gt;"","Complete",IF(AsOf&gt;tblLeaks[[#This Row],[Repair due]],"Overdue",IF(tblLeaks[[#This Row],[Repair due]]-AsOf&lt;=7,"Due soon","Open")))))</f>
        <v>Complete</v>
      </c>
      <c r="S40"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40"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0" s="28" t="s">
        <v>166</v>
      </c>
    </row>
    <row r="41" spans="2:21" x14ac:dyDescent="0.25">
      <c r="B41" s="28" t="s">
        <v>207</v>
      </c>
      <c r="C41" s="36">
        <v>46254</v>
      </c>
      <c r="D41" s="28" t="s">
        <v>106</v>
      </c>
      <c r="E41" s="28" t="s">
        <v>174</v>
      </c>
      <c r="F41" s="28" t="s">
        <v>118</v>
      </c>
      <c r="G41" s="42">
        <v>3.5</v>
      </c>
      <c r="H41" s="28" t="s">
        <v>87</v>
      </c>
      <c r="I41" s="32">
        <v>135</v>
      </c>
      <c r="J41" s="36"/>
      <c r="K41"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3.5</v>
      </c>
      <c r="L41" s="35">
        <f>IF(tblLeaks[[#This Row],[Tag no.]]="","",IF(ISNUMBER(tblLeaks[[#This Row],[Flow (cfm)]]),tblLeaks[[#This Row],[Flow (cfm)]]*KwPerCfm*PressHours,""))</f>
        <v>3990</v>
      </c>
      <c r="M41" s="35">
        <f>IF(tblLeaks[[#This Row],[Tag no.]]="","",IF(ISNUMBER(tblLeaks[[#This Row],[Flow (cfm)]]),tblLeaks[[#This Row],[Flow (cfm)]]*KwPerCfm*PressHours*Rate,""))</f>
        <v>438.9</v>
      </c>
      <c r="N41" s="35">
        <f>IF(tblLeaks[[#This Row],[Tag no.]]="","",IF(ISNUMBER(tblLeaks[[#This Row],[Flow (cfm)]]),tblLeaks[[#This Row],[Flow (cfm)]]*KwPerCfm*PressHours*Rate*AvoidShare,""))</f>
        <v>351.12</v>
      </c>
      <c r="O41" s="43">
        <f>IF(tblLeaks[[#This Row],[Tag no.]]="","",IF(AND(ISNUMBER(tblLeaks[[#This Row],[Repair cost (est.)]]),N(tblLeaks[[#This Row],[Flow (cfm)]])*KwPerCfm*PressHours*Rate*AvoidShare&gt;0),tblLeaks[[#This Row],[Repair cost (est.)]]/(tblLeaks[[#This Row],[Flow (cfm)]]*KwPerCfm*PressHours*Rate*AvoidShare)*12,""))</f>
        <v>4.61380724538619</v>
      </c>
      <c r="P41" s="44">
        <f>IF(tblLeaks[[#This Row],[Tag no.]]="","",IF(tblLeaks[[#This Row],[Found]]="","",tblLeaks[[#This Row],[Found]]+RepairDays))</f>
        <v>46284</v>
      </c>
      <c r="Q41" s="35">
        <f>IF(tblLeaks[[#This Row],[Tag no.]]="","",IF(tblLeaks[[#This Row],[Found]]="","",IF(tblLeaks[[#This Row],[Repaired on]]&lt;&gt;"",tblLeaks[[#This Row],[Repaired on]],AsOf)-tblLeaks[[#This Row],[Found]]))</f>
        <v>50</v>
      </c>
      <c r="R41" s="45" t="str">
        <f>IF(tblLeaks[[#This Row],[Tag no.]]="","",IF(tblLeaks[[#This Row],[Found]]="","",IF(tblLeaks[[#This Row],[Repaired on]]&lt;&gt;"","Complete",IF(AsOf&gt;tblLeaks[[#This Row],[Repair due]],"Overdue",IF(tblLeaks[[#This Row],[Repair due]]-AsOf&lt;=7,"Due soon","Open")))))</f>
        <v>Overdue</v>
      </c>
      <c r="S41"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12</v>
      </c>
      <c r="T41"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1" s="28" t="s">
        <v>177</v>
      </c>
    </row>
    <row r="42" spans="2:21" x14ac:dyDescent="0.25">
      <c r="B42" s="28" t="s">
        <v>208</v>
      </c>
      <c r="C42" s="36">
        <v>46254</v>
      </c>
      <c r="D42" s="28" t="s">
        <v>100</v>
      </c>
      <c r="E42" s="28" t="s">
        <v>187</v>
      </c>
      <c r="F42" s="28" t="s">
        <v>116</v>
      </c>
      <c r="G42" s="42">
        <v>4</v>
      </c>
      <c r="H42" s="28" t="s">
        <v>87</v>
      </c>
      <c r="I42" s="32">
        <v>40</v>
      </c>
      <c r="J42" s="36"/>
      <c r="K42"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4</v>
      </c>
      <c r="L42" s="35">
        <f>IF(tblLeaks[[#This Row],[Tag no.]]="","",IF(ISNUMBER(tblLeaks[[#This Row],[Flow (cfm)]]),tblLeaks[[#This Row],[Flow (cfm)]]*KwPerCfm*PressHours,""))</f>
        <v>4560</v>
      </c>
      <c r="M42" s="35">
        <f>IF(tblLeaks[[#This Row],[Tag no.]]="","",IF(ISNUMBER(tblLeaks[[#This Row],[Flow (cfm)]]),tblLeaks[[#This Row],[Flow (cfm)]]*KwPerCfm*PressHours*Rate,""))</f>
        <v>501.6</v>
      </c>
      <c r="N42" s="35">
        <f>IF(tblLeaks[[#This Row],[Tag no.]]="","",IF(ISNUMBER(tblLeaks[[#This Row],[Flow (cfm)]]),tblLeaks[[#This Row],[Flow (cfm)]]*KwPerCfm*PressHours*Rate*AvoidShare,""))</f>
        <v>401.28</v>
      </c>
      <c r="O42" s="43">
        <f>IF(tblLeaks[[#This Row],[Tag no.]]="","",IF(AND(ISNUMBER(tblLeaks[[#This Row],[Repair cost (est.)]]),N(tblLeaks[[#This Row],[Flow (cfm)]])*KwPerCfm*PressHours*Rate*AvoidShare&gt;0),tblLeaks[[#This Row],[Repair cost (est.)]]/(tblLeaks[[#This Row],[Flow (cfm)]]*KwPerCfm*PressHours*Rate*AvoidShare)*12,""))</f>
        <v>1.19617224880383</v>
      </c>
      <c r="P42" s="44">
        <f>IF(tblLeaks[[#This Row],[Tag no.]]="","",IF(tblLeaks[[#This Row],[Found]]="","",tblLeaks[[#This Row],[Found]]+RepairDays))</f>
        <v>46284</v>
      </c>
      <c r="Q42" s="35">
        <f>IF(tblLeaks[[#This Row],[Tag no.]]="","",IF(tblLeaks[[#This Row],[Found]]="","",IF(tblLeaks[[#This Row],[Repaired on]]&lt;&gt;"",tblLeaks[[#This Row],[Repaired on]],AsOf)-tblLeaks[[#This Row],[Found]]))</f>
        <v>50</v>
      </c>
      <c r="R42" s="45" t="str">
        <f>IF(tblLeaks[[#This Row],[Tag no.]]="","",IF(tblLeaks[[#This Row],[Found]]="","",IF(tblLeaks[[#This Row],[Repaired on]]&lt;&gt;"","Complete",IF(AsOf&gt;tblLeaks[[#This Row],[Repair due]],"Overdue",IF(tblLeaks[[#This Row],[Repair due]]-AsOf&lt;=7,"Due soon","Open")))))</f>
        <v>Overdue</v>
      </c>
      <c r="S42"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10</v>
      </c>
      <c r="T42"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2" s="28" t="s">
        <v>177</v>
      </c>
    </row>
    <row r="43" spans="2:21" x14ac:dyDescent="0.25">
      <c r="B43" s="28" t="s">
        <v>209</v>
      </c>
      <c r="C43" s="36">
        <v>46254</v>
      </c>
      <c r="D43" s="28" t="s">
        <v>112</v>
      </c>
      <c r="E43" s="28" t="s">
        <v>210</v>
      </c>
      <c r="F43" s="28" t="s">
        <v>120</v>
      </c>
      <c r="G43" s="42">
        <v>1.5</v>
      </c>
      <c r="H43" s="28" t="s">
        <v>87</v>
      </c>
      <c r="I43" s="32">
        <v>45</v>
      </c>
      <c r="J43" s="36"/>
      <c r="K43"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v>
      </c>
      <c r="L43" s="35">
        <f>IF(tblLeaks[[#This Row],[Tag no.]]="","",IF(ISNUMBER(tblLeaks[[#This Row],[Flow (cfm)]]),tblLeaks[[#This Row],[Flow (cfm)]]*KwPerCfm*PressHours,""))</f>
        <v>1710</v>
      </c>
      <c r="M43" s="35">
        <f>IF(tblLeaks[[#This Row],[Tag no.]]="","",IF(ISNUMBER(tblLeaks[[#This Row],[Flow (cfm)]]),tblLeaks[[#This Row],[Flow (cfm)]]*KwPerCfm*PressHours*Rate,""))</f>
        <v>188.1</v>
      </c>
      <c r="N43" s="35">
        <f>IF(tblLeaks[[#This Row],[Tag no.]]="","",IF(ISNUMBER(tblLeaks[[#This Row],[Flow (cfm)]]),tblLeaks[[#This Row],[Flow (cfm)]]*KwPerCfm*PressHours*Rate*AvoidShare,""))</f>
        <v>150.48</v>
      </c>
      <c r="O43" s="43">
        <f>IF(tblLeaks[[#This Row],[Tag no.]]="","",IF(AND(ISNUMBER(tblLeaks[[#This Row],[Repair cost (est.)]]),N(tblLeaks[[#This Row],[Flow (cfm)]])*KwPerCfm*PressHours*Rate*AvoidShare&gt;0),tblLeaks[[#This Row],[Repair cost (est.)]]/(tblLeaks[[#This Row],[Flow (cfm)]]*KwPerCfm*PressHours*Rate*AvoidShare)*12,""))</f>
        <v>3.58851674641148</v>
      </c>
      <c r="P43" s="44">
        <f>IF(tblLeaks[[#This Row],[Tag no.]]="","",IF(tblLeaks[[#This Row],[Found]]="","",tblLeaks[[#This Row],[Found]]+RepairDays))</f>
        <v>46284</v>
      </c>
      <c r="Q43" s="35">
        <f>IF(tblLeaks[[#This Row],[Tag no.]]="","",IF(tblLeaks[[#This Row],[Found]]="","",IF(tblLeaks[[#This Row],[Repaired on]]&lt;&gt;"",tblLeaks[[#This Row],[Repaired on]],AsOf)-tblLeaks[[#This Row],[Found]]))</f>
        <v>50</v>
      </c>
      <c r="R43" s="45" t="str">
        <f>IF(tblLeaks[[#This Row],[Tag no.]]="","",IF(tblLeaks[[#This Row],[Found]]="","",IF(tblLeaks[[#This Row],[Repaired on]]&lt;&gt;"","Complete",IF(AsOf&gt;tblLeaks[[#This Row],[Repair due]],"Overdue",IF(tblLeaks[[#This Row],[Repair due]]-AsOf&lt;=7,"Due soon","Open")))))</f>
        <v>Overdue</v>
      </c>
      <c r="S43"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20</v>
      </c>
      <c r="T43"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3" s="28" t="s">
        <v>177</v>
      </c>
    </row>
    <row r="44" spans="2:21" x14ac:dyDescent="0.25">
      <c r="B44" s="28" t="s">
        <v>211</v>
      </c>
      <c r="C44" s="36">
        <v>46254</v>
      </c>
      <c r="D44" s="28" t="s">
        <v>106</v>
      </c>
      <c r="E44" s="28" t="s">
        <v>168</v>
      </c>
      <c r="F44" s="28" t="s">
        <v>116</v>
      </c>
      <c r="G44" s="42">
        <v>5.5</v>
      </c>
      <c r="H44" s="28" t="s">
        <v>87</v>
      </c>
      <c r="I44" s="32">
        <v>85</v>
      </c>
      <c r="J44" s="36">
        <v>46273</v>
      </c>
      <c r="K44"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5.5</v>
      </c>
      <c r="L44" s="35">
        <f>IF(tblLeaks[[#This Row],[Tag no.]]="","",IF(ISNUMBER(tblLeaks[[#This Row],[Flow (cfm)]]),tblLeaks[[#This Row],[Flow (cfm)]]*KwPerCfm*PressHours,""))</f>
        <v>6270</v>
      </c>
      <c r="M44" s="35">
        <f>IF(tblLeaks[[#This Row],[Tag no.]]="","",IF(ISNUMBER(tblLeaks[[#This Row],[Flow (cfm)]]),tblLeaks[[#This Row],[Flow (cfm)]]*KwPerCfm*PressHours*Rate,""))</f>
        <v>689.7</v>
      </c>
      <c r="N44" s="35">
        <f>IF(tblLeaks[[#This Row],[Tag no.]]="","",IF(ISNUMBER(tblLeaks[[#This Row],[Flow (cfm)]]),tblLeaks[[#This Row],[Flow (cfm)]]*KwPerCfm*PressHours*Rate*AvoidShare,""))</f>
        <v>551.76</v>
      </c>
      <c r="O44" s="43">
        <f>IF(tblLeaks[[#This Row],[Tag no.]]="","",IF(AND(ISNUMBER(tblLeaks[[#This Row],[Repair cost (est.)]]),N(tblLeaks[[#This Row],[Flow (cfm)]])*KwPerCfm*PressHours*Rate*AvoidShare&gt;0),tblLeaks[[#This Row],[Repair cost (est.)]]/(tblLeaks[[#This Row],[Flow (cfm)]]*KwPerCfm*PressHours*Rate*AvoidShare)*12,""))</f>
        <v>1.84862983906046</v>
      </c>
      <c r="P44" s="44">
        <f>IF(tblLeaks[[#This Row],[Tag no.]]="","",IF(tblLeaks[[#This Row],[Found]]="","",tblLeaks[[#This Row],[Found]]+RepairDays))</f>
        <v>46284</v>
      </c>
      <c r="Q44" s="35">
        <f>IF(tblLeaks[[#This Row],[Tag no.]]="","",IF(tblLeaks[[#This Row],[Found]]="","",IF(tblLeaks[[#This Row],[Repaired on]]&lt;&gt;"",tblLeaks[[#This Row],[Repaired on]],AsOf)-tblLeaks[[#This Row],[Found]]))</f>
        <v>19</v>
      </c>
      <c r="R44" s="45" t="str">
        <f>IF(tblLeaks[[#This Row],[Tag no.]]="","",IF(tblLeaks[[#This Row],[Found]]="","",IF(tblLeaks[[#This Row],[Repaired on]]&lt;&gt;"","Complete",IF(AsOf&gt;tblLeaks[[#This Row],[Repair due]],"Overdue",IF(tblLeaks[[#This Row],[Repair due]]-AsOf&lt;=7,"Due soon","Open")))))</f>
        <v>Complete</v>
      </c>
      <c r="S44"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44"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4" s="28" t="s">
        <v>166</v>
      </c>
    </row>
    <row r="45" spans="2:21" x14ac:dyDescent="0.25">
      <c r="B45" s="28" t="s">
        <v>212</v>
      </c>
      <c r="C45" s="36">
        <v>46254</v>
      </c>
      <c r="D45" s="28" t="s">
        <v>109</v>
      </c>
      <c r="E45" s="28" t="s">
        <v>213</v>
      </c>
      <c r="F45" s="28" t="s">
        <v>118</v>
      </c>
      <c r="G45" s="42">
        <v>7</v>
      </c>
      <c r="H45" s="28" t="s">
        <v>87</v>
      </c>
      <c r="I45" s="32">
        <v>85</v>
      </c>
      <c r="J45" s="36">
        <v>46263</v>
      </c>
      <c r="K45"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7</v>
      </c>
      <c r="L45" s="35">
        <f>IF(tblLeaks[[#This Row],[Tag no.]]="","",IF(ISNUMBER(tblLeaks[[#This Row],[Flow (cfm)]]),tblLeaks[[#This Row],[Flow (cfm)]]*KwPerCfm*PressHours,""))</f>
        <v>7980</v>
      </c>
      <c r="M45" s="35">
        <f>IF(tblLeaks[[#This Row],[Tag no.]]="","",IF(ISNUMBER(tblLeaks[[#This Row],[Flow (cfm)]]),tblLeaks[[#This Row],[Flow (cfm)]]*KwPerCfm*PressHours*Rate,""))</f>
        <v>877.8</v>
      </c>
      <c r="N45" s="35">
        <f>IF(tblLeaks[[#This Row],[Tag no.]]="","",IF(ISNUMBER(tblLeaks[[#This Row],[Flow (cfm)]]),tblLeaks[[#This Row],[Flow (cfm)]]*KwPerCfm*PressHours*Rate*AvoidShare,""))</f>
        <v>702.24</v>
      </c>
      <c r="O45" s="43">
        <f>IF(tblLeaks[[#This Row],[Tag no.]]="","",IF(AND(ISNUMBER(tblLeaks[[#This Row],[Repair cost (est.)]]),N(tblLeaks[[#This Row],[Flow (cfm)]])*KwPerCfm*PressHours*Rate*AvoidShare&gt;0),tblLeaks[[#This Row],[Repair cost (est.)]]/(tblLeaks[[#This Row],[Flow (cfm)]]*KwPerCfm*PressHours*Rate*AvoidShare)*12,""))</f>
        <v>1.45249487354751</v>
      </c>
      <c r="P45" s="44">
        <f>IF(tblLeaks[[#This Row],[Tag no.]]="","",IF(tblLeaks[[#This Row],[Found]]="","",tblLeaks[[#This Row],[Found]]+RepairDays))</f>
        <v>46284</v>
      </c>
      <c r="Q45" s="35">
        <f>IF(tblLeaks[[#This Row],[Tag no.]]="","",IF(tblLeaks[[#This Row],[Found]]="","",IF(tblLeaks[[#This Row],[Repaired on]]&lt;&gt;"",tblLeaks[[#This Row],[Repaired on]],AsOf)-tblLeaks[[#This Row],[Found]]))</f>
        <v>9</v>
      </c>
      <c r="R45" s="45" t="str">
        <f>IF(tblLeaks[[#This Row],[Tag no.]]="","",IF(tblLeaks[[#This Row],[Found]]="","",IF(tblLeaks[[#This Row],[Repaired on]]&lt;&gt;"","Complete",IF(AsOf&gt;tblLeaks[[#This Row],[Repair due]],"Overdue",IF(tblLeaks[[#This Row],[Repair due]]-AsOf&lt;=7,"Due soon","Open")))))</f>
        <v>Complete</v>
      </c>
      <c r="S45"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45"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5" s="28" t="s">
        <v>166</v>
      </c>
    </row>
    <row r="46" spans="2:21" x14ac:dyDescent="0.25">
      <c r="B46" s="28" t="s">
        <v>214</v>
      </c>
      <c r="C46" s="36">
        <v>46254</v>
      </c>
      <c r="D46" s="28" t="s">
        <v>103</v>
      </c>
      <c r="E46" s="28" t="s">
        <v>172</v>
      </c>
      <c r="F46" s="28" t="s">
        <v>116</v>
      </c>
      <c r="G46" s="42">
        <v>5</v>
      </c>
      <c r="H46" s="28" t="s">
        <v>87</v>
      </c>
      <c r="I46" s="32">
        <v>75</v>
      </c>
      <c r="J46" s="36">
        <v>46276</v>
      </c>
      <c r="K46"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5</v>
      </c>
      <c r="L46" s="35">
        <f>IF(tblLeaks[[#This Row],[Tag no.]]="","",IF(ISNUMBER(tblLeaks[[#This Row],[Flow (cfm)]]),tblLeaks[[#This Row],[Flow (cfm)]]*KwPerCfm*PressHours,""))</f>
        <v>5700</v>
      </c>
      <c r="M46" s="35">
        <f>IF(tblLeaks[[#This Row],[Tag no.]]="","",IF(ISNUMBER(tblLeaks[[#This Row],[Flow (cfm)]]),tblLeaks[[#This Row],[Flow (cfm)]]*KwPerCfm*PressHours*Rate,""))</f>
        <v>627</v>
      </c>
      <c r="N46" s="35">
        <f>IF(tblLeaks[[#This Row],[Tag no.]]="","",IF(ISNUMBER(tblLeaks[[#This Row],[Flow (cfm)]]),tblLeaks[[#This Row],[Flow (cfm)]]*KwPerCfm*PressHours*Rate*AvoidShare,""))</f>
        <v>501.6</v>
      </c>
      <c r="O46" s="43">
        <f>IF(tblLeaks[[#This Row],[Tag no.]]="","",IF(AND(ISNUMBER(tblLeaks[[#This Row],[Repair cost (est.)]]),N(tblLeaks[[#This Row],[Flow (cfm)]])*KwPerCfm*PressHours*Rate*AvoidShare&gt;0),tblLeaks[[#This Row],[Repair cost (est.)]]/(tblLeaks[[#This Row],[Flow (cfm)]]*KwPerCfm*PressHours*Rate*AvoidShare)*12,""))</f>
        <v>1.79425837320574</v>
      </c>
      <c r="P46" s="44">
        <f>IF(tblLeaks[[#This Row],[Tag no.]]="","",IF(tblLeaks[[#This Row],[Found]]="","",tblLeaks[[#This Row],[Found]]+RepairDays))</f>
        <v>46284</v>
      </c>
      <c r="Q46" s="35">
        <f>IF(tblLeaks[[#This Row],[Tag no.]]="","",IF(tblLeaks[[#This Row],[Found]]="","",IF(tblLeaks[[#This Row],[Repaired on]]&lt;&gt;"",tblLeaks[[#This Row],[Repaired on]],AsOf)-tblLeaks[[#This Row],[Found]]))</f>
        <v>22</v>
      </c>
      <c r="R46" s="45" t="str">
        <f>IF(tblLeaks[[#This Row],[Tag no.]]="","",IF(tblLeaks[[#This Row],[Found]]="","",IF(tblLeaks[[#This Row],[Repaired on]]&lt;&gt;"","Complete",IF(AsOf&gt;tblLeaks[[#This Row],[Repair due]],"Overdue",IF(tblLeaks[[#This Row],[Repair due]]-AsOf&lt;=7,"Due soon","Open")))))</f>
        <v>Complete</v>
      </c>
      <c r="S46"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46"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6" s="28" t="s">
        <v>166</v>
      </c>
    </row>
    <row r="47" spans="2:21" x14ac:dyDescent="0.25">
      <c r="B47" s="28" t="s">
        <v>215</v>
      </c>
      <c r="C47" s="36">
        <v>46273</v>
      </c>
      <c r="D47" s="28" t="s">
        <v>112</v>
      </c>
      <c r="E47" s="28" t="s">
        <v>216</v>
      </c>
      <c r="F47" s="28" t="s">
        <v>120</v>
      </c>
      <c r="G47" s="42">
        <v>30</v>
      </c>
      <c r="H47" s="28" t="s">
        <v>217</v>
      </c>
      <c r="I47" s="32">
        <v>25</v>
      </c>
      <c r="J47" s="36">
        <v>46275</v>
      </c>
      <c r="K47"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1.05944000164466</v>
      </c>
      <c r="L47" s="35">
        <f>IF(tblLeaks[[#This Row],[Tag no.]]="","",IF(ISNUMBER(tblLeaks[[#This Row],[Flow (cfm)]]),tblLeaks[[#This Row],[Flow (cfm)]]*KwPerCfm*PressHours,""))</f>
        <v>1207.76160187491</v>
      </c>
      <c r="M47" s="35">
        <f>IF(tblLeaks[[#This Row],[Tag no.]]="","",IF(ISNUMBER(tblLeaks[[#This Row],[Flow (cfm)]]),tblLeaks[[#This Row],[Flow (cfm)]]*KwPerCfm*PressHours*Rate,""))</f>
        <v>132.85377620624</v>
      </c>
      <c r="N47" s="35">
        <f>IF(tblLeaks[[#This Row],[Tag no.]]="","",IF(ISNUMBER(tblLeaks[[#This Row],[Flow (cfm)]]),tblLeaks[[#This Row],[Flow (cfm)]]*KwPerCfm*PressHours*Rate*AvoidShare,""))</f>
        <v>106.283020964992</v>
      </c>
      <c r="O47" s="43">
        <f>IF(tblLeaks[[#This Row],[Tag no.]]="","",IF(AND(ISNUMBER(tblLeaks[[#This Row],[Repair cost (est.)]]),N(tblLeaks[[#This Row],[Flow (cfm)]])*KwPerCfm*PressHours*Rate*AvoidShare&gt;0),tblLeaks[[#This Row],[Repair cost (est.)]]/(tblLeaks[[#This Row],[Flow (cfm)]]*KwPerCfm*PressHours*Rate*AvoidShare)*12,""))</f>
        <v>2.8226521722488</v>
      </c>
      <c r="P47" s="44">
        <f>IF(tblLeaks[[#This Row],[Tag no.]]="","",IF(tblLeaks[[#This Row],[Found]]="","",tblLeaks[[#This Row],[Found]]+RepairDays))</f>
        <v>46303</v>
      </c>
      <c r="Q47" s="35">
        <f>IF(tblLeaks[[#This Row],[Tag no.]]="","",IF(tblLeaks[[#This Row],[Found]]="","",IF(tblLeaks[[#This Row],[Repaired on]]&lt;&gt;"",tblLeaks[[#This Row],[Repaired on]],AsOf)-tblLeaks[[#This Row],[Found]]))</f>
        <v>2</v>
      </c>
      <c r="R47" s="45" t="str">
        <f>IF(tblLeaks[[#This Row],[Tag no.]]="","",IF(tblLeaks[[#This Row],[Found]]="","",IF(tblLeaks[[#This Row],[Repaired on]]&lt;&gt;"","Complete",IF(AsOf&gt;tblLeaks[[#This Row],[Repair due]],"Overdue",IF(tblLeaks[[#This Row],[Repair due]]-AsOf&lt;=7,"Due soon","Open")))))</f>
        <v>Complete</v>
      </c>
      <c r="S47"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47"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7" s="28" t="s">
        <v>218</v>
      </c>
    </row>
    <row r="48" spans="2:21" x14ac:dyDescent="0.25">
      <c r="B48" s="28" t="s">
        <v>219</v>
      </c>
      <c r="C48" s="36">
        <v>46279</v>
      </c>
      <c r="D48" s="28" t="s">
        <v>109</v>
      </c>
      <c r="E48" s="28" t="s">
        <v>220</v>
      </c>
      <c r="F48" s="28" t="s">
        <v>120</v>
      </c>
      <c r="G48" s="42">
        <v>45</v>
      </c>
      <c r="H48" s="28" t="s">
        <v>217</v>
      </c>
      <c r="I48" s="32">
        <v>30</v>
      </c>
      <c r="J48" s="36"/>
      <c r="K48"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1.58916000246699</v>
      </c>
      <c r="L48" s="35">
        <f>IF(tblLeaks[[#This Row],[Tag no.]]="","",IF(ISNUMBER(tblLeaks[[#This Row],[Flow (cfm)]]),tblLeaks[[#This Row],[Flow (cfm)]]*KwPerCfm*PressHours,""))</f>
        <v>1811.64240281236</v>
      </c>
      <c r="M48" s="35">
        <f>IF(tblLeaks[[#This Row],[Tag no.]]="","",IF(ISNUMBER(tblLeaks[[#This Row],[Flow (cfm)]]),tblLeaks[[#This Row],[Flow (cfm)]]*KwPerCfm*PressHours*Rate,""))</f>
        <v>199.28066430936</v>
      </c>
      <c r="N48" s="35">
        <f>IF(tblLeaks[[#This Row],[Tag no.]]="","",IF(ISNUMBER(tblLeaks[[#This Row],[Flow (cfm)]]),tblLeaks[[#This Row],[Flow (cfm)]]*KwPerCfm*PressHours*Rate*AvoidShare,""))</f>
        <v>159.424531447488</v>
      </c>
      <c r="O48" s="43">
        <f>IF(tblLeaks[[#This Row],[Tag no.]]="","",IF(AND(ISNUMBER(tblLeaks[[#This Row],[Repair cost (est.)]]),N(tblLeaks[[#This Row],[Flow (cfm)]])*KwPerCfm*PressHours*Rate*AvoidShare&gt;0),tblLeaks[[#This Row],[Repair cost (est.)]]/(tblLeaks[[#This Row],[Flow (cfm)]]*KwPerCfm*PressHours*Rate*AvoidShare)*12,""))</f>
        <v>2.25812173779904</v>
      </c>
      <c r="P48" s="44">
        <f>IF(tblLeaks[[#This Row],[Tag no.]]="","",IF(tblLeaks[[#This Row],[Found]]="","",tblLeaks[[#This Row],[Found]]+RepairDays))</f>
        <v>46309</v>
      </c>
      <c r="Q48" s="35">
        <f>IF(tblLeaks[[#This Row],[Tag no.]]="","",IF(tblLeaks[[#This Row],[Found]]="","",IF(tblLeaks[[#This Row],[Repaired on]]&lt;&gt;"",tblLeaks[[#This Row],[Repaired on]],AsOf)-tblLeaks[[#This Row],[Found]]))</f>
        <v>25</v>
      </c>
      <c r="R48" s="45" t="str">
        <f>IF(tblLeaks[[#This Row],[Tag no.]]="","",IF(tblLeaks[[#This Row],[Found]]="","",IF(tblLeaks[[#This Row],[Repaired on]]&lt;&gt;"","Complete",IF(AsOf&gt;tblLeaks[[#This Row],[Repair due]],"Overdue",IF(tblLeaks[[#This Row],[Repair due]]-AsOf&lt;=7,"Due soon","Open")))))</f>
        <v>Due soon</v>
      </c>
      <c r="S48"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18</v>
      </c>
      <c r="T48"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8" s="28" t="s">
        <v>218</v>
      </c>
    </row>
    <row r="49" spans="2:21" x14ac:dyDescent="0.25">
      <c r="B49" s="28" t="s">
        <v>221</v>
      </c>
      <c r="C49" s="36">
        <v>46281</v>
      </c>
      <c r="D49" s="28" t="s">
        <v>106</v>
      </c>
      <c r="E49" s="28" t="s">
        <v>168</v>
      </c>
      <c r="F49" s="28" t="s">
        <v>120</v>
      </c>
      <c r="G49" s="42">
        <v>50</v>
      </c>
      <c r="H49" s="28" t="s">
        <v>217</v>
      </c>
      <c r="I49" s="32">
        <v>25</v>
      </c>
      <c r="J49" s="36"/>
      <c r="K49"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1.76573333607443</v>
      </c>
      <c r="L49" s="35">
        <f>IF(tblLeaks[[#This Row],[Tag no.]]="","",IF(ISNUMBER(tblLeaks[[#This Row],[Flow (cfm)]]),tblLeaks[[#This Row],[Flow (cfm)]]*KwPerCfm*PressHours,""))</f>
        <v>2012.93600312485</v>
      </c>
      <c r="M49" s="35">
        <f>IF(tblLeaks[[#This Row],[Tag no.]]="","",IF(ISNUMBER(tblLeaks[[#This Row],[Flow (cfm)]]),tblLeaks[[#This Row],[Flow (cfm)]]*KwPerCfm*PressHours*Rate,""))</f>
        <v>221.422960343733</v>
      </c>
      <c r="N49" s="35">
        <f>IF(tblLeaks[[#This Row],[Tag no.]]="","",IF(ISNUMBER(tblLeaks[[#This Row],[Flow (cfm)]]),tblLeaks[[#This Row],[Flow (cfm)]]*KwPerCfm*PressHours*Rate*AvoidShare,""))</f>
        <v>177.138368274987</v>
      </c>
      <c r="O49" s="43">
        <f>IF(tblLeaks[[#This Row],[Tag no.]]="","",IF(AND(ISNUMBER(tblLeaks[[#This Row],[Repair cost (est.)]]),N(tblLeaks[[#This Row],[Flow (cfm)]])*KwPerCfm*PressHours*Rate*AvoidShare&gt;0),tblLeaks[[#This Row],[Repair cost (est.)]]/(tblLeaks[[#This Row],[Flow (cfm)]]*KwPerCfm*PressHours*Rate*AvoidShare)*12,""))</f>
        <v>1.69359130334928</v>
      </c>
      <c r="P49" s="44">
        <f>IF(tblLeaks[[#This Row],[Tag no.]]="","",IF(tblLeaks[[#This Row],[Found]]="","",tblLeaks[[#This Row],[Found]]+RepairDays))</f>
        <v>46311</v>
      </c>
      <c r="Q49" s="35">
        <f>IF(tblLeaks[[#This Row],[Tag no.]]="","",IF(tblLeaks[[#This Row],[Found]]="","",IF(tblLeaks[[#This Row],[Repaired on]]&lt;&gt;"",tblLeaks[[#This Row],[Repaired on]],AsOf)-tblLeaks[[#This Row],[Found]]))</f>
        <v>23</v>
      </c>
      <c r="R49" s="45" t="str">
        <f>IF(tblLeaks[[#This Row],[Tag no.]]="","",IF(tblLeaks[[#This Row],[Found]]="","",IF(tblLeaks[[#This Row],[Repaired on]]&lt;&gt;"","Complete",IF(AsOf&gt;tblLeaks[[#This Row],[Repair due]],"Overdue",IF(tblLeaks[[#This Row],[Repair due]]-AsOf&lt;=7,"Due soon","Open")))))</f>
        <v>Due soon</v>
      </c>
      <c r="S49"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17</v>
      </c>
      <c r="T49"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49" s="28" t="s">
        <v>218</v>
      </c>
    </row>
    <row r="50" spans="2:21" x14ac:dyDescent="0.25">
      <c r="B50" s="28" t="s">
        <v>222</v>
      </c>
      <c r="C50" s="36">
        <v>46287</v>
      </c>
      <c r="D50" s="28" t="s">
        <v>112</v>
      </c>
      <c r="E50" s="28" t="s">
        <v>210</v>
      </c>
      <c r="F50" s="28" t="s">
        <v>118</v>
      </c>
      <c r="G50" s="42">
        <v>80</v>
      </c>
      <c r="H50" s="28" t="s">
        <v>217</v>
      </c>
      <c r="I50" s="32">
        <v>165</v>
      </c>
      <c r="J50" s="36">
        <v>46289</v>
      </c>
      <c r="K50"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2.82517333771909</v>
      </c>
      <c r="L50" s="35">
        <f>IF(tblLeaks[[#This Row],[Tag no.]]="","",IF(ISNUMBER(tblLeaks[[#This Row],[Flow (cfm)]]),tblLeaks[[#This Row],[Flow (cfm)]]*KwPerCfm*PressHours,""))</f>
        <v>3220.69760499976</v>
      </c>
      <c r="M50" s="35">
        <f>IF(tblLeaks[[#This Row],[Tag no.]]="","",IF(ISNUMBER(tblLeaks[[#This Row],[Flow (cfm)]]),tblLeaks[[#This Row],[Flow (cfm)]]*KwPerCfm*PressHours*Rate,""))</f>
        <v>354.276736549974</v>
      </c>
      <c r="N50" s="35">
        <f>IF(tblLeaks[[#This Row],[Tag no.]]="","",IF(ISNUMBER(tblLeaks[[#This Row],[Flow (cfm)]]),tblLeaks[[#This Row],[Flow (cfm)]]*KwPerCfm*PressHours*Rate*AvoidShare,""))</f>
        <v>283.421389239979</v>
      </c>
      <c r="O50" s="43">
        <f>IF(tblLeaks[[#This Row],[Tag no.]]="","",IF(AND(ISNUMBER(tblLeaks[[#This Row],[Repair cost (est.)]]),N(tblLeaks[[#This Row],[Flow (cfm)]])*KwPerCfm*PressHours*Rate*AvoidShare&gt;0),tblLeaks[[#This Row],[Repair cost (est.)]]/(tblLeaks[[#This Row],[Flow (cfm)]]*KwPerCfm*PressHours*Rate*AvoidShare)*12,""))</f>
        <v>6.98606412631579</v>
      </c>
      <c r="P50" s="44">
        <f>IF(tblLeaks[[#This Row],[Tag no.]]="","",IF(tblLeaks[[#This Row],[Found]]="","",tblLeaks[[#This Row],[Found]]+RepairDays))</f>
        <v>46317</v>
      </c>
      <c r="Q50" s="35">
        <f>IF(tblLeaks[[#This Row],[Tag no.]]="","",IF(tblLeaks[[#This Row],[Found]]="","",IF(tblLeaks[[#This Row],[Repaired on]]&lt;&gt;"",tblLeaks[[#This Row],[Repaired on]],AsOf)-tblLeaks[[#This Row],[Found]]))</f>
        <v>2</v>
      </c>
      <c r="R50" s="45" t="str">
        <f>IF(tblLeaks[[#This Row],[Tag no.]]="","",IF(tblLeaks[[#This Row],[Found]]="","",IF(tblLeaks[[#This Row],[Repaired on]]&lt;&gt;"","Complete",IF(AsOf&gt;tblLeaks[[#This Row],[Repair due]],"Overdue",IF(tblLeaks[[#This Row],[Repair due]]-AsOf&lt;=7,"Due soon","Open")))))</f>
        <v>Complete</v>
      </c>
      <c r="S50"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
      </c>
      <c r="T50"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50" s="28" t="s">
        <v>218</v>
      </c>
    </row>
    <row r="51" spans="2:21" x14ac:dyDescent="0.25">
      <c r="B51" s="28" t="s">
        <v>223</v>
      </c>
      <c r="C51" s="36">
        <v>46294</v>
      </c>
      <c r="D51" s="28" t="s">
        <v>97</v>
      </c>
      <c r="E51" s="28" t="s">
        <v>163</v>
      </c>
      <c r="F51" s="28" t="s">
        <v>120</v>
      </c>
      <c r="G51" s="42">
        <v>85</v>
      </c>
      <c r="H51" s="28" t="s">
        <v>217</v>
      </c>
      <c r="I51" s="32">
        <v>30</v>
      </c>
      <c r="J51" s="36"/>
      <c r="K51"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3.00174667132653</v>
      </c>
      <c r="L51" s="35">
        <f>IF(tblLeaks[[#This Row],[Tag no.]]="","",IF(ISNUMBER(tblLeaks[[#This Row],[Flow (cfm)]]),tblLeaks[[#This Row],[Flow (cfm)]]*KwPerCfm*PressHours,""))</f>
        <v>3421.99120531225</v>
      </c>
      <c r="M51" s="35">
        <f>IF(tblLeaks[[#This Row],[Tag no.]]="","",IF(ISNUMBER(tblLeaks[[#This Row],[Flow (cfm)]]),tblLeaks[[#This Row],[Flow (cfm)]]*KwPerCfm*PressHours*Rate,""))</f>
        <v>376.419032584347</v>
      </c>
      <c r="N51" s="35">
        <f>IF(tblLeaks[[#This Row],[Tag no.]]="","",IF(ISNUMBER(tblLeaks[[#This Row],[Flow (cfm)]]),tblLeaks[[#This Row],[Flow (cfm)]]*KwPerCfm*PressHours*Rate*AvoidShare,""))</f>
        <v>301.135226067478</v>
      </c>
      <c r="O51" s="43">
        <f>IF(tblLeaks[[#This Row],[Tag no.]]="","",IF(AND(ISNUMBER(tblLeaks[[#This Row],[Repair cost (est.)]]),N(tblLeaks[[#This Row],[Flow (cfm)]])*KwPerCfm*PressHours*Rate*AvoidShare&gt;0),tblLeaks[[#This Row],[Repair cost (est.)]]/(tblLeaks[[#This Row],[Flow (cfm)]]*KwPerCfm*PressHours*Rate*AvoidShare)*12,""))</f>
        <v>1.19547621412891</v>
      </c>
      <c r="P51" s="44">
        <f>IF(tblLeaks[[#This Row],[Tag no.]]="","",IF(tblLeaks[[#This Row],[Found]]="","",tblLeaks[[#This Row],[Found]]+RepairDays))</f>
        <v>46324</v>
      </c>
      <c r="Q51" s="35">
        <f>IF(tblLeaks[[#This Row],[Tag no.]]="","",IF(tblLeaks[[#This Row],[Found]]="","",IF(tblLeaks[[#This Row],[Repaired on]]&lt;&gt;"",tblLeaks[[#This Row],[Repaired on]],AsOf)-tblLeaks[[#This Row],[Found]]))</f>
        <v>10</v>
      </c>
      <c r="R51" s="45" t="str">
        <f>IF(tblLeaks[[#This Row],[Tag no.]]="","",IF(tblLeaks[[#This Row],[Found]]="","",IF(tblLeaks[[#This Row],[Repaired on]]&lt;&gt;"","Complete",IF(AsOf&gt;tblLeaks[[#This Row],[Repair due]],"Overdue",IF(tblLeaks[[#This Row],[Repair due]]-AsOf&lt;=7,"Due soon","Open")))))</f>
        <v>Open</v>
      </c>
      <c r="S51"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13</v>
      </c>
      <c r="T51"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51" s="28" t="s">
        <v>218</v>
      </c>
    </row>
    <row r="52" spans="2:21" x14ac:dyDescent="0.25">
      <c r="B52" s="28" t="s">
        <v>224</v>
      </c>
      <c r="C52" s="36">
        <v>46297</v>
      </c>
      <c r="D52" s="28" t="s">
        <v>100</v>
      </c>
      <c r="E52" s="28" t="s">
        <v>195</v>
      </c>
      <c r="F52" s="28" t="s">
        <v>120</v>
      </c>
      <c r="G52" s="42">
        <v>20</v>
      </c>
      <c r="H52" s="28" t="s">
        <v>217</v>
      </c>
      <c r="I52" s="32">
        <v>40</v>
      </c>
      <c r="J52" s="36"/>
      <c r="K52"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0.706293334429772</v>
      </c>
      <c r="L52" s="35">
        <f>IF(tblLeaks[[#This Row],[Tag no.]]="","",IF(ISNUMBER(tblLeaks[[#This Row],[Flow (cfm)]]),tblLeaks[[#This Row],[Flow (cfm)]]*KwPerCfm*PressHours,""))</f>
        <v>805.17440124994</v>
      </c>
      <c r="M52" s="35">
        <f>IF(tblLeaks[[#This Row],[Tag no.]]="","",IF(ISNUMBER(tblLeaks[[#This Row],[Flow (cfm)]]),tblLeaks[[#This Row],[Flow (cfm)]]*KwPerCfm*PressHours*Rate,""))</f>
        <v>88.5691841374934</v>
      </c>
      <c r="N52" s="35">
        <f>IF(tblLeaks[[#This Row],[Tag no.]]="","",IF(ISNUMBER(tblLeaks[[#This Row],[Flow (cfm)]]),tblLeaks[[#This Row],[Flow (cfm)]]*KwPerCfm*PressHours*Rate*AvoidShare,""))</f>
        <v>70.8553473099947</v>
      </c>
      <c r="O52" s="43">
        <f>IF(tblLeaks[[#This Row],[Tag no.]]="","",IF(AND(ISNUMBER(tblLeaks[[#This Row],[Repair cost (est.)]]),N(tblLeaks[[#This Row],[Flow (cfm)]])*KwPerCfm*PressHours*Rate*AvoidShare&gt;0),tblLeaks[[#This Row],[Repair cost (est.)]]/(tblLeaks[[#This Row],[Flow (cfm)]]*KwPerCfm*PressHours*Rate*AvoidShare)*12,""))</f>
        <v>6.77436521339713</v>
      </c>
      <c r="P52" s="44">
        <f>IF(tblLeaks[[#This Row],[Tag no.]]="","",IF(tblLeaks[[#This Row],[Found]]="","",tblLeaks[[#This Row],[Found]]+RepairDays))</f>
        <v>46327</v>
      </c>
      <c r="Q52" s="35">
        <f>IF(tblLeaks[[#This Row],[Tag no.]]="","",IF(tblLeaks[[#This Row],[Found]]="","",IF(tblLeaks[[#This Row],[Repaired on]]&lt;&gt;"",tblLeaks[[#This Row],[Repaired on]],AsOf)-tblLeaks[[#This Row],[Found]]))</f>
        <v>7</v>
      </c>
      <c r="R52" s="45" t="str">
        <f>IF(tblLeaks[[#This Row],[Tag no.]]="","",IF(tblLeaks[[#This Row],[Found]]="","",IF(tblLeaks[[#This Row],[Repaired on]]&lt;&gt;"","Complete",IF(AsOf&gt;tblLeaks[[#This Row],[Repair due]],"Overdue",IF(tblLeaks[[#This Row],[Repair due]]-AsOf&lt;=7,"Due soon","Open")))))</f>
        <v>Open</v>
      </c>
      <c r="S52"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22</v>
      </c>
      <c r="T52"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52" s="28" t="s">
        <v>218</v>
      </c>
    </row>
    <row r="53" spans="2:21" x14ac:dyDescent="0.25">
      <c r="B53" s="28" t="s">
        <v>225</v>
      </c>
      <c r="C53" s="36">
        <v>46301</v>
      </c>
      <c r="D53" s="28" t="s">
        <v>112</v>
      </c>
      <c r="E53" s="28" t="s">
        <v>216</v>
      </c>
      <c r="F53" s="28" t="s">
        <v>120</v>
      </c>
      <c r="G53" s="42">
        <v>40</v>
      </c>
      <c r="H53" s="28" t="s">
        <v>217</v>
      </c>
      <c r="I53" s="32">
        <v>20</v>
      </c>
      <c r="J53" s="36"/>
      <c r="K53"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1.41258666885954</v>
      </c>
      <c r="L53" s="35">
        <f>IF(tblLeaks[[#This Row],[Tag no.]]="","",IF(ISNUMBER(tblLeaks[[#This Row],[Flow (cfm)]]),tblLeaks[[#This Row],[Flow (cfm)]]*KwPerCfm*PressHours,""))</f>
        <v>1610.34880249988</v>
      </c>
      <c r="M53" s="35">
        <f>IF(tblLeaks[[#This Row],[Tag no.]]="","",IF(ISNUMBER(tblLeaks[[#This Row],[Flow (cfm)]]),tblLeaks[[#This Row],[Flow (cfm)]]*KwPerCfm*PressHours*Rate,""))</f>
        <v>177.138368274987</v>
      </c>
      <c r="N53" s="35">
        <f>IF(tblLeaks[[#This Row],[Tag no.]]="","",IF(ISNUMBER(tblLeaks[[#This Row],[Flow (cfm)]]),tblLeaks[[#This Row],[Flow (cfm)]]*KwPerCfm*PressHours*Rate*AvoidShare,""))</f>
        <v>141.710694619989</v>
      </c>
      <c r="O53" s="43">
        <f>IF(tblLeaks[[#This Row],[Tag no.]]="","",IF(AND(ISNUMBER(tblLeaks[[#This Row],[Repair cost (est.)]]),N(tblLeaks[[#This Row],[Flow (cfm)]])*KwPerCfm*PressHours*Rate*AvoidShare&gt;0),tblLeaks[[#This Row],[Repair cost (est.)]]/(tblLeaks[[#This Row],[Flow (cfm)]]*KwPerCfm*PressHours*Rate*AvoidShare)*12,""))</f>
        <v>1.69359130334928</v>
      </c>
      <c r="P53" s="44">
        <f>IF(tblLeaks[[#This Row],[Tag no.]]="","",IF(tblLeaks[[#This Row],[Found]]="","",tblLeaks[[#This Row],[Found]]+RepairDays))</f>
        <v>46331</v>
      </c>
      <c r="Q53" s="35">
        <f>IF(tblLeaks[[#This Row],[Tag no.]]="","",IF(tblLeaks[[#This Row],[Found]]="","",IF(tblLeaks[[#This Row],[Repaired on]]&lt;&gt;"",tblLeaks[[#This Row],[Repaired on]],AsOf)-tblLeaks[[#This Row],[Found]]))</f>
        <v>3</v>
      </c>
      <c r="R53" s="45" t="str">
        <f>IF(tblLeaks[[#This Row],[Tag no.]]="","",IF(tblLeaks[[#This Row],[Found]]="","",IF(tblLeaks[[#This Row],[Repaired on]]&lt;&gt;"","Complete",IF(AsOf&gt;tblLeaks[[#This Row],[Repair due]],"Overdue",IF(tblLeaks[[#This Row],[Repair due]]-AsOf&lt;=7,"Due soon","Open")))))</f>
        <v>Open</v>
      </c>
      <c r="S53"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21</v>
      </c>
      <c r="T53"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53" s="28" t="s">
        <v>218</v>
      </c>
    </row>
    <row r="54" spans="2:21" x14ac:dyDescent="0.25">
      <c r="B54" s="28" t="s">
        <v>226</v>
      </c>
      <c r="C54" s="36">
        <v>46302</v>
      </c>
      <c r="D54" s="28" t="s">
        <v>112</v>
      </c>
      <c r="E54" s="28" t="s">
        <v>210</v>
      </c>
      <c r="F54" s="28" t="s">
        <v>120</v>
      </c>
      <c r="G54" s="42">
        <v>45</v>
      </c>
      <c r="H54" s="28" t="s">
        <v>217</v>
      </c>
      <c r="I54" s="32">
        <v>30</v>
      </c>
      <c r="J54" s="36"/>
      <c r="K54" s="43">
        <f>IF(tblLeaks[[#This Row],[Tag no.]]="","",IF(NOT(ISNUMBER(tblLeaks[[#This Row],[Leak flow]])),"",IF(tblLeaks[[#This Row],[Flow unit]]="cfm",tblLeaks[[#This Row],[Leak flow]],IF(tblLeaks[[#This Row],[Flow unit]]="L/min",tblLeaks[[#This Row],[Leak flow]]/28.316846592,IF(tblLeaks[[#This Row],[Flow unit]]="L/s",tblLeaks[[#This Row],[Leak flow]]*60/28.316846592,IF(tblLeaks[[#This Row],[Flow unit]]="m3/min",tblLeaks[[#This Row],[Leak flow]]/0.028316846592,""))))))</f>
        <v>1.58916000246699</v>
      </c>
      <c r="L54" s="35">
        <f>IF(tblLeaks[[#This Row],[Tag no.]]="","",IF(ISNUMBER(tblLeaks[[#This Row],[Flow (cfm)]]),tblLeaks[[#This Row],[Flow (cfm)]]*KwPerCfm*PressHours,""))</f>
        <v>1811.64240281236</v>
      </c>
      <c r="M54" s="35">
        <f>IF(tblLeaks[[#This Row],[Tag no.]]="","",IF(ISNUMBER(tblLeaks[[#This Row],[Flow (cfm)]]),tblLeaks[[#This Row],[Flow (cfm)]]*KwPerCfm*PressHours*Rate,""))</f>
        <v>199.28066430936</v>
      </c>
      <c r="N54" s="35">
        <f>IF(tblLeaks[[#This Row],[Tag no.]]="","",IF(ISNUMBER(tblLeaks[[#This Row],[Flow (cfm)]]),tblLeaks[[#This Row],[Flow (cfm)]]*KwPerCfm*PressHours*Rate*AvoidShare,""))</f>
        <v>159.424531447488</v>
      </c>
      <c r="O54" s="43">
        <f>IF(tblLeaks[[#This Row],[Tag no.]]="","",IF(AND(ISNUMBER(tblLeaks[[#This Row],[Repair cost (est.)]]),N(tblLeaks[[#This Row],[Flow (cfm)]])*KwPerCfm*PressHours*Rate*AvoidShare&gt;0),tblLeaks[[#This Row],[Repair cost (est.)]]/(tblLeaks[[#This Row],[Flow (cfm)]]*KwPerCfm*PressHours*Rate*AvoidShare)*12,""))</f>
        <v>2.25812173779904</v>
      </c>
      <c r="P54" s="44">
        <f>IF(tblLeaks[[#This Row],[Tag no.]]="","",IF(tblLeaks[[#This Row],[Found]]="","",tblLeaks[[#This Row],[Found]]+RepairDays))</f>
        <v>46332</v>
      </c>
      <c r="Q54" s="35">
        <f>IF(tblLeaks[[#This Row],[Tag no.]]="","",IF(tblLeaks[[#This Row],[Found]]="","",IF(tblLeaks[[#This Row],[Repaired on]]&lt;&gt;"",tblLeaks[[#This Row],[Repaired on]],AsOf)-tblLeaks[[#This Row],[Found]]))</f>
        <v>2</v>
      </c>
      <c r="R54" s="45" t="str">
        <f>IF(tblLeaks[[#This Row],[Tag no.]]="","",IF(tblLeaks[[#This Row],[Found]]="","",IF(tblLeaks[[#This Row],[Repaired on]]&lt;&gt;"","Complete",IF(AsOf&gt;tblLeaks[[#This Row],[Repair due]],"Overdue",IF(tblLeaks[[#This Row],[Repair due]]-AsOf&lt;=7,"Due soon","Open")))))</f>
        <v>Open</v>
      </c>
      <c r="S54" s="35">
        <f>IF(tblLeaks[[#This Row],[Tag no.]]="","",IF(OR(tblLeaks[[#This Row],[Status]]="Complete",tblLeaks[[#This Row],[Status]]="",NOT(ISNUMBER(tblLeaks[[#This Row],[Avoidable cost]]))),"",COUNTIFS(tblLeaks[Status],"&lt;&gt;Complete",tblLeaks[Avoidable cost],"&gt;"&amp;tblLeaks[[#This Row],[Avoidable cost]])+COUNTIFS(tblLeaks[Status],"&lt;&gt;Complete",tblLeaks[Avoidable cost],tblLeaks[[#This Row],[Avoidable cost]],tblLeaks[Tag no.],"&lt;"&amp;tblLeaks[[#This Row],[Tag no.]])+1))</f>
        <v>19</v>
      </c>
      <c r="T54" s="46" t="str">
        <f>IF(tblLeaks[[#This Row],[Tag no.]]="","",IF(tblLeaks[[#This Row],[Found]]="","Missing found",IF(tblLeaks[[#This Row],[Area]]="","Missing area",IF(tblLeaks[[#This Row],[Component]]="","Missing component",IF(tblLeaks[[#This Row],[Leak flow]]="","Missing leak flow",IF(tblLeaks[[#This Row],[Flow unit]]="","Missing flow unit",IF(tblLeaks[[#This Row],[Flow (cfm)]]="","Flow unit not recognised",IF(AND(tblLeaks[[#This Row],[Repaired on]]&lt;&gt;"",tblLeaks[[#This Row],[Repaired on]]&lt;tblLeaks[[#This Row],[Found]]),"Repaired before found",IF(OR(tblLeaks[[#This Row],[Found]]&gt;AsOf,AND(tblLeaks[[#This Row],[Repaired on]]&lt;&gt;"",tblLeaks[[#This Row],[Repaired on]]&gt;AsOf)),"Date after the status date",IF(COUNTIFS(tblLeaks[Tag no.],tblLeaks[[#This Row],[Tag no.]])&gt;1,"Duplicate tag number","OK"))))))))))</f>
        <v>OK</v>
      </c>
      <c r="U54" s="28" t="s">
        <v>218</v>
      </c>
    </row>
  </sheetData>
  <mergeCells count="3">
    <mergeCell ref="A1:U1"/>
    <mergeCell ref="B2:T2"/>
    <mergeCell ref="B4:U4"/>
  </mergeCells>
  <conditionalFormatting sqref="M7:M554">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R7:R554">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T7:T554">
    <cfRule type="expression" dxfId="3" priority="22">
      <formula>$T7="OK"</formula>
    </cfRule>
    <cfRule type="expression" dxfId="1" priority="23">
      <formula>AND($T7&lt;&gt;"",$T7&lt;&gt;"OK")</formula>
    </cfRule>
  </conditionalFormatting>
  <dataValidations count="10">
    <dataValidation type="textLength" allowBlank="1" showInputMessage="1" showErrorMessage="1" errorTitle="Check this entry" error="Text up to 20 characters." promptTitle="Tag no." prompt="The number on the leak tag, unique per leak. Text up to 20 characters." sqref="B7:B554">
      <formula1>0</formula1>
      <formula2>20</formula2>
    </dataValidation>
    <dataValidation type="date" allowBlank="1" showInputMessage="1" showErrorMessage="1" errorTitle="Check this entry" error="Enter a date between 01 Jan 2000 and 31 Dec 2100." promptTitle="Found" prompt="Date the leak was found and tagged. Enter a date between 01 Jan 2000 and 31 Dec 2100." sqref="C7:C554">
      <formula1>36526</formula1>
      <formula2>73415</formula2>
    </dataValidation>
    <dataValidation type="list" allowBlank="1" showInputMessage="1" showErrorMessage="1" errorTitle="Check this entry" error="Pick from the list (edit the list on Setup: Areas)." promptTitle="Area" prompt="Pick from the list (edit the list on Setup: Areas)." sqref="D7:D554">
      <formula1>Areas</formula1>
    </dataValidation>
    <dataValidation type="textLength" allowBlank="1" showInputMessage="1" showErrorMessage="1" errorTitle="Check this entry" error="Text up to 80 characters." promptTitle="Location" prompt="Machine, drop or equipment, so the repair crew can find it. Text up to 80 characters." sqref="E7:E554">
      <formula1>0</formula1>
      <formula2>80</formula2>
    </dataValidation>
    <dataValidation type="list" allowBlank="1" showInputMessage="1" showErrorMessage="1" errorTitle="Check this entry" error="Pick from the list (edit the list on Setup: Components)." promptTitle="Component" prompt="Pick from the list (edit the list on Setup: Components)." sqref="F7:F554">
      <formula1>Components</formula1>
    </dataValidation>
    <dataValidation type="decimal" allowBlank="1" showInputMessage="1" showErrorMessage="1" errorTitle="Check this entry" error="Enter a number from 0.01 to 100,000." promptTitle="Leak flow" prompt="Flow your ultrasonic detector or orifice table gives for this leak, in the unit of the next column. Enter a number from 0.01 to 100,000." sqref="G7:G554">
      <formula1>0.01</formula1>
      <formula2>100000</formula2>
    </dataValidation>
    <dataValidation type="list" allowBlank="1" showInputMessage="1" showErrorMessage="1" errorTitle="Check this entry" error="Pick one of: cfm, L/min, L/s, m3/min." promptTitle="Flow unit" prompt="cfm, L/min, L/s or m3/min. Converted exactly to cfm (1 ft3 = 28.316846592 L). Pick one of: cfm, L/min, L/s, m3/min." sqref="H7:H554">
      <formula1>"cfm,L/min,L/s,m3/min"</formula1>
    </dataValidation>
    <dataValidation type="decimal" allowBlank="1" showInputMessage="1" showErrorMessage="1" errorTitle="Check this entry" error="Enter a number from 0 to 10,000,000." promptTitle="Repair cost (est.)" prompt="Parts and labour to fix it, from maintenance's estimate. Enter a number from 0 to 10,000,000." sqref="I7:I554">
      <formula1>0</formula1>
      <formula2>10000000</formula2>
    </dataValidation>
    <dataValidation type="date" allowBlank="1" showInputMessage="1" showErrorMessage="1" errorTitle="Check this entry" error="Enter a date between 01 Jan 2000 and 31 Dec 2100." promptTitle="Repaired on" prompt="Leave blank until the leak is fixed. Enter a date between 01 Jan 2000 and 31 Dec 2100." sqref="J7:J554">
      <formula1>36526</formula1>
      <formula2>73415</formula2>
    </dataValidation>
    <dataValidation type="textLength" allowBlank="1" showInputMessage="1" showErrorMessage="1" errorTitle="Check this entry" error="Text up to 255 characters." promptTitle="Notes" prompt="Text up to 255 characters." sqref="U7:U554">
      <formula1>0</formula1>
      <formula2>255</formula2>
    </dataValidation>
  </dataValidations>
  <hyperlinks>
    <hyperlink ref="U2" r:id="rId1" tooltip="Free manufacturing calculators and templates"/>
  </hyperlinks>
  <pageMargins left="0.4" right="0.4" top="0.7" bottom="0.65" header="0.3" footer="0.3"/>
  <pageSetup fitToHeight="0" orientation="landscape"/>
  <headerFooter>
    <oddHeader>&amp;L&amp;8MFG Calcs - Compressed Air Leak Cost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M7:M554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7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227</v>
      </c>
      <c r="C4" s="27"/>
      <c r="D4" s="44">
        <f>AsOf</f>
        <v>46304</v>
      </c>
      <c r="E4" s="44"/>
      <c r="F4" s="7"/>
      <c r="H4" s="27" t="s">
        <v>228</v>
      </c>
      <c r="I4" s="27"/>
      <c r="J4" s="47">
        <f>CostPerCfm</f>
        <v>125.4</v>
      </c>
      <c r="K4" s="47"/>
      <c r="L4" s="7" t="str">
        <f>Currency&amp;"/cfm-yr"</f>
        <v>USD/cfm-yr</v>
      </c>
    </row>
    <row r="5" spans="1:12" x14ac:dyDescent="0.25">
      <c r="B5" s="48" t="str">
        <f>"Money in "&amp;Currency&amp;" per year at the Setup rate. "&amp;COUNTA(tblLeaks[Tag no.])&amp;" leaks logged, "&amp;COUNTIFS(tblLeaks[Status],"Complete")&amp;" repaired."</f>
        <v>Money in USD per year at the Setup rate. 48 leaks logged, 26 repaired.</v>
      </c>
      <c r="C5" s="48"/>
      <c r="D5" s="48"/>
      <c r="E5" s="48"/>
      <c r="F5" s="48"/>
      <c r="G5" s="48"/>
      <c r="H5" s="48"/>
      <c r="I5" s="48"/>
      <c r="J5" s="48"/>
      <c r="K5" s="48"/>
      <c r="L5" s="48"/>
    </row>
    <row r="7" spans="1:12" ht="18" customHeight="1" x14ac:dyDescent="0.25">
      <c r="B7" s="49" t="str">
        <f>"AVOIDABLE COST STILL OPEN ("&amp;Currency&amp;"/YR)"</f>
        <v>AVOIDABLE COST STILL OPEN (USD/YR)</v>
      </c>
      <c r="C7" s="49"/>
      <c r="D7" s="49" t="str">
        <f>"SAVED BY REPAIRS ("&amp;Currency&amp;"/YR)"</f>
        <v>SAVED BY REPAIRS (USD/YR)</v>
      </c>
      <c r="E7" s="49"/>
      <c r="F7" s="49"/>
      <c r="G7" s="49" t="s">
        <v>229</v>
      </c>
      <c r="H7" s="49"/>
      <c r="I7" s="49"/>
      <c r="J7" s="49" t="s">
        <v>230</v>
      </c>
      <c r="K7" s="49"/>
      <c r="L7" s="49"/>
    </row>
    <row r="8" spans="1:12" ht="21" customHeight="1" x14ac:dyDescent="0.25">
      <c r="B8" s="50">
        <f>SUMIFS(tblLeaks[Avoidable cost],tblLeaks[Status],"&lt;&gt;Complete")</f>
        <v>11493.1286991674</v>
      </c>
      <c r="C8" s="50"/>
      <c r="D8" s="50">
        <f>SUMIFS(tblLeaks[Avoidable cost],tblLeaks[Status],"Complete")</f>
        <v>10321.384410205</v>
      </c>
      <c r="E8" s="50"/>
      <c r="F8" s="50"/>
      <c r="G8" s="51">
        <f>IF((CapCfm)=0,"",(SUMIFS(tblLeaks[Flow (cfm)],tblLeaks[Status],"&lt;&gt;Complete"))/(CapCfm))</f>
        <v>0.14320585001953</v>
      </c>
      <c r="H8" s="51"/>
      <c r="I8" s="51"/>
      <c r="J8" s="50">
        <f>COUNTIFS(tblLeaks[Status],"Overdue")</f>
        <v>16</v>
      </c>
      <c r="K8" s="50"/>
      <c r="L8" s="50"/>
    </row>
    <row r="9" spans="1:12" ht="21" customHeight="1" x14ac:dyDescent="0.25">
      <c r="B9" s="50"/>
      <c r="C9" s="50"/>
      <c r="D9" s="50"/>
      <c r="E9" s="50"/>
      <c r="F9" s="50"/>
      <c r="G9" s="51"/>
      <c r="H9" s="51"/>
      <c r="I9" s="51"/>
      <c r="J9" s="50"/>
      <c r="K9" s="50"/>
      <c r="L9" s="50"/>
    </row>
    <row r="10" spans="1:12" x14ac:dyDescent="0.25">
      <c r="B10" s="52" t="s">
        <v>231</v>
      </c>
      <c r="C10" s="52"/>
      <c r="D10" s="52" t="s">
        <v>232</v>
      </c>
      <c r="E10" s="52"/>
      <c r="F10" s="52"/>
      <c r="G10" s="53">
        <f>TargetLeak</f>
        <v>0.1</v>
      </c>
      <c r="H10" s="53"/>
      <c r="I10" s="53"/>
      <c r="J10" s="52" t="s">
        <v>233</v>
      </c>
      <c r="K10" s="52"/>
      <c r="L10" s="52"/>
    </row>
    <row r="11" spans="1:12" ht="18" customHeight="1" x14ac:dyDescent="0.25">
      <c r="B11" s="54"/>
      <c r="C11" s="54"/>
      <c r="D11" s="54"/>
      <c r="E11" s="54"/>
      <c r="F11" s="54"/>
      <c r="G11" s="54" t="str">
        <f>IF(NOT(ISNUMBER(KpiLeakage)),"No data",IF(KpiLeakage&lt;=(TargetLeak),"On target",IF(KpiLeakage&lt;=(TargetLeak)*(1+0.05),"Near target","Above target")))</f>
        <v>Above target</v>
      </c>
      <c r="H11" s="54"/>
      <c r="I11" s="54"/>
      <c r="J11" s="54"/>
      <c r="K11" s="54"/>
      <c r="L11" s="54"/>
    </row>
    <row r="29" spans="2:12" ht="18" customHeight="1" x14ac:dyDescent="0.25">
      <c r="B29" s="49" t="s">
        <v>234</v>
      </c>
      <c r="C29" s="49"/>
      <c r="D29" s="49" t="s">
        <v>235</v>
      </c>
      <c r="E29" s="49"/>
      <c r="F29" s="49"/>
      <c r="G29" s="49" t="s">
        <v>236</v>
      </c>
      <c r="H29" s="49"/>
      <c r="I29" s="49"/>
      <c r="J29" s="49" t="s">
        <v>237</v>
      </c>
      <c r="K29" s="49"/>
      <c r="L29" s="49"/>
    </row>
    <row r="30" spans="2:12" ht="21" customHeight="1" x14ac:dyDescent="0.25">
      <c r="B30" s="50">
        <f>COUNTA(tblLeaks[Tag no.])</f>
        <v>48</v>
      </c>
      <c r="C30" s="50"/>
      <c r="D30" s="55">
        <f>SUM(tblLeaks[Flow (cfm)])</f>
        <v>217.449293354988</v>
      </c>
      <c r="E30" s="55"/>
      <c r="F30" s="55"/>
      <c r="G30" s="55">
        <f>IF(COUNTIFS(tblLeaks[Status],"Complete")=0,"",AVERAGEIFS(tblLeaks[Days open],tblLeaks[Status],"Complete"))</f>
        <v>19.6538461538462</v>
      </c>
      <c r="H30" s="55"/>
      <c r="I30" s="55"/>
      <c r="J30" s="55">
        <f>IF(SUM(tblLeaks[Avoidable cost])=0,"",SUM(tblLeaks[Repair cost (est.)])/SUM(tblLeaks[Avoidable cost])*12)</f>
        <v>4.81330935389467</v>
      </c>
      <c r="K30" s="55"/>
      <c r="L30" s="55"/>
    </row>
    <row r="31" spans="2:12" ht="21" customHeight="1" x14ac:dyDescent="0.25">
      <c r="B31" s="50"/>
      <c r="C31" s="50"/>
      <c r="D31" s="55"/>
      <c r="E31" s="55"/>
      <c r="F31" s="55"/>
      <c r="G31" s="55"/>
      <c r="H31" s="55"/>
      <c r="I31" s="55"/>
      <c r="J31" s="55"/>
      <c r="K31" s="55"/>
      <c r="L31" s="55"/>
    </row>
    <row r="32" spans="2:12" x14ac:dyDescent="0.25">
      <c r="B32" s="52" t="s">
        <v>238</v>
      </c>
      <c r="C32" s="52"/>
      <c r="D32" s="52" t="s">
        <v>239</v>
      </c>
      <c r="E32" s="52"/>
      <c r="F32" s="52"/>
      <c r="G32" s="56">
        <f>RepairDays</f>
        <v>30</v>
      </c>
      <c r="H32" s="56"/>
      <c r="I32" s="56"/>
      <c r="J32" s="52" t="s">
        <v>240</v>
      </c>
      <c r="K32" s="52"/>
      <c r="L32" s="52"/>
    </row>
    <row r="33" spans="2:12" ht="18" customHeight="1" x14ac:dyDescent="0.25">
      <c r="B33" s="54"/>
      <c r="C33" s="54"/>
      <c r="D33" s="54"/>
      <c r="E33" s="54"/>
      <c r="F33" s="54"/>
      <c r="G33" s="54" t="str">
        <f>IF(NOT(ISNUMBER(KpiDays)),"No data",IF(KpiDays&lt;=(RepairDays),"On target",IF(KpiDays&lt;=(RepairDays)*(1+0.05),"Near target","Above target")))</f>
        <v>On target</v>
      </c>
      <c r="H33" s="54"/>
      <c r="I33" s="54"/>
      <c r="J33" s="54"/>
      <c r="K33" s="54"/>
      <c r="L33" s="54"/>
    </row>
    <row r="35" spans="2:12" x14ac:dyDescent="0.25">
      <c r="B35" s="37" t="s">
        <v>241</v>
      </c>
      <c r="C35" s="37"/>
      <c r="D35" s="37"/>
      <c r="E35" s="37"/>
      <c r="F35" s="37"/>
      <c r="G35" s="37"/>
      <c r="H35" s="37"/>
      <c r="I35" s="37"/>
      <c r="J35" s="37"/>
      <c r="K35" s="37"/>
      <c r="L35" s="37"/>
    </row>
    <row r="36" spans="2:12" ht="20" customHeight="1" x14ac:dyDescent="0.25">
      <c r="B36" s="57" t="s">
        <v>149</v>
      </c>
      <c r="C36" s="38" t="s">
        <v>242</v>
      </c>
      <c r="D36" s="38" t="s">
        <v>62</v>
      </c>
      <c r="E36" s="38"/>
      <c r="F36" s="38" t="s">
        <v>136</v>
      </c>
      <c r="G36" s="38"/>
      <c r="H36" s="38"/>
      <c r="I36" s="38" t="s">
        <v>243</v>
      </c>
      <c r="J36" s="38" t="s">
        <v>244</v>
      </c>
      <c r="K36" s="38" t="s">
        <v>245</v>
      </c>
      <c r="L36" s="38" t="s">
        <v>148</v>
      </c>
    </row>
    <row r="37" spans="2:12" ht="14" customHeight="1" x14ac:dyDescent="0.25">
      <c r="B37" s="41"/>
      <c r="C37" s="41"/>
      <c r="D37" s="41"/>
      <c r="E37" s="41"/>
      <c r="F37" s="41"/>
      <c r="G37" s="41"/>
      <c r="H37" s="41"/>
      <c r="I37" s="41" t="s">
        <v>87</v>
      </c>
      <c r="J37" s="41" t="str">
        <f>Currency&amp;"/yr"</f>
        <v>USD/yr</v>
      </c>
      <c r="K37" s="41" t="s">
        <v>246</v>
      </c>
      <c r="L37" s="41"/>
    </row>
    <row r="38" spans="2:12" x14ac:dyDescent="0.25">
      <c r="B38" s="58">
        <v>1</v>
      </c>
      <c r="C38" s="45" t="str">
        <f>IFERROR(INDEX(tblLeaks[Tag no.],MATCH($B$38,tblLeaks[Repair order],0)),"")</f>
        <v>L-002</v>
      </c>
      <c r="D38" s="59" t="str">
        <f>IF($C$38="","",INDEX(tblLeaks[Area],MATCH($B$38,tblLeaks[Repair order],0)))</f>
        <v>Compressor room</v>
      </c>
      <c r="E38" s="59"/>
      <c r="F38" s="59" t="str">
        <f>IF($C$38="","",INDEX(tblLeaks[Location],MATCH($B$38,tblLeaks[Repair order],0)))</f>
        <v>Dryer bypass</v>
      </c>
      <c r="G38" s="59"/>
      <c r="H38" s="59"/>
      <c r="I38" s="43">
        <f>IF($C$38="","",INDEX(tblLeaks[Flow (cfm)],MATCH($B$38,tblLeaks[Repair order],0)))</f>
        <v>16.5</v>
      </c>
      <c r="J38" s="35">
        <f>IF($C$38="","",INDEX(tblLeaks[Avoidable cost],MATCH($B$38,tblLeaks[Repair order],0)))</f>
        <v>1655.28</v>
      </c>
      <c r="K38" s="43">
        <f>IF($C$38="","",INDEX(tblLeaks[Payback (months)],MATCH($B$38,tblLeaks[Repair order],0)))</f>
        <v>4.20472669276497</v>
      </c>
      <c r="L38" s="59" t="str">
        <f>IF($C$38="","",INDEX(tblLeaks[Status],MATCH($B$38,tblLeaks[Repair order],0)))</f>
        <v>Overdue</v>
      </c>
    </row>
    <row r="39" spans="2:12" x14ac:dyDescent="0.25">
      <c r="B39" s="58">
        <v>2</v>
      </c>
      <c r="C39" s="45" t="str">
        <f>IFERROR(INDEX(tblLeaks[Tag no.],MATCH($B$39,tblLeaks[Repair order],0)),"")</f>
        <v>L-005</v>
      </c>
      <c r="D39" s="59" t="str">
        <f>IF($C$39="","",INDEX(tblLeaks[Area],MATCH($B$39,tblLeaks[Repair order],0)))</f>
        <v>Compressor room</v>
      </c>
      <c r="E39" s="59"/>
      <c r="F39" s="59" t="str">
        <f>IF($C$39="","",INDEX(tblLeaks[Location],MATCH($B$39,tblLeaks[Repair order],0)))</f>
        <v>Compressor 1 discharge</v>
      </c>
      <c r="G39" s="59"/>
      <c r="H39" s="59"/>
      <c r="I39" s="43">
        <f>IF($C$39="","",INDEX(tblLeaks[Flow (cfm)],MATCH($B$39,tblLeaks[Repair order],0)))</f>
        <v>15</v>
      </c>
      <c r="J39" s="35">
        <f>IF($C$39="","",INDEX(tblLeaks[Avoidable cost],MATCH($B$39,tblLeaks[Repair order],0)))</f>
        <v>1504.8</v>
      </c>
      <c r="K39" s="43">
        <f>IF($C$39="","",INDEX(tblLeaks[Payback (months)],MATCH($B$39,tblLeaks[Repair order],0)))</f>
        <v>3.90749601275917</v>
      </c>
      <c r="L39" s="59" t="str">
        <f>IF($C$39="","",INDEX(tblLeaks[Status],MATCH($B$39,tblLeaks[Repair order],0)))</f>
        <v>Overdue</v>
      </c>
    </row>
    <row r="40" spans="2:12" x14ac:dyDescent="0.25">
      <c r="B40" s="58">
        <v>3</v>
      </c>
      <c r="C40" s="45" t="str">
        <f>IFERROR(INDEX(tblLeaks[Tag no.],MATCH($B$40,tblLeaks[Repair order],0)),"")</f>
        <v>L-004</v>
      </c>
      <c r="D40" s="59" t="str">
        <f>IF($C$40="","",INDEX(tblLeaks[Area],MATCH($B$40,tblLeaks[Repair order],0)))</f>
        <v>Press shop</v>
      </c>
      <c r="E40" s="59"/>
      <c r="F40" s="59" t="str">
        <f>IF($C$40="","",INDEX(tblLeaks[Location],MATCH($B$40,tblLeaks[Repair order],0)))</f>
        <v>Drop P-12</v>
      </c>
      <c r="G40" s="59"/>
      <c r="H40" s="59"/>
      <c r="I40" s="43">
        <f>IF($C$40="","",INDEX(tblLeaks[Flow (cfm)],MATCH($B$40,tblLeaks[Repair order],0)))</f>
        <v>11.5</v>
      </c>
      <c r="J40" s="35">
        <f>IF($C$40="","",INDEX(tblLeaks[Avoidable cost],MATCH($B$40,tblLeaks[Repair order],0)))</f>
        <v>1153.68</v>
      </c>
      <c r="K40" s="43">
        <f>IF($C$40="","",INDEX(tblLeaks[Payback (months)],MATCH($B$40,tblLeaks[Repair order],0)))</f>
        <v>7.38506344913668</v>
      </c>
      <c r="L40" s="59" t="str">
        <f>IF($C$40="","",INDEX(tblLeaks[Status],MATCH($B$40,tblLeaks[Repair order],0)))</f>
        <v>Overdue</v>
      </c>
    </row>
    <row r="41" spans="2:12" x14ac:dyDescent="0.25">
      <c r="B41" s="58">
        <v>4</v>
      </c>
      <c r="C41" s="45" t="str">
        <f>IFERROR(INDEX(tblLeaks[Tag no.],MATCH($B$41,tblLeaks[Repair order],0)),"")</f>
        <v>L-007</v>
      </c>
      <c r="D41" s="59" t="str">
        <f>IF($C$41="","",INDEX(tblLeaks[Area],MATCH($B$41,tblLeaks[Repair order],0)))</f>
        <v>Paint line</v>
      </c>
      <c r="E41" s="59"/>
      <c r="F41" s="59" t="str">
        <f>IF($C$41="","",INDEX(tblLeaks[Location],MATCH($B$41,tblLeaks[Repair order],0)))</f>
        <v>Booth 1 gun drop</v>
      </c>
      <c r="G41" s="59"/>
      <c r="H41" s="59"/>
      <c r="I41" s="43">
        <f>IF($C$41="","",INDEX(tblLeaks[Flow (cfm)],MATCH($B$41,tblLeaks[Repair order],0)))</f>
        <v>10.5</v>
      </c>
      <c r="J41" s="35">
        <f>IF($C$41="","",INDEX(tblLeaks[Avoidable cost],MATCH($B$41,tblLeaks[Repair order],0)))</f>
        <v>1053.36</v>
      </c>
      <c r="K41" s="43">
        <f>IF($C$41="","",INDEX(tblLeaks[Payback (months)],MATCH($B$41,tblLeaks[Repair order],0)))</f>
        <v>5.0125313283208</v>
      </c>
      <c r="L41" s="59" t="str">
        <f>IF($C$41="","",INDEX(tblLeaks[Status],MATCH($B$41,tblLeaks[Repair order],0)))</f>
        <v>Overdue</v>
      </c>
    </row>
    <row r="42" spans="2:12" x14ac:dyDescent="0.25">
      <c r="B42" s="58">
        <v>5</v>
      </c>
      <c r="C42" s="45" t="str">
        <f>IFERROR(INDEX(tblLeaks[Tag no.],MATCH($B$42,tblLeaks[Repair order],0)),"")</f>
        <v>L-001</v>
      </c>
      <c r="D42" s="59" t="str">
        <f>IF($C$42="","",INDEX(tblLeaks[Area],MATCH($B$42,tblLeaks[Repair order],0)))</f>
        <v>Compressor room</v>
      </c>
      <c r="E42" s="59"/>
      <c r="F42" s="59" t="str">
        <f>IF($C$42="","",INDEX(tblLeaks[Location],MATCH($B$42,tblLeaks[Repair order],0)))</f>
        <v>Header drop C1</v>
      </c>
      <c r="G42" s="59"/>
      <c r="H42" s="59"/>
      <c r="I42" s="43">
        <f>IF($C$42="","",INDEX(tblLeaks[Flow (cfm)],MATCH($B$42,tblLeaks[Repair order],0)))</f>
        <v>9</v>
      </c>
      <c r="J42" s="35">
        <f>IF($C$42="","",INDEX(tblLeaks[Avoidable cost],MATCH($B$42,tblLeaks[Repair order],0)))</f>
        <v>902.88</v>
      </c>
      <c r="K42" s="43">
        <f>IF($C$42="","",INDEX(tblLeaks[Payback (months)],MATCH($B$42,tblLeaks[Repair order],0)))</f>
        <v>6.44603934077618</v>
      </c>
      <c r="L42" s="59" t="str">
        <f>IF($C$42="","",INDEX(tblLeaks[Status],MATCH($B$42,tblLeaks[Repair order],0)))</f>
        <v>Overdue</v>
      </c>
    </row>
    <row r="43" spans="2:12" x14ac:dyDescent="0.25">
      <c r="B43" s="58">
        <v>6</v>
      </c>
      <c r="C43" s="45" t="str">
        <f>IFERROR(INDEX(tblLeaks[Tag no.],MATCH($B$43,tblLeaks[Repair order],0)),"")</f>
        <v>L-024</v>
      </c>
      <c r="D43" s="59" t="str">
        <f>IF($C$43="","",INDEX(tblLeaks[Area],MATCH($B$43,tblLeaks[Repair order],0)))</f>
        <v>Press shop</v>
      </c>
      <c r="E43" s="59"/>
      <c r="F43" s="59" t="str">
        <f>IF($C$43="","",INDEX(tblLeaks[Location],MATCH($B$43,tblLeaks[Repair order],0)))</f>
        <v>Press 2 guard</v>
      </c>
      <c r="G43" s="59"/>
      <c r="H43" s="59"/>
      <c r="I43" s="43">
        <f>IF($C$43="","",INDEX(tblLeaks[Flow (cfm)],MATCH($B$43,tblLeaks[Repair order],0)))</f>
        <v>7</v>
      </c>
      <c r="J43" s="35">
        <f>IF($C$43="","",INDEX(tblLeaks[Avoidable cost],MATCH($B$43,tblLeaks[Repair order],0)))</f>
        <v>702.24</v>
      </c>
      <c r="K43" s="43">
        <f>IF($C$43="","",INDEX(tblLeaks[Payback (months)],MATCH($B$43,tblLeaks[Repair order],0)))</f>
        <v>4.27204374572796</v>
      </c>
      <c r="L43" s="59" t="str">
        <f>IF($C$43="","",INDEX(tblLeaks[Status],MATCH($B$43,tblLeaks[Repair order],0)))</f>
        <v>Overdue</v>
      </c>
    </row>
    <row r="44" spans="2:12" x14ac:dyDescent="0.25">
      <c r="B44" s="58">
        <v>7</v>
      </c>
      <c r="C44" s="45" t="str">
        <f>IFERROR(INDEX(tblLeaks[Tag no.],MATCH($B$44,tblLeaks[Repair order],0)),"")</f>
        <v>L-003</v>
      </c>
      <c r="D44" s="59" t="str">
        <f>IF($C$44="","",INDEX(tblLeaks[Area],MATCH($B$44,tblLeaks[Repair order],0)))</f>
        <v>Weld cells</v>
      </c>
      <c r="E44" s="59"/>
      <c r="F44" s="59" t="str">
        <f>IF($C$44="","",INDEX(tblLeaks[Location],MATCH($B$44,tblLeaks[Repair order],0)))</f>
        <v>Cell 1 fixture</v>
      </c>
      <c r="G44" s="59"/>
      <c r="H44" s="59"/>
      <c r="I44" s="43">
        <f>IF($C$44="","",INDEX(tblLeaks[Flow (cfm)],MATCH($B$44,tblLeaks[Repair order],0)))</f>
        <v>5.5</v>
      </c>
      <c r="J44" s="35">
        <f>IF($C$44="","",INDEX(tblLeaks[Avoidable cost],MATCH($B$44,tblLeaks[Repair order],0)))</f>
        <v>551.76</v>
      </c>
      <c r="K44" s="43">
        <f>IF($C$44="","",INDEX(tblLeaks[Payback (months)],MATCH($B$44,tblLeaks[Repair order],0)))</f>
        <v>14.2453240539365</v>
      </c>
      <c r="L44" s="59" t="str">
        <f>IF($C$44="","",INDEX(tblLeaks[Status],MATCH($B$44,tblLeaks[Repair order],0)))</f>
        <v>Overdue</v>
      </c>
    </row>
    <row r="45" spans="2:12" x14ac:dyDescent="0.25">
      <c r="B45" s="58">
        <v>8</v>
      </c>
      <c r="C45" s="45" t="str">
        <f>IFERROR(INDEX(tblLeaks[Tag no.],MATCH($B$45,tblLeaks[Repair order],0)),"")</f>
        <v>L-033</v>
      </c>
      <c r="D45" s="59" t="str">
        <f>IF($C$45="","",INDEX(tblLeaks[Area],MATCH($B$45,tblLeaks[Repair order],0)))</f>
        <v>Compressor room</v>
      </c>
      <c r="E45" s="59"/>
      <c r="F45" s="59" t="str">
        <f>IF($C$45="","",INDEX(tblLeaks[Location],MATCH($B$45,tblLeaks[Repair order],0)))</f>
        <v>Header drop C1</v>
      </c>
      <c r="G45" s="59"/>
      <c r="H45" s="59"/>
      <c r="I45" s="43">
        <f>IF($C$45="","",INDEX(tblLeaks[Flow (cfm)],MATCH($B$45,tblLeaks[Repair order],0)))</f>
        <v>4.5</v>
      </c>
      <c r="J45" s="35">
        <f>IF($C$45="","",INDEX(tblLeaks[Avoidable cost],MATCH($B$45,tblLeaks[Repair order],0)))</f>
        <v>451.44</v>
      </c>
      <c r="K45" s="43">
        <f>IF($C$45="","",INDEX(tblLeaks[Payback (months)],MATCH($B$45,tblLeaks[Repair order],0)))</f>
        <v>5.84795321637427</v>
      </c>
      <c r="L45" s="59" t="str">
        <f>IF($C$45="","",INDEX(tblLeaks[Status],MATCH($B$45,tblLeaks[Repair order],0)))</f>
        <v>Overdue</v>
      </c>
    </row>
    <row r="46" spans="2:12" x14ac:dyDescent="0.25">
      <c r="B46" s="58">
        <v>9</v>
      </c>
      <c r="C46" s="45" t="str">
        <f>IFERROR(INDEX(tblLeaks[Tag no.],MATCH($B$46,tblLeaks[Repair order],0)),"")</f>
        <v>L-008</v>
      </c>
      <c r="D46" s="59" t="str">
        <f>IF($C$46="","",INDEX(tblLeaks[Area],MATCH($B$46,tblLeaks[Repair order],0)))</f>
        <v>Weld cells</v>
      </c>
      <c r="E46" s="59"/>
      <c r="F46" s="59" t="str">
        <f>IF($C$46="","",INDEX(tblLeaks[Location],MATCH($B$46,tblLeaks[Repair order],0)))</f>
        <v>Drop W-04</v>
      </c>
      <c r="G46" s="59"/>
      <c r="H46" s="59"/>
      <c r="I46" s="43">
        <f>IF($C$46="","",INDEX(tblLeaks[Flow (cfm)],MATCH($B$46,tblLeaks[Repair order],0)))</f>
        <v>4</v>
      </c>
      <c r="J46" s="35">
        <f>IF($C$46="","",INDEX(tblLeaks[Avoidable cost],MATCH($B$46,tblLeaks[Repair order],0)))</f>
        <v>401.28</v>
      </c>
      <c r="K46" s="43">
        <f>IF($C$46="","",INDEX(tblLeaks[Payback (months)],MATCH($B$46,tblLeaks[Repair order],0)))</f>
        <v>21.8301435406699</v>
      </c>
      <c r="L46" s="59" t="str">
        <f>IF($C$46="","",INDEX(tblLeaks[Status],MATCH($B$46,tblLeaks[Repair order],0)))</f>
        <v>Overdue</v>
      </c>
    </row>
    <row r="47" spans="2:12" x14ac:dyDescent="0.25">
      <c r="B47" s="58">
        <v>10</v>
      </c>
      <c r="C47" s="45" t="str">
        <f>IFERROR(INDEX(tblLeaks[Tag no.],MATCH($B$47,tblLeaks[Repair order],0)),"")</f>
        <v>L-036</v>
      </c>
      <c r="D47" s="59" t="str">
        <f>IF($C$47="","",INDEX(tblLeaks[Area],MATCH($B$47,tblLeaks[Repair order],0)))</f>
        <v>Press shop</v>
      </c>
      <c r="E47" s="59"/>
      <c r="F47" s="59" t="str">
        <f>IF($C$47="","",INDEX(tblLeaks[Location],MATCH($B$47,tblLeaks[Repair order],0)))</f>
        <v>Press 3 clutch valve</v>
      </c>
      <c r="G47" s="59"/>
      <c r="H47" s="59"/>
      <c r="I47" s="43">
        <f>IF($C$47="","",INDEX(tblLeaks[Flow (cfm)],MATCH($B$47,tblLeaks[Repair order],0)))</f>
        <v>4</v>
      </c>
      <c r="J47" s="35">
        <f>IF($C$47="","",INDEX(tblLeaks[Avoidable cost],MATCH($B$47,tblLeaks[Repair order],0)))</f>
        <v>401.28</v>
      </c>
      <c r="K47" s="43">
        <f>IF($C$47="","",INDEX(tblLeaks[Payback (months)],MATCH($B$47,tblLeaks[Repair order],0)))</f>
        <v>1.19617224880383</v>
      </c>
      <c r="L47" s="59" t="str">
        <f>IF($C$47="","",INDEX(tblLeaks[Status],MATCH($B$47,tblLeaks[Repair order],0)))</f>
        <v>Overdue</v>
      </c>
    </row>
    <row r="49" spans="2:43" x14ac:dyDescent="0.25">
      <c r="B49" s="37" t="s">
        <v>247</v>
      </c>
      <c r="C49" s="37"/>
      <c r="D49" s="37"/>
      <c r="E49" s="37"/>
      <c r="F49" s="37"/>
      <c r="G49" s="37"/>
      <c r="H49" s="37"/>
      <c r="I49" s="37"/>
      <c r="J49" s="37"/>
      <c r="K49" s="37"/>
      <c r="L49" s="37"/>
    </row>
    <row r="50" spans="2:43" ht="20" customHeight="1" x14ac:dyDescent="0.25">
      <c r="B50" s="57" t="s">
        <v>62</v>
      </c>
      <c r="C50" s="38" t="s">
        <v>248</v>
      </c>
      <c r="D50" s="38" t="s">
        <v>249</v>
      </c>
      <c r="E50" s="38" t="s">
        <v>250</v>
      </c>
      <c r="F50" s="38" t="s">
        <v>243</v>
      </c>
      <c r="G50" s="38" t="s">
        <v>251</v>
      </c>
      <c r="H50" s="38" t="s">
        <v>244</v>
      </c>
      <c r="I50" s="38" t="s">
        <v>252</v>
      </c>
      <c r="J50" s="38" t="s">
        <v>253</v>
      </c>
      <c r="K50" s="38" t="s">
        <v>254</v>
      </c>
      <c r="L50" s="38" t="s">
        <v>245</v>
      </c>
    </row>
    <row r="51" spans="2:43" ht="14" customHeight="1" x14ac:dyDescent="0.25">
      <c r="B51" s="41"/>
      <c r="C51" s="41"/>
      <c r="D51" s="41"/>
      <c r="E51" s="41"/>
      <c r="F51" s="41" t="s">
        <v>87</v>
      </c>
      <c r="G51" s="41" t="s">
        <v>87</v>
      </c>
      <c r="H51" s="41" t="str">
        <f>Currency&amp;"/yr"</f>
        <v>USD/yr</v>
      </c>
      <c r="I51" s="41" t="str">
        <f>Currency&amp;"/yr"</f>
        <v>USD/yr</v>
      </c>
      <c r="J51" s="41" t="str">
        <f>Currency&amp;"/yr"</f>
        <v>USD/yr</v>
      </c>
      <c r="K51" s="41" t="str">
        <f>Currency</f>
        <v>USD</v>
      </c>
      <c r="L51" s="41" t="s">
        <v>246</v>
      </c>
    </row>
    <row r="52" spans="2:43" x14ac:dyDescent="0.25">
      <c r="B52" s="60" t="str">
        <f>IFERROR(INDEX(tblAreas[Area],1)&amp;"","")</f>
        <v>Compressor room</v>
      </c>
      <c r="C52" s="35">
        <f>IF($B$52="","",COUNTIFS(tblLeaks[Area],$B$52))</f>
        <v>10</v>
      </c>
      <c r="D52" s="35">
        <f>IF($B$52="","",COUNTIFS(tblLeaks[Area],$B$52,tblLeaks[Status],"&lt;&gt;Complete"))</f>
        <v>5</v>
      </c>
      <c r="E52" s="35">
        <f>IF($B$52="","",COUNTIFS(tblLeaks[Area],$B$52,tblLeaks[Status],"Overdue"))</f>
        <v>4</v>
      </c>
      <c r="F52" s="43">
        <f>IF($B$52="","",SUMIFS(tblLeaks[Flow (cfm)],tblLeaks[Area],$B$52))</f>
        <v>56.5017466713265</v>
      </c>
      <c r="G52" s="43">
        <f>IF($B$52="","",SUMIFS(tblLeaks[Flow (cfm)],tblLeaks[Area],$B$52,tblLeaks[Status],"&lt;&gt;Complete"))</f>
        <v>48.0017466713265</v>
      </c>
      <c r="H52" s="35">
        <f>IF($B$52="","",SUMIFS(tblLeaks[Avoidable cost],tblLeaks[Area],$B$52))</f>
        <v>5668.25522606748</v>
      </c>
      <c r="I52" s="35">
        <f>IF($B$52="","",SUMIFS(tblLeaks[Avoidable cost],tblLeaks[Area],$B$52,tblLeaks[Status],"&lt;&gt;Complete"))</f>
        <v>4815.53522606748</v>
      </c>
      <c r="J52" s="35">
        <f>IF($B$52="","",SUMIFS(tblLeaks[Avoidable cost],tblLeaks[Area],$B$52,tblLeaks[Status],"Complete"))</f>
        <v>852.72</v>
      </c>
      <c r="K52" s="35">
        <f>IF($B$52="","",SUMIFS(tblLeaks[Repair cost (est.)],tblLeaks[Area],$B$52))</f>
        <v>1990</v>
      </c>
      <c r="L52" s="43">
        <f>IF($B$52="","",IF(($H$52)=0,"",($K$52*12)/($H$52)))</f>
        <v>4.21293661763489</v>
      </c>
    </row>
    <row r="53" spans="2:43" x14ac:dyDescent="0.25">
      <c r="B53" s="60" t="str">
        <f>IFERROR(INDEX(tblAreas[Area],2)&amp;"","")</f>
        <v>Press shop</v>
      </c>
      <c r="C53" s="35">
        <f>IF($B$53="","",COUNTIFS(tblLeaks[Area],$B$53))</f>
        <v>6</v>
      </c>
      <c r="D53" s="35">
        <f>IF($B$53="","",COUNTIFS(tblLeaks[Area],$B$53,tblLeaks[Status],"&lt;&gt;Complete"))</f>
        <v>4</v>
      </c>
      <c r="E53" s="35">
        <f>IF($B$53="","",COUNTIFS(tblLeaks[Area],$B$53,tblLeaks[Status],"Overdue"))</f>
        <v>3</v>
      </c>
      <c r="F53" s="43">
        <f>IF($B$53="","",SUMIFS(tblLeaks[Flow (cfm)],tblLeaks[Area],$B$53))</f>
        <v>30.2062933344298</v>
      </c>
      <c r="G53" s="43">
        <f>IF($B$53="","",SUMIFS(tblLeaks[Flow (cfm)],tblLeaks[Area],$B$53,tblLeaks[Status],"&lt;&gt;Complete"))</f>
        <v>23.2062933344298</v>
      </c>
      <c r="H53" s="35">
        <f>IF($B$53="","",SUMIFS(tblLeaks[Avoidable cost],tblLeaks[Area],$B$53))</f>
        <v>3030.29534730999</v>
      </c>
      <c r="I53" s="35">
        <f>IF($B$53="","",SUMIFS(tblLeaks[Avoidable cost],tblLeaks[Area],$B$53,tblLeaks[Status],"&lt;&gt;Complete"))</f>
        <v>2328.05534731</v>
      </c>
      <c r="J53" s="35">
        <f>IF($B$53="","",SUMIFS(tblLeaks[Avoidable cost],tblLeaks[Area],$B$53,tblLeaks[Status],"Complete"))</f>
        <v>702.24</v>
      </c>
      <c r="K53" s="35">
        <f>IF($B$53="","",SUMIFS(tblLeaks[Repair cost (est.)],tblLeaks[Area],$B$53))</f>
        <v>1245</v>
      </c>
      <c r="L53" s="43">
        <f>IF($B$53="","",IF(($H$53)=0,"",($K$53*12)/($H$53)))</f>
        <v>4.93021250000014</v>
      </c>
    </row>
    <row r="54" spans="2:43" x14ac:dyDescent="0.25">
      <c r="B54" s="60" t="str">
        <f>IFERROR(INDEX(tblAreas[Area],3)&amp;"","")</f>
        <v>Weld cells</v>
      </c>
      <c r="C54" s="35">
        <f>IF($B$54="","",COUNTIFS(tblLeaks[Area],$B$54))</f>
        <v>9</v>
      </c>
      <c r="D54" s="35">
        <f>IF($B$54="","",COUNTIFS(tblLeaks[Area],$B$54,tblLeaks[Status],"&lt;&gt;Complete"))</f>
        <v>3</v>
      </c>
      <c r="E54" s="35">
        <f>IF($B$54="","",COUNTIFS(tblLeaks[Area],$B$54,tblLeaks[Status],"Overdue"))</f>
        <v>3</v>
      </c>
      <c r="F54" s="43">
        <f>IF($B$54="","",SUMIFS(tblLeaks[Flow (cfm)],tblLeaks[Area],$B$54))</f>
        <v>39.5</v>
      </c>
      <c r="G54" s="43">
        <f>IF($B$54="","",SUMIFS(tblLeaks[Flow (cfm)],tblLeaks[Area],$B$54,tblLeaks[Status],"&lt;&gt;Complete"))</f>
        <v>12.5</v>
      </c>
      <c r="H54" s="35">
        <f>IF($B$54="","",SUMIFS(tblLeaks[Avoidable cost],tblLeaks[Area],$B$54))</f>
        <v>3962.64</v>
      </c>
      <c r="I54" s="35">
        <f>IF($B$54="","",SUMIFS(tblLeaks[Avoidable cost],tblLeaks[Area],$B$54,tblLeaks[Status],"&lt;&gt;Complete"))</f>
        <v>1254</v>
      </c>
      <c r="J54" s="35">
        <f>IF($B$54="","",SUMIFS(tblLeaks[Avoidable cost],tblLeaks[Area],$B$54,tblLeaks[Status],"Complete"))</f>
        <v>2708.64</v>
      </c>
      <c r="K54" s="35">
        <f>IF($B$54="","",SUMIFS(tblLeaks[Repair cost (est.)],tblLeaks[Area],$B$54))</f>
        <v>2350</v>
      </c>
      <c r="L54" s="43">
        <f>IF($B$54="","",IF(($H$54)=0,"",($K$54*12)/($H$54)))</f>
        <v>7.11646780933923</v>
      </c>
    </row>
    <row r="55" spans="2:43" x14ac:dyDescent="0.25">
      <c r="B55" s="60" t="str">
        <f>IFERROR(INDEX(tblAreas[Area],4)&amp;"","")</f>
        <v>Paint line</v>
      </c>
      <c r="C55" s="35">
        <f>IF($B$55="","",COUNTIFS(tblLeaks[Area],$B$55))</f>
        <v>9</v>
      </c>
      <c r="D55" s="35">
        <f>IF($B$55="","",COUNTIFS(tblLeaks[Area],$B$55,tblLeaks[Status],"&lt;&gt;Complete"))</f>
        <v>5</v>
      </c>
      <c r="E55" s="35">
        <f>IF($B$55="","",COUNTIFS(tblLeaks[Area],$B$55,tblLeaks[Status],"Overdue"))</f>
        <v>4</v>
      </c>
      <c r="F55" s="43">
        <f>IF($B$55="","",SUMIFS(tblLeaks[Flow (cfm)],tblLeaks[Area],$B$55))</f>
        <v>45.2657333360744</v>
      </c>
      <c r="G55" s="43">
        <f>IF($B$55="","",SUMIFS(tblLeaks[Flow (cfm)],tblLeaks[Area],$B$55,tblLeaks[Status],"&lt;&gt;Complete"))</f>
        <v>22.2657333360744</v>
      </c>
      <c r="H55" s="35">
        <f>IF($B$55="","",SUMIFS(tblLeaks[Avoidable cost],tblLeaks[Area],$B$55))</f>
        <v>4541.05836827499</v>
      </c>
      <c r="I55" s="35">
        <f>IF($B$55="","",SUMIFS(tblLeaks[Avoidable cost],tblLeaks[Area],$B$55,tblLeaks[Status],"&lt;&gt;Complete"))</f>
        <v>2233.69836827499</v>
      </c>
      <c r="J55" s="35">
        <f>IF($B$55="","",SUMIFS(tblLeaks[Avoidable cost],tblLeaks[Area],$B$55,tblLeaks[Status],"Complete"))</f>
        <v>2307.36</v>
      </c>
      <c r="K55" s="35">
        <f>IF($B$55="","",SUMIFS(tblLeaks[Repair cost (est.)],tblLeaks[Area],$B$55))</f>
        <v>1340</v>
      </c>
      <c r="L55" s="43">
        <f>IF($B$55="","",IF(($H$55)=0,"",($K$55*12)/($H$55)))</f>
        <v>3.541024733868</v>
      </c>
    </row>
    <row r="56" spans="2:43" x14ac:dyDescent="0.25">
      <c r="B56" s="60" t="str">
        <f>IFERROR(INDEX(tblAreas[Area],5)&amp;"","")</f>
        <v>Assembly</v>
      </c>
      <c r="C56" s="35">
        <f>IF($B$56="","",COUNTIFS(tblLeaks[Area],$B$56))</f>
        <v>8</v>
      </c>
      <c r="D56" s="35">
        <f>IF($B$56="","",COUNTIFS(tblLeaks[Area],$B$56,tblLeaks[Status],"&lt;&gt;Complete"))</f>
        <v>2</v>
      </c>
      <c r="E56" s="35">
        <f>IF($B$56="","",COUNTIFS(tblLeaks[Area],$B$56,tblLeaks[Status],"Overdue"))</f>
        <v>1</v>
      </c>
      <c r="F56" s="43">
        <f>IF($B$56="","",SUMIFS(tblLeaks[Flow (cfm)],tblLeaks[Area],$B$56))</f>
        <v>35.089160002467</v>
      </c>
      <c r="G56" s="43">
        <f>IF($B$56="","",SUMIFS(tblLeaks[Flow (cfm)],tblLeaks[Area],$B$56,tblLeaks[Status],"&lt;&gt;Complete"))</f>
        <v>4.08916000246699</v>
      </c>
      <c r="H56" s="35">
        <f>IF($B$56="","",SUMIFS(tblLeaks[Avoidable cost],tblLeaks[Area],$B$56))</f>
        <v>3520.14453144749</v>
      </c>
      <c r="I56" s="35">
        <f>IF($B$56="","",SUMIFS(tblLeaks[Avoidable cost],tblLeaks[Area],$B$56,tblLeaks[Status],"&lt;&gt;Complete"))</f>
        <v>410.224531447488</v>
      </c>
      <c r="J56" s="35">
        <f>IF($B$56="","",SUMIFS(tblLeaks[Avoidable cost],tblLeaks[Area],$B$56,tblLeaks[Status],"Complete"))</f>
        <v>3109.92</v>
      </c>
      <c r="K56" s="35">
        <f>IF($B$56="","",SUMIFS(tblLeaks[Repair cost (est.)],tblLeaks[Area],$B$56))</f>
        <v>1490</v>
      </c>
      <c r="L56" s="43">
        <f>IF($B$56="","",IF(($H$56)=0,"",($K$56*12)/($H$56)))</f>
        <v>5.07933689661536</v>
      </c>
    </row>
    <row r="57" spans="2:43" x14ac:dyDescent="0.25">
      <c r="B57" s="60" t="str">
        <f>IFERROR(INDEX(tblAreas[Area],6)&amp;"","")</f>
        <v>Shipping</v>
      </c>
      <c r="C57" s="35">
        <f>IF($B$57="","",COUNTIFS(tblLeaks[Area],$B$57))</f>
        <v>6</v>
      </c>
      <c r="D57" s="35">
        <f>IF($B$57="","",COUNTIFS(tblLeaks[Area],$B$57,tblLeaks[Status],"&lt;&gt;Complete"))</f>
        <v>3</v>
      </c>
      <c r="E57" s="35">
        <f>IF($B$57="","",COUNTIFS(tblLeaks[Area],$B$57,tblLeaks[Status],"Overdue"))</f>
        <v>1</v>
      </c>
      <c r="F57" s="43">
        <f>IF($B$57="","",SUMIFS(tblLeaks[Flow (cfm)],tblLeaks[Area],$B$57))</f>
        <v>10.8863600106903</v>
      </c>
      <c r="G57" s="43">
        <f>IF($B$57="","",SUMIFS(tblLeaks[Flow (cfm)],tblLeaks[Area],$B$57,tblLeaks[Status],"&lt;&gt;Complete"))</f>
        <v>4.50174667132653</v>
      </c>
      <c r="H57" s="35">
        <f>IF($B$57="","",SUMIFS(tblLeaks[Avoidable cost],tblLeaks[Area],$B$57))</f>
        <v>1092.11963627245</v>
      </c>
      <c r="I57" s="35">
        <f>IF($B$57="","",SUMIFS(tblLeaks[Avoidable cost],tblLeaks[Area],$B$57,tblLeaks[Status],"&lt;&gt;Complete"))</f>
        <v>451.615226067478</v>
      </c>
      <c r="J57" s="35">
        <f>IF($B$57="","",SUMIFS(tblLeaks[Avoidable cost],tblLeaks[Area],$B$57,tblLeaks[Status],"Complete"))</f>
        <v>640.504410204971</v>
      </c>
      <c r="K57" s="35">
        <f>IF($B$57="","",SUMIFS(tblLeaks[Repair cost (est.)],tblLeaks[Area],$B$57))</f>
        <v>335</v>
      </c>
      <c r="L57" s="43">
        <f>IF($B$57="","",IF(($H$57)=0,"",($K$57*12)/($H$57)))</f>
        <v>3.68091541117309</v>
      </c>
    </row>
    <row r="58" spans="2:43" x14ac:dyDescent="0.25">
      <c r="B58" s="61" t="s">
        <v>255</v>
      </c>
      <c r="C58" s="62">
        <f>SUM($C$52:$C$57)</f>
        <v>48</v>
      </c>
      <c r="D58" s="62">
        <f>SUM($D$52:$D$57)</f>
        <v>22</v>
      </c>
      <c r="E58" s="62">
        <f>SUM($E$52:$E$57)</f>
        <v>16</v>
      </c>
      <c r="F58" s="63">
        <f>SUM($F$52:$F$57)</f>
        <v>217.449293354988</v>
      </c>
      <c r="G58" s="63">
        <f>SUM($G$52:$G$57)</f>
        <v>114.564680015624</v>
      </c>
      <c r="H58" s="62">
        <f>SUM($H$52:$H$57)</f>
        <v>21814.5131093724</v>
      </c>
      <c r="I58" s="62">
        <f>SUM($I$52:$I$57)</f>
        <v>11493.1286991674</v>
      </c>
      <c r="J58" s="62">
        <f>SUM($J$52:$J$57)</f>
        <v>10321.384410205</v>
      </c>
      <c r="K58" s="62">
        <f>SUM($K$52:$K$57)</f>
        <v>8750</v>
      </c>
    </row>
    <row r="60" spans="2:43" x14ac:dyDescent="0.25">
      <c r="B60" s="37" t="s">
        <v>256</v>
      </c>
      <c r="C60" s="37"/>
      <c r="D60" s="37"/>
      <c r="E60" s="37"/>
      <c r="F60" s="37"/>
      <c r="G60" s="37"/>
    </row>
    <row r="61" spans="2:43" ht="20" customHeight="1" x14ac:dyDescent="0.25">
      <c r="B61" s="38" t="s">
        <v>257</v>
      </c>
      <c r="C61" s="57" t="s">
        <v>65</v>
      </c>
      <c r="D61" s="57"/>
      <c r="E61" s="38" t="s">
        <v>244</v>
      </c>
      <c r="F61" s="38" t="s">
        <v>258</v>
      </c>
      <c r="G61" s="38" t="s">
        <v>259</v>
      </c>
      <c r="AO61" s="7" t="s">
        <v>260</v>
      </c>
      <c r="AP61" s="7" t="s">
        <v>261</v>
      </c>
      <c r="AQ61" s="7" t="s">
        <v>262</v>
      </c>
    </row>
    <row r="62" spans="2:43" x14ac:dyDescent="0.25">
      <c r="B62" s="41"/>
      <c r="C62" s="41"/>
      <c r="D62" s="41"/>
      <c r="E62" s="41" t="str">
        <f>Currency&amp;"/yr"</f>
        <v>USD/yr</v>
      </c>
      <c r="F62" s="41" t="s">
        <v>263</v>
      </c>
      <c r="G62" s="41" t="s">
        <v>263</v>
      </c>
    </row>
    <row r="63" spans="2:43" x14ac:dyDescent="0.25">
      <c r="B63" s="64">
        <v>1</v>
      </c>
      <c r="C63" s="59" t="str">
        <f>IF(INDEX($AP$63:$AP$71,MATCH(1,$AQ$63:$AQ$71,0))&lt;0,"",INDEX($AO$63:$AO$71,MATCH(1,$AQ$63:$AQ$71,0)))</f>
        <v>Condensate drain</v>
      </c>
      <c r="D63" s="59"/>
      <c r="E63" s="35">
        <f>IF($C$63="","",INDEX($AP$63:$AP$71,MATCH(1,$AQ$63:$AQ$71,0)))</f>
        <v>5116.32</v>
      </c>
      <c r="F63" s="65">
        <f>IF(OR($C$63="",$E$72=0),"",$E$63/$E$72)</f>
        <v>0.234537437271603</v>
      </c>
      <c r="G63" s="65">
        <f>IF(OR($C$63="",$E$72=0),"",SUM($E$63:$E$63)/$E$72)</f>
        <v>0.234537437271603</v>
      </c>
      <c r="AO63" s="11" t="str">
        <f>IFERROR(INDEX(tblComponents[Component],1)&amp;"","")</f>
        <v>Quick coupling</v>
      </c>
      <c r="AP63" s="66">
        <f>IF($AO$63="",-1,SUMIFS(tblLeaks[Avoidable cost],tblLeaks[Component],$AO$63))</f>
        <v>3009.6</v>
      </c>
      <c r="AQ63" s="66">
        <f>COUNTIF($AP$63:$AP$71,"&gt;"&amp;$AP$63)+COUNTIF($AP$63:$AP$63,$AP$63)</f>
        <v>4</v>
      </c>
    </row>
    <row r="64" spans="2:43" x14ac:dyDescent="0.25">
      <c r="B64" s="64">
        <v>2</v>
      </c>
      <c r="C64" s="59" t="str">
        <f>IF(INDEX($AP$63:$AP$71,MATCH(2,$AQ$63:$AQ$71,0))&lt;0,"",INDEX($AO$63:$AO$71,MATCH(2,$AQ$63:$AQ$71,0)))</f>
        <v>FRL unit</v>
      </c>
      <c r="D64" s="59"/>
      <c r="E64" s="35">
        <f>IF($C$64="","",INDEX($AP$63:$AP$71,MATCH(2,$AQ$63:$AQ$71,0)))</f>
        <v>3711.84</v>
      </c>
      <c r="F64" s="65">
        <f>IF(OR($C$64="",$E$72=0),"",$E$64/$E$72)</f>
        <v>0.170154611353908</v>
      </c>
      <c r="G64" s="65">
        <f>IF(OR($C$64="",$E$72=0),"",SUM($E$63:$E$64)/$E$72)</f>
        <v>0.404692048625512</v>
      </c>
      <c r="AO64" s="11" t="str">
        <f>IFERROR(INDEX(tblComponents[Component],2)&amp;"","")</f>
        <v>Hose</v>
      </c>
      <c r="AP64" s="66">
        <f>IF($AO$64="",-1,SUMIFS(tblLeaks[Avoidable cost],tblLeaks[Component],$AO$64))</f>
        <v>3343.18138923998</v>
      </c>
      <c r="AQ64" s="66">
        <f>COUNTIF($AP$63:$AP$71,"&gt;"&amp;$AP$64)+COUNTIF($AP$63:$AP$64,$AP$64)</f>
        <v>3</v>
      </c>
    </row>
    <row r="65" spans="2:43" x14ac:dyDescent="0.25">
      <c r="B65" s="64">
        <v>3</v>
      </c>
      <c r="C65" s="59" t="str">
        <f>IF(INDEX($AP$63:$AP$71,MATCH(3,$AQ$63:$AQ$71,0))&lt;0,"",INDEX($AO$63:$AO$71,MATCH(3,$AQ$63:$AQ$71,0)))</f>
        <v>Hose</v>
      </c>
      <c r="D65" s="59"/>
      <c r="E65" s="35">
        <f>IF($C$65="","",INDEX($AP$63:$AP$71,MATCH(3,$AQ$63:$AQ$71,0)))</f>
        <v>3343.18138923998</v>
      </c>
      <c r="F65" s="65">
        <f>IF(OR($C$65="",$E$72=0),"",$E$65/$E$72)</f>
        <v>0.153254916691384</v>
      </c>
      <c r="G65" s="65">
        <f>IF(OR($C$65="",$E$72=0),"",SUM($E$63:$E$65)/$E$72)</f>
        <v>0.557946965316896</v>
      </c>
      <c r="AO65" s="11" t="str">
        <f>IFERROR(INDEX(tblComponents[Component],3)&amp;"","")</f>
        <v>Push-in fitting</v>
      </c>
      <c r="AP65" s="66">
        <f>IF($AO$65="",-1,SUMIFS(tblLeaks[Avoidable cost],tblLeaks[Component],$AO$65))</f>
        <v>2721.09172013242</v>
      </c>
      <c r="AQ65" s="66">
        <f>COUNTIF($AP$63:$AP$71,"&gt;"&amp;$AP$65)+COUNTIF($AP$63:$AP$65,$AP$65)</f>
        <v>5</v>
      </c>
    </row>
    <row r="66" spans="2:43" x14ac:dyDescent="0.25">
      <c r="B66" s="64">
        <v>4</v>
      </c>
      <c r="C66" s="59" t="str">
        <f>IF(INDEX($AP$63:$AP$71,MATCH(4,$AQ$63:$AQ$71,0))&lt;0,"",INDEX($AO$63:$AO$71,MATCH(4,$AQ$63:$AQ$71,0)))</f>
        <v>Quick coupling</v>
      </c>
      <c r="D66" s="59"/>
      <c r="E66" s="35">
        <f>IF($C$66="","",INDEX($AP$63:$AP$71,MATCH(4,$AQ$63:$AQ$71,0)))</f>
        <v>3009.6</v>
      </c>
      <c r="F66" s="65">
        <f>IF(OR($C$66="",$E$72=0),"",$E$66/$E$72)</f>
        <v>0.137963198395061</v>
      </c>
      <c r="G66" s="65">
        <f>IF(OR($C$66="",$E$72=0),"",SUM($E$63:$E$66)/$E$72)</f>
        <v>0.695910163711957</v>
      </c>
      <c r="AO66" s="11" t="str">
        <f>IFERROR(INDEX(tblComponents[Component],4)&amp;"","")</f>
        <v>Threaded fitting</v>
      </c>
      <c r="AP66" s="66">
        <f>IF($AO$66="",-1,SUMIFS(tblLeaks[Avoidable cost],tblLeaks[Component],$AO$66))</f>
        <v>652.08</v>
      </c>
      <c r="AQ66" s="66">
        <f>COUNTIF($AP$63:$AP$71,"&gt;"&amp;$AP$66)+COUNTIF($AP$63:$AP$66,$AP$66)</f>
        <v>8</v>
      </c>
    </row>
    <row r="67" spans="2:43" x14ac:dyDescent="0.25">
      <c r="B67" s="64">
        <v>5</v>
      </c>
      <c r="C67" s="59" t="str">
        <f>IF(INDEX($AP$63:$AP$71,MATCH(5,$AQ$63:$AQ$71,0))&lt;0,"",INDEX($AO$63:$AO$71,MATCH(5,$AQ$63:$AQ$71,0)))</f>
        <v>Push-in fitting</v>
      </c>
      <c r="D67" s="59"/>
      <c r="E67" s="35">
        <f>IF($C$67="","",INDEX($AP$63:$AP$71,MATCH(5,$AQ$63:$AQ$71,0)))</f>
        <v>2721.09172013242</v>
      </c>
      <c r="F67" s="65">
        <f>IF(OR($C$67="",$E$72=0),"",$E$67/$E$72)</f>
        <v>0.124737678374464</v>
      </c>
      <c r="G67" s="65">
        <f>IF(OR($C$67="",$E$72=0),"",SUM($E$63:$E$67)/$E$72)</f>
        <v>0.820647842086421</v>
      </c>
      <c r="AO67" s="11" t="str">
        <f>IFERROR(INDEX(tblComponents[Component],5)&amp;"","")</f>
        <v>FRL unit</v>
      </c>
      <c r="AP67" s="66">
        <f>IF($AO$67="",-1,SUMIFS(tblLeaks[Avoidable cost],tblLeaks[Component],$AO$67))</f>
        <v>3711.84</v>
      </c>
      <c r="AQ67" s="66">
        <f>COUNTIF($AP$63:$AP$71,"&gt;"&amp;$AP$67)+COUNTIF($AP$63:$AP$67,$AP$67)</f>
        <v>2</v>
      </c>
    </row>
    <row r="68" spans="2:43" x14ac:dyDescent="0.25">
      <c r="B68" s="64">
        <v>6</v>
      </c>
      <c r="C68" s="59" t="str">
        <f>IF(INDEX($AP$63:$AP$71,MATCH(6,$AQ$63:$AQ$71,0))&lt;0,"",INDEX($AO$63:$AO$71,MATCH(6,$AQ$63:$AQ$71,0)))</f>
        <v>Pipe joint</v>
      </c>
      <c r="D68" s="59"/>
      <c r="E68" s="35">
        <f>IF($C$68="","",INDEX($AP$63:$AP$71,MATCH(6,$AQ$63:$AQ$71,0)))</f>
        <v>2106.72</v>
      </c>
      <c r="F68" s="65">
        <f>IF(OR($C$68="",$E$72=0),"",$E$68/$E$72)</f>
        <v>0.0965742388765426</v>
      </c>
      <c r="G68" s="65">
        <f>IF(OR($C$68="",$E$72=0),"",SUM($E$63:$E$68)/$E$72)</f>
        <v>0.917222080962964</v>
      </c>
      <c r="AO68" s="11" t="str">
        <f>IFERROR(INDEX(tblComponents[Component],6)&amp;"","")</f>
        <v>Valve</v>
      </c>
      <c r="AP68" s="66">
        <f>IF($AO$68="",-1,SUMIFS(tblLeaks[Avoidable cost],tblLeaks[Component],$AO$68))</f>
        <v>451.44</v>
      </c>
      <c r="AQ68" s="66">
        <f>COUNTIF($AP$63:$AP$71,"&gt;"&amp;$AP$68)+COUNTIF($AP$63:$AP$68,$AP$68)</f>
        <v>9</v>
      </c>
    </row>
    <row r="69" spans="2:43" x14ac:dyDescent="0.25">
      <c r="B69" s="64">
        <v>7</v>
      </c>
      <c r="C69" s="59" t="str">
        <f>IF(INDEX($AP$63:$AP$71,MATCH(7,$AQ$63:$AQ$71,0))&lt;0,"",INDEX($AO$63:$AO$71,MATCH(7,$AQ$63:$AQ$71,0)))</f>
        <v>Cylinder seal</v>
      </c>
      <c r="D69" s="59"/>
      <c r="E69" s="35">
        <f>IF($C$69="","",INDEX($AP$63:$AP$71,MATCH(7,$AQ$63:$AQ$71,0)))</f>
        <v>702.24</v>
      </c>
      <c r="F69" s="65">
        <f>IF(OR($C$69="",$E$72=0),"",$E$69/$E$72)</f>
        <v>0.0321914129588475</v>
      </c>
      <c r="G69" s="65">
        <f>IF(OR($C$69="",$E$72=0),"",SUM($E$63:$E$69)/$E$72)</f>
        <v>0.949413493921811</v>
      </c>
      <c r="AO69" s="11" t="str">
        <f>IFERROR(INDEX(tblComponents[Component],7)&amp;"","")</f>
        <v>Cylinder seal</v>
      </c>
      <c r="AP69" s="66">
        <f>IF($AO$69="",-1,SUMIFS(tblLeaks[Avoidable cost],tblLeaks[Component],$AO$69))</f>
        <v>702.24</v>
      </c>
      <c r="AQ69" s="66">
        <f>COUNTIF($AP$63:$AP$71,"&gt;"&amp;$AP$69)+COUNTIF($AP$63:$AP$69,$AP$69)</f>
        <v>7</v>
      </c>
    </row>
    <row r="70" spans="2:43" x14ac:dyDescent="0.25">
      <c r="B70" s="64">
        <v>8</v>
      </c>
      <c r="C70" s="59" t="str">
        <f>IF(INDEX($AP$63:$AP$71,MATCH(8,$AQ$63:$AQ$71,0))&lt;0,"",INDEX($AO$63:$AO$71,MATCH(8,$AQ$63:$AQ$71,0)))</f>
        <v>Threaded fitting</v>
      </c>
      <c r="D70" s="59"/>
      <c r="E70" s="35">
        <f>IF($C$70="","",INDEX($AP$63:$AP$71,MATCH(8,$AQ$63:$AQ$71,0)))</f>
        <v>652.08</v>
      </c>
      <c r="F70" s="65">
        <f>IF(OR($C$70="",$E$72=0),"",$E$70/$E$72)</f>
        <v>0.0298920263189299</v>
      </c>
      <c r="G70" s="65">
        <f>IF(OR($C$70="",$E$72=0),"",SUM($E$63:$E$70)/$E$72)</f>
        <v>0.979305520240741</v>
      </c>
      <c r="AO70" s="11" t="str">
        <f>IFERROR(INDEX(tblComponents[Component],8)&amp;"","")</f>
        <v>Condensate drain</v>
      </c>
      <c r="AP70" s="66">
        <f>IF($AO$70="",-1,SUMIFS(tblLeaks[Avoidable cost],tblLeaks[Component],$AO$70))</f>
        <v>5116.32</v>
      </c>
      <c r="AQ70" s="66">
        <f>COUNTIF($AP$63:$AP$71,"&gt;"&amp;$AP$70)+COUNTIF($AP$63:$AP$70,$AP$70)</f>
        <v>1</v>
      </c>
    </row>
    <row r="71" spans="2:43" x14ac:dyDescent="0.25">
      <c r="B71" s="64">
        <v>9</v>
      </c>
      <c r="C71" s="59" t="str">
        <f>IF(INDEX($AP$63:$AP$71,MATCH(9,$AQ$63:$AQ$71,0))&lt;0,"",INDEX($AO$63:$AO$71,MATCH(9,$AQ$63:$AQ$71,0)))</f>
        <v>Valve</v>
      </c>
      <c r="D71" s="59"/>
      <c r="E71" s="35">
        <f>IF($C$71="","",INDEX($AP$63:$AP$71,MATCH(9,$AQ$63:$AQ$71,0)))</f>
        <v>451.44</v>
      </c>
      <c r="F71" s="65">
        <f>IF(OR($C$71="",$E$72=0),"",$E$71/$E$72)</f>
        <v>0.0206944797592591</v>
      </c>
      <c r="G71" s="65">
        <f>IF(OR($C$71="",$E$72=0),"",SUM($E$63:$E$71)/$E$72)</f>
        <v>1</v>
      </c>
      <c r="AO71" s="11" t="str">
        <f>IFERROR(INDEX(tblComponents[Component],9)&amp;"","")</f>
        <v>Pipe joint</v>
      </c>
      <c r="AP71" s="66">
        <f>IF($AO$71="",-1,SUMIFS(tblLeaks[Avoidable cost],tblLeaks[Component],$AO$71))</f>
        <v>2106.72</v>
      </c>
      <c r="AQ71" s="66">
        <f>COUNTIF($AP$63:$AP$71,"&gt;"&amp;$AP$71)+COUNTIF($AP$63:$AP$71,$AP$71)</f>
        <v>6</v>
      </c>
    </row>
    <row r="72" spans="2:43" x14ac:dyDescent="0.25">
      <c r="B72" s="61"/>
      <c r="C72" s="61" t="s">
        <v>255</v>
      </c>
      <c r="D72" s="61"/>
      <c r="E72" s="62">
        <f>SUMIF($AP$63:$AP$71,"&gt;0")</f>
        <v>21814.5131093724</v>
      </c>
      <c r="F72" s="61"/>
      <c r="G72" s="61"/>
    </row>
    <row r="74" spans="2:43" ht="26.76" customHeight="1" x14ac:dyDescent="0.25">
      <c r="B74" s="21" t="s">
        <v>264</v>
      </c>
      <c r="C74" s="21"/>
      <c r="D74" s="21"/>
      <c r="E74" s="21"/>
      <c r="F74" s="21"/>
      <c r="G74" s="21"/>
      <c r="H74" s="21"/>
      <c r="I74" s="21"/>
      <c r="J74" s="21"/>
      <c r="K74" s="21"/>
      <c r="L74" s="21"/>
    </row>
    <row r="75" spans="2:43" x14ac:dyDescent="0.25">
      <c r="B75" s="67">
        <f>IF(OR(COUNTA(tblAreas[Area])&gt;6,COUNTA(tblComponents[Component])&gt;9),"Setup lists are longer than the Dashboard blocks: some areas or components are not shown.",IF(COUNTA(tblLeaks[Tag no.])&gt;$C$58,"Some leaks have an area that is not on the Setup list: they are missing from the By area block.",""))</f>
        <v/>
      </c>
      <c r="C75" s="67"/>
      <c r="D75" s="67"/>
      <c r="E75" s="67"/>
      <c r="F75" s="67"/>
      <c r="G75" s="67"/>
      <c r="H75" s="67"/>
      <c r="I75" s="67"/>
      <c r="J75" s="67"/>
      <c r="K75" s="67"/>
      <c r="L75" s="67"/>
    </row>
  </sheetData>
  <sheetProtection sheet="1" formatColumns="0" formatRows="0"/>
  <mergeCells count="81">
    <mergeCell ref="A1:L1"/>
    <mergeCell ref="B2:J2"/>
    <mergeCell ref="K2:L2"/>
    <mergeCell ref="B4:C4"/>
    <mergeCell ref="D4:E4"/>
    <mergeCell ref="H4:I4"/>
    <mergeCell ref="J4:K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L35"/>
    <mergeCell ref="D36:E36"/>
    <mergeCell ref="F36:H36"/>
    <mergeCell ref="D37:E37"/>
    <mergeCell ref="F37:H37"/>
    <mergeCell ref="D38:E38"/>
    <mergeCell ref="D39:E39"/>
    <mergeCell ref="D40:E40"/>
    <mergeCell ref="D41:E41"/>
    <mergeCell ref="D42:E42"/>
    <mergeCell ref="D43:E43"/>
    <mergeCell ref="D44:E44"/>
    <mergeCell ref="D45:E45"/>
    <mergeCell ref="D46:E46"/>
    <mergeCell ref="D47:E47"/>
    <mergeCell ref="F38:H38"/>
    <mergeCell ref="F39:H39"/>
    <mergeCell ref="F40:H40"/>
    <mergeCell ref="F41:H41"/>
    <mergeCell ref="F42:H42"/>
    <mergeCell ref="F43:H43"/>
    <mergeCell ref="F44:H44"/>
    <mergeCell ref="F45:H45"/>
    <mergeCell ref="F46:H46"/>
    <mergeCell ref="F47:H47"/>
    <mergeCell ref="B49:L49"/>
    <mergeCell ref="B60:G60"/>
    <mergeCell ref="C61:D61"/>
    <mergeCell ref="C62:D62"/>
    <mergeCell ref="C63:D63"/>
    <mergeCell ref="C64:D64"/>
    <mergeCell ref="C65:D65"/>
    <mergeCell ref="C66:D66"/>
    <mergeCell ref="C67:D67"/>
    <mergeCell ref="C68:D68"/>
    <mergeCell ref="C69:D69"/>
    <mergeCell ref="C70:D70"/>
    <mergeCell ref="C71:D71"/>
    <mergeCell ref="C72:D72"/>
    <mergeCell ref="B74:L74"/>
    <mergeCell ref="B75:L75"/>
  </mergeCells>
  <conditionalFormatting sqref="E63:E71">
    <cfRule type="dataBar" priority="6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33">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L38:L47">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Compressed Air Leak Cost Tracker&amp;R&amp;8&amp;A</oddHeader>
    <oddFooter>&amp;L&amp;8mfgcalcs.com - free manufacturing templates&amp;R&amp;8Page &amp;P of &amp;N</oddFooter>
  </headerFooter>
  <rowBreaks count="2" manualBreakCount="2">
    <brk id="28" max="16383" man="1"/>
    <brk id="5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E63:E71</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265</v>
      </c>
      <c r="C4" s="8"/>
      <c r="D4" s="8"/>
    </row>
    <row r="5" spans="1:4" ht="5" customHeight="1"/>
    <row r="6" spans="1:4" ht="55.8" customHeight="1">
      <c r="B6" s="10" t="s">
        <v>266</v>
      </c>
      <c r="C6" s="10"/>
      <c r="D6" s="10"/>
    </row>
    <row r="8" spans="1:4" ht="21" customHeight="1">
      <c r="B8" s="8" t="s">
        <v>267</v>
      </c>
      <c r="C8" s="8"/>
      <c r="D8" s="8"/>
    </row>
    <row r="9" spans="1:4" ht="5" customHeight="1"/>
    <row r="10" spans="1:4" ht="20" customHeight="1">
      <c r="B10" s="57" t="s">
        <v>268</v>
      </c>
      <c r="C10" s="57" t="s">
        <v>269</v>
      </c>
      <c r="D10" s="38" t="s">
        <v>270</v>
      </c>
    </row>
    <row r="11" spans="1:4" ht="30.4" customHeight="1">
      <c r="B11" s="68" t="s">
        <v>78</v>
      </c>
      <c r="C11" s="69" t="s">
        <v>271</v>
      </c>
      <c r="D11" s="70" t="s">
        <v>79</v>
      </c>
    </row>
    <row r="12" spans="1:4" ht="17.2" customHeight="1">
      <c r="B12" s="68" t="s">
        <v>272</v>
      </c>
      <c r="C12" s="69" t="s">
        <v>273</v>
      </c>
      <c r="D12" s="70" t="s">
        <v>274</v>
      </c>
    </row>
    <row r="13" spans="1:4" ht="30.4" customHeight="1">
      <c r="B13" s="68" t="s">
        <v>141</v>
      </c>
      <c r="C13" s="69" t="s">
        <v>275</v>
      </c>
      <c r="D13" s="70" t="s">
        <v>87</v>
      </c>
    </row>
    <row r="14" spans="1:4" ht="17.2" customHeight="1">
      <c r="B14" s="68" t="s">
        <v>276</v>
      </c>
      <c r="C14" s="69" t="s">
        <v>277</v>
      </c>
      <c r="D14" s="70" t="s">
        <v>278</v>
      </c>
    </row>
    <row r="15" spans="1:4" ht="17.2" customHeight="1">
      <c r="B15" s="68" t="s">
        <v>143</v>
      </c>
      <c r="C15" s="69" t="s">
        <v>279</v>
      </c>
      <c r="D15" s="70" t="s">
        <v>280</v>
      </c>
    </row>
    <row r="16" spans="1:4" ht="17.2" customHeight="1">
      <c r="B16" s="68" t="s">
        <v>144</v>
      </c>
      <c r="C16" s="69" t="s">
        <v>281</v>
      </c>
      <c r="D16" s="70" t="s">
        <v>280</v>
      </c>
    </row>
    <row r="17" spans="2:4" ht="17.2" customHeight="1">
      <c r="B17" s="68" t="s">
        <v>245</v>
      </c>
      <c r="C17" s="69" t="s">
        <v>282</v>
      </c>
      <c r="D17" s="70" t="s">
        <v>246</v>
      </c>
    </row>
    <row r="18" spans="2:4" ht="30.4" customHeight="1">
      <c r="B18" s="68" t="s">
        <v>283</v>
      </c>
      <c r="C18" s="69" t="s">
        <v>284</v>
      </c>
      <c r="D18" s="70" t="s">
        <v>285</v>
      </c>
    </row>
    <row r="19" spans="2:4" ht="30.4" customHeight="1">
      <c r="B19" s="68" t="s">
        <v>148</v>
      </c>
      <c r="C19" s="69" t="s">
        <v>286</v>
      </c>
      <c r="D19" s="70" t="s">
        <v>287</v>
      </c>
    </row>
    <row r="20" spans="2:4" ht="30.4" customHeight="1">
      <c r="B20" s="68" t="s">
        <v>149</v>
      </c>
      <c r="C20" s="69" t="s">
        <v>288</v>
      </c>
      <c r="D20" s="70" t="s">
        <v>287</v>
      </c>
    </row>
    <row r="21" spans="2:4" ht="30.4" customHeight="1">
      <c r="B21" s="68" t="s">
        <v>289</v>
      </c>
      <c r="C21" s="69" t="s">
        <v>290</v>
      </c>
      <c r="D21" s="70" t="s">
        <v>263</v>
      </c>
    </row>
    <row r="22" spans="2:4" ht="43.6" customHeight="1">
      <c r="B22" s="68" t="s">
        <v>291</v>
      </c>
      <c r="C22" s="69" t="s">
        <v>292</v>
      </c>
      <c r="D22" s="70" t="s">
        <v>287</v>
      </c>
    </row>
    <row r="24" spans="2:4" ht="21" customHeight="1">
      <c r="B24" s="8" t="s">
        <v>293</v>
      </c>
      <c r="C24" s="8"/>
      <c r="D24" s="8"/>
    </row>
    <row r="25" spans="2:4" ht="5" customHeight="1"/>
    <row r="26" spans="2:4" ht="29.4" customHeight="1">
      <c r="B26" s="26" t="s">
        <v>55</v>
      </c>
      <c r="C26" s="10" t="s">
        <v>294</v>
      </c>
      <c r="D26" s="10"/>
    </row>
    <row r="27" spans="2:4" ht="29.4" customHeight="1">
      <c r="B27" s="26" t="s">
        <v>55</v>
      </c>
      <c r="C27" s="10" t="s">
        <v>295</v>
      </c>
      <c r="D27" s="10"/>
    </row>
    <row r="28" spans="2:4" ht="29.4" customHeight="1">
      <c r="B28" s="26" t="s">
        <v>55</v>
      </c>
      <c r="C28" s="10" t="s">
        <v>296</v>
      </c>
      <c r="D28" s="10"/>
    </row>
    <row r="29" spans="2:4" ht="16.2" customHeight="1">
      <c r="B29" s="26" t="s">
        <v>55</v>
      </c>
      <c r="C29" s="10" t="s">
        <v>297</v>
      </c>
      <c r="D29" s="10"/>
    </row>
    <row r="31" spans="2:4" ht="21" customHeight="1">
      <c r="B31" s="8" t="s">
        <v>298</v>
      </c>
      <c r="C31" s="8"/>
      <c r="D31" s="8"/>
    </row>
    <row r="32" spans="2:4" ht="5" customHeight="1"/>
    <row r="33" spans="2:4" ht="29.4" customHeight="1">
      <c r="B33" s="26" t="s">
        <v>55</v>
      </c>
      <c r="C33" s="10" t="s">
        <v>299</v>
      </c>
      <c r="D33" s="10"/>
    </row>
    <row r="34" spans="2:4" ht="29.4" customHeight="1">
      <c r="B34" s="26" t="s">
        <v>55</v>
      </c>
      <c r="C34" s="10" t="s">
        <v>300</v>
      </c>
      <c r="D34" s="10"/>
    </row>
    <row r="35" spans="2:4" ht="16.2" customHeight="1">
      <c r="B35" s="26" t="s">
        <v>55</v>
      </c>
      <c r="C35" s="10" t="s">
        <v>301</v>
      </c>
      <c r="D35" s="10"/>
    </row>
    <row r="36" spans="2:4" ht="29.4" customHeight="1">
      <c r="B36" s="26" t="s">
        <v>55</v>
      </c>
      <c r="C36" s="10" t="s">
        <v>302</v>
      </c>
      <c r="D36" s="10"/>
    </row>
    <row r="38" spans="2:4" ht="21" customHeight="1">
      <c r="B38" s="8" t="s">
        <v>303</v>
      </c>
      <c r="C38" s="8"/>
      <c r="D38" s="8"/>
    </row>
    <row r="39" spans="2:4" ht="5" customHeight="1"/>
    <row r="40" spans="2:4" ht="82.2" customHeight="1">
      <c r="B40" s="10" t="s">
        <v>304</v>
      </c>
      <c r="C40" s="10"/>
      <c r="D40" s="10"/>
    </row>
    <row r="41" spans="2:4">
      <c r="B41" s="24" t="s">
        <v>305</v>
      </c>
      <c r="C41" s="24"/>
      <c r="D41" s="24"/>
    </row>
    <row r="43" spans="2:4" ht="21" customHeight="1">
      <c r="B43" s="8" t="s">
        <v>42</v>
      </c>
      <c r="C43" s="8"/>
      <c r="D43" s="8"/>
    </row>
    <row r="44" spans="2:4" ht="5" customHeight="1"/>
    <row r="45" spans="2:4" ht="42.6" customHeight="1">
      <c r="B45" s="10" t="s">
        <v>306</v>
      </c>
      <c r="C45" s="10"/>
      <c r="D45" s="10"/>
    </row>
    <row r="47" spans="2:4" ht="21" customHeight="1">
      <c r="B47" s="8" t="s">
        <v>307</v>
      </c>
      <c r="C47" s="8"/>
      <c r="D47" s="8"/>
    </row>
    <row r="48" spans="2:4" ht="5" customHeight="1"/>
    <row r="49" spans="2:4" ht="29.4" customHeight="1">
      <c r="B49" s="26" t="s">
        <v>55</v>
      </c>
      <c r="C49" s="10" t="s">
        <v>308</v>
      </c>
      <c r="D49" s="10"/>
    </row>
    <row r="50" spans="2:4" ht="29.4" customHeight="1">
      <c r="B50" s="26" t="s">
        <v>55</v>
      </c>
      <c r="C50" s="10" t="s">
        <v>309</v>
      </c>
      <c r="D50" s="10"/>
    </row>
    <row r="51" spans="2:4" ht="29.4" customHeight="1">
      <c r="B51" s="26" t="s">
        <v>55</v>
      </c>
      <c r="C51" s="10" t="s">
        <v>310</v>
      </c>
      <c r="D51" s="10"/>
    </row>
    <row r="52" spans="2:4">
      <c r="B52" s="21" t="s">
        <v>311</v>
      </c>
      <c r="C52" s="21"/>
      <c r="D52" s="21"/>
    </row>
    <row r="54" spans="2:4" ht="21" customHeight="1">
      <c r="B54" s="8" t="s">
        <v>312</v>
      </c>
      <c r="C54" s="8"/>
      <c r="D54" s="8"/>
    </row>
    <row r="55" spans="2:4" ht="5" customHeight="1"/>
    <row r="56" spans="2:4">
      <c r="B56" s="57" t="s">
        <v>50</v>
      </c>
      <c r="C56" s="57" t="s">
        <v>313</v>
      </c>
      <c r="D56" s="38" t="s">
        <v>314</v>
      </c>
    </row>
    <row r="57" spans="2:4" ht="16.2" customHeight="1">
      <c r="B57" s="71" t="s">
        <v>315</v>
      </c>
      <c r="C57" s="72" t="s">
        <v>316</v>
      </c>
      <c r="D57" s="73" t="s">
        <v>317</v>
      </c>
    </row>
    <row r="59" spans="2:4">
      <c r="B59" s="21" t="s">
        <v>61</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Compressed Air Leak Cost Tracker&amp;R&amp;8&amp;A</oddHeader>
    <oddFooter>&amp;L&amp;8mfgcalcs.com - free manufacturing templates&amp;R&amp;8Page &amp;P of &amp;N</oddFooter>
  </headerFooter>
  <rowBreaks count="2" manualBreakCount="2">
    <brk id="23"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U68"/>
  <sheetViews>
    <sheetView showGridLines="0" workbookViewId="0"/>
  </sheetViews>
  <sheetFormatPr defaultRowHeight="15"/>
  <cols>
    <col min="1" max="1" width="2.7109375" customWidth="1"/>
    <col min="2" max="19" width="12.7109375" customWidth="1"/>
    <col min="20" max="20" width="22.7109375" customWidth="1"/>
    <col min="21" max="21" width="26.7109375" customWidth="1"/>
  </cols>
  <sheetData>
    <row r="1" spans="1:21" ht="30" customHeight="1">
      <c r="A1" s="1" t="s">
        <v>0</v>
      </c>
      <c r="B1" s="1"/>
      <c r="C1" s="1"/>
      <c r="D1" s="1"/>
      <c r="E1" s="1"/>
      <c r="F1" s="1"/>
      <c r="G1" s="1"/>
      <c r="H1" s="1"/>
      <c r="I1" s="1"/>
      <c r="J1" s="1"/>
      <c r="K1" s="1"/>
      <c r="L1" s="1"/>
      <c r="M1" s="1"/>
      <c r="N1" s="1"/>
      <c r="O1" s="1"/>
      <c r="P1" s="1"/>
      <c r="Q1" s="1"/>
      <c r="R1" s="1"/>
      <c r="S1" s="1"/>
      <c r="T1" s="1"/>
      <c r="U1" s="1"/>
    </row>
    <row r="2" spans="1:21" ht="21" customHeight="1">
      <c r="B2" s="2" t="s">
        <v>28</v>
      </c>
      <c r="C2" s="2"/>
      <c r="D2" s="2"/>
      <c r="E2" s="2"/>
      <c r="F2" s="2"/>
      <c r="G2" s="2"/>
      <c r="H2" s="2"/>
      <c r="I2" s="2"/>
      <c r="J2" s="2"/>
      <c r="K2" s="2"/>
      <c r="L2" s="2"/>
      <c r="M2" s="2"/>
      <c r="N2" s="2"/>
      <c r="O2" s="2"/>
      <c r="P2" s="2"/>
      <c r="Q2" s="2"/>
      <c r="R2" s="2"/>
      <c r="S2" s="2"/>
      <c r="T2" s="2"/>
      <c r="U2" s="3" t="s">
        <v>2</v>
      </c>
    </row>
    <row r="3" spans="1:21" ht="6" customHeight="1"/>
    <row r="4" spans="1:21" ht="30" customHeight="1">
      <c r="B4" s="74" t="s">
        <v>318</v>
      </c>
      <c r="C4" s="74"/>
      <c r="D4" s="22" t="str">
        <f>IF(COUNTIF($K$11:$K$37,"PASS")=27,"PASS","FAIL")</f>
        <v>PASS</v>
      </c>
      <c r="E4" s="22"/>
      <c r="F4" s="23" t="str">
        <f>COUNTIF($K$11:$K$37,"PASS")&amp;" of 27 checks pass"</f>
        <v>27 of 27 checks pass</v>
      </c>
      <c r="G4" s="23"/>
      <c r="H4" s="23"/>
      <c r="I4" s="23"/>
      <c r="J4" s="23"/>
    </row>
    <row r="6" spans="1:21" ht="29.4" customHeight="1">
      <c r="B6" s="10" t="s">
        <v>319</v>
      </c>
      <c r="C6" s="10"/>
      <c r="D6" s="10"/>
      <c r="E6" s="10"/>
      <c r="F6" s="10"/>
      <c r="G6" s="10"/>
      <c r="H6" s="10"/>
      <c r="I6" s="10"/>
      <c r="J6" s="10"/>
      <c r="K6" s="10"/>
      <c r="L6" s="10"/>
    </row>
    <row r="8" spans="1:21" ht="21" customHeight="1">
      <c r="B8" s="8" t="s">
        <v>320</v>
      </c>
      <c r="C8" s="8"/>
      <c r="D8" s="8"/>
      <c r="E8" s="8"/>
      <c r="F8" s="8"/>
      <c r="G8" s="8"/>
      <c r="H8" s="8"/>
      <c r="I8" s="8"/>
      <c r="J8" s="8"/>
      <c r="K8" s="8"/>
      <c r="L8" s="8"/>
    </row>
    <row r="9" spans="1:21" ht="5" customHeight="1"/>
    <row r="10" spans="1:21" ht="30" customHeight="1">
      <c r="B10" s="38" t="s">
        <v>321</v>
      </c>
      <c r="C10" s="57" t="s">
        <v>150</v>
      </c>
      <c r="D10" s="57"/>
      <c r="E10" s="57"/>
      <c r="F10" s="57"/>
      <c r="G10" s="38" t="s">
        <v>322</v>
      </c>
      <c r="H10" s="38" t="s">
        <v>323</v>
      </c>
      <c r="I10" s="38" t="s">
        <v>324</v>
      </c>
      <c r="J10" s="38" t="s">
        <v>325</v>
      </c>
      <c r="K10" s="38" t="s">
        <v>326</v>
      </c>
    </row>
    <row r="11" spans="1:21" ht="16.2" customHeight="1">
      <c r="B11" s="64">
        <v>1</v>
      </c>
      <c r="C11" s="72" t="s">
        <v>327</v>
      </c>
      <c r="D11" s="72"/>
      <c r="E11" s="72"/>
      <c r="F11" s="72"/>
      <c r="G11" s="75">
        <v>85</v>
      </c>
      <c r="H11" s="76">
        <f>$K$64</f>
        <v>85</v>
      </c>
      <c r="I11" s="77">
        <f>IF(AND(ISNUMBER($G$11),ISNUMBER($H$11)),ABS($H$11-$G$11),"")</f>
        <v>0</v>
      </c>
      <c r="J11" s="78">
        <v>1E-09</v>
      </c>
      <c r="K11" s="45" t="str">
        <f>IF(AND(ISNUMBER($G$11),ISNUMBER($H$11)),IF(ABS($H$11-$G$11)&lt;=$J$11,"PASS","FAIL"),"FAIL")</f>
        <v>PASS</v>
      </c>
    </row>
    <row r="12" spans="1:21" ht="16.2" customHeight="1">
      <c r="B12" s="64">
        <v>2</v>
      </c>
      <c r="C12" s="72" t="s">
        <v>328</v>
      </c>
      <c r="D12" s="72"/>
      <c r="E12" s="72"/>
      <c r="F12" s="72"/>
      <c r="G12" s="79">
        <v>10659</v>
      </c>
      <c r="H12" s="47">
        <f>$M$64</f>
        <v>10659</v>
      </c>
      <c r="I12" s="77">
        <f>IF(AND(ISNUMBER($G$12),ISNUMBER($H$12)),ABS($H$12-$G$12),"")</f>
        <v>0</v>
      </c>
      <c r="J12" s="78">
        <v>1E-06</v>
      </c>
      <c r="K12" s="45" t="str">
        <f>IF(AND(ISNUMBER($G$12),ISNUMBER($H$12)),IF(ABS($H$12-$G$12)&lt;=$J$12,"PASS","FAIL"),"FAIL")</f>
        <v>PASS</v>
      </c>
    </row>
    <row r="13" spans="1:21" ht="16.2" customHeight="1">
      <c r="B13" s="64">
        <v>3</v>
      </c>
      <c r="C13" s="72" t="s">
        <v>329</v>
      </c>
      <c r="D13" s="72"/>
      <c r="E13" s="72"/>
      <c r="F13" s="72"/>
      <c r="G13" s="79">
        <v>8527.199999999999</v>
      </c>
      <c r="H13" s="47">
        <f>$N$64</f>
        <v>8527.2</v>
      </c>
      <c r="I13" s="77">
        <f>IF(AND(ISNUMBER($G$13),ISNUMBER($H$13)),ABS($H$13-$G$13),"")</f>
        <v>0</v>
      </c>
      <c r="J13" s="78">
        <v>1E-06</v>
      </c>
      <c r="K13" s="45" t="str">
        <f>IF(AND(ISNUMBER($G$13),ISNUMBER($H$13)),IF(ABS($H$13-$G$13)&lt;=$J$13,"PASS","FAIL"),"FAIL")</f>
        <v>PASS</v>
      </c>
    </row>
    <row r="14" spans="1:21" ht="16.2" customHeight="1">
      <c r="B14" s="64">
        <v>4</v>
      </c>
      <c r="C14" s="72" t="s">
        <v>330</v>
      </c>
      <c r="D14" s="72"/>
      <c r="E14" s="72"/>
      <c r="F14" s="72"/>
      <c r="G14" s="71" t="s">
        <v>250</v>
      </c>
      <c r="H14" s="59" t="str">
        <f>$R$64</f>
        <v>Overdue</v>
      </c>
      <c r="I14" s="59"/>
      <c r="J14" s="73" t="s">
        <v>331</v>
      </c>
      <c r="K14" s="45" t="str">
        <f>IF($H$14&amp;""=$G$14&amp;"","PASS","FAIL")</f>
        <v>PASS</v>
      </c>
    </row>
    <row r="15" spans="1:21" ht="16.2" customHeight="1">
      <c r="B15" s="64">
        <v>5</v>
      </c>
      <c r="C15" s="72" t="s">
        <v>332</v>
      </c>
      <c r="D15" s="72"/>
      <c r="E15" s="72"/>
      <c r="F15" s="72"/>
      <c r="G15" s="75">
        <v>21.18880003289315</v>
      </c>
      <c r="H15" s="76">
        <f>$K$65</f>
        <v>21.1888000328932</v>
      </c>
      <c r="I15" s="77">
        <f>IF(AND(ISNUMBER($G$15),ISNUMBER($H$15)),ABS($H$15-$G$15),"")</f>
        <v>0</v>
      </c>
      <c r="J15" s="78">
        <v>1E-09</v>
      </c>
      <c r="K15" s="45" t="str">
        <f>IF(AND(ISNUMBER($G$15),ISNUMBER($H$15)),IF(ABS($H$15-$G$15)&lt;=$J$15,"PASS","FAIL"),"FAIL")</f>
        <v>PASS</v>
      </c>
    </row>
    <row r="16" spans="1:21" ht="16.2" customHeight="1">
      <c r="B16" s="64">
        <v>6</v>
      </c>
      <c r="C16" s="72" t="s">
        <v>333</v>
      </c>
      <c r="D16" s="72"/>
      <c r="E16" s="72"/>
      <c r="F16" s="72"/>
      <c r="G16" s="79">
        <v>2657.075524124801</v>
      </c>
      <c r="H16" s="47">
        <f>$M$65</f>
        <v>2657.0755241248</v>
      </c>
      <c r="I16" s="77">
        <f>IF(AND(ISNUMBER($G$16),ISNUMBER($H$16)),ABS($H$16-$G$16),"")</f>
        <v>0</v>
      </c>
      <c r="J16" s="78">
        <v>1E-06</v>
      </c>
      <c r="K16" s="45" t="str">
        <f>IF(AND(ISNUMBER($G$16),ISNUMBER($H$16)),IF(ABS($H$16-$G$16)&lt;=$J$16,"PASS","FAIL"),"FAIL")</f>
        <v>PASS</v>
      </c>
    </row>
    <row r="17" spans="2:11" ht="16.2" customHeight="1">
      <c r="B17" s="64">
        <v>7</v>
      </c>
      <c r="C17" s="72" t="s">
        <v>334</v>
      </c>
      <c r="D17" s="72"/>
      <c r="E17" s="72"/>
      <c r="F17" s="72"/>
      <c r="G17" s="79">
        <v>2125.660419299841</v>
      </c>
      <c r="H17" s="47">
        <f>$N$65</f>
        <v>2125.66041929984</v>
      </c>
      <c r="I17" s="77">
        <f>IF(AND(ISNUMBER($G$17),ISNUMBER($H$17)),ABS($H$17-$G$17),"")</f>
        <v>0</v>
      </c>
      <c r="J17" s="78">
        <v>1E-06</v>
      </c>
      <c r="K17" s="45" t="str">
        <f>IF(AND(ISNUMBER($G$17),ISNUMBER($H$17)),IF(ABS($H$17-$G$17)&lt;=$J$17,"PASS","FAIL"),"FAIL")</f>
        <v>PASS</v>
      </c>
    </row>
    <row r="18" spans="2:11" ht="16.2" customHeight="1">
      <c r="B18" s="64">
        <v>8</v>
      </c>
      <c r="C18" s="72" t="s">
        <v>335</v>
      </c>
      <c r="D18" s="72"/>
      <c r="E18" s="72"/>
      <c r="F18" s="72"/>
      <c r="G18" s="71" t="s">
        <v>336</v>
      </c>
      <c r="H18" s="59" t="str">
        <f>$R$65</f>
        <v>Complete</v>
      </c>
      <c r="I18" s="59"/>
      <c r="J18" s="73" t="s">
        <v>331</v>
      </c>
      <c r="K18" s="45" t="str">
        <f>IF($H$18&amp;""=$G$18&amp;"","PASS","FAIL")</f>
        <v>PASS</v>
      </c>
    </row>
    <row r="19" spans="2:11" ht="16.2" customHeight="1">
      <c r="B19" s="64">
        <v>9</v>
      </c>
      <c r="C19" s="72" t="s">
        <v>337</v>
      </c>
      <c r="D19" s="72"/>
      <c r="E19" s="72"/>
      <c r="F19" s="72"/>
      <c r="G19" s="75">
        <v>5.297200008223288</v>
      </c>
      <c r="H19" s="76">
        <f>$K$66</f>
        <v>5.29720000822329</v>
      </c>
      <c r="I19" s="77">
        <f>IF(AND(ISNUMBER($G$19),ISNUMBER($H$19)),ABS($H$19-$G$19),"")</f>
        <v>0</v>
      </c>
      <c r="J19" s="78">
        <v>1E-09</v>
      </c>
      <c r="K19" s="45" t="str">
        <f>IF(AND(ISNUMBER($G$19),ISNUMBER($H$19)),IF(ABS($H$19-$G$19)&lt;=$J$19,"PASS","FAIL"),"FAIL")</f>
        <v>PASS</v>
      </c>
    </row>
    <row r="20" spans="2:11" ht="16.2" customHeight="1">
      <c r="B20" s="64">
        <v>10</v>
      </c>
      <c r="C20" s="72" t="s">
        <v>338</v>
      </c>
      <c r="D20" s="72"/>
      <c r="E20" s="72"/>
      <c r="F20" s="72"/>
      <c r="G20" s="79">
        <v>664.2688810312003</v>
      </c>
      <c r="H20" s="47">
        <f>$M$66</f>
        <v>664.2688810312</v>
      </c>
      <c r="I20" s="77">
        <f>IF(AND(ISNUMBER($G$20),ISNUMBER($H$20)),ABS($H$20-$G$20),"")</f>
        <v>0</v>
      </c>
      <c r="J20" s="78">
        <v>1E-06</v>
      </c>
      <c r="K20" s="45" t="str">
        <f>IF(AND(ISNUMBER($G$20),ISNUMBER($H$20)),IF(ABS($H$20-$G$20)&lt;=$J$20,"PASS","FAIL"),"FAIL")</f>
        <v>PASS</v>
      </c>
    </row>
    <row r="21" spans="2:11" ht="16.2" customHeight="1">
      <c r="B21" s="64">
        <v>11</v>
      </c>
      <c r="C21" s="72" t="s">
        <v>339</v>
      </c>
      <c r="D21" s="72"/>
      <c r="E21" s="72"/>
      <c r="F21" s="72"/>
      <c r="G21" s="79">
        <v>531.4151048249603</v>
      </c>
      <c r="H21" s="47">
        <f>$N$66</f>
        <v>531.41510482496</v>
      </c>
      <c r="I21" s="77">
        <f>IF(AND(ISNUMBER($G$21),ISNUMBER($H$21)),ABS($H$21-$G$21),"")</f>
        <v>0</v>
      </c>
      <c r="J21" s="78">
        <v>1E-06</v>
      </c>
      <c r="K21" s="45" t="str">
        <f>IF(AND(ISNUMBER($G$21),ISNUMBER($H$21)),IF(ABS($H$21-$G$21)&lt;=$J$21,"PASS","FAIL"),"FAIL")</f>
        <v>PASS</v>
      </c>
    </row>
    <row r="22" spans="2:11" ht="16.2" customHeight="1">
      <c r="B22" s="64">
        <v>12</v>
      </c>
      <c r="C22" s="72" t="s">
        <v>340</v>
      </c>
      <c r="D22" s="72"/>
      <c r="E22" s="72"/>
      <c r="F22" s="72"/>
      <c r="G22" s="71" t="s">
        <v>341</v>
      </c>
      <c r="H22" s="59" t="str">
        <f>$R$66</f>
        <v>Due soon</v>
      </c>
      <c r="I22" s="59"/>
      <c r="J22" s="73" t="s">
        <v>331</v>
      </c>
      <c r="K22" s="45" t="str">
        <f>IF($H$22&amp;""=$G$22&amp;"","PASS","FAIL")</f>
        <v>PASS</v>
      </c>
    </row>
    <row r="23" spans="2:11" ht="16.2" customHeight="1">
      <c r="B23" s="64">
        <v>13</v>
      </c>
      <c r="C23" s="72" t="s">
        <v>342</v>
      </c>
      <c r="D23" s="72"/>
      <c r="E23" s="72"/>
      <c r="F23" s="72"/>
      <c r="G23" s="75">
        <v>17.6573333607443</v>
      </c>
      <c r="H23" s="76">
        <f>$K$67</f>
        <v>17.6573333607443</v>
      </c>
      <c r="I23" s="77">
        <f>IF(AND(ISNUMBER($G$23),ISNUMBER($H$23)),ABS($H$23-$G$23),"")</f>
        <v>0</v>
      </c>
      <c r="J23" s="78">
        <v>1E-09</v>
      </c>
      <c r="K23" s="45" t="str">
        <f>IF(AND(ISNUMBER($G$23),ISNUMBER($H$23)),IF(ABS($H$23-$G$23)&lt;=$J$23,"PASS","FAIL"),"FAIL")</f>
        <v>PASS</v>
      </c>
    </row>
    <row r="24" spans="2:11" ht="16.2" customHeight="1">
      <c r="B24" s="64">
        <v>14</v>
      </c>
      <c r="C24" s="72" t="s">
        <v>343</v>
      </c>
      <c r="D24" s="72"/>
      <c r="E24" s="72"/>
      <c r="F24" s="72"/>
      <c r="G24" s="79">
        <v>2214.229603437335</v>
      </c>
      <c r="H24" s="47">
        <f>$M$67</f>
        <v>2214.22960343734</v>
      </c>
      <c r="I24" s="77">
        <f>IF(AND(ISNUMBER($G$24),ISNUMBER($H$24)),ABS($H$24-$G$24),"")</f>
        <v>0</v>
      </c>
      <c r="J24" s="78">
        <v>1E-06</v>
      </c>
      <c r="K24" s="45" t="str">
        <f>IF(AND(ISNUMBER($G$24),ISNUMBER($H$24)),IF(ABS($H$24-$G$24)&lt;=$J$24,"PASS","FAIL"),"FAIL")</f>
        <v>PASS</v>
      </c>
    </row>
    <row r="25" spans="2:11" ht="16.2" customHeight="1">
      <c r="B25" s="64">
        <v>15</v>
      </c>
      <c r="C25" s="72" t="s">
        <v>344</v>
      </c>
      <c r="D25" s="72"/>
      <c r="E25" s="72"/>
      <c r="F25" s="72"/>
      <c r="G25" s="79">
        <v>1771.383682749868</v>
      </c>
      <c r="H25" s="47">
        <f>$N$67</f>
        <v>1771.38368274987</v>
      </c>
      <c r="I25" s="77">
        <f>IF(AND(ISNUMBER($G$25),ISNUMBER($H$25)),ABS($H$25-$G$25),"")</f>
        <v>0</v>
      </c>
      <c r="J25" s="78">
        <v>1E-06</v>
      </c>
      <c r="K25" s="45" t="str">
        <f>IF(AND(ISNUMBER($G$25),ISNUMBER($H$25)),IF(ABS($H$25-$G$25)&lt;=$J$25,"PASS","FAIL"),"FAIL")</f>
        <v>PASS</v>
      </c>
    </row>
    <row r="26" spans="2:11" ht="16.2" customHeight="1">
      <c r="B26" s="64">
        <v>16</v>
      </c>
      <c r="C26" s="72" t="s">
        <v>345</v>
      </c>
      <c r="D26" s="72"/>
      <c r="E26" s="72"/>
      <c r="F26" s="72"/>
      <c r="G26" s="71" t="s">
        <v>249</v>
      </c>
      <c r="H26" s="59" t="str">
        <f>$R$67</f>
        <v>Open</v>
      </c>
      <c r="I26" s="59"/>
      <c r="J26" s="73" t="s">
        <v>331</v>
      </c>
      <c r="K26" s="45" t="str">
        <f>IF($H$26&amp;""=$G$26&amp;"","PASS","FAIL")</f>
        <v>PASS</v>
      </c>
    </row>
    <row r="27" spans="2:11" ht="16.2" customHeight="1">
      <c r="B27" s="64">
        <v>17</v>
      </c>
      <c r="C27" s="72" t="s">
        <v>346</v>
      </c>
      <c r="D27" s="72"/>
      <c r="E27" s="72"/>
      <c r="F27" s="72"/>
      <c r="G27" s="80">
        <v>96899.99999999999</v>
      </c>
      <c r="H27" s="35">
        <f>$L$64</f>
        <v>96900</v>
      </c>
      <c r="I27" s="77">
        <f>IF(AND(ISNUMBER($G$27),ISNUMBER($H$27)),ABS($H$27-$G$27),"")</f>
        <v>0</v>
      </c>
      <c r="J27" s="78">
        <v>1E-06</v>
      </c>
      <c r="K27" s="45" t="str">
        <f>IF(AND(ISNUMBER($G$27),ISNUMBER($H$27)),IF(ABS($H$27-$G$27)&lt;=$J$27,"PASS","FAIL"),"FAIL")</f>
        <v>PASS</v>
      </c>
    </row>
    <row r="28" spans="2:11" ht="16.2" customHeight="1">
      <c r="B28" s="64">
        <v>18</v>
      </c>
      <c r="C28" s="72" t="s">
        <v>347</v>
      </c>
      <c r="D28" s="72"/>
      <c r="E28" s="72"/>
      <c r="F28" s="72"/>
      <c r="G28" s="79">
        <v>1.266535322262877</v>
      </c>
      <c r="H28" s="47">
        <f>$O$64</f>
        <v>1.26653532226288</v>
      </c>
      <c r="I28" s="77">
        <f>IF(AND(ISNUMBER($G$28),ISNUMBER($H$28)),ABS($H$28-$G$28),"")</f>
        <v>0</v>
      </c>
      <c r="J28" s="78">
        <v>1E-09</v>
      </c>
      <c r="K28" s="45" t="str">
        <f>IF(AND(ISNUMBER($G$28),ISNUMBER($H$28)),IF(ABS($H$28-$G$28)&lt;=$J$28,"PASS","FAIL"),"FAIL")</f>
        <v>PASS</v>
      </c>
    </row>
    <row r="29" spans="2:11" ht="16.2" customHeight="1">
      <c r="B29" s="64">
        <v>19</v>
      </c>
      <c r="C29" s="72" t="s">
        <v>348</v>
      </c>
      <c r="D29" s="72"/>
      <c r="E29" s="72"/>
      <c r="F29" s="72"/>
      <c r="G29" s="79">
        <v>6.77436521339713</v>
      </c>
      <c r="H29" s="47">
        <f>$O$66</f>
        <v>6.77436521339713</v>
      </c>
      <c r="I29" s="77">
        <f>IF(AND(ISNUMBER($G$29),ISNUMBER($H$29)),ABS($H$29-$G$29),"")</f>
        <v>0</v>
      </c>
      <c r="J29" s="78">
        <v>1E-09</v>
      </c>
      <c r="K29" s="45" t="str">
        <f>IF(AND(ISNUMBER($G$29),ISNUMBER($H$29)),IF(ABS($H$29-$G$29)&lt;=$J$29,"PASS","FAIL"),"FAIL")</f>
        <v>PASS</v>
      </c>
    </row>
    <row r="30" spans="2:11" ht="16.2" customHeight="1">
      <c r="B30" s="64">
        <v>20</v>
      </c>
      <c r="C30" s="72" t="s">
        <v>349</v>
      </c>
      <c r="D30" s="72"/>
      <c r="E30" s="72"/>
      <c r="F30" s="72"/>
      <c r="G30" s="80">
        <v>14</v>
      </c>
      <c r="H30" s="35">
        <f>$Q$65</f>
        <v>14</v>
      </c>
      <c r="I30" s="77">
        <f>IF(AND(ISNUMBER($G$30),ISNUMBER($H$30)),ABS($H$30-$G$30),"")</f>
        <v>0</v>
      </c>
      <c r="J30" s="78">
        <v>1E-09</v>
      </c>
      <c r="K30" s="45" t="str">
        <f>IF(AND(ISNUMBER($G$30),ISNUMBER($H$30)),IF(ABS($H$30-$G$30)&lt;=$J$30,"PASS","FAIL"),"FAIL")</f>
        <v>PASS</v>
      </c>
    </row>
    <row r="31" spans="2:11" ht="16.2" customHeight="1">
      <c r="B31" s="64">
        <v>21</v>
      </c>
      <c r="C31" s="72" t="s">
        <v>350</v>
      </c>
      <c r="D31" s="72"/>
      <c r="E31" s="72"/>
      <c r="F31" s="72"/>
      <c r="G31" s="80">
        <v>1</v>
      </c>
      <c r="H31" s="35">
        <f>$S$64</f>
        <v>1</v>
      </c>
      <c r="I31" s="77">
        <f>IF(AND(ISNUMBER($G$31),ISNUMBER($H$31)),ABS($H$31-$G$31),"")</f>
        <v>0</v>
      </c>
      <c r="J31" s="78">
        <v>1E-09</v>
      </c>
      <c r="K31" s="45" t="str">
        <f>IF(AND(ISNUMBER($G$31),ISNUMBER($H$31)),IF(ABS($H$31-$G$31)&lt;=$J$31,"PASS","FAIL"),"FAIL")</f>
        <v>PASS</v>
      </c>
    </row>
    <row r="32" spans="2:11" ht="16.2" customHeight="1">
      <c r="B32" s="64">
        <v>22</v>
      </c>
      <c r="C32" s="72" t="s">
        <v>351</v>
      </c>
      <c r="D32" s="72"/>
      <c r="E32" s="72"/>
      <c r="F32" s="72"/>
      <c r="G32" s="80">
        <v>2</v>
      </c>
      <c r="H32" s="35">
        <f>$S$67</f>
        <v>2</v>
      </c>
      <c r="I32" s="77">
        <f>IF(AND(ISNUMBER($G$32),ISNUMBER($H$32)),ABS($H$32-$G$32),"")</f>
        <v>0</v>
      </c>
      <c r="J32" s="78">
        <v>1E-09</v>
      </c>
      <c r="K32" s="45" t="str">
        <f>IF(AND(ISNUMBER($G$32),ISNUMBER($H$32)),IF(ABS($H$32-$G$32)&lt;=$J$32,"PASS","FAIL"),"FAIL")</f>
        <v>PASS</v>
      </c>
    </row>
    <row r="33" spans="2:12" ht="16.2" customHeight="1">
      <c r="B33" s="64">
        <v>23</v>
      </c>
      <c r="C33" s="72" t="s">
        <v>352</v>
      </c>
      <c r="D33" s="72"/>
      <c r="E33" s="72"/>
      <c r="F33" s="72"/>
      <c r="G33" s="71" t="s">
        <v>353</v>
      </c>
      <c r="H33" s="59" t="str">
        <f>$T$68</f>
        <v>Repaired before found</v>
      </c>
      <c r="I33" s="59"/>
      <c r="J33" s="73" t="s">
        <v>331</v>
      </c>
      <c r="K33" s="45" t="str">
        <f>IF($H$33&amp;""=$G$33&amp;"","PASS","FAIL")</f>
        <v>PASS</v>
      </c>
    </row>
    <row r="34" spans="2:12" ht="16.2" customHeight="1">
      <c r="B34" s="64">
        <v>24</v>
      </c>
      <c r="C34" s="72" t="s">
        <v>354</v>
      </c>
      <c r="D34" s="72"/>
      <c r="E34" s="72"/>
      <c r="F34" s="72"/>
      <c r="G34" s="79">
        <v>10829.99878757483</v>
      </c>
      <c r="H34" s="47">
        <f>SUMIFS(tblVerifyLeaks[Avoidable cost],tblVerifyLeaks[Status],"&lt;&gt;Complete")</f>
        <v>10829.9987875748</v>
      </c>
      <c r="I34" s="77">
        <f>IF(AND(ISNUMBER($G$34),ISNUMBER($H$34)),ABS($H$34-$G$34),"")</f>
        <v>0</v>
      </c>
      <c r="J34" s="78">
        <v>1E-06</v>
      </c>
      <c r="K34" s="45" t="str">
        <f>IF(AND(ISNUMBER($G$34),ISNUMBER($H$34)),IF(ABS($H$34-$G$34)&lt;=$J$34,"PASS","FAIL"),"FAIL")</f>
        <v>PASS</v>
      </c>
    </row>
    <row r="35" spans="2:12" ht="16.2" customHeight="1">
      <c r="B35" s="64">
        <v>25</v>
      </c>
      <c r="C35" s="72" t="s">
        <v>355</v>
      </c>
      <c r="D35" s="72"/>
      <c r="E35" s="72"/>
      <c r="F35" s="72"/>
      <c r="G35" s="79">
        <v>2526.940419299841</v>
      </c>
      <c r="H35" s="47">
        <f>SUMIFS(tblVerifyLeaks[Avoidable cost],tblVerifyLeaks[Status],"Complete")</f>
        <v>2526.94041929984</v>
      </c>
      <c r="I35" s="77">
        <f>IF(AND(ISNUMBER($G$35),ISNUMBER($H$35)),ABS($H$35-$G$35),"")</f>
        <v>0</v>
      </c>
      <c r="J35" s="78">
        <v>1E-06</v>
      </c>
      <c r="K35" s="45" t="str">
        <f>IF(AND(ISNUMBER($G$35),ISNUMBER($H$35)),IF(ABS($H$35-$G$35)&lt;=$J$35,"PASS","FAIL"),"FAIL")</f>
        <v>PASS</v>
      </c>
    </row>
    <row r="36" spans="2:12" ht="29.4" customHeight="1">
      <c r="B36" s="64">
        <v>26</v>
      </c>
      <c r="C36" s="72" t="s">
        <v>356</v>
      </c>
      <c r="D36" s="72"/>
      <c r="E36" s="72"/>
      <c r="F36" s="72"/>
      <c r="G36" s="81">
        <v>0.152846598016</v>
      </c>
      <c r="H36" s="82">
        <f>IF(($E$54)=0,"",(SUMIFS(tblVerifyLeaks[Flow (cfm)],tblVerifyLeaks[Status],"&lt;&gt;Complete"))/($E$54))</f>
        <v>0.152846598016</v>
      </c>
      <c r="I36" s="77">
        <f>IF(AND(ISNUMBER($G$36),ISNUMBER($H$36)),ABS($H$36-$G$36),"")</f>
        <v>0</v>
      </c>
      <c r="J36" s="78">
        <v>1E-09</v>
      </c>
      <c r="K36" s="45" t="str">
        <f>IF(AND(ISNUMBER($G$36),ISNUMBER($H$36)),IF(ABS($H$36-$G$36)&lt;=$J$36,"PASS","FAIL"),"FAIL")</f>
        <v>PASS</v>
      </c>
    </row>
    <row r="37" spans="2:12" ht="16.2" customHeight="1">
      <c r="B37" s="64">
        <v>27</v>
      </c>
      <c r="C37" s="72" t="s">
        <v>357</v>
      </c>
      <c r="D37" s="72"/>
      <c r="E37" s="72"/>
      <c r="F37" s="72"/>
      <c r="G37" s="80">
        <v>1</v>
      </c>
      <c r="H37" s="35">
        <f>COUNTIFS(tblVerifyLeaks[Status],"Overdue")</f>
        <v>1</v>
      </c>
      <c r="I37" s="77">
        <f>IF(AND(ISNUMBER($G$37),ISNUMBER($H$37)),ABS($H$37-$G$37),"")</f>
        <v>0</v>
      </c>
      <c r="J37" s="78">
        <v>1E-09</v>
      </c>
      <c r="K37" s="45" t="str">
        <f>IF(AND(ISNUMBER($G$37),ISNUMBER($H$37)),IF(ABS($H$37-$G$37)&lt;=$J$37,"PASS","FAIL"),"FAIL")</f>
        <v>PASS</v>
      </c>
    </row>
    <row r="39" spans="2:12" ht="21" customHeight="1">
      <c r="B39" s="8" t="s">
        <v>358</v>
      </c>
      <c r="C39" s="8"/>
      <c r="D39" s="8"/>
      <c r="E39" s="8"/>
      <c r="F39" s="8"/>
      <c r="G39" s="8"/>
      <c r="H39" s="8"/>
      <c r="I39" s="8"/>
      <c r="J39" s="8"/>
      <c r="K39" s="8"/>
      <c r="L39" s="8"/>
    </row>
    <row r="40" spans="2:12" ht="5" customHeight="1"/>
    <row r="41" spans="2:12">
      <c r="B41" s="21" t="s">
        <v>359</v>
      </c>
      <c r="C41" s="21"/>
      <c r="D41" s="21"/>
      <c r="E41" s="21"/>
      <c r="F41" s="21"/>
      <c r="G41" s="21"/>
      <c r="H41" s="21"/>
      <c r="I41" s="21"/>
      <c r="J41" s="21"/>
      <c r="K41" s="21"/>
      <c r="L41" s="21"/>
    </row>
    <row r="42" spans="2:12">
      <c r="B42" s="37" t="s">
        <v>360</v>
      </c>
      <c r="C42" s="37"/>
      <c r="D42" s="37"/>
      <c r="E42" s="37"/>
      <c r="F42" s="37"/>
      <c r="G42" s="37"/>
      <c r="H42" s="37"/>
      <c r="I42" s="37"/>
      <c r="J42" s="37"/>
      <c r="K42" s="37"/>
      <c r="L42" s="37"/>
    </row>
    <row r="43" spans="2:12">
      <c r="B43" s="27" t="s">
        <v>73</v>
      </c>
      <c r="C43" s="27"/>
      <c r="D43" s="27"/>
      <c r="E43" s="83">
        <v>0.11</v>
      </c>
      <c r="F43" s="7" t="str">
        <f>Currency&amp;"/kWh"</f>
        <v>USD/kWh</v>
      </c>
    </row>
    <row r="44" spans="2:12">
      <c r="B44" s="27" t="s">
        <v>74</v>
      </c>
      <c r="C44" s="27"/>
      <c r="D44" s="27"/>
      <c r="E44" s="79">
        <v>19</v>
      </c>
      <c r="F44" s="7" t="s">
        <v>75</v>
      </c>
    </row>
    <row r="45" spans="2:12">
      <c r="B45" s="27" t="s">
        <v>76</v>
      </c>
      <c r="C45" s="27"/>
      <c r="D45" s="27"/>
      <c r="E45" s="71" t="s">
        <v>77</v>
      </c>
      <c r="F45" s="71"/>
    </row>
    <row r="46" spans="2:12">
      <c r="B46" s="27" t="s">
        <v>78</v>
      </c>
      <c r="C46" s="27"/>
      <c r="D46" s="27"/>
      <c r="E46" s="31">
        <f>IF($E$45="kW per m3/min",$E$44*0.028316846592,$E$44/100)</f>
        <v>0.19</v>
      </c>
      <c r="F46" s="7" t="s">
        <v>79</v>
      </c>
    </row>
    <row r="47" spans="2:12">
      <c r="B47" s="27" t="s">
        <v>80</v>
      </c>
      <c r="C47" s="27"/>
      <c r="D47" s="27"/>
      <c r="E47" s="80">
        <v>6000</v>
      </c>
      <c r="F47" s="7" t="s">
        <v>81</v>
      </c>
    </row>
    <row r="48" spans="2:12">
      <c r="B48" s="17" t="s">
        <v>82</v>
      </c>
      <c r="C48" s="17"/>
      <c r="D48" s="17"/>
      <c r="E48" s="33">
        <f>$E$46*$E$47*$E$43</f>
        <v>125.4</v>
      </c>
      <c r="F48" s="7" t="str">
        <f>Currency&amp;" per cfm-year"</f>
        <v>USD per cfm-year</v>
      </c>
    </row>
    <row r="49" spans="2:21">
      <c r="B49" s="27" t="s">
        <v>83</v>
      </c>
      <c r="C49" s="27"/>
      <c r="D49" s="27"/>
      <c r="E49" s="84">
        <v>0.8</v>
      </c>
      <c r="F49" s="7"/>
    </row>
    <row r="51" spans="2:21">
      <c r="B51" s="37" t="s">
        <v>361</v>
      </c>
      <c r="C51" s="37"/>
      <c r="D51" s="37"/>
      <c r="E51" s="37"/>
      <c r="F51" s="37"/>
      <c r="G51" s="37"/>
      <c r="H51" s="37"/>
      <c r="I51" s="37"/>
      <c r="J51" s="37"/>
      <c r="K51" s="37"/>
      <c r="L51" s="37"/>
    </row>
    <row r="52" spans="2:21">
      <c r="B52" s="27" t="s">
        <v>85</v>
      </c>
      <c r="C52" s="27"/>
      <c r="D52" s="27"/>
      <c r="E52" s="80">
        <v>20</v>
      </c>
      <c r="F52" s="7" t="s">
        <v>75</v>
      </c>
    </row>
    <row r="53" spans="2:21">
      <c r="B53" s="27" t="s">
        <v>86</v>
      </c>
      <c r="C53" s="27"/>
      <c r="D53" s="27"/>
      <c r="E53" s="71" t="s">
        <v>362</v>
      </c>
      <c r="F53" s="71"/>
    </row>
    <row r="54" spans="2:21">
      <c r="B54" s="27" t="s">
        <v>88</v>
      </c>
      <c r="C54" s="27"/>
      <c r="D54" s="27"/>
      <c r="E54" s="35">
        <f>IF($E$53="L/s",$E$52*60/28.316846592,IF($E$53="m3/min",$E$52/0.028316846592,$E$52))</f>
        <v>706.293334429772</v>
      </c>
      <c r="F54" s="7" t="s">
        <v>87</v>
      </c>
    </row>
    <row r="55" spans="2:21">
      <c r="B55" s="27" t="s">
        <v>89</v>
      </c>
      <c r="C55" s="27"/>
      <c r="D55" s="27"/>
      <c r="E55" s="84">
        <v>0.1</v>
      </c>
      <c r="F55" s="7"/>
    </row>
    <row r="57" spans="2:21">
      <c r="B57" s="37" t="s">
        <v>363</v>
      </c>
      <c r="C57" s="37"/>
      <c r="D57" s="37"/>
      <c r="E57" s="37"/>
      <c r="F57" s="37"/>
      <c r="G57" s="37"/>
      <c r="H57" s="37"/>
      <c r="I57" s="37"/>
      <c r="J57" s="37"/>
      <c r="K57" s="37"/>
      <c r="L57" s="37"/>
    </row>
    <row r="58" spans="2:21">
      <c r="B58" s="27" t="s">
        <v>90</v>
      </c>
      <c r="C58" s="27"/>
      <c r="D58" s="27"/>
      <c r="E58" s="85">
        <v>46083</v>
      </c>
      <c r="F58" s="7"/>
    </row>
    <row r="59" spans="2:21">
      <c r="B59" s="27" t="s">
        <v>91</v>
      </c>
      <c r="C59" s="27"/>
      <c r="D59" s="27"/>
      <c r="E59" s="80">
        <v>30</v>
      </c>
      <c r="F59" s="7" t="s">
        <v>92</v>
      </c>
    </row>
    <row r="61" spans="2:21">
      <c r="B61" s="37" t="s">
        <v>364</v>
      </c>
      <c r="C61" s="37"/>
      <c r="D61" s="37"/>
      <c r="E61" s="37"/>
      <c r="F61" s="37"/>
      <c r="G61" s="37"/>
      <c r="H61" s="37"/>
      <c r="I61" s="37"/>
      <c r="J61" s="37"/>
      <c r="K61" s="37"/>
      <c r="L61" s="37"/>
    </row>
    <row r="62" spans="2:21" ht="14" customHeight="1">
      <c r="B62" s="41"/>
      <c r="C62" s="41"/>
      <c r="D62" s="41"/>
      <c r="E62" s="41"/>
      <c r="F62" s="41"/>
      <c r="G62" s="41"/>
      <c r="H62" s="41"/>
      <c r="I62" s="41" t="str">
        <f>Currency</f>
        <v>USD</v>
      </c>
      <c r="J62" s="41"/>
      <c r="K62" s="41"/>
      <c r="L62" s="41"/>
      <c r="M62" s="41" t="str">
        <f>Currency&amp;"/yr"</f>
        <v>USD/yr</v>
      </c>
      <c r="N62" s="41" t="str">
        <f>Currency&amp;"/yr"</f>
        <v>USD/yr</v>
      </c>
      <c r="O62" s="41"/>
      <c r="P62" s="41"/>
      <c r="Q62" s="41"/>
      <c r="R62" s="41"/>
      <c r="S62" s="41"/>
      <c r="T62" s="41"/>
      <c r="U62" s="41"/>
    </row>
    <row r="63" spans="2:21" ht="32" customHeight="1">
      <c r="B63" s="38" t="s">
        <v>134</v>
      </c>
      <c r="C63" s="38" t="s">
        <v>135</v>
      </c>
      <c r="D63" s="38" t="s">
        <v>62</v>
      </c>
      <c r="E63" s="38" t="s">
        <v>136</v>
      </c>
      <c r="F63" s="38" t="s">
        <v>65</v>
      </c>
      <c r="G63" s="38" t="s">
        <v>137</v>
      </c>
      <c r="H63" s="38" t="s">
        <v>138</v>
      </c>
      <c r="I63" s="38" t="s">
        <v>139</v>
      </c>
      <c r="J63" s="38" t="s">
        <v>140</v>
      </c>
      <c r="K63" s="38" t="s">
        <v>141</v>
      </c>
      <c r="L63" s="38" t="s">
        <v>142</v>
      </c>
      <c r="M63" s="38" t="s">
        <v>143</v>
      </c>
      <c r="N63" s="38" t="s">
        <v>144</v>
      </c>
      <c r="O63" s="38" t="s">
        <v>145</v>
      </c>
      <c r="P63" s="38" t="s">
        <v>146</v>
      </c>
      <c r="Q63" s="38" t="s">
        <v>147</v>
      </c>
      <c r="R63" s="38" t="s">
        <v>148</v>
      </c>
      <c r="S63" s="38" t="s">
        <v>149</v>
      </c>
      <c r="T63" s="38" t="s">
        <v>150</v>
      </c>
      <c r="U63" s="38" t="s">
        <v>64</v>
      </c>
    </row>
    <row r="64" spans="2:21">
      <c r="B64" s="71" t="s">
        <v>365</v>
      </c>
      <c r="C64" s="85">
        <v>46034</v>
      </c>
      <c r="D64" s="71" t="s">
        <v>366</v>
      </c>
      <c r="E64" s="71" t="s">
        <v>367</v>
      </c>
      <c r="F64" s="71" t="s">
        <v>132</v>
      </c>
      <c r="G64" s="86">
        <v>85</v>
      </c>
      <c r="H64" s="71" t="s">
        <v>87</v>
      </c>
      <c r="I64" s="80">
        <v>900</v>
      </c>
      <c r="J64" s="85"/>
      <c r="K64" s="43">
        <f>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f>
        <v>85</v>
      </c>
      <c r="L64" s="35">
        <f>IF(tblVerifyLeaks[[#This Row],[Tag no.]]="","",IF(ISNUMBER(tblVerifyLeaks[[#This Row],[Flow (cfm)]]),tblVerifyLeaks[[#This Row],[Flow (cfm)]]*$E$46*$E$47,""))</f>
        <v>96900</v>
      </c>
      <c r="M64" s="35">
        <f>IF(tblVerifyLeaks[[#This Row],[Tag no.]]="","",IF(ISNUMBER(tblVerifyLeaks[[#This Row],[Flow (cfm)]]),tblVerifyLeaks[[#This Row],[Flow (cfm)]]*$E$46*$E$47*$E$43,""))</f>
        <v>10659</v>
      </c>
      <c r="N64" s="35">
        <f>IF(tblVerifyLeaks[[#This Row],[Tag no.]]="","",IF(ISNUMBER(tblVerifyLeaks[[#This Row],[Flow (cfm)]]),tblVerifyLeaks[[#This Row],[Flow (cfm)]]*$E$46*$E$47*$E$43*$E$49,""))</f>
        <v>8527.2</v>
      </c>
      <c r="O64" s="43">
        <f>IF(tblVerifyLeaks[[#This Row],[Tag no.]]="","",IF(AND(ISNUMBER(tblVerifyLeaks[[#This Row],[Repair cost (est.)]]),N(tblVerifyLeaks[[#This Row],[Flow (cfm)]])*$E$46*$E$47*$E$43*$E$49&gt;0),tblVerifyLeaks[[#This Row],[Repair cost (est.)]]/(tblVerifyLeaks[[#This Row],[Flow (cfm)]]*$E$46*$E$47*$E$43*$E$49)*12,""))</f>
        <v>1.26653532226288</v>
      </c>
      <c r="P64" s="44">
        <f>IF(tblVerifyLeaks[[#This Row],[Tag no.]]="","",IF(tblVerifyLeaks[[#This Row],[Found]]="","",tblVerifyLeaks[[#This Row],[Found]]+$E$59))</f>
        <v>46064</v>
      </c>
      <c r="Q64" s="35">
        <f>IF(tblVerifyLeaks[[#This Row],[Tag no.]]="","",IF(tblVerifyLeaks[[#This Row],[Found]]="","",IF(tblVerifyLeaks[[#This Row],[Repaired on]]&lt;&gt;"",tblVerifyLeaks[[#This Row],[Repaired on]],$E$58)-tblVerifyLeaks[[#This Row],[Found]]))</f>
        <v>49</v>
      </c>
      <c r="R64" s="45" t="str">
        <f>IF(tblVerifyLeaks[[#This Row],[Tag no.]]="","",IF(tblVerifyLeaks[[#This Row],[Found]]="","",IF(tblVerifyLeaks[[#This Row],[Repaired on]]&lt;&gt;"","Complete",IF($E$58&gt;tblVerifyLeaks[[#This Row],[Repair due]],"Overdue",IF(tblVerifyLeaks[[#This Row],[Repair due]]-$E$58&lt;=7,"Due soon","Open")))))</f>
        <v>Overdue</v>
      </c>
      <c r="S64" s="35">
        <f>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f>
        <v>1</v>
      </c>
      <c r="T64" s="46" t="str">
        <f>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f>
        <v>OK</v>
      </c>
      <c r="U64" s="71" t="s">
        <v>166</v>
      </c>
    </row>
    <row r="65" spans="2:21">
      <c r="B65" s="71" t="s">
        <v>368</v>
      </c>
      <c r="C65" s="85">
        <v>46042</v>
      </c>
      <c r="D65" s="71" t="s">
        <v>366</v>
      </c>
      <c r="E65" s="71" t="s">
        <v>369</v>
      </c>
      <c r="F65" s="71" t="s">
        <v>118</v>
      </c>
      <c r="G65" s="86">
        <v>10</v>
      </c>
      <c r="H65" s="71" t="s">
        <v>370</v>
      </c>
      <c r="I65" s="80">
        <v>120</v>
      </c>
      <c r="J65" s="85">
        <v>46056</v>
      </c>
      <c r="K65" s="43">
        <f>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f>
        <v>21.1888000328932</v>
      </c>
      <c r="L65" s="35">
        <f>IF(tblVerifyLeaks[[#This Row],[Tag no.]]="","",IF(ISNUMBER(tblVerifyLeaks[[#This Row],[Flow (cfm)]]),tblVerifyLeaks[[#This Row],[Flow (cfm)]]*$E$46*$E$47,""))</f>
        <v>24155.2320374982</v>
      </c>
      <c r="M65" s="35">
        <f>IF(tblVerifyLeaks[[#This Row],[Tag no.]]="","",IF(ISNUMBER(tblVerifyLeaks[[#This Row],[Flow (cfm)]]),tblVerifyLeaks[[#This Row],[Flow (cfm)]]*$E$46*$E$47*$E$43,""))</f>
        <v>2657.0755241248</v>
      </c>
      <c r="N65" s="35">
        <f>IF(tblVerifyLeaks[[#This Row],[Tag no.]]="","",IF(ISNUMBER(tblVerifyLeaks[[#This Row],[Flow (cfm)]]),tblVerifyLeaks[[#This Row],[Flow (cfm)]]*$E$46*$E$47*$E$43*$E$49,""))</f>
        <v>2125.66041929984</v>
      </c>
      <c r="O65" s="43">
        <f>IF(tblVerifyLeaks[[#This Row],[Tag no.]]="","",IF(AND(ISNUMBER(tblVerifyLeaks[[#This Row],[Repair cost (est.)]]),N(tblVerifyLeaks[[#This Row],[Flow (cfm)]])*$E$46*$E$47*$E$43*$E$49&gt;0),tblVerifyLeaks[[#This Row],[Repair cost (est.)]]/(tblVerifyLeaks[[#This Row],[Flow (cfm)]]*$E$46*$E$47*$E$43*$E$49)*12,""))</f>
        <v>0.677436521339713</v>
      </c>
      <c r="P65" s="44">
        <f>IF(tblVerifyLeaks[[#This Row],[Tag no.]]="","",IF(tblVerifyLeaks[[#This Row],[Found]]="","",tblVerifyLeaks[[#This Row],[Found]]+$E$59))</f>
        <v>46072</v>
      </c>
      <c r="Q65" s="35">
        <f>IF(tblVerifyLeaks[[#This Row],[Tag no.]]="","",IF(tblVerifyLeaks[[#This Row],[Found]]="","",IF(tblVerifyLeaks[[#This Row],[Repaired on]]&lt;&gt;"",tblVerifyLeaks[[#This Row],[Repaired on]],$E$58)-tblVerifyLeaks[[#This Row],[Found]]))</f>
        <v>14</v>
      </c>
      <c r="R65" s="45" t="str">
        <f>IF(tblVerifyLeaks[[#This Row],[Tag no.]]="","",IF(tblVerifyLeaks[[#This Row],[Found]]="","",IF(tblVerifyLeaks[[#This Row],[Repaired on]]&lt;&gt;"","Complete",IF($E$58&gt;tblVerifyLeaks[[#This Row],[Repair due]],"Overdue",IF(tblVerifyLeaks[[#This Row],[Repair due]]-$E$58&lt;=7,"Due soon","Open")))))</f>
        <v>Complete</v>
      </c>
      <c r="S65" s="35">
        <f>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f>
        <v/>
      </c>
      <c r="T65" s="46" t="str">
        <f>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f>
        <v>OK</v>
      </c>
      <c r="U65" s="71" t="s">
        <v>166</v>
      </c>
    </row>
    <row r="66" spans="2:21">
      <c r="B66" s="71" t="s">
        <v>371</v>
      </c>
      <c r="C66" s="85">
        <v>46059</v>
      </c>
      <c r="D66" s="71" t="s">
        <v>372</v>
      </c>
      <c r="E66" s="71" t="s">
        <v>373</v>
      </c>
      <c r="F66" s="71" t="s">
        <v>126</v>
      </c>
      <c r="G66" s="86">
        <v>150</v>
      </c>
      <c r="H66" s="71" t="s">
        <v>217</v>
      </c>
      <c r="I66" s="80">
        <v>300</v>
      </c>
      <c r="J66" s="85"/>
      <c r="K66" s="43">
        <f>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f>
        <v>5.29720000822329</v>
      </c>
      <c r="L66" s="35">
        <f>IF(tblVerifyLeaks[[#This Row],[Tag no.]]="","",IF(ISNUMBER(tblVerifyLeaks[[#This Row],[Flow (cfm)]]),tblVerifyLeaks[[#This Row],[Flow (cfm)]]*$E$46*$E$47,""))</f>
        <v>6038.80800937455</v>
      </c>
      <c r="M66" s="35">
        <f>IF(tblVerifyLeaks[[#This Row],[Tag no.]]="","",IF(ISNUMBER(tblVerifyLeaks[[#This Row],[Flow (cfm)]]),tblVerifyLeaks[[#This Row],[Flow (cfm)]]*$E$46*$E$47*$E$43,""))</f>
        <v>664.2688810312</v>
      </c>
      <c r="N66" s="35">
        <f>IF(tblVerifyLeaks[[#This Row],[Tag no.]]="","",IF(ISNUMBER(tblVerifyLeaks[[#This Row],[Flow (cfm)]]),tblVerifyLeaks[[#This Row],[Flow (cfm)]]*$E$46*$E$47*$E$43*$E$49,""))</f>
        <v>531.41510482496</v>
      </c>
      <c r="O66" s="43">
        <f>IF(tblVerifyLeaks[[#This Row],[Tag no.]]="","",IF(AND(ISNUMBER(tblVerifyLeaks[[#This Row],[Repair cost (est.)]]),N(tblVerifyLeaks[[#This Row],[Flow (cfm)]])*$E$46*$E$47*$E$43*$E$49&gt;0),tblVerifyLeaks[[#This Row],[Repair cost (est.)]]/(tblVerifyLeaks[[#This Row],[Flow (cfm)]]*$E$46*$E$47*$E$43*$E$49)*12,""))</f>
        <v>6.77436521339713</v>
      </c>
      <c r="P66" s="44">
        <f>IF(tblVerifyLeaks[[#This Row],[Tag no.]]="","",IF(tblVerifyLeaks[[#This Row],[Found]]="","",tblVerifyLeaks[[#This Row],[Found]]+$E$59))</f>
        <v>46089</v>
      </c>
      <c r="Q66" s="35">
        <f>IF(tblVerifyLeaks[[#This Row],[Tag no.]]="","",IF(tblVerifyLeaks[[#This Row],[Found]]="","",IF(tblVerifyLeaks[[#This Row],[Repaired on]]&lt;&gt;"",tblVerifyLeaks[[#This Row],[Repaired on]],$E$58)-tblVerifyLeaks[[#This Row],[Found]]))</f>
        <v>24</v>
      </c>
      <c r="R66" s="45" t="str">
        <f>IF(tblVerifyLeaks[[#This Row],[Tag no.]]="","",IF(tblVerifyLeaks[[#This Row],[Found]]="","",IF(tblVerifyLeaks[[#This Row],[Repaired on]]&lt;&gt;"","Complete",IF($E$58&gt;tblVerifyLeaks[[#This Row],[Repair due]],"Overdue",IF(tblVerifyLeaks[[#This Row],[Repair due]]-$E$58&lt;=7,"Due soon","Open")))))</f>
        <v>Due soon</v>
      </c>
      <c r="S66" s="35">
        <f>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f>
        <v>3</v>
      </c>
      <c r="T66" s="46" t="str">
        <f>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f>
        <v>OK</v>
      </c>
      <c r="U66" s="71" t="s">
        <v>166</v>
      </c>
    </row>
    <row r="67" spans="2:21">
      <c r="B67" s="71" t="s">
        <v>374</v>
      </c>
      <c r="C67" s="85">
        <v>46073</v>
      </c>
      <c r="D67" s="71" t="s">
        <v>372</v>
      </c>
      <c r="E67" s="71" t="s">
        <v>375</v>
      </c>
      <c r="F67" s="71" t="s">
        <v>130</v>
      </c>
      <c r="G67" s="86">
        <v>0.5</v>
      </c>
      <c r="H67" s="71" t="s">
        <v>362</v>
      </c>
      <c r="I67" s="80"/>
      <c r="J67" s="85"/>
      <c r="K67" s="43">
        <f>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f>
        <v>17.6573333607443</v>
      </c>
      <c r="L67" s="35">
        <f>IF(tblVerifyLeaks[[#This Row],[Tag no.]]="","",IF(ISNUMBER(tblVerifyLeaks[[#This Row],[Flow (cfm)]]),tblVerifyLeaks[[#This Row],[Flow (cfm)]]*$E$46*$E$47,""))</f>
        <v>20129.3600312485</v>
      </c>
      <c r="M67" s="35">
        <f>IF(tblVerifyLeaks[[#This Row],[Tag no.]]="","",IF(ISNUMBER(tblVerifyLeaks[[#This Row],[Flow (cfm)]]),tblVerifyLeaks[[#This Row],[Flow (cfm)]]*$E$46*$E$47*$E$43,""))</f>
        <v>2214.22960343734</v>
      </c>
      <c r="N67" s="35">
        <f>IF(tblVerifyLeaks[[#This Row],[Tag no.]]="","",IF(ISNUMBER(tblVerifyLeaks[[#This Row],[Flow (cfm)]]),tblVerifyLeaks[[#This Row],[Flow (cfm)]]*$E$46*$E$47*$E$43*$E$49,""))</f>
        <v>1771.38368274987</v>
      </c>
      <c r="O67" s="43">
        <f>IF(tblVerifyLeaks[[#This Row],[Tag no.]]="","",IF(AND(ISNUMBER(tblVerifyLeaks[[#This Row],[Repair cost (est.)]]),N(tblVerifyLeaks[[#This Row],[Flow (cfm)]])*$E$46*$E$47*$E$43*$E$49&gt;0),tblVerifyLeaks[[#This Row],[Repair cost (est.)]]/(tblVerifyLeaks[[#This Row],[Flow (cfm)]]*$E$46*$E$47*$E$43*$E$49)*12,""))</f>
        <v/>
      </c>
      <c r="P67" s="44">
        <f>IF(tblVerifyLeaks[[#This Row],[Tag no.]]="","",IF(tblVerifyLeaks[[#This Row],[Found]]="","",tblVerifyLeaks[[#This Row],[Found]]+$E$59))</f>
        <v>46103</v>
      </c>
      <c r="Q67" s="35">
        <f>IF(tblVerifyLeaks[[#This Row],[Tag no.]]="","",IF(tblVerifyLeaks[[#This Row],[Found]]="","",IF(tblVerifyLeaks[[#This Row],[Repaired on]]&lt;&gt;"",tblVerifyLeaks[[#This Row],[Repaired on]],$E$58)-tblVerifyLeaks[[#This Row],[Found]]))</f>
        <v>10</v>
      </c>
      <c r="R67" s="45" t="str">
        <f>IF(tblVerifyLeaks[[#This Row],[Tag no.]]="","",IF(tblVerifyLeaks[[#This Row],[Found]]="","",IF(tblVerifyLeaks[[#This Row],[Repaired on]]&lt;&gt;"","Complete",IF($E$58&gt;tblVerifyLeaks[[#This Row],[Repair due]],"Overdue",IF(tblVerifyLeaks[[#This Row],[Repair due]]-$E$58&lt;=7,"Due soon","Open")))))</f>
        <v>Open</v>
      </c>
      <c r="S67" s="35">
        <f>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f>
        <v>2</v>
      </c>
      <c r="T67" s="46" t="str">
        <f>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f>
        <v>OK</v>
      </c>
      <c r="U67" s="71" t="s">
        <v>166</v>
      </c>
    </row>
    <row r="68" spans="2:21">
      <c r="B68" s="71" t="s">
        <v>376</v>
      </c>
      <c r="C68" s="85">
        <v>46063</v>
      </c>
      <c r="D68" s="71" t="s">
        <v>372</v>
      </c>
      <c r="E68" s="71" t="s">
        <v>377</v>
      </c>
      <c r="F68" s="71" t="s">
        <v>118</v>
      </c>
      <c r="G68" s="86">
        <v>4</v>
      </c>
      <c r="H68" s="71" t="s">
        <v>87</v>
      </c>
      <c r="I68" s="80">
        <v>80</v>
      </c>
      <c r="J68" s="85">
        <v>46054</v>
      </c>
      <c r="K68" s="43">
        <f>IF(tblVerifyLeaks[[#This Row],[Tag no.]]="","",IF(NOT(ISNUMBER(tblVerifyLeaks[[#This Row],[Leak flow]])),"",IF(tblVerifyLeaks[[#This Row],[Flow unit]]="cfm",tblVerifyLeaks[[#This Row],[Leak flow]],IF(tblVerifyLeaks[[#This Row],[Flow unit]]="L/min",tblVerifyLeaks[[#This Row],[Leak flow]]/28.316846592,IF(tblVerifyLeaks[[#This Row],[Flow unit]]="L/s",tblVerifyLeaks[[#This Row],[Leak flow]]*60/28.316846592,IF(tblVerifyLeaks[[#This Row],[Flow unit]]="m3/min",tblVerifyLeaks[[#This Row],[Leak flow]]/0.028316846592,""))))))</f>
        <v>4</v>
      </c>
      <c r="L68" s="35">
        <f>IF(tblVerifyLeaks[[#This Row],[Tag no.]]="","",IF(ISNUMBER(tblVerifyLeaks[[#This Row],[Flow (cfm)]]),tblVerifyLeaks[[#This Row],[Flow (cfm)]]*$E$46*$E$47,""))</f>
        <v>4560</v>
      </c>
      <c r="M68" s="35">
        <f>IF(tblVerifyLeaks[[#This Row],[Tag no.]]="","",IF(ISNUMBER(tblVerifyLeaks[[#This Row],[Flow (cfm)]]),tblVerifyLeaks[[#This Row],[Flow (cfm)]]*$E$46*$E$47*$E$43,""))</f>
        <v>501.6</v>
      </c>
      <c r="N68" s="35">
        <f>IF(tblVerifyLeaks[[#This Row],[Tag no.]]="","",IF(ISNUMBER(tblVerifyLeaks[[#This Row],[Flow (cfm)]]),tblVerifyLeaks[[#This Row],[Flow (cfm)]]*$E$46*$E$47*$E$43*$E$49,""))</f>
        <v>401.28</v>
      </c>
      <c r="O68" s="43">
        <f>IF(tblVerifyLeaks[[#This Row],[Tag no.]]="","",IF(AND(ISNUMBER(tblVerifyLeaks[[#This Row],[Repair cost (est.)]]),N(tblVerifyLeaks[[#This Row],[Flow (cfm)]])*$E$46*$E$47*$E$43*$E$49&gt;0),tblVerifyLeaks[[#This Row],[Repair cost (est.)]]/(tblVerifyLeaks[[#This Row],[Flow (cfm)]]*$E$46*$E$47*$E$43*$E$49)*12,""))</f>
        <v>2.39234449760766</v>
      </c>
      <c r="P68" s="44">
        <f>IF(tblVerifyLeaks[[#This Row],[Tag no.]]="","",IF(tblVerifyLeaks[[#This Row],[Found]]="","",tblVerifyLeaks[[#This Row],[Found]]+$E$59))</f>
        <v>46093</v>
      </c>
      <c r="Q68" s="35">
        <f>IF(tblVerifyLeaks[[#This Row],[Tag no.]]="","",IF(tblVerifyLeaks[[#This Row],[Found]]="","",IF(tblVerifyLeaks[[#This Row],[Repaired on]]&lt;&gt;"",tblVerifyLeaks[[#This Row],[Repaired on]],$E$58)-tblVerifyLeaks[[#This Row],[Found]]))</f>
        <v>-9</v>
      </c>
      <c r="R68" s="45" t="str">
        <f>IF(tblVerifyLeaks[[#This Row],[Tag no.]]="","",IF(tblVerifyLeaks[[#This Row],[Found]]="","",IF(tblVerifyLeaks[[#This Row],[Repaired on]]&lt;&gt;"","Complete",IF($E$58&gt;tblVerifyLeaks[[#This Row],[Repair due]],"Overdue",IF(tblVerifyLeaks[[#This Row],[Repair due]]-$E$58&lt;=7,"Due soon","Open")))))</f>
        <v>Complete</v>
      </c>
      <c r="S68" s="35">
        <f>IF(tblVerifyLeaks[[#This Row],[Tag no.]]="","",IF(OR(tblVerifyLeaks[[#This Row],[Status]]="Complete",tblVerifyLeaks[[#This Row],[Status]]="",NOT(ISNUMBER(tblVerifyLeaks[[#This Row],[Avoidable cost]]))),"",COUNTIFS(tblVerifyLeaks[Status],"&lt;&gt;Complete",tblVerifyLeaks[Avoidable cost],"&gt;"&amp;tblVerifyLeaks[[#This Row],[Avoidable cost]])+COUNTIFS(tblVerifyLeaks[Status],"&lt;&gt;Complete",tblVerifyLeaks[Avoidable cost],tblVerifyLeaks[[#This Row],[Avoidable cost]],tblVerifyLeaks[Tag no.],"&lt;"&amp;tblVerifyLeaks[[#This Row],[Tag no.]])+1))</f>
        <v/>
      </c>
      <c r="T68" s="46" t="str">
        <f>IF(tblVerifyLeaks[[#This Row],[Tag no.]]="","",IF(tblVerifyLeaks[[#This Row],[Found]]="","Missing found",IF(tblVerifyLeaks[[#This Row],[Area]]="","Missing area",IF(tblVerifyLeaks[[#This Row],[Component]]="","Missing component",IF(tblVerifyLeaks[[#This Row],[Leak flow]]="","Missing leak flow",IF(tblVerifyLeaks[[#This Row],[Flow unit]]="","Missing flow unit",IF(tblVerifyLeaks[[#This Row],[Flow (cfm)]]="","Flow unit not recognised",IF(AND(tblVerifyLeaks[[#This Row],[Repaired on]]&lt;&gt;"",tblVerifyLeaks[[#This Row],[Repaired on]]&lt;tblVerifyLeaks[[#This Row],[Found]]),"Repaired before found",IF(OR(tblVerifyLeaks[[#This Row],[Found]]&gt;$E$58,AND(tblVerifyLeaks[[#This Row],[Repaired on]]&lt;&gt;"",tblVerifyLeaks[[#This Row],[Repaired on]]&gt;$E$58)),"Date after the status date",IF(COUNTIFS(tblVerifyLeaks[Tag no.],tblVerifyLeaks[[#This Row],[Tag no.]])&gt;1,"Duplicate tag number","OK"))))))))))</f>
        <v>Repaired before found</v>
      </c>
      <c r="U68" s="71" t="s">
        <v>166</v>
      </c>
    </row>
  </sheetData>
  <sheetProtection sheet="1" formatColumns="0" formatRows="0"/>
  <mergeCells count="56">
    <mergeCell ref="A1:U1"/>
    <mergeCell ref="B2:T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B39:L39"/>
    <mergeCell ref="B41:L41"/>
    <mergeCell ref="B42:L42"/>
    <mergeCell ref="B43:D43"/>
    <mergeCell ref="B44:D44"/>
    <mergeCell ref="B45:D45"/>
    <mergeCell ref="E45:F45"/>
    <mergeCell ref="B46:D46"/>
    <mergeCell ref="B47:D47"/>
    <mergeCell ref="B48:D48"/>
    <mergeCell ref="B49:D49"/>
    <mergeCell ref="B51:L51"/>
    <mergeCell ref="B52:D52"/>
    <mergeCell ref="B53:D53"/>
    <mergeCell ref="E53:F53"/>
    <mergeCell ref="B54:D54"/>
    <mergeCell ref="B55:D55"/>
    <mergeCell ref="B57:L57"/>
    <mergeCell ref="B58:D58"/>
    <mergeCell ref="B59:D59"/>
    <mergeCell ref="B61:L6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64:T68">
    <cfRule type="expression" dxfId="3" priority="41">
      <formula>$T64="OK"</formula>
    </cfRule>
    <cfRule type="expression" dxfId="1" priority="42">
      <formula>AND($T64&lt;&gt;"",$T64&lt;&gt;"OK")</formula>
    </cfRule>
  </conditionalFormatting>
  <hyperlinks>
    <hyperlink ref="U2" r:id="rId1" tooltip="Free manufacturing calculators and templates"/>
  </hyperlinks>
  <printOptions horizontalCentered="1"/>
  <pageMargins left="0.4" right="0.4" top="0.7" bottom="0.65" header="0.3" footer="0.3"/>
  <pageSetup fitToHeight="0" orientation="landscape"/>
  <headerFooter>
    <oddHeader>&amp;L&amp;8MFG Calcs - Compressed Air Leak Cost Tracker&amp;R&amp;8&amp;A</oddHeader>
    <oddFooter>&amp;L&amp;8mfgcalcs.com - free manufacturing templates&amp;R&amp;8Page &amp;P of &amp;N</oddFooter>
  </headerFooter>
  <rowBreaks count="1" manualBreakCount="1">
    <brk id="5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Start Here</vt:lpstr>
      <vt:lpstr>Setup</vt:lpstr>
      <vt:lpstr>Leak Register</vt:lpstr>
      <vt:lpstr>Dashboard</vt:lpstr>
      <vt:lpstr>Method</vt:lpstr>
      <vt:lpstr>Verify</vt:lpstr>
      <vt:lpstr>AsOf</vt:lpstr>
      <vt:lpstr>AvoidShare</vt:lpstr>
      <vt:lpstr>Capacity</vt:lpstr>
      <vt:lpstr>CapCfm</vt:lpstr>
      <vt:lpstr>CapUnit</vt:lpstr>
      <vt:lpstr>CostPerCfm</vt:lpstr>
      <vt:lpstr>Currency</vt:lpstr>
      <vt:lpstr>DbAsOf</vt:lpstr>
      <vt:lpstr>DbCostPerCfm</vt:lpstr>
      <vt:lpstr>KpiDays</vt:lpstr>
      <vt:lpstr>KpiFlow</vt:lpstr>
      <vt:lpstr>KpiFound</vt:lpstr>
      <vt:lpstr>KpiLeakage</vt:lpstr>
      <vt:lpstr>KpiOpenCost</vt:lpstr>
      <vt:lpstr>KpiOverdue</vt:lpstr>
      <vt:lpstr>KpiPayback</vt:lpstr>
      <vt:lpstr>KpiSaved</vt:lpstr>
      <vt:lpstr>KwPerCfm</vt:lpstr>
      <vt:lpstr>PlantName</vt:lpstr>
      <vt:lpstr>PressHours</vt:lpstr>
      <vt:lpstr>Dashboard!Print_Area</vt:lpstr>
      <vt:lpstr>'Leak Register'!Print_Area</vt:lpstr>
      <vt:lpstr>Method!Print_Area</vt:lpstr>
      <vt:lpstr>Setup!Print_Area</vt:lpstr>
      <vt:lpstr>'Start Here'!Print_Area</vt:lpstr>
      <vt:lpstr>Verify!Print_Area</vt:lpstr>
      <vt:lpstr>'Leak Register'!Print_Titles</vt:lpstr>
      <vt:lpstr>Method!Print_Titles</vt:lpstr>
      <vt:lpstr>Rate</vt:lpstr>
      <vt:lpstr>RepairDays</vt:lpstr>
      <vt:lpstr>SelfCheck</vt:lpstr>
      <vt:lpstr>SelfCheckSummary</vt:lpstr>
      <vt:lpstr>SpecPower</vt:lpstr>
      <vt:lpstr>SpecUnit</vt:lpstr>
      <vt:lpstr>TargetLeak</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Compressed Air Leak Cost Tracker - free Excel template from MFG Calcs</dc:title>
  <dc:subject>Log every compressed air leak from a survey, see what each one costs a year, fix them in the order that saves most, and track the savings.</dc:subject>
  <dc:creator>MFG Calcs</dc:creator>
  <cp:keywords>compressed air, air leak, leak survey, ultrasonic leak detection, energy savings, payback, cfm, leak register</cp:keywords>
  <dc:description>https://www.mfgcalcs.com/templates/compressed-air-leak-cost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compressed-air-leak-cost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https://www.mfgcalcs.com/templates/compressed-air-leak-cost</vt:lpwstr>
  </property>
  <property fmtid="{D5CDD505-2E9C-101B-9397-08002B2CF9AE}" pid="7" name="Template sheet roles">
    <vt:lpwstr>Start Here=start;Setup=setup;Leak Register=work;Dashboard=dashboard;Method=method;Verify=verify</vt:lpwstr>
  </property>
</Properties>
</file>