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Control Plan" sheetId="3" r:id="rId3"/>
    <sheet name="Dashboard" sheetId="4" r:id="rId4"/>
    <sheet name="Method" sheetId="5" r:id="rId5"/>
    <sheet name="Verify" sheetId="6" r:id="rId6"/>
  </sheets>
  <definedNames>
    <definedName name="AvailHours">Setup!$C$19</definedName>
    <definedName name="Classes">tblClasses[Class]</definedName>
    <definedName name="Company">Setup!$C$6</definedName>
    <definedName name="Contact">Setup!$C$11</definedName>
    <definedName name="GrrMax">Setup!$C$26</definedName>
    <definedName name="GrrOk">Setup!$C$25</definedName>
    <definedName name="KpiCapMissing">Dashboard!$D$30</definedName>
    <definedName name="KpiCapOut">Dashboard!$D$7</definedName>
    <definedName name="KpiChars">Dashboard!$B$7</definedName>
    <definedName name="KpiGage">Dashboard!$G$7</definedName>
    <definedName name="KpiHours">Dashboard!$G$30</definedName>
    <definedName name="KpiMeasured">Dashboard!$J$30</definedName>
    <definedName name="KpiSpecial">Dashboard!$B$30</definedName>
    <definedName name="KpiUtil">Dashboard!$J$7</definedName>
    <definedName name="LotsPerShift">Setup!$C$18</definedName>
    <definedName name="MinCpk">Setup!$C$24</definedName>
    <definedName name="NearAt">Setup!$C$20</definedName>
    <definedName name="PartName">Setup!$C$7</definedName>
    <definedName name="PartNo">Setup!$C$8</definedName>
    <definedName name="Phase">Setup!$C$10</definedName>
    <definedName name="PlanNo">Setup!$C$9</definedName>
    <definedName name="_xlnm.Print_Area" localSheetId="2">'Control Plan'!$A$1:$AD$26</definedName>
    <definedName name="_xlnm.Print_Area" localSheetId="3">Dashboard!$A$1:$L$60</definedName>
    <definedName name="_xlnm.Print_Area" localSheetId="4">Method!$A$1:$D$54</definedName>
    <definedName name="_xlnm.Print_Area" localSheetId="1">Setup!$A$1:$E$46</definedName>
    <definedName name="_xlnm.Print_Area" localSheetId="0">'Start Here'!$A$1:$F$55</definedName>
    <definedName name="_xlnm.Print_Area" localSheetId="5">Verify!$A$1:$AD$53</definedName>
    <definedName name="_xlnm.Print_Titles" localSheetId="2">'Control Plan'!$1:$6</definedName>
    <definedName name="_xlnm.Print_Titles" localSheetId="4">Method!$1:$2</definedName>
    <definedName name="RevDate">Setup!$C$13</definedName>
    <definedName name="SelfCheck">Verify!$D$4</definedName>
    <definedName name="SelfCheckSummary">Verify!$F$4</definedName>
    <definedName name="ShiftHours">Setup!$C$17</definedName>
    <definedName name="Steps">tblSteps[Process step]</definedName>
    <definedName name="Team">Setup!$C$12</definedName>
  </definedNames>
  <calcPr calcId="124519" fullCalcOnLoad="1"/>
</workbook>
</file>

<file path=xl/sharedStrings.xml><?xml version="1.0" encoding="utf-8"?>
<sst xmlns="http://schemas.openxmlformats.org/spreadsheetml/2006/main" count="670" uniqueCount="406">
  <si>
    <t>Control Plan</t>
  </si>
  <si>
    <t>Read this first: what the workbook does and how to use it.</t>
  </si>
  <si>
    <t>mfgcalcs.com</t>
  </si>
  <si>
    <t>List every characteristic you control with its method, sample, frequency and reaction plan, and see whether the plan is capable and can be executed with the inspection time you have.</t>
  </si>
  <si>
    <t>For: Quality and process engineers, APQP teams and quality managers at automotive, medical-device and aerospace suppliers.</t>
  </si>
  <si>
    <t>Version 1.0.0  ·  updated 15 October 2026</t>
  </si>
  <si>
    <t>Quick start</t>
  </si>
  <si>
    <t>1.</t>
  </si>
  <si>
    <t>On Setup, type the control plan header, shift length, lots per shift, available inspection hours and your Cpk and gauge requirements, then replace the example process steps (with rates and setups per shift).</t>
  </si>
  <si>
    <t>2.</t>
  </si>
  <si>
    <t>On Control Plan, add one row per characteristic: step, number, product or process characteristic, class, specification and limits, method, sample size and frequency.</t>
  </si>
  <si>
    <t>3.</t>
  </si>
  <si>
    <t>Type the control method, the reaction plan, the time to measure one part, and the latest Cpk and %GRR where you have them.</t>
  </si>
  <si>
    <t>4.</t>
  </si>
  <si>
    <t>Fix anything the Check column flags, then open the Dashboard to see capability gaps and the inspection workload against the time available.</t>
  </si>
  <si>
    <t>What is in this workbook</t>
  </si>
  <si>
    <t>Start Here</t>
  </si>
  <si>
    <t>Setup</t>
  </si>
  <si>
    <t>Control plan header, shift and lot settings, inspection time available, your requirements, and the process step and class lists.</t>
  </si>
  <si>
    <t>One row per controlled characteristic: specification, method, sample, frequency, control, reaction plan and workload.</t>
  </si>
  <si>
    <t>Dashboard</t>
  </si>
  <si>
    <t>Is the plan capable, are the gauges good enough, and can the checks be done in the time a shift has?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</si>
  <si>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</si>
  <si>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</si>
  <si>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</si>
  <si>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</si>
  <si>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</si>
  <si>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</si>
  <si>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</si>
  <si>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</si>
  <si>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</si>
  <si>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</si>
  <si>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</si>
  <si>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</si>
  <si>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</si>
  <si>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</si>
  <si>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</si>
  <si>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</si>
  <si>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</si>
  <si>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</si>
  <si>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</si>
  <si>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</si>
  <si>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Control Plan Execution Capacity Calculator on mfgcalcs.com</t>
  </si>
  <si>
    <t>Latest version</t>
  </si>
  <si>
    <t>mfgcalcs.com/templates/control-plan</t>
  </si>
  <si>
    <t>More free templates</t>
  </si>
  <si>
    <t>mfgcalcs.com/templates</t>
  </si>
  <si>
    <t>Version</t>
  </si>
  <si>
    <t>1.0.0 (updated 15 October 2026)</t>
  </si>
  <si>
    <t>About the example data</t>
  </si>
  <si>
    <t>Every number already in this workbook is example data for Harwood Die Casting, a fictional business invented for this template, so the dashboard and charts show something meaningful on day one. It is the production control plan for the same fictional die-cast pump housing as the PFMEA template: eight operations and 20 characteristics; all limits, Cpk and %GRR values are invented for the example.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</si>
  <si>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</si>
  <si>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</si>
  <si>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</si>
  <si>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</si>
  <si>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</si>
  <si>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</si>
  <si>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</si>
  <si>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</si>
  <si>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Process step</t>
  </si>
  <si>
    <t>Machine or device</t>
  </si>
  <si>
    <t>Rate (parts/h)</t>
  </si>
  <si>
    <t>Setups per shift</t>
  </si>
  <si>
    <t>Class</t>
  </si>
  <si>
    <t>Meaning</t>
  </si>
  <si>
    <t>Control plan header</t>
  </si>
  <si>
    <t>Company and site</t>
  </si>
  <si>
    <t>Harwood Die Casting (example)</t>
  </si>
  <si>
    <t>Part name</t>
  </si>
  <si>
    <t>Pump housing, A380 aluminium die casting</t>
  </si>
  <si>
    <t>Part number and revision</t>
  </si>
  <si>
    <t>PH-450 rev D</t>
  </si>
  <si>
    <t>Control plan number</t>
  </si>
  <si>
    <t>CP-450-01</t>
  </si>
  <si>
    <t>Phase</t>
  </si>
  <si>
    <t>Production</t>
  </si>
  <si>
    <t>Key contact</t>
  </si>
  <si>
    <t>D. Okafor, quality engineer</t>
  </si>
  <si>
    <t>Core team</t>
  </si>
  <si>
    <t>L. Novak, D. Okafor, P. Sharma, T. Brandt, G. Rossi</t>
  </si>
  <si>
    <t>Revision date</t>
  </si>
  <si>
    <t>Shift settings and inspection time</t>
  </si>
  <si>
    <t>Production hours per shift</t>
  </si>
  <si>
    <t>h</t>
  </si>
  <si>
    <t>Lots per shift</t>
  </si>
  <si>
    <t>lots</t>
  </si>
  <si>
    <t>Inspection hours available per shift</t>
  </si>
  <si>
    <t>'Near capacity' from</t>
  </si>
  <si>
    <t>Capability and gauge requirements</t>
  </si>
  <si>
    <t>Minimum Cpk</t>
  </si>
  <si>
    <t>%GRR acceptable up to</t>
  </si>
  <si>
    <t>%GRR conditional up to</t>
  </si>
  <si>
    <t>Requirements are yours or your customer's. The example values (Cpk 1.33; %GRR 10% and 30%) follow guidance widely used in automotive supply (AIAG PPAP and MSA manuals); check what your customer actually requires.</t>
  </si>
  <si>
    <t>Lists that feed the dropdowns</t>
  </si>
  <si>
    <t>Process steps (same names as the PFMEA)</t>
  </si>
  <si>
    <t>OP10 Melt</t>
  </si>
  <si>
    <t>Tower melting furnace</t>
  </si>
  <si>
    <t>OP20 Degas</t>
  </si>
  <si>
    <t>Rotary degasser</t>
  </si>
  <si>
    <t>OP30 Die cast</t>
  </si>
  <si>
    <t>800 t die-casting cell</t>
  </si>
  <si>
    <t>OP40 Trim</t>
  </si>
  <si>
    <t>Trim press</t>
  </si>
  <si>
    <t>OP50 Shot blast</t>
  </si>
  <si>
    <t>Spinner-hanger blast</t>
  </si>
  <si>
    <t>OP60 Machine</t>
  </si>
  <si>
    <t>Two horizontal machining centres</t>
  </si>
  <si>
    <t>OP70 Leak test</t>
  </si>
  <si>
    <t>Pressure-decay leak tester</t>
  </si>
  <si>
    <t>OP80 Wash and pack</t>
  </si>
  <si>
    <t>Spray washer and pack station</t>
  </si>
  <si>
    <t>Special characteristic classes</t>
  </si>
  <si>
    <t>CC</t>
  </si>
  <si>
    <t>Critical characteristic: safety or regulatory (example symbol; use your customer's)</t>
  </si>
  <si>
    <t>SC</t>
  </si>
  <si>
    <t>Significant characteristic: fit, function or key process (example symbol; use your customer's)</t>
  </si>
  <si>
    <t>Char. no.</t>
  </si>
  <si>
    <t>Product characteristic</t>
  </si>
  <si>
    <t>Process characteristic</t>
  </si>
  <si>
    <t>Specification</t>
  </si>
  <si>
    <t>LSL</t>
  </si>
  <si>
    <t>USL</t>
  </si>
  <si>
    <t>Unit</t>
  </si>
  <si>
    <t>Evaluation method</t>
  </si>
  <si>
    <t>Sample size</t>
  </si>
  <si>
    <t>Frequency</t>
  </si>
  <si>
    <t>Times</t>
  </si>
  <si>
    <t>Time per part (s)</t>
  </si>
  <si>
    <t>Control method</t>
  </si>
  <si>
    <t>Reaction plan</t>
  </si>
  <si>
    <t>Cpk</t>
  </si>
  <si>
    <t>GRR</t>
  </si>
  <si>
    <t>Responsible</t>
  </si>
  <si>
    <t>Checks (per shift)</t>
  </si>
  <si>
    <t>Parts measured (per shift)</t>
  </si>
  <si>
    <t>Inspection (min/shift)</t>
  </si>
  <si>
    <t>Tolerance</t>
  </si>
  <si>
    <t>Capability</t>
  </si>
  <si>
    <t>Gauge</t>
  </si>
  <si>
    <t>Cpk no.</t>
  </si>
  <si>
    <t>Check</t>
  </si>
  <si>
    <t>Example control plan for Harwood Die Casting (fictional; limits, Cpk and %GRR are invented). Replace it with your own: select the example rows, right-click, Delete &gt; Table Rows. One row per characteristic.</t>
  </si>
  <si>
    <t>C01</t>
  </si>
  <si>
    <t>Melt temperature</t>
  </si>
  <si>
    <t>660 to 690</t>
  </si>
  <si>
    <t>C</t>
  </si>
  <si>
    <t>Furnace thermocouple</t>
  </si>
  <si>
    <t>Per hour</t>
  </si>
  <si>
    <t>Temperature log</t>
  </si>
  <si>
    <t>Hold castings since last good reading; adjust burner; tell the supervisor</t>
  </si>
  <si>
    <t>Furnace operator</t>
  </si>
  <si>
    <t>C02</t>
  </si>
  <si>
    <t>Alloy chemistry (Si, Cu, Fe)</t>
  </si>
  <si>
    <t>A380 chemistry</t>
  </si>
  <si>
    <t>%</t>
  </si>
  <si>
    <t>Spectrometer</t>
  </si>
  <si>
    <t>Per lot</t>
  </si>
  <si>
    <t>Spectrometer record per charge</t>
  </si>
  <si>
    <t>Quarantine the charge; adjust or scrap the melt</t>
  </si>
  <si>
    <t>Lab technician</t>
  </si>
  <si>
    <t>C03</t>
  </si>
  <si>
    <t>Melt density index</t>
  </si>
  <si>
    <t>2.0 max</t>
  </si>
  <si>
    <t>Reduced-pressure test</t>
  </si>
  <si>
    <t>Density record per ladle</t>
  </si>
  <si>
    <t>Re-degas the ladle and retest</t>
  </si>
  <si>
    <t>Foundry lead</t>
  </si>
  <si>
    <t>C04</t>
  </si>
  <si>
    <t>Rotor speed</t>
  </si>
  <si>
    <t>450 to 550</t>
  </si>
  <si>
    <t>rpm</t>
  </si>
  <si>
    <t>PLC display</t>
  </si>
  <si>
    <t>Per shift</t>
  </si>
  <si>
    <t>Recipe check at start of shift</t>
  </si>
  <si>
    <t>Stop degassing; correct the recipe</t>
  </si>
  <si>
    <t>C05</t>
  </si>
  <si>
    <t>Intensification pressure</t>
  </si>
  <si>
    <t>800 to 900</t>
  </si>
  <si>
    <t>bar</t>
  </si>
  <si>
    <t>Shot monitoring system</t>
  </si>
  <si>
    <t>Every part</t>
  </si>
  <si>
    <t>Shot alarm with automatic reject</t>
  </si>
  <si>
    <t>Segregate shots since the last good shot; tell the process engineer</t>
  </si>
  <si>
    <t>Cell operator</t>
  </si>
  <si>
    <t>C06</t>
  </si>
  <si>
    <t>Die temperature</t>
  </si>
  <si>
    <t>200 to 250</t>
  </si>
  <si>
    <t>Thermal camera</t>
  </si>
  <si>
    <t>Run chart</t>
  </si>
  <si>
    <t>Adjust cooling; hold parts since last good reading</t>
  </si>
  <si>
    <t>C07</t>
  </si>
  <si>
    <t>Rib free of cold shut</t>
  </si>
  <si>
    <t>No cold shut</t>
  </si>
  <si>
    <t>attribute</t>
  </si>
  <si>
    <t>Visual</t>
  </si>
  <si>
    <t>100% visual at the cell</t>
  </si>
  <si>
    <t>Scrap the part; check die temperature</t>
  </si>
  <si>
    <t>C08</t>
  </si>
  <si>
    <t>Flash on sealing face</t>
  </si>
  <si>
    <t>0.2 max</t>
  </si>
  <si>
    <t>mm</t>
  </si>
  <si>
    <t>Go/no-go flash gauge</t>
  </si>
  <si>
    <t>Gauge check sheet</t>
  </si>
  <si>
    <t>Stop the trim press; sort since the last good check</t>
  </si>
  <si>
    <t>Trim operator</t>
  </si>
  <si>
    <t>C09</t>
  </si>
  <si>
    <t>Passages free of media</t>
  </si>
  <si>
    <t>No media</t>
  </si>
  <si>
    <t>Visual with inspection light</t>
  </si>
  <si>
    <t>100% check after blow-off</t>
  </si>
  <si>
    <t>Re-blow and re-inspect; contain the lot</t>
  </si>
  <si>
    <t>Blast operator</t>
  </si>
  <si>
    <t>C10</t>
  </si>
  <si>
    <t>Blast time</t>
  </si>
  <si>
    <t>90 to 120</t>
  </si>
  <si>
    <t>s</t>
  </si>
  <si>
    <t>Machine timer</t>
  </si>
  <si>
    <t>Setup check</t>
  </si>
  <si>
    <t>Correct the recipe; re-blast if short</t>
  </si>
  <si>
    <t>C11</t>
  </si>
  <si>
    <t>Bore diameter 42 H7</t>
  </si>
  <si>
    <t>42.000 to 42.025</t>
  </si>
  <si>
    <t>Air gauge</t>
  </si>
  <si>
    <t>SPC X-bar and R chart</t>
  </si>
  <si>
    <t>Stop; adjust tool offset; sort since the last good check</t>
  </si>
  <si>
    <t>Machine operator</t>
  </si>
  <si>
    <t>C12</t>
  </si>
  <si>
    <t>Bolt-hole position</t>
  </si>
  <si>
    <t>0.10 max</t>
  </si>
  <si>
    <t>CMM</t>
  </si>
  <si>
    <t>CMM report</t>
  </si>
  <si>
    <t>Hold the lot; check the fixture</t>
  </si>
  <si>
    <t>Inspector</t>
  </si>
  <si>
    <t>C13</t>
  </si>
  <si>
    <t>Sealing face flatness</t>
  </si>
  <si>
    <t>0.05 max</t>
  </si>
  <si>
    <t>Hold the lot; check clamping</t>
  </si>
  <si>
    <t>C14</t>
  </si>
  <si>
    <t>M8 threads present</t>
  </si>
  <si>
    <t>Go/no-go</t>
  </si>
  <si>
    <t>Thread gauge</t>
  </si>
  <si>
    <t>Check sheet</t>
  </si>
  <si>
    <t>Sort since the last good check; replace the tap</t>
  </si>
  <si>
    <t>C15</t>
  </si>
  <si>
    <t>Tool life count</t>
  </si>
  <si>
    <t>Per tool card</t>
  </si>
  <si>
    <t>parts</t>
  </si>
  <si>
    <t>Machine counter</t>
  </si>
  <si>
    <t>Per setup</t>
  </si>
  <si>
    <t>Tool change log</t>
  </si>
  <si>
    <t>Change the tool; check the last part</t>
  </si>
  <si>
    <t>C16</t>
  </si>
  <si>
    <t>Leak rate</t>
  </si>
  <si>
    <t>cc/min</t>
  </si>
  <si>
    <t>Pressure-decay tester</t>
  </si>
  <si>
    <t>Automatic reject to a locked red bin</t>
  </si>
  <si>
    <t>Contain; verify the tester with the master parts; tell quality</t>
  </si>
  <si>
    <t>Test operator</t>
  </si>
  <si>
    <t>C17</t>
  </si>
  <si>
    <t>Master part check</t>
  </si>
  <si>
    <t>Leak master fails, good master passes</t>
  </si>
  <si>
    <t>Master parts</t>
  </si>
  <si>
    <t>Master check log</t>
  </si>
  <si>
    <t>Stop testing; recalibrate; retest since the last good check</t>
  </si>
  <si>
    <t>C18</t>
  </si>
  <si>
    <t>Cleanliness</t>
  </si>
  <si>
    <t>2.0 mg max</t>
  </si>
  <si>
    <t>mg</t>
  </si>
  <si>
    <t>Gravimetric test</t>
  </si>
  <si>
    <t>Lab report</t>
  </si>
  <si>
    <t>Re-wash the lot; change the filter</t>
  </si>
  <si>
    <t>C19</t>
  </si>
  <si>
    <t>Wash temperature</t>
  </si>
  <si>
    <t>55 to 65</t>
  </si>
  <si>
    <t>Thermometer</t>
  </si>
  <si>
    <t>Adjust the heater; re-wash since the last good check</t>
  </si>
  <si>
    <t>Packer</t>
  </si>
  <si>
    <t>C20</t>
  </si>
  <si>
    <t>Label and quantity</t>
  </si>
  <si>
    <t>Matches the order</t>
  </si>
  <si>
    <t>Barcode scan</t>
  </si>
  <si>
    <t>Scan at packing</t>
  </si>
  <si>
    <t>Relabel; recount the box</t>
  </si>
  <si>
    <t>CHARACTERISTICS CONTROLLED</t>
  </si>
  <si>
    <t>CPK BELOW REQUIREMENT</t>
  </si>
  <si>
    <t>GAUGES NOT ACCEPTABLE</t>
  </si>
  <si>
    <t>INSPECTION LOAD VS TIME AVAILABLE</t>
  </si>
  <si>
    <t>Rows on the Control Plan</t>
  </si>
  <si>
    <t>SPECIAL CHARACTERISTICS</t>
  </si>
  <si>
    <t>SPECIAL, NO CPK YET</t>
  </si>
  <si>
    <t>INSPECTION HOURS PER SHIFT</t>
  </si>
  <si>
    <t>PARTS MEASURED PER SHIFT</t>
  </si>
  <si>
    <t>Rows with a class symbol</t>
  </si>
  <si>
    <t>Study it, or state how it is controlled</t>
  </si>
  <si>
    <t>Hands-on measuring time in the plan</t>
  </si>
  <si>
    <t>All checks, every-part checks included</t>
  </si>
  <si>
    <t>Capability of studied characteristics (first 10 with a Cpk)</t>
  </si>
  <si>
    <t>No.</t>
  </si>
  <si>
    <t>Row</t>
  </si>
  <si>
    <t>Characteristic</t>
  </si>
  <si>
    <t>Required</t>
  </si>
  <si>
    <t>By process step</t>
  </si>
  <si>
    <t>Characteristics</t>
  </si>
  <si>
    <t>Special</t>
  </si>
  <si>
    <t>Parts measured per shift</t>
  </si>
  <si>
    <t>Special (min/shift)</t>
  </si>
  <si>
    <t>Other (min/shift)</t>
  </si>
  <si>
    <t>Capability or gauge gaps</t>
  </si>
  <si>
    <t>The Dashboard shows the 8 process steps of the Setup list and the first 10 characteristics with a Cpk. If you add more steps, extend the 'By process step' block (see Method) or they will not appear here.</t>
  </si>
  <si>
    <t>What this workbook calculates</t>
  </si>
  <si>
    <t>A control plan lists every characteristic that is controlled in production, how it is measured, how often, and what the operator does when it is out. This workbook adds two questions a paper plan cannot answer: is the plan capable (Cpk and gauge R&amp;R against your requirements), and can it be executed (the hands-on measuring time per shift against the inspection time available).</t>
  </si>
  <si>
    <t>Calculations</t>
  </si>
  <si>
    <t>Quantity</t>
  </si>
  <si>
    <t>How it is calculated</t>
  </si>
  <si>
    <t>Units</t>
  </si>
  <si>
    <t>Checks per shift</t>
  </si>
  <si>
    <t>Per hour: times x production hours per shift. Per shift: times. Per lot: times x lots per shift. Per setup: times x setups per shift (Setup list).</t>
  </si>
  <si>
    <t>checks</t>
  </si>
  <si>
    <t>Every part: rate x production hours per shift. Otherwise sample size x checks per shift.</t>
  </si>
  <si>
    <t>Inspection minutes per shift</t>
  </si>
  <si>
    <t>Parts measured per shift x time per part / 60.</t>
  </si>
  <si>
    <t>min</t>
  </si>
  <si>
    <t>USL - LSL, when both are typed.</t>
  </si>
  <si>
    <t>unit</t>
  </si>
  <si>
    <t>Within limits when Cpk &gt;= the minimum Cpk; Out of limits below it; Check for a special characteristic with no Cpk.</t>
  </si>
  <si>
    <t>-</t>
  </si>
  <si>
    <t>Within limits when %GRR &lt;= the acceptable limit; Check up to the conditional limit; Out of limits above it.</t>
  </si>
  <si>
    <t>Inspection load vs time available</t>
  </si>
  <si>
    <t>Sum of inspection minutes / 60 / inspection hours available per shift. Near capacity from the Setup share; Over capacity above 100%.</t>
  </si>
  <si>
    <t>Numbers the rows with a Cpk in table order, so the capability block can list the first 10 with INDEX and MATCH.</t>
  </si>
  <si>
    <t>Assumptions</t>
  </si>
  <si>
    <t>Cpk and %GRR are typed from your latest studies; the workbook does not compute them (use the Process Capability and Gage R&amp;R templates).</t>
  </si>
  <si>
    <t>Checks run at the same frequency on every shift; production hours per shift and lots per shift are the same for every step.</t>
  </si>
  <si>
    <t>Time per part is hands-on time (load, measure, record). Automatic in-line checks take 0 minutes but still need their reaction plan.</t>
  </si>
  <si>
    <t>Limitations</t>
  </si>
  <si>
    <t>This is not a customer's control plan form: if your customer specifies a format, transfer the columns into it.</t>
  </si>
  <si>
    <t>Measuring time ignores walking, gauge warm-up and paperwork outside the per-part time; add them to the time per part if they matter.</t>
  </si>
  <si>
    <t>The Dashboard lists 8 process steps and the first 10 characteristics with a Cpk; longer lists need the blocks extended (a warning appears on the Dashboard).</t>
  </si>
  <si>
    <t>Agreement with the live calculator</t>
  </si>
  <si>
    <t>The live Control Plan Execution Capacity calculator computes gross planned items as characteristics per cycle x planned cycles, then removes unavailable cycles and first-pass rejections. A control-plan row's parts measured per shift is the same gross product (sample size x checks per shift); the reference implementation is checked against the calculator's engine for its default example (4 x 480 = 1,920) and for the example bore check (1 part x 6 checks per hour x 7.5 h = 45) on every build. Intentional difference: availability and first-pass yield reduce what is produced, not the checks a plan requires, so they are not applied here.</t>
  </si>
  <si>
    <t>Open the Control Plan Execution Capacity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</si>
  <si>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</si>
  <si>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</si>
  <si>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AIAG, Advanced Product Quality Planning and Control Plan reference manual (APQP), and IATF 16949:2016, Annex A (control plan contents): named, not reproduced.</t>
  </si>
  <si>
    <t>AIAG, Production Part Approval Process (PPAP) and Measurement Systems Analysis (MSA) reference manuals: capability and %GRR acceptance guidance.</t>
  </si>
  <si>
    <t>ISO 22514-2, Statistical methods in process management - Capability and performance: process capability indices.</t>
  </si>
  <si>
    <t>MFG Calcs Control Plan Execution Capacity calculator (control-plan-completeness): the gross count of items per cycle x cycles.</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</si>
  <si>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</si>
  <si>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</si>
  <si>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</si>
  <si>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</si>
  <si>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</si>
  <si>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</si>
  <si>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</si>
  <si>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</si>
  <si>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</si>
  <si>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</si>
  <si>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Expected (reference)</t>
  </si>
  <si>
    <t>Workbook result</t>
  </si>
  <si>
    <t>Difference</t>
  </si>
  <si>
    <t>Result</t>
  </si>
  <si>
    <t>Row 1 (Per hour): parts measured per shift</t>
  </si>
  <si>
    <t>Row 1: inspection minutes per shift</t>
  </si>
  <si>
    <t>Row 2 (Per shift): parts measured per shift</t>
  </si>
  <si>
    <t>Row 2: inspection minutes per shift</t>
  </si>
  <si>
    <t>Row 3 (Per lot): parts measured per shift</t>
  </si>
  <si>
    <t>Row 3: inspection minutes per shift</t>
  </si>
  <si>
    <t>Row 4 (Per setup): parts measured per shift</t>
  </si>
  <si>
    <t>Row 4: inspection minutes per shift</t>
  </si>
  <si>
    <t>Row 5 (Every part): parts measured per shift</t>
  </si>
  <si>
    <t>Row 5: inspection minutes per shift</t>
  </si>
  <si>
    <t>Row 1: capability</t>
  </si>
  <si>
    <t>Within limits</t>
  </si>
  <si>
    <t>exact</t>
  </si>
  <si>
    <t>Row 2: capability</t>
  </si>
  <si>
    <t>Out of limits</t>
  </si>
  <si>
    <t>Row 3: capability</t>
  </si>
  <si>
    <t/>
  </si>
  <si>
    <t>Row 4: capability</t>
  </si>
  <si>
    <t>Row 1: gauge</t>
  </si>
  <si>
    <t>Row 2: gauge</t>
  </si>
  <si>
    <t>Row 3: gauge</t>
  </si>
  <si>
    <t>Row 1: tolerance</t>
  </si>
  <si>
    <t>Row 6: Check reports limits the wrong way round</t>
  </si>
  <si>
    <t>LSL not below USL</t>
  </si>
  <si>
    <t>All rows: inspection hours per shift</t>
  </si>
  <si>
    <t>All rows: load vs 6 h available</t>
  </si>
  <si>
    <t>All rows: Cpk below requirement</t>
  </si>
  <si>
    <t>All rows: gauges not acceptable</t>
  </si>
  <si>
    <t>Fixed test inputs</t>
  </si>
  <si>
    <t>White cells are fixed test inputs; blue cells are the workbook's formulas evaluated on them.</t>
  </si>
  <si>
    <t>Parameters</t>
  </si>
  <si>
    <t>Inspection hours available</t>
  </si>
  <si>
    <t>Test table: Plan</t>
  </si>
  <si>
    <t>S1</t>
  </si>
  <si>
    <t>T1</t>
  </si>
  <si>
    <t>Test</t>
  </si>
  <si>
    <t>M</t>
  </si>
  <si>
    <t>R</t>
  </si>
  <si>
    <t>T2</t>
  </si>
  <si>
    <t>S2</t>
  </si>
  <si>
    <t>T3</t>
  </si>
  <si>
    <t>T4</t>
  </si>
  <si>
    <t>S3</t>
  </si>
  <si>
    <t>T5</t>
  </si>
  <si>
    <t>T6</t>
  </si>
</sst>
</file>

<file path=xl/styles.xml><?xml version="1.0" encoding="utf-8"?>
<styleSheet xmlns="http://schemas.openxmlformats.org/spreadsheetml/2006/main">
  <numFmts count="10">
    <numFmt numFmtId="164" formatCode="d mmm yyyy"/>
    <numFmt numFmtId="165" formatCode="#,##0.0"/>
    <numFmt numFmtId="166" formatCode="0%"/>
    <numFmt numFmtId="167" formatCode="#,##0.00"/>
    <numFmt numFmtId="168" formatCode="#,##0.000"/>
    <numFmt numFmtId="169" formatCode="#,##0"/>
    <numFmt numFmtId="170" formatCode="&quot;Target &quot;#,##0"/>
    <numFmt numFmtId="171" formatCode="&quot;Limit &quot;0%"/>
    <numFmt numFmtId="172" formatCode="0.0E+00"/>
    <numFmt numFmtId="173" formatCod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i/>
      <sz val="9"/>
      <color rgb="FF6B7280"/>
      <name val="Calibri"/>
      <family val="2"/>
      <scheme val="minor"/>
    </font>
    <font>
      <sz val="9"/>
      <color rgb="FF8A4A06"/>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5">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horizontal="lef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0" borderId="0" xfId="0" applyFont="1" applyAlignment="1">
      <alignment vertical="center"/>
    </xf>
    <xf numFmtId="0" fontId="20" fillId="7" borderId="2" xfId="0" applyFont="1" applyFill="1" applyBorder="1" applyAlignment="1">
      <alignment vertical="center" wrapText="1"/>
    </xf>
    <xf numFmtId="168" fontId="10" fillId="3" borderId="2" xfId="0" applyNumberFormat="1" applyFont="1" applyFill="1" applyBorder="1" applyAlignment="1" applyProtection="1">
      <alignment vertical="center"/>
      <protection locked="0"/>
    </xf>
    <xf numFmtId="169" fontId="10" fillId="3" borderId="2" xfId="0" applyNumberFormat="1" applyFont="1" applyFill="1" applyBorder="1" applyAlignment="1" applyProtection="1">
      <alignment vertical="center"/>
      <protection locked="0"/>
    </xf>
    <xf numFmtId="165"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9" fontId="10" fillId="4" borderId="3" xfId="0" applyNumberFormat="1" applyFont="1" applyFill="1" applyBorder="1" applyAlignment="1">
      <alignment vertical="center"/>
    </xf>
    <xf numFmtId="0" fontId="21" fillId="4" borderId="3" xfId="0" applyFont="1" applyFill="1" applyBorder="1" applyAlignment="1">
      <alignment vertical="center"/>
    </xf>
    <xf numFmtId="0" fontId="22" fillId="9" borderId="6" xfId="0" applyFont="1" applyFill="1" applyBorder="1" applyAlignment="1">
      <alignment vertical="center" wrapText="1"/>
    </xf>
    <xf numFmtId="169" fontId="4" fillId="9" borderId="7" xfId="0" applyNumberFormat="1" applyFont="1" applyFill="1" applyBorder="1" applyAlignment="1">
      <alignment horizontal="left" vertical="center"/>
    </xf>
    <xf numFmtId="166" fontId="4" fillId="9" borderId="7" xfId="0" applyNumberFormat="1" applyFont="1" applyFill="1" applyBorder="1" applyAlignment="1">
      <alignment horizontal="left" vertical="center"/>
    </xf>
    <xf numFmtId="0" fontId="23" fillId="9" borderId="7" xfId="0" applyFont="1" applyFill="1" applyBorder="1" applyAlignment="1">
      <alignment vertical="center"/>
    </xf>
    <xf numFmtId="170" fontId="23" fillId="9" borderId="7" xfId="0" applyNumberFormat="1" applyFont="1" applyFill="1" applyBorder="1" applyAlignment="1">
      <alignment horizontal="left" vertical="center"/>
    </xf>
    <xf numFmtId="171"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165" fontId="4" fillId="9" borderId="7" xfId="0" applyNumberFormat="1" applyFont="1" applyFill="1" applyBorder="1" applyAlignment="1">
      <alignment horizontal="left" vertical="center"/>
    </xf>
    <xf numFmtId="0" fontId="18" fillId="2" borderId="5" xfId="0" applyFont="1" applyFill="1" applyBorder="1" applyAlignment="1">
      <alignment horizontal="left" vertical="center" wrapText="1"/>
    </xf>
    <xf numFmtId="169" fontId="9" fillId="0" borderId="9" xfId="0" applyNumberFormat="1" applyFont="1" applyBorder="1" applyAlignment="1">
      <alignment vertical="center"/>
    </xf>
    <xf numFmtId="169" fontId="10" fillId="0" borderId="9" xfId="0" applyNumberFormat="1" applyFont="1" applyBorder="1" applyAlignment="1">
      <alignment vertical="center"/>
    </xf>
    <xf numFmtId="0" fontId="10" fillId="4" borderId="3" xfId="0" applyFont="1" applyFill="1" applyBorder="1" applyAlignment="1">
      <alignment vertical="center"/>
    </xf>
    <xf numFmtId="167" fontId="10" fillId="4" borderId="3" xfId="0" applyNumberFormat="1" applyFont="1" applyFill="1" applyBorder="1" applyAlignment="1">
      <alignment vertical="center"/>
    </xf>
    <xf numFmtId="167" fontId="10" fillId="0" borderId="9" xfId="0" applyNumberFormat="1" applyFont="1" applyBorder="1" applyAlignment="1">
      <alignment vertical="center"/>
    </xf>
    <xf numFmtId="0" fontId="9" fillId="0" borderId="9" xfId="0" applyFont="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9" fontId="9" fillId="0" borderId="9" xfId="0" applyNumberFormat="1" applyFont="1" applyBorder="1" applyAlignment="1">
      <alignment horizontal="center" vertical="center"/>
    </xf>
    <xf numFmtId="165" fontId="10" fillId="0" borderId="9" xfId="0" applyNumberFormat="1" applyFont="1" applyBorder="1" applyAlignment="1">
      <alignment vertical="center"/>
    </xf>
    <xf numFmtId="172" fontId="10" fillId="4" borderId="3" xfId="0" applyNumberFormat="1" applyFont="1" applyFill="1" applyBorder="1" applyAlignment="1">
      <alignment vertical="center"/>
    </xf>
    <xf numFmtId="172" fontId="10" fillId="0" borderId="9" xfId="0" applyNumberFormat="1" applyFont="1" applyBorder="1" applyAlignment="1">
      <alignment vertical="center"/>
    </xf>
    <xf numFmtId="168" fontId="10" fillId="0" borderId="9" xfId="0" applyNumberFormat="1" applyFont="1" applyBorder="1" applyAlignment="1">
      <alignment vertical="center"/>
    </xf>
    <xf numFmtId="173" fontId="10" fillId="0" borderId="9" xfId="0" applyNumberFormat="1" applyFont="1" applyBorder="1" applyAlignment="1">
      <alignment vertical="center"/>
    </xf>
    <xf numFmtId="173" fontId="10" fillId="4" borderId="3" xfId="0" applyNumberFormat="1" applyFont="1" applyFill="1" applyBorder="1" applyAlignment="1">
      <alignment vertical="center"/>
    </xf>
    <xf numFmtId="166"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Cpk by characteristic</a:t>
            </a:r>
          </a:p>
        </c:rich>
      </c:tx>
      <c:layout/>
    </c:title>
    <c:plotArea>
      <c:layout/>
      <c:barChart>
        <c:barDir val="col"/>
        <c:grouping val="clustered"/>
        <c:ser>
          <c:idx val="0"/>
          <c:order val="0"/>
          <c:tx>
            <c:v>Cpk</c:v>
          </c:tx>
          <c:spPr>
            <a:solidFill>
              <a:srgbClr val="3B64D8"/>
            </a:solidFill>
            <a:ln w="9525">
              <a:solidFill>
                <a:srgbClr val="FFFFFF"/>
              </a:solidFill>
            </a:ln>
          </c:spPr>
          <c:dLbls>
            <c:numFmt formatCode="0.00" sourceLinked="0"/>
            <c:txPr>
              <a:bodyPr/>
              <a:lstStyle/>
              <a:p>
                <a:pPr>
                  <a:defRPr sz="800" b="1" baseline="0">
                    <a:solidFill>
                      <a:srgbClr val="FFFFFF"/>
                    </a:solidFill>
                    <a:latin typeface="Calibri"/>
                  </a:defRPr>
                </a:pPr>
                <a:endParaRPr lang="en-US"/>
              </a:p>
            </c:txPr>
            <c:dLblPos val="inBase"/>
            <c:showVal val="1"/>
          </c:dLbls>
          <c:cat>
            <c:strRef>
              <c:f>Dashboard!$D$37:$D$46</c:f>
              <c:strCache>
                <c:ptCount val="10"/>
                <c:pt idx="0">
                  <c:v>C01 Melt temperature</c:v>
                </c:pt>
                <c:pt idx="1">
                  <c:v>C03 Melt density index</c:v>
                </c:pt>
                <c:pt idx="2">
                  <c:v>C05 Intensification pressure</c:v>
                </c:pt>
                <c:pt idx="3">
                  <c:v>C06 Die temperature</c:v>
                </c:pt>
                <c:pt idx="4">
                  <c:v>C11 Bore diameter 42 H7</c:v>
                </c:pt>
                <c:pt idx="5">
                  <c:v>C12 Bolt-hole position</c:v>
                </c:pt>
                <c:pt idx="6">
                  <c:v>C13 Sealing face flatness</c:v>
                </c:pt>
                <c:pt idx="7">
                  <c:v>C16 Leak rate</c:v>
                </c:pt>
                <c:pt idx="8">
                  <c:v>C18 Cleanliness</c:v>
                </c:pt>
                <c:pt idx="9">
                  <c:v/>
                </c:pt>
              </c:strCache>
            </c:strRef>
          </c:cat>
          <c:val>
            <c:numRef>
              <c:f>Dashboard!$I$37:$I$46</c:f>
              <c:numCache>
                <c:formatCode>General</c:formatCode>
                <c:ptCount val="10"/>
                <c:pt idx="0">
                  <c:v>1.62</c:v>
                </c:pt>
                <c:pt idx="1">
                  <c:v>1.41</c:v>
                </c:pt>
                <c:pt idx="2">
                  <c:v>1.25</c:v>
                </c:pt>
                <c:pt idx="3">
                  <c:v>1.48</c:v>
                </c:pt>
                <c:pt idx="4">
                  <c:v>1.71</c:v>
                </c:pt>
                <c:pt idx="5">
                  <c:v>1.38</c:v>
                </c:pt>
                <c:pt idx="6">
                  <c:v>1.29</c:v>
                </c:pt>
                <c:pt idx="7">
                  <c:v>1.55</c:v>
                </c:pt>
                <c:pt idx="8">
                  <c:v>1.36</c:v>
                </c:pt>
                <c:pt idx="9">
                  <c:v>0</c:v>
                </c:pt>
              </c:numCache>
            </c:numRef>
          </c:val>
        </c:ser>
        <c:gapWidth val="60"/>
        <c:overlap val="-10"/>
        <c:axId val="50010001"/>
        <c:axId val="50010002"/>
      </c:barChart>
      <c:lineChart>
        <c:grouping val="standard"/>
        <c:ser>
          <c:idx val="1"/>
          <c:order val="1"/>
          <c:tx>
            <c:v>Minimum Cpk</c:v>
          </c:tx>
          <c:spPr>
            <a:ln w="19050">
              <a:solidFill>
                <a:srgbClr val="B3000C"/>
              </a:solidFill>
              <a:prstDash val="dash"/>
            </a:ln>
          </c:spPr>
          <c:marker>
            <c:symbol val="none"/>
          </c:marker>
          <c:cat>
            <c:strRef>
              <c:f>Dashboard!$D$37:$D$46</c:f>
              <c:strCache>
                <c:ptCount val="10"/>
                <c:pt idx="0">
                  <c:v>C01 Melt temperature</c:v>
                </c:pt>
                <c:pt idx="1">
                  <c:v>C03 Melt density index</c:v>
                </c:pt>
                <c:pt idx="2">
                  <c:v>C05 Intensification pressure</c:v>
                </c:pt>
                <c:pt idx="3">
                  <c:v>C06 Die temperature</c:v>
                </c:pt>
                <c:pt idx="4">
                  <c:v>C11 Bore diameter 42 H7</c:v>
                </c:pt>
                <c:pt idx="5">
                  <c:v>C12 Bolt-hole position</c:v>
                </c:pt>
                <c:pt idx="6">
                  <c:v>C13 Sealing face flatness</c:v>
                </c:pt>
                <c:pt idx="7">
                  <c:v>C16 Leak rate</c:v>
                </c:pt>
                <c:pt idx="8">
                  <c:v>C18 Cleanliness</c:v>
                </c:pt>
                <c:pt idx="9">
                  <c:v/>
                </c:pt>
              </c:strCache>
            </c:strRef>
          </c:cat>
          <c:val>
            <c:numRef>
              <c:f>Dashboard!$J$37:$J$46</c:f>
              <c:numCache>
                <c:formatCode>General</c:formatCode>
                <c:ptCount val="10"/>
                <c:pt idx="0">
                  <c:v>1.33</c:v>
                </c:pt>
                <c:pt idx="1">
                  <c:v>1.33</c:v>
                </c:pt>
                <c:pt idx="2">
                  <c:v>1.33</c:v>
                </c:pt>
                <c:pt idx="3">
                  <c:v>1.33</c:v>
                </c:pt>
                <c:pt idx="4">
                  <c:v>1.33</c:v>
                </c:pt>
                <c:pt idx="5">
                  <c:v>1.33</c:v>
                </c:pt>
                <c:pt idx="6">
                  <c:v>1.33</c:v>
                </c:pt>
                <c:pt idx="7">
                  <c:v>1.33</c:v>
                </c:pt>
                <c:pt idx="8">
                  <c:v>1.33</c:v>
                </c:pt>
                <c:pt idx="9">
                  <c:v>1.33</c:v>
                </c:pt>
              </c:numCache>
            </c:numRef>
          </c:val>
        </c:ser>
        <c:marker val="1"/>
        <c:axId val="50010001"/>
        <c:axId val="50010002"/>
      </c:lineChart>
      <c:catAx>
        <c:axId val="5001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Inspection minutes per shift by step</a:t>
            </a:r>
          </a:p>
        </c:rich>
      </c:tx>
      <c:layout/>
    </c:title>
    <c:plotArea>
      <c:layout/>
      <c:barChart>
        <c:barDir val="col"/>
        <c:grouping val="stacked"/>
        <c:ser>
          <c:idx val="0"/>
          <c:order val="0"/>
          <c:tx>
            <c:v>Special characteristics</c:v>
          </c:tx>
          <c:spPr>
            <a:solidFill>
              <a:srgbClr val="3B64D8"/>
            </a:solidFill>
            <a:ln w="9525">
              <a:solidFill>
                <a:srgbClr val="FFFFFF"/>
              </a:solidFill>
            </a:ln>
          </c:spPr>
          <c:cat>
            <c:strRef>
              <c:f>Dashboard!$B$50:$B$57</c:f>
              <c:strCache>
                <c:ptCount val="8"/>
                <c:pt idx="0">
                  <c:v>OP10 Melt</c:v>
                </c:pt>
                <c:pt idx="1">
                  <c:v>OP20 Degas</c:v>
                </c:pt>
                <c:pt idx="2">
                  <c:v>OP30 Die cast</c:v>
                </c:pt>
                <c:pt idx="3">
                  <c:v>OP40 Trim</c:v>
                </c:pt>
                <c:pt idx="4">
                  <c:v>OP50 Shot blast</c:v>
                </c:pt>
                <c:pt idx="5">
                  <c:v>OP60 Machine</c:v>
                </c:pt>
                <c:pt idx="6">
                  <c:v>OP70 Leak test</c:v>
                </c:pt>
                <c:pt idx="7">
                  <c:v>OP80 Wash and pack</c:v>
                </c:pt>
              </c:strCache>
            </c:strRef>
          </c:cat>
          <c:val>
            <c:numRef>
              <c:f>Dashboard!$F$50:$F$57</c:f>
              <c:numCache>
                <c:formatCode>General</c:formatCode>
                <c:ptCount val="8"/>
                <c:pt idx="0">
                  <c:v>10</c:v>
                </c:pt>
                <c:pt idx="1">
                  <c:v>28</c:v>
                </c:pt>
                <c:pt idx="2">
                  <c:v>45</c:v>
                </c:pt>
                <c:pt idx="3">
                  <c:v>0</c:v>
                </c:pt>
                <c:pt idx="4">
                  <c:v>90</c:v>
                </c:pt>
                <c:pt idx="5">
                  <c:v>25</c:v>
                </c:pt>
                <c:pt idx="6">
                  <c:v>0</c:v>
                </c:pt>
                <c:pt idx="7">
                  <c:v>40</c:v>
                </c:pt>
              </c:numCache>
            </c:numRef>
          </c:val>
        </c:ser>
        <c:ser>
          <c:idx val="1"/>
          <c:order val="1"/>
          <c:tx>
            <c:v>Other characteristics</c:v>
          </c:tx>
          <c:spPr>
            <a:solidFill>
              <a:srgbClr val="E8702A"/>
            </a:solidFill>
            <a:ln w="9525">
              <a:solidFill>
                <a:srgbClr val="FFFFFF"/>
              </a:solidFill>
            </a:ln>
          </c:spPr>
          <c:cat>
            <c:strRef>
              <c:f>Dashboard!$B$50:$B$57</c:f>
              <c:strCache>
                <c:ptCount val="8"/>
                <c:pt idx="0">
                  <c:v>OP10 Melt</c:v>
                </c:pt>
                <c:pt idx="1">
                  <c:v>OP20 Degas</c:v>
                </c:pt>
                <c:pt idx="2">
                  <c:v>OP30 Die cast</c:v>
                </c:pt>
                <c:pt idx="3">
                  <c:v>OP40 Trim</c:v>
                </c:pt>
                <c:pt idx="4">
                  <c:v>OP50 Shot blast</c:v>
                </c:pt>
                <c:pt idx="5">
                  <c:v>OP60 Machine</c:v>
                </c:pt>
                <c:pt idx="6">
                  <c:v>OP70 Leak test</c:v>
                </c:pt>
                <c:pt idx="7">
                  <c:v>OP80 Wash and pack</c:v>
                </c:pt>
              </c:strCache>
            </c:strRef>
          </c:cat>
          <c:val>
            <c:numRef>
              <c:f>Dashboard!$G$50:$G$57</c:f>
              <c:numCache>
                <c:formatCode>General</c:formatCode>
                <c:ptCount val="8"/>
                <c:pt idx="0">
                  <c:v>1.25</c:v>
                </c:pt>
                <c:pt idx="1">
                  <c:v>0.5</c:v>
                </c:pt>
                <c:pt idx="2">
                  <c:v>3.75</c:v>
                </c:pt>
                <c:pt idx="3">
                  <c:v>4.5</c:v>
                </c:pt>
                <c:pt idx="4">
                  <c:v>0.166666666666671</c:v>
                </c:pt>
                <c:pt idx="5">
                  <c:v>23.5</c:v>
                </c:pt>
                <c:pt idx="6">
                  <c:v>4</c:v>
                </c:pt>
                <c:pt idx="7">
                  <c:v>34.0833333333333</c:v>
                </c:pt>
              </c:numCache>
            </c:numRef>
          </c:val>
        </c:ser>
        <c:gapWidth val="60"/>
        <c:overlap val="100"/>
        <c:axId val="50020001"/>
        <c:axId val="50020002"/>
      </c:bar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5</xdr:col>
      <xdr:colOff>676275</xdr:colOff>
      <xdr:row>26</xdr:row>
      <xdr:rowOff>152400</xdr:rowOff>
    </xdr:to>
    <xdr:graphicFrame macro="">
      <xdr:nvGraphicFramePr>
        <xdr:cNvPr id="2" name="Chart 1" descr="Column chart of the latest Cpk of each studied characteristic, with the minimum Cpk requirement as a dashed r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11</xdr:row>
      <xdr:rowOff>38100</xdr:rowOff>
    </xdr:from>
    <xdr:to>
      <xdr:col>11</xdr:col>
      <xdr:colOff>676275</xdr:colOff>
      <xdr:row>26</xdr:row>
      <xdr:rowOff>152400</xdr:rowOff>
    </xdr:to>
    <xdr:graphicFrame macro="">
      <xdr:nvGraphicFramePr>
        <xdr:cNvPr id="3" name="Chart 2" descr="Stacked column chart of the hands-on inspection minutes per shift at each process step, split into special and other characteristic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Steps" displayName="tblSteps" ref="B33:E41" totalsRowShown="0">
  <autoFilter ref="B33:E41"/>
  <tableColumns count="4">
    <tableColumn id="1" name="Process step"/>
    <tableColumn id="2" name="Machine or device"/>
    <tableColumn id="3" name="Rate (parts/h)"/>
    <tableColumn id="4" name="Setups per shift"/>
  </tableColumns>
  <tableStyleInfo name="TableStyleLight1" showFirstColumn="0" showLastColumn="0" showRowStripes="0" showColumnStripes="0"/>
</table>
</file>

<file path=xl/tables/table2.xml><?xml version="1.0" encoding="utf-8"?>
<table xmlns="http://schemas.openxmlformats.org/spreadsheetml/2006/main" id="2" name="tblClasses" displayName="tblClasses" ref="B44:C46" totalsRowShown="0">
  <autoFilter ref="B44:C46"/>
  <tableColumns count="2">
    <tableColumn id="1" name="Class"/>
    <tableColumn id="2" name="Meaning"/>
  </tableColumns>
  <tableStyleInfo name="TableStyleLight1" showFirstColumn="0" showLastColumn="0" showRowStripes="0" showColumnStripes="0"/>
</table>
</file>

<file path=xl/tables/table3.xml><?xml version="1.0" encoding="utf-8"?>
<table xmlns="http://schemas.openxmlformats.org/spreadsheetml/2006/main" id="3" name="tblPlan" displayName="tblPlan" ref="B6:AD26" totalsRowShown="0">
  <autoFilter ref="B6:AD26"/>
  <tableColumns count="29">
    <tableColumn id="1" name="Process step"/>
    <tableColumn id="2" name="Char. no."/>
    <tableColumn id="3" name="Product characteristic"/>
    <tableColumn id="4" name="Process characteristic"/>
    <tableColumn id="5" name="Class"/>
    <tableColumn id="6" name="Specification"/>
    <tableColumn id="7" name="LSL"/>
    <tableColumn id="8" name="USL"/>
    <tableColumn id="9" name="Unit"/>
    <tableColumn id="10" name="Evaluation method"/>
    <tableColumn id="11" name="Sample size"/>
    <tableColumn id="12" name="Frequency"/>
    <tableColumn id="13" name="Times"/>
    <tableColumn id="14" name="Time per part (s)"/>
    <tableColumn id="15" name="Control method"/>
    <tableColumn id="16" name="Reaction plan"/>
    <tableColumn id="17" name="Cpk"/>
    <tableColumn id="18" name="GRR"/>
    <tableColumn id="19" name="Responsible"/>
    <tableColumn id="20" name="Rate (parts/h)">
      <calculatedColumnFormula>IF(tblPlan[[#This Row],[Process step]]="","",IFERROR(INDEX(tblSteps[Rate (parts/h)],MATCH(tblPlan[[#This Row],[Process step]],tblSteps[Process step],0)),""))</calculatedColumnFormula>
    </tableColumn>
    <tableColumn id="21" name="Setups per shift">
      <calculatedColumnFormula>IF(tblPlan[[#This Row],[Process step]]="","",IFERROR(INDEX(tblSteps[Setups per shift],MATCH(tblPlan[[#This Row],[Process step]],tblSteps[Process step],0)),""))</calculatedColumnFormula>
    </tableColumn>
    <tableColumn id="22" name="Checks (per shift)">
      <calculatedColumnFormula>IF(tblPlan[[#This Row],[Process step]]="","",IF(tblPlan[[#This Row],[Frequency]]="Per hour",tblPlan[[#This Row],[Times]]*ShiftHours,IF(tblPlan[[#This Row],[Frequency]]="Per shift",tblPlan[[#This Row],[Times]],IF(tblPlan[[#This Row],[Frequency]]="Per lot",tblPlan[[#This Row],[Times]]*LotsPerShift,IF(tblPlan[[#This Row],[Frequency]]="Per setup",tblPlan[[#This Row],[Times]]*tblPlan[[#This Row],[Setups per shift]],"")))))</calculatedColumnFormula>
    </tableColumn>
    <tableColumn id="23" name="Parts measured (per shift)">
      <calculatedColumnFormula>IF(tblPlan[[#This Row],[Process step]]="","",IF(tblPlan[[#This Row],[Frequency]]="Every part",IF(tblPlan[[#This Row],[Rate (parts/h)]]="","",tblPlan[[#This Row],[Rate (parts/h)]]*ShiftHours),IF(tblPlan[[#This Row],[Checks (per shift)]]="","",tblPlan[[#This Row],[Sample size]]*tblPlan[[#This Row],[Checks (per shift)]])))</calculatedColumnFormula>
    </tableColumn>
    <tableColumn id="24" name="Inspection (min/shift)">
      <calculatedColumnFormula>IF(tblPlan[[#This Row],[Process step]]="","",IF(tblPlan[[#This Row],[Parts measured (per shift)]]="","",tblPlan[[#This Row],[Parts measured (per shift)]]*N(tblPlan[[#This Row],[Time per part (s)]])/60))</calculatedColumnFormula>
    </tableColumn>
    <tableColumn id="25" name="Tolerance">
      <calculatedColumnFormula>IF(tblPlan[[#This Row],[Process step]]="","",IF(AND(ISNUMBER(tblPlan[[#This Row],[LSL]]),ISNUMBER(tblPlan[[#This Row],[USL]])),tblPlan[[#This Row],[USL]]-tblPlan[[#This Row],[LSL]],""))</calculatedColumnFormula>
    </tableColumn>
    <tableColumn id="26" name="Capability">
      <calculatedColumnFormula>IF(tblPlan[[#This Row],[Process step]]="","",IF(ISNUMBER(tblPlan[[#This Row],[Cpk]]),IF(tblPlan[[#This Row],[Cpk]]&gt;=MinCpk,"Within limits","Out of limits"),IF(tblPlan[[#This Row],[Class]]&lt;&gt;"","Check","")))</calculatedColumnFormula>
    </tableColumn>
    <tableColumn id="27" name="Gauge">
      <calculatedColumnFormula>IF(tblPlan[[#This Row],[Process step]]="","",IF(N(tblPlan[[#This Row],[GRR]])&gt;0,IF(tblPlan[[#This Row],[GRR]]&lt;=GrrOk,"Within limits",IF(tblPlan[[#This Row],[GRR]]&lt;=GrrMax,"Check","Out of limits")),""))</calculatedColumnFormula>
    </tableColumn>
    <tableColumn id="28" name="Cpk no.">
      <calculatedColumnFormula>IF(tblPlan[[#This Row],[Process step]]="","",IF(ISNUMBER(tblPlan[[#This Row],[Cpk]]),SUMPRODUCT(ISNUMBER(tblPlan[Cpk])*(ROW(tblPlan[Cpk])&lt;=ROW(tblPlan[[#This Row],[Cpk]]))),""))</calculatedColumnFormula>
    </tableColumn>
    <tableColumn id="29" name="Check">
      <calculatedColumnFormula>IF(tblPlan[[#This Row],[Process step]]="","",IF(tblPlan[[#This Row],[Char. no.]]="","Missing char. no.",IF(tblPlan[[#This Row],[Evaluation method]]="","Missing evaluation method",IF(tblPlan[[#This Row],[Sample size]]="","Missing sample size",IF(tblPlan[[#This Row],[Frequency]]="","Missing frequency",IF(tblPlan[[#This Row],[Reaction plan]]="","Missing reaction plan",IF(tblPlan[[#This Row],[Rate (parts/h)]]="","Step not on Setup list",IF(COUNTIFS(tblPlan[Char. no.],tblPlan[[#This Row],[Char. no.]])&gt;1,"Duplicate characteristic number",IF(AND(ISNUMBER(tblPlan[[#This Row],[LSL]]),ISNUMBER(tblPlan[[#This Row],[USL]]),tblPlan[[#This Row],[LSL]]&gt;=tblPlan[[#This Row],[USL]]),"LSL not below USL",IF(AND(tblPlan[[#This Row],[Frequency]]&lt;&gt;"Every part",N(tblPlan[[#This Row],[Times]])=0),"Frequency needs Times",IF(AND(tblPlan[[#This Row],[Product characteristic]]="",tblPlan[[#This Row],[Process characteristic]]=""),"Missing characteristic","OK")))))))))))</calculatedColumnFormula>
    </tableColumn>
  </tableColumns>
  <tableStyleInfo name="TableStyleLight1" showFirstColumn="0" showLastColumn="0" showRowStripes="0" showColumnStripes="0"/>
</table>
</file>

<file path=xl/tables/table4.xml><?xml version="1.0" encoding="utf-8"?>
<table xmlns="http://schemas.openxmlformats.org/spreadsheetml/2006/main" id="4" name="tblVerifyPlan" displayName="tblVerifyPlan" ref="B47:AD53" totalsRowShown="0">
  <tableColumns count="29">
    <tableColumn id="1" name="Process step"/>
    <tableColumn id="2" name="Char. no."/>
    <tableColumn id="3" name="Product characteristic"/>
    <tableColumn id="4" name="Process characteristic"/>
    <tableColumn id="5" name="Class"/>
    <tableColumn id="6" name="Specification"/>
    <tableColumn id="7" name="LSL"/>
    <tableColumn id="8" name="USL"/>
    <tableColumn id="9" name="Unit"/>
    <tableColumn id="10" name="Evaluation method"/>
    <tableColumn id="11" name="Sample size"/>
    <tableColumn id="12" name="Frequency"/>
    <tableColumn id="13" name="Times"/>
    <tableColumn id="14" name="Time per part (s)"/>
    <tableColumn id="15" name="Control method"/>
    <tableColumn id="16" name="Reaction plan"/>
    <tableColumn id="17" name="Cpk"/>
    <tableColumn id="18" name="GRR"/>
    <tableColumn id="19" name="Responsible"/>
    <tableColumn id="20" name="Rate (parts/h)"/>
    <tableColumn id="21" name="Setups per shift"/>
    <tableColumn id="22" name="Checks (per shift)">
      <calculatedColumnFormula>IF(tblVerifyPlan[[#This Row],[Process step]]="","",IF(tblVerifyPlan[[#This Row],[Frequency]]="Per hour",tblVerifyPlan[[#This Row],[Times]]*$E$39,IF(tblVerifyPlan[[#This Row],[Frequency]]="Per shift",tblVerifyPlan[[#This Row],[Times]],IF(tblVerifyPlan[[#This Row],[Frequency]]="Per lot",tblVerifyPlan[[#This Row],[Times]]*$E$40,IF(tblVerifyPlan[[#This Row],[Frequency]]="Per setup",tblVerifyPlan[[#This Row],[Times]]*tblVerifyPlan[[#This Row],[Setups per shift]],"")))))</calculatedColumnFormula>
    </tableColumn>
    <tableColumn id="23" name="Parts measured (per shift)">
      <calculatedColumnFormula>IF(tblVerifyPlan[[#This Row],[Process step]]="","",IF(tblVerifyPlan[[#This Row],[Frequency]]="Every part",IF(tblVerifyPlan[[#This Row],[Rate (parts/h)]]="","",tblVerifyPlan[[#This Row],[Rate (parts/h)]]*$E$39),IF(tblVerifyPlan[[#This Row],[Checks (per shift)]]="","",tblVerifyPlan[[#This Row],[Sample size]]*tblVerifyPlan[[#This Row],[Checks (per shift)]])))</calculatedColumnFormula>
    </tableColumn>
    <tableColumn id="24" name="Inspection (min/shift)">
      <calculatedColumnFormula>IF(tblVerifyPlan[[#This Row],[Process step]]="","",IF(tblVerifyPlan[[#This Row],[Parts measured (per shift)]]="","",tblVerifyPlan[[#This Row],[Parts measured (per shift)]]*N(tblVerifyPlan[[#This Row],[Time per part (s)]])/60))</calculatedColumnFormula>
    </tableColumn>
    <tableColumn id="25" name="Tolerance">
      <calculatedColumnFormula>IF(tblVerifyPlan[[#This Row],[Process step]]="","",IF(AND(ISNUMBER(tblVerifyPlan[[#This Row],[LSL]]),ISNUMBER(tblVerifyPlan[[#This Row],[USL]])),tblVerifyPlan[[#This Row],[USL]]-tblVerifyPlan[[#This Row],[LSL]],""))</calculatedColumnFormula>
    </tableColumn>
    <tableColumn id="26" name="Capability">
      <calculatedColumnFormula>IF(tblVerifyPlan[[#This Row],[Process step]]="","",IF(ISNUMBER(tblVerifyPlan[[#This Row],[Cpk]]),IF(tblVerifyPlan[[#This Row],[Cpk]]&gt;=$E$41,"Within limits","Out of limits"),IF(tblVerifyPlan[[#This Row],[Class]]&lt;&gt;"","Check","")))</calculatedColumnFormula>
    </tableColumn>
    <tableColumn id="27" name="Gauge">
      <calculatedColumnFormula>IF(tblVerifyPlan[[#This Row],[Process step]]="","",IF(N(tblVerifyPlan[[#This Row],[GRR]])&gt;0,IF(tblVerifyPlan[[#This Row],[GRR]]&lt;=$E$42,"Within limits",IF(tblVerifyPlan[[#This Row],[GRR]]&lt;=$E$43,"Check","Out of limits")),""))</calculatedColumnFormula>
    </tableColumn>
    <tableColumn id="28" name="Cpk no.">
      <calculatedColumnFormula>IF(tblVerifyPlan[[#This Row],[Process step]]="","",IF(ISNUMBER(tblVerifyPlan[[#This Row],[Cpk]]),SUMPRODUCT(ISNUMBER(tblVerifyPlan[Cpk])*(ROW(tblVerifyPlan[Cpk])&lt;=ROW(tblVerifyPlan[[#This Row],[Cpk]]))),""))</calculatedColumnFormula>
    </tableColumn>
    <tableColumn id="29" name="Check">
      <calculatedColumnFormula>IF(tblVerifyPlan[[#This Row],[Process step]]="","",IF(tblVerifyPlan[[#This Row],[Char. no.]]="","Missing char. no.",IF(tblVerifyPlan[[#This Row],[Evaluation method]]="","Missing evaluation method",IF(tblVerifyPlan[[#This Row],[Sample size]]="","Missing sample size",IF(tblVerifyPlan[[#This Row],[Frequency]]="","Missing frequency",IF(tblVerifyPlan[[#This Row],[Reaction plan]]="","Missing reaction plan",IF(tblVerifyPlan[[#This Row],[Rate (parts/h)]]="","Step not on Setup list",IF(COUNTIFS(tblVerifyPlan[Char. no.],tblVerifyPlan[[#This Row],[Char. no.]])&gt;1,"Duplicate characteristic number",IF(AND(ISNUMBER(tblVerifyPlan[[#This Row],[LSL]]),ISNUMBER(tblVerifyPlan[[#This Row],[USL]]),tblVerifyPlan[[#This Row],[LSL]]&gt;=tblVerifyPlan[[#This Row],[USL]]),"LSL not below USL",IF(AND(tblVerifyPlan[[#This Row],[Frequency]]&lt;&gt;"Every part",N(tblVerifyPlan[[#This Row],[Times]])=0),"Frequency needs Times",IF(AND(tblVerifyPlan[[#This Row],[Product characteristic]]="",tblVerifyPlan[[#This Row],[Process characteristic]]=""),"Missing characteristic","OK")))))))))))</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ontrol-plan" TargetMode="External"/><Relationship Id="rId2" Type="http://schemas.openxmlformats.org/officeDocument/2006/relationships/hyperlink" Target="https://www.mfgcalcs.com/calculators/qms-capa-quality-system-management/control-plan-completeness?utm_source=mfgcalcs-template&amp;utm_medium=xlsx&amp;utm_campaign=control-plan" TargetMode="External"/><Relationship Id="rId3" Type="http://schemas.openxmlformats.org/officeDocument/2006/relationships/hyperlink" Target="https://www.mfgcalcs.com/templates/control-plan?utm_source=mfgcalcs-template&amp;utm_medium=xlsx&amp;utm_campaign=control-plan" TargetMode="External"/><Relationship Id="rId4" Type="http://schemas.openxmlformats.org/officeDocument/2006/relationships/hyperlink" Target="https://www.mfgcalcs.com/templates?utm_source=mfgcalcs-template&amp;utm_medium=xlsx&amp;utm_campaign=control-plan"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ontrol-plan"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ontrol-plan"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ontrol-plan"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ontrol-plan" TargetMode="External"/><Relationship Id="rId2" Type="http://schemas.openxmlformats.org/officeDocument/2006/relationships/hyperlink" Target="https://www.mfgcalcs.com/calculators/qms-capa-quality-system-management/control-plan-completeness?utm_source=mfgcalcs-template&amp;utm_medium=xlsx&amp;utm_campaign=control-plan"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ontrol-plan" TargetMode="External"/><Relationship Id="rId2"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29.4" customHeight="1">
      <c r="B14" s="9" t="s">
        <v>11</v>
      </c>
      <c r="C14" s="10" t="s">
        <v>12</v>
      </c>
      <c r="D14" s="10"/>
      <c r="E14" s="10"/>
      <c r="F14" s="10"/>
    </row>
    <row r="15" spans="1:6" ht="29.4"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29.4" customHeight="1">
      <c r="B21" s="11"/>
      <c r="C21" s="12" t="s">
        <v>0</v>
      </c>
      <c r="D21" s="10" t="s">
        <v>19</v>
      </c>
      <c r="E21" s="10"/>
      <c r="F21" s="10"/>
    </row>
    <row r="22" spans="2:6" ht="29.4" customHeight="1">
      <c r="B22" s="11"/>
      <c r="C22" s="12" t="s">
        <v>20</v>
      </c>
      <c r="D22" s="10" t="s">
        <v>21</v>
      </c>
      <c r="E22" s="10"/>
      <c r="F22" s="10"/>
    </row>
    <row r="23" spans="2:6" ht="16.2" customHeight="1">
      <c r="B23" s="11"/>
      <c r="C23" s="12" t="s">
        <v>22</v>
      </c>
      <c r="D23" s="10" t="s">
        <v>23</v>
      </c>
      <c r="E23" s="10"/>
      <c r="F23" s="10"/>
    </row>
    <row r="24" spans="2:6" ht="29.4" customHeight="1">
      <c r="B24" s="11"/>
      <c r="C24" s="12" t="s">
        <v>24</v>
      </c>
      <c r="D24" s="10" t="s">
        <v>25</v>
      </c>
      <c r="E24" s="10"/>
      <c r="F24" s="10"/>
    </row>
    <row r="26" spans="2:6" ht="21" customHeight="1">
      <c r="B26" s="8" t="s">
        <v>26</v>
      </c>
      <c r="C26" s="8"/>
      <c r="D26" s="8"/>
      <c r="E26" s="8"/>
      <c r="F26" s="8"/>
    </row>
    <row r="27" spans="2:6" ht="5" customHeight="1"/>
    <row r="28" spans="2:6" ht="29.4" customHeight="1">
      <c r="C28" s="13" t="s">
        <v>27</v>
      </c>
      <c r="D28" s="14" t="s">
        <v>28</v>
      </c>
      <c r="E28" s="14"/>
      <c r="F28" s="14"/>
    </row>
    <row r="29" spans="2:6" ht="29.4" customHeight="1">
      <c r="C29" s="15" t="s">
        <v>29</v>
      </c>
      <c r="D29" s="14" t="s">
        <v>30</v>
      </c>
      <c r="E29" s="14"/>
      <c r="F29" s="14"/>
    </row>
    <row r="30" spans="2:6" ht="16.2" customHeight="1">
      <c r="C30" s="16" t="s">
        <v>31</v>
      </c>
      <c r="D30" s="14" t="s">
        <v>32</v>
      </c>
      <c r="E30" s="14"/>
      <c r="F30" s="14"/>
    </row>
    <row r="31" spans="2:6" ht="18" customHeight="1">
      <c r="C31" s="17" t="s">
        <v>33</v>
      </c>
      <c r="D31" s="18" t="s">
        <v>34</v>
      </c>
      <c r="E31" s="19" t="s">
        <v>35</v>
      </c>
      <c r="F31" s="20" t="s">
        <v>36</v>
      </c>
    </row>
    <row r="32" spans="2:6" ht="26.76" customHeight="1">
      <c r="C32" s="21" t="s">
        <v>37</v>
      </c>
      <c r="D32" s="21"/>
      <c r="E32" s="21"/>
      <c r="F32" s="21"/>
    </row>
    <row r="34" spans="2:6" ht="21" customHeight="1">
      <c r="B34" s="8" t="s">
        <v>38</v>
      </c>
      <c r="C34" s="8"/>
      <c r="D34" s="8"/>
      <c r="E34" s="8"/>
      <c r="F34" s="8"/>
    </row>
    <row r="35" spans="2:6" ht="5" customHeight="1"/>
    <row r="36" spans="2:6" ht="26" customHeight="1">
      <c r="C36" s="17" t="s">
        <v>39</v>
      </c>
      <c r="D36" s="22" t="str">
        <f>SelfCheck</f>
        <v>PASS</v>
      </c>
      <c r="E36" s="23" t="str">
        <f>SelfCheckSummary</f>
        <v>23 of 23 checks pass</v>
      </c>
      <c r="F36" s="23"/>
    </row>
    <row r="37" spans="2:6" ht="26.76" customHeight="1">
      <c r="C37" s="21" t="s">
        <v>40</v>
      </c>
      <c r="D37" s="21"/>
      <c r="E37" s="21"/>
      <c r="F37" s="21"/>
    </row>
    <row r="38" spans="2:6">
      <c r="C38" s="17" t="s">
        <v>41</v>
      </c>
      <c r="D38" s="24" t="s">
        <v>42</v>
      </c>
      <c r="E38" s="24"/>
      <c r="F38" s="24"/>
    </row>
    <row r="39" spans="2:6">
      <c r="C39" s="17" t="s">
        <v>43</v>
      </c>
      <c r="D39" s="24" t="s">
        <v>44</v>
      </c>
      <c r="E39" s="24"/>
      <c r="F39" s="24"/>
    </row>
    <row r="40" spans="2:6">
      <c r="C40" s="17" t="s">
        <v>45</v>
      </c>
      <c r="D40" s="24" t="s">
        <v>46</v>
      </c>
      <c r="E40" s="24"/>
      <c r="F40" s="24"/>
    </row>
    <row r="41" spans="2:6">
      <c r="C41" s="17" t="s">
        <v>47</v>
      </c>
      <c r="D41" s="11" t="s">
        <v>48</v>
      </c>
      <c r="E41" s="11"/>
      <c r="F41" s="11"/>
    </row>
    <row r="43" spans="2:6" ht="21" customHeight="1">
      <c r="B43" s="8" t="s">
        <v>49</v>
      </c>
      <c r="C43" s="8"/>
      <c r="D43" s="8"/>
      <c r="E43" s="8"/>
      <c r="F43" s="8"/>
    </row>
    <row r="44" spans="2:6" ht="5" customHeight="1"/>
    <row r="45" spans="2:6" ht="75" customHeight="1">
      <c r="B45" s="25" t="s">
        <v>50</v>
      </c>
      <c r="C45" s="25"/>
      <c r="D45" s="25"/>
      <c r="E45" s="25"/>
      <c r="F45" s="25"/>
    </row>
    <row r="47" spans="2:6" ht="21" customHeight="1">
      <c r="B47" s="8" t="s">
        <v>51</v>
      </c>
      <c r="C47" s="8"/>
      <c r="D47" s="8"/>
      <c r="E47" s="8"/>
      <c r="F47" s="8"/>
    </row>
    <row r="48" spans="2:6" ht="5" customHeight="1"/>
    <row r="49" spans="2:6" ht="29.4" customHeight="1">
      <c r="B49" s="26" t="s">
        <v>52</v>
      </c>
      <c r="C49" s="10" t="s">
        <v>53</v>
      </c>
      <c r="D49" s="10"/>
      <c r="E49" s="10"/>
      <c r="F49" s="10"/>
    </row>
    <row r="50" spans="2:6" ht="16.2" customHeight="1">
      <c r="B50" s="26" t="s">
        <v>52</v>
      </c>
      <c r="C50" s="10" t="s">
        <v>54</v>
      </c>
      <c r="D50" s="10"/>
      <c r="E50" s="10"/>
      <c r="F50" s="10"/>
    </row>
    <row r="51" spans="2:6" ht="29.4" customHeight="1">
      <c r="B51" s="26" t="s">
        <v>52</v>
      </c>
      <c r="C51" s="10" t="s">
        <v>55</v>
      </c>
      <c r="D51" s="10"/>
      <c r="E51" s="10"/>
      <c r="F51" s="10"/>
    </row>
    <row r="52" spans="2:6" ht="16.2" customHeight="1">
      <c r="B52" s="26" t="s">
        <v>52</v>
      </c>
      <c r="C52" s="10" t="s">
        <v>56</v>
      </c>
      <c r="D52" s="10"/>
      <c r="E52" s="10"/>
      <c r="F52" s="10"/>
    </row>
    <row r="54" spans="2:6" ht="16.2" customHeight="1">
      <c r="B54" s="17" t="s">
        <v>57</v>
      </c>
      <c r="C54" s="17"/>
      <c r="D54" s="17"/>
      <c r="E54" s="17"/>
      <c r="F54" s="17"/>
    </row>
    <row r="55" spans="2:6" ht="26.76" customHeight="1">
      <c r="B55" s="21" t="s">
        <v>58</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Control Plan'!A1" tooltip="Go to Control Plan" display="Control Plan"/>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Control Plan&amp;R&amp;8&amp;A</oddHeader>
    <oddFooter>&amp;L&amp;8mfgcalcs.com - free manufacturing templates&amp;R&amp;8Page &amp;P of &amp;N</oddFooter>
  </headerFooter>
  <rowBreaks count="1" manualBreakCount="1">
    <brk id="25"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46"/>
  <sheetViews>
    <sheetView showGridLines="0" workbookViewId="0"/>
  </sheetViews>
  <sheetFormatPr defaultRowHeight="15"/>
  <cols>
    <col min="1" max="1" width="2.7109375" customWidth="1"/>
    <col min="2" max="2" width="32.7109375" customWidth="1"/>
    <col min="3" max="4" width="18.7109375" customWidth="1"/>
    <col min="5" max="5" width="46.7109375" customWidth="1"/>
  </cols>
  <sheetData>
    <row r="1" spans="1:5" ht="30" customHeight="1">
      <c r="A1" s="1" t="s">
        <v>0</v>
      </c>
      <c r="B1" s="1"/>
      <c r="C1" s="1"/>
      <c r="D1" s="1"/>
      <c r="E1" s="1"/>
    </row>
    <row r="2" spans="1:5" ht="32.4" customHeight="1">
      <c r="B2" s="2" t="s">
        <v>18</v>
      </c>
      <c r="C2" s="2"/>
      <c r="D2" s="2"/>
      <c r="E2" s="3" t="s">
        <v>2</v>
      </c>
    </row>
    <row r="3" spans="1:5" ht="6" customHeight="1"/>
    <row r="4" spans="1:5" ht="21" customHeight="1">
      <c r="B4" s="8" t="s">
        <v>65</v>
      </c>
      <c r="C4" s="8"/>
      <c r="D4" s="8"/>
      <c r="E4" s="8"/>
    </row>
    <row r="5" spans="1:5" ht="5" customHeight="1"/>
    <row r="6" spans="1:5">
      <c r="B6" s="27" t="s">
        <v>66</v>
      </c>
      <c r="C6" s="28" t="s">
        <v>67</v>
      </c>
      <c r="D6" s="28"/>
      <c r="E6" s="28"/>
    </row>
    <row r="7" spans="1:5">
      <c r="B7" s="27" t="s">
        <v>68</v>
      </c>
      <c r="C7" s="28" t="s">
        <v>69</v>
      </c>
      <c r="D7" s="28"/>
      <c r="E7" s="28"/>
    </row>
    <row r="8" spans="1:5">
      <c r="B8" s="27" t="s">
        <v>70</v>
      </c>
      <c r="C8" s="28" t="s">
        <v>71</v>
      </c>
      <c r="D8" s="28"/>
      <c r="E8" s="28"/>
    </row>
    <row r="9" spans="1:5">
      <c r="B9" s="27" t="s">
        <v>72</v>
      </c>
      <c r="C9" s="28" t="s">
        <v>73</v>
      </c>
      <c r="D9" s="28"/>
      <c r="E9" s="28"/>
    </row>
    <row r="10" spans="1:5">
      <c r="B10" s="27" t="s">
        <v>74</v>
      </c>
      <c r="C10" s="28" t="s">
        <v>75</v>
      </c>
      <c r="D10" s="28"/>
      <c r="E10" s="28"/>
    </row>
    <row r="11" spans="1:5">
      <c r="B11" s="27" t="s">
        <v>76</v>
      </c>
      <c r="C11" s="28" t="s">
        <v>77</v>
      </c>
      <c r="D11" s="28"/>
      <c r="E11" s="28"/>
    </row>
    <row r="12" spans="1:5">
      <c r="B12" s="27" t="s">
        <v>78</v>
      </c>
      <c r="C12" s="28" t="s">
        <v>79</v>
      </c>
      <c r="D12" s="28"/>
      <c r="E12" s="28"/>
    </row>
    <row r="13" spans="1:5">
      <c r="B13" s="27" t="s">
        <v>80</v>
      </c>
      <c r="C13" s="29">
        <v>46290</v>
      </c>
      <c r="D13" s="29"/>
      <c r="E13" s="7"/>
    </row>
    <row r="15" spans="1:5" ht="21" customHeight="1">
      <c r="B15" s="8" t="s">
        <v>81</v>
      </c>
      <c r="C15" s="8"/>
      <c r="D15" s="8"/>
      <c r="E15" s="8"/>
    </row>
    <row r="16" spans="1:5" ht="5" customHeight="1"/>
    <row r="17" spans="2:5">
      <c r="B17" s="27" t="s">
        <v>82</v>
      </c>
      <c r="C17" s="30">
        <v>7.5</v>
      </c>
      <c r="D17" s="7" t="s">
        <v>83</v>
      </c>
    </row>
    <row r="18" spans="2:5">
      <c r="B18" s="27" t="s">
        <v>84</v>
      </c>
      <c r="C18" s="30">
        <v>2</v>
      </c>
      <c r="D18" s="7" t="s">
        <v>85</v>
      </c>
    </row>
    <row r="19" spans="2:5">
      <c r="B19" s="27" t="s">
        <v>86</v>
      </c>
      <c r="C19" s="30">
        <v>6</v>
      </c>
      <c r="D19" s="7" t="s">
        <v>83</v>
      </c>
    </row>
    <row r="20" spans="2:5">
      <c r="B20" s="27" t="s">
        <v>87</v>
      </c>
      <c r="C20" s="31">
        <v>0.85</v>
      </c>
      <c r="D20" s="7"/>
    </row>
    <row r="22" spans="2:5" ht="21" customHeight="1">
      <c r="B22" s="8" t="s">
        <v>88</v>
      </c>
      <c r="C22" s="8"/>
      <c r="D22" s="8"/>
      <c r="E22" s="8"/>
    </row>
    <row r="23" spans="2:5" ht="5" customHeight="1"/>
    <row r="24" spans="2:5">
      <c r="B24" s="27" t="s">
        <v>89</v>
      </c>
      <c r="C24" s="32">
        <v>1.33</v>
      </c>
      <c r="D24" s="7"/>
    </row>
    <row r="25" spans="2:5">
      <c r="B25" s="27" t="s">
        <v>90</v>
      </c>
      <c r="C25" s="31">
        <v>0.1</v>
      </c>
      <c r="D25" s="7"/>
    </row>
    <row r="26" spans="2:5">
      <c r="B26" s="27" t="s">
        <v>91</v>
      </c>
      <c r="C26" s="31">
        <v>0.3</v>
      </c>
      <c r="D26" s="7"/>
    </row>
    <row r="28" spans="2:5" ht="35.4" customHeight="1">
      <c r="B28" s="25" t="s">
        <v>92</v>
      </c>
      <c r="C28" s="25"/>
      <c r="D28" s="25"/>
      <c r="E28" s="25"/>
    </row>
    <row r="30" spans="2:5" ht="21" customHeight="1">
      <c r="B30" s="8" t="s">
        <v>93</v>
      </c>
      <c r="C30" s="8"/>
      <c r="D30" s="8"/>
      <c r="E30" s="8"/>
    </row>
    <row r="31" spans="2:5" ht="5" customHeight="1"/>
    <row r="32" spans="2:5">
      <c r="B32" s="33" t="s">
        <v>94</v>
      </c>
      <c r="C32" s="33"/>
      <c r="D32" s="33"/>
      <c r="E32" s="33"/>
    </row>
    <row r="33" spans="2:5" ht="32" customHeight="1">
      <c r="B33" s="34" t="s">
        <v>59</v>
      </c>
      <c r="C33" s="34" t="s">
        <v>60</v>
      </c>
      <c r="D33" s="34" t="s">
        <v>61</v>
      </c>
      <c r="E33" s="34" t="s">
        <v>62</v>
      </c>
    </row>
    <row r="34" spans="2:5">
      <c r="B34" s="28" t="s">
        <v>95</v>
      </c>
      <c r="C34" s="28" t="s">
        <v>96</v>
      </c>
      <c r="D34" s="30">
        <v>90</v>
      </c>
      <c r="E34" s="30">
        <v>0</v>
      </c>
    </row>
    <row r="35" spans="2:5">
      <c r="B35" s="28" t="s">
        <v>97</v>
      </c>
      <c r="C35" s="28" t="s">
        <v>98</v>
      </c>
      <c r="D35" s="30">
        <v>90</v>
      </c>
      <c r="E35" s="30">
        <v>0</v>
      </c>
    </row>
    <row r="36" spans="2:5">
      <c r="B36" s="28" t="s">
        <v>99</v>
      </c>
      <c r="C36" s="28" t="s">
        <v>100</v>
      </c>
      <c r="D36" s="30">
        <v>90</v>
      </c>
      <c r="E36" s="30">
        <v>1</v>
      </c>
    </row>
    <row r="37" spans="2:5">
      <c r="B37" s="28" t="s">
        <v>101</v>
      </c>
      <c r="C37" s="28" t="s">
        <v>102</v>
      </c>
      <c r="D37" s="30">
        <v>90</v>
      </c>
      <c r="E37" s="30">
        <v>1</v>
      </c>
    </row>
    <row r="38" spans="2:5">
      <c r="B38" s="28" t="s">
        <v>103</v>
      </c>
      <c r="C38" s="28" t="s">
        <v>104</v>
      </c>
      <c r="D38" s="30">
        <v>90</v>
      </c>
      <c r="E38" s="30">
        <v>0</v>
      </c>
    </row>
    <row r="39" spans="2:5">
      <c r="B39" s="28" t="s">
        <v>105</v>
      </c>
      <c r="C39" s="28" t="s">
        <v>106</v>
      </c>
      <c r="D39" s="30">
        <v>90</v>
      </c>
      <c r="E39" s="30">
        <v>2</v>
      </c>
    </row>
    <row r="40" spans="2:5">
      <c r="B40" s="28" t="s">
        <v>107</v>
      </c>
      <c r="C40" s="28" t="s">
        <v>108</v>
      </c>
      <c r="D40" s="30">
        <v>90</v>
      </c>
      <c r="E40" s="30">
        <v>0</v>
      </c>
    </row>
    <row r="41" spans="2:5">
      <c r="B41" s="28" t="s">
        <v>109</v>
      </c>
      <c r="C41" s="28" t="s">
        <v>110</v>
      </c>
      <c r="D41" s="30">
        <v>90</v>
      </c>
      <c r="E41" s="30">
        <v>1</v>
      </c>
    </row>
    <row r="43" spans="2:5">
      <c r="B43" s="33" t="s">
        <v>111</v>
      </c>
      <c r="C43" s="33"/>
    </row>
    <row r="44" spans="2:5" ht="20" customHeight="1">
      <c r="B44" s="34" t="s">
        <v>63</v>
      </c>
      <c r="C44" s="34" t="s">
        <v>64</v>
      </c>
    </row>
    <row r="45" spans="2:5">
      <c r="B45" s="28" t="s">
        <v>112</v>
      </c>
      <c r="C45" s="28" t="s">
        <v>113</v>
      </c>
    </row>
    <row r="46" spans="2:5">
      <c r="B46" s="28" t="s">
        <v>114</v>
      </c>
      <c r="C46" s="28" t="s">
        <v>115</v>
      </c>
    </row>
  </sheetData>
  <mergeCells count="17">
    <mergeCell ref="A1:E1"/>
    <mergeCell ref="B2:D2"/>
    <mergeCell ref="B4:E4"/>
    <mergeCell ref="C6:E6"/>
    <mergeCell ref="C7:E7"/>
    <mergeCell ref="C8:E8"/>
    <mergeCell ref="C9:E9"/>
    <mergeCell ref="C10:E10"/>
    <mergeCell ref="C11:E11"/>
    <mergeCell ref="C12:E12"/>
    <mergeCell ref="C13:D13"/>
    <mergeCell ref="B15:E15"/>
    <mergeCell ref="B22:E22"/>
    <mergeCell ref="B28:E28"/>
    <mergeCell ref="B30:E30"/>
    <mergeCell ref="B32:E32"/>
    <mergeCell ref="B43:C43"/>
  </mergeCells>
  <dataValidations count="21">
    <dataValidation type="textLength" allowBlank="1" showInputMessage="1" showErrorMessage="1" errorTitle="Check this entry" error="Text up to 80 characters." promptTitle="Company and site" prompt="Text up to 80 characters." sqref="C6">
      <formula1>0</formula1>
      <formula2>80</formula2>
    </dataValidation>
    <dataValidation type="textLength" allowBlank="1" showInputMessage="1" showErrorMessage="1" errorTitle="Check this entry" error="Text up to 120 characters." promptTitle="Part name" prompt="Text up to 120 characters." sqref="C7">
      <formula1>0</formula1>
      <formula2>120</formula2>
    </dataValidation>
    <dataValidation type="textLength" allowBlank="1" showInputMessage="1" showErrorMessage="1" errorTitle="Check this entry" error="Text up to 60 characters." promptTitle="Part number and revision" prompt="Text up to 60 characters." sqref="C8">
      <formula1>0</formula1>
      <formula2>60</formula2>
    </dataValidation>
    <dataValidation type="textLength" allowBlank="1" showInputMessage="1" showErrorMessage="1" errorTitle="Check this entry" error="Text up to 40 characters." promptTitle="Control plan number" prompt="Text up to 40 characters." sqref="C9">
      <formula1>0</formula1>
      <formula2>40</formula2>
    </dataValidation>
    <dataValidation type="list" allowBlank="1" showInputMessage="1" showErrorMessage="1" errorTitle="Check this entry" error="Pick one of: Prototype, Pre-launch, Production." promptTitle="Phase" prompt="Pick one of: Prototype, Pre-launch, Production." sqref="C10">
      <formula1>"Prototype,Pre-launch,Production"</formula1>
    </dataValidation>
    <dataValidation type="textLength" allowBlank="1" showInputMessage="1" showErrorMessage="1" errorTitle="Check this entry" error="Text up to 80 characters." promptTitle="Key contact" prompt="Text up to 80 characters." sqref="C11">
      <formula1>0</formula1>
      <formula2>80</formula2>
    </dataValidation>
    <dataValidation type="textLength" allowBlank="1" showInputMessage="1" showErrorMessage="1" errorTitle="Check this entry" error="Text up to 200 characters." promptTitle="Core team" prompt="Text up to 200 characters." sqref="C12">
      <formula1>0</formula1>
      <formula2>200</formula2>
    </dataValidation>
    <dataValidation type="date" allowBlank="1" showInputMessage="1" showErrorMessage="1" errorTitle="Check this entry" error="Enter a date between 01 Jan 2000 and 31 Dec 2100." promptTitle="Revision date" prompt="Enter a date between 01 Jan 2000 and 31 Dec 2100." sqref="C13">
      <formula1>36526</formula1>
      <formula2>73415</formula2>
    </dataValidation>
    <dataValidation type="decimal" allowBlank="1" showInputMessage="1" showErrorMessage="1" errorTitle="Check this entry" error="Enter a number from 0.5 to 24." promptTitle="Production hours per shift" prompt="Hours the line runs in a shift; turns 'per hour' frequencies and rates into counts per shift. Enter a number from 0.5 to 24." sqref="C17">
      <formula1>0.5</formula1>
      <formula2>24</formula2>
    </dataValidation>
    <dataValidation type="decimal" allowBlank="1" showInputMessage="1" showErrorMessage="1" errorTitle="Check this entry" error="Enter a number from 0 to 1,000." promptTitle="Lots per shift" prompt="Turns 'per lot' frequencies into counts per shift. Enter a number from 0 to 1,000." sqref="C18">
      <formula1>0</formula1>
      <formula2>1000</formula2>
    </dataValidation>
    <dataValidation type="decimal" allowBlank="1" showInputMessage="1" showErrorMessage="1" errorTitle="Check this entry" error="Enter a number from 0.1 to 1,000." promptTitle="Inspection hours available pe..." prompt="Operator and inspector time set aside for the checks in this plan, per shift. Enter a number from 0.1 to 1,000." sqref="C19">
      <formula1>0.1</formula1>
      <formula2>1000</formula2>
    </dataValidation>
    <dataValidation type="decimal" allowBlank="1" showInputMessage="1" showErrorMessage="1" errorTitle="Check this entry" error="Enter a percentage from 0% to 100% (type 85% or 0.85)." promptTitle="'Near capacity' from" prompt="Inspection load at or above this share of the time available reads Near capacity; above 100% Over capacity. Enter a percentage from 0% to 100% (type 85% or 0.85)." sqref="C20">
      <formula1>0</formula1>
      <formula2>1</formula2>
    </dataValidation>
    <dataValidation type="decimal" allowBlank="1" showInputMessage="1" showErrorMessage="1" errorTitle="Check this entry" error="Enter a number from 0 to 10." promptTitle="Minimum Cpk" prompt="Your customer's requirement for ongoing production (PPAP and customer manuals state it). Enter a number from 0 to 10." sqref="C24">
      <formula1>0</formula1>
      <formula2>10</formula2>
    </dataValidation>
    <dataValidation type="decimal" allowBlank="1" showInputMessage="1" showErrorMessage="1" errorTitle="Check this entry" error="Enter a percentage from 0% to 100% (type 85% or 0.85)." promptTitle="%GRR acceptable up to" prompt="Gauge R&amp;R as a share of tolerance at or below this reads Within limits. Enter a percentage from 0% to 100% (type 85% or 0.85)." sqref="C25">
      <formula1>0</formula1>
      <formula2>1</formula2>
    </dataValidation>
    <dataValidation type="decimal" allowBlank="1" showInputMessage="1" showErrorMessage="1" errorTitle="Check this entry" error="Enter a percentage from 0% to 100% (type 85% or 0.85)." promptTitle="%GRR conditional up to" prompt="Above the acceptable limit and up to this reads Check (may be acceptable with justification); above it, Out of limits. Enter a percentage from 0% to 100% (type 85% or 0.85)." sqref="C26">
      <formula1>0</formula1>
      <formula2>1</formula2>
    </dataValidation>
    <dataValidation type="textLength" allowBlank="1" showInputMessage="1" showErrorMessage="1" errorTitle="Check this entry" error="Text up to 40 characters." promptTitle="Process step" prompt="Text up to 40 characters." sqref="B34:B141">
      <formula1>0</formula1>
      <formula2>40</formula2>
    </dataValidation>
    <dataValidation type="textLength" allowBlank="1" showInputMessage="1" showErrorMessage="1" errorTitle="Check this entry" error="Text up to 80 characters." promptTitle="Machine or device" prompt="Text up to 80 characters." sqref="C34:C141">
      <formula1>0</formula1>
      <formula2>80</formula2>
    </dataValidation>
    <dataValidation type="decimal" allowBlank="1" showInputMessage="1" showErrorMessage="1" errorTitle="Check this entry" error="Enter a number from 0 to 1,000,000." promptTitle="Rate (parts/h)" prompt="Parts the step makes per production hour; used for every-part checks. Enter a number from 0 to 1,000,000." sqref="D34:D141">
      <formula1>0</formula1>
      <formula2>1000000.0</formula2>
    </dataValidation>
    <dataValidation type="decimal" allowBlank="1" showInputMessage="1" showErrorMessage="1" errorTitle="Check this entry" error="Enter a number from 0 to 100." promptTitle="Setups per shift" prompt="Used for 'per setup' frequencies. Enter a number from 0 to 100." sqref="E34:E141">
      <formula1>0</formula1>
      <formula2>100</formula2>
    </dataValidation>
    <dataValidation type="textLength" allowBlank="1" showInputMessage="1" showErrorMessage="1" errorTitle="Check this entry" error="Text up to 10 characters." promptTitle="Class" prompt="Text up to 10 characters." sqref="B45:B146">
      <formula1>0</formula1>
      <formula2>10</formula2>
    </dataValidation>
    <dataValidation type="textLength" allowBlank="1" showInputMessage="1" showErrorMessage="1" errorTitle="Check this entry" error="Text up to 160 characters." promptTitle="Meaning" prompt="Text up to 160 characters." sqref="C45:C146">
      <formula1>0</formula1>
      <formula2>160</formula2>
    </dataValidation>
  </dataValidations>
  <hyperlinks>
    <hyperlink ref="E2" r:id="rId1" tooltip="Free manufacturing calculators and templates"/>
  </hyperlinks>
  <pageMargins left="0.4" right="0.4" top="0.7" bottom="0.65" header="0.3" footer="0.3"/>
  <pageSetup fitToHeight="0" orientation="landscape"/>
  <headerFooter>
    <oddHeader>&amp;L&amp;8MFG Calcs - Control Plan&amp;R&amp;8&amp;A</oddHeader>
    <oddFooter>&amp;L&amp;8mfgcalcs.com - free manufacturing templates&amp;R&amp;8Page &amp;P of &amp;N</oddFooter>
  </headerFooter>
  <rowBreaks count="1" manualBreakCount="1">
    <brk id="29" max="16383" man="1"/>
  </rowBreaks>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AD26"/>
  <sheetViews>
    <sheetView workbookViewId="0">
      <pane xSplit="3" ySplit="6" topLeftCell="D7" activePane="bottomRight" state="frozen"/>
      <selection pane="topRight" activeCell="D1" sqref="D1"/>
      <selection pane="bottomLeft" activeCell="A7" sqref="A7"/>
      <selection pane="bottomRight"/>
    </sheetView>
  </sheetViews>
  <sheetFormatPr defaultRowHeight="15" x14ac:dyDescent="0.25"/>
  <cols>
    <col min="1" max="1" width="2.7109375" customWidth="1"/>
    <col min="2" max="2" width="15.7109375" customWidth="1"/>
    <col min="3" max="3" width="7.7109375" customWidth="1"/>
    <col min="4" max="5" width="20.7109375" customWidth="1"/>
    <col min="6" max="6" width="7.28515625" customWidth="1"/>
    <col min="7" max="7" width="15.7109375" customWidth="1"/>
    <col min="8" max="9" width="9.28515625" customWidth="1"/>
    <col min="10" max="10" width="7.28515625" customWidth="1"/>
    <col min="11" max="11" width="18.7109375" customWidth="1"/>
    <col min="12" max="12" width="8.28515625" customWidth="1"/>
    <col min="13" max="13" width="10.7109375" customWidth="1"/>
    <col min="14" max="14" width="7.7109375" customWidth="1"/>
    <col min="15" max="15" width="9.28515625" customWidth="1"/>
    <col min="16" max="16" width="20.7109375" customWidth="1"/>
    <col min="17" max="17" width="28.7109375" customWidth="1"/>
    <col min="18" max="19" width="7.28515625" customWidth="1"/>
    <col min="20" max="20" width="13.7109375" customWidth="1"/>
    <col min="21" max="22" width="8.7109375" customWidth="1"/>
    <col min="23" max="23" width="9.28515625" customWidth="1"/>
    <col min="24" max="25" width="10.7109375" customWidth="1"/>
    <col min="26" max="26" width="9.28515625" customWidth="1"/>
    <col min="27" max="28" width="12.7109375" customWidth="1"/>
    <col min="29" max="29" width="7.28515625" customWidth="1"/>
    <col min="30" max="30" width="24.7109375" customWidth="1"/>
  </cols>
  <sheetData>
    <row r="1" spans="1:30" ht="30" customHeight="1"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ht="21" customHeight="1" x14ac:dyDescent="0.25">
      <c r="B2" s="2" t="s">
        <v>19</v>
      </c>
      <c r="C2" s="2"/>
      <c r="D2" s="2"/>
      <c r="E2" s="2"/>
      <c r="F2" s="2"/>
      <c r="G2" s="2"/>
      <c r="H2" s="2"/>
      <c r="I2" s="2"/>
      <c r="J2" s="2"/>
      <c r="K2" s="2"/>
      <c r="L2" s="2"/>
      <c r="M2" s="2"/>
      <c r="N2" s="2"/>
      <c r="O2" s="2"/>
      <c r="P2" s="2"/>
      <c r="Q2" s="2"/>
      <c r="R2" s="2"/>
      <c r="S2" s="2"/>
      <c r="T2" s="2"/>
      <c r="U2" s="2"/>
      <c r="V2" s="2"/>
      <c r="W2" s="2"/>
      <c r="X2" s="2"/>
      <c r="Y2" s="2"/>
      <c r="Z2" s="2"/>
      <c r="AA2" s="2"/>
      <c r="AB2" s="2"/>
      <c r="AC2" s="2"/>
      <c r="AD2" s="3" t="s">
        <v>2</v>
      </c>
    </row>
    <row r="3" spans="1:30" ht="6" customHeight="1" x14ac:dyDescent="0.25"/>
    <row r="4" spans="1:30" x14ac:dyDescent="0.25">
      <c r="B4" s="35" t="str">
        <f>"Control plan "&amp;PlanNo&amp;" ("&amp;Phase&amp;")   |   "&amp;PartName&amp;", "&amp;PartNo&amp;"   |   Revised "&amp;TEXT(RevDate,"d mmm yyyy")&amp;"   |   Contact: "&amp;Contact</f>
        <v>Control plan CP-450-01 (Production)   |   Pump housing, A380 aluminium die casting, PH-450 rev D   |   Revised 25 Sep 2026   |   Contact: D. Okafor, quality engineer</v>
      </c>
      <c r="C4" s="35"/>
      <c r="D4" s="35"/>
      <c r="E4" s="35"/>
      <c r="F4" s="35"/>
      <c r="G4" s="35"/>
      <c r="H4" s="35"/>
      <c r="I4" s="35"/>
    </row>
    <row r="5" spans="1:30" ht="18" customHeight="1" x14ac:dyDescent="0.25">
      <c r="B5" s="36" t="s">
        <v>141</v>
      </c>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row>
    <row r="6" spans="1:30" ht="45.5" customHeight="1" x14ac:dyDescent="0.25">
      <c r="B6" s="34" t="s">
        <v>59</v>
      </c>
      <c r="C6" s="34" t="s">
        <v>116</v>
      </c>
      <c r="D6" s="34" t="s">
        <v>117</v>
      </c>
      <c r="E6" s="34" t="s">
        <v>118</v>
      </c>
      <c r="F6" s="34" t="s">
        <v>63</v>
      </c>
      <c r="G6" s="34" t="s">
        <v>119</v>
      </c>
      <c r="H6" s="34" t="s">
        <v>120</v>
      </c>
      <c r="I6" s="34" t="s">
        <v>121</v>
      </c>
      <c r="J6" s="34" t="s">
        <v>122</v>
      </c>
      <c r="K6" s="34" t="s">
        <v>123</v>
      </c>
      <c r="L6" s="34" t="s">
        <v>124</v>
      </c>
      <c r="M6" s="34" t="s">
        <v>125</v>
      </c>
      <c r="N6" s="34" t="s">
        <v>126</v>
      </c>
      <c r="O6" s="34" t="s">
        <v>127</v>
      </c>
      <c r="P6" s="34" t="s">
        <v>128</v>
      </c>
      <c r="Q6" s="34" t="s">
        <v>129</v>
      </c>
      <c r="R6" s="34" t="s">
        <v>130</v>
      </c>
      <c r="S6" s="34" t="s">
        <v>131</v>
      </c>
      <c r="T6" s="34" t="s">
        <v>132</v>
      </c>
      <c r="U6" s="34" t="s">
        <v>61</v>
      </c>
      <c r="V6" s="34" t="s">
        <v>62</v>
      </c>
      <c r="W6" s="34" t="s">
        <v>133</v>
      </c>
      <c r="X6" s="34" t="s">
        <v>134</v>
      </c>
      <c r="Y6" s="34" t="s">
        <v>135</v>
      </c>
      <c r="Z6" s="34" t="s">
        <v>136</v>
      </c>
      <c r="AA6" s="34" t="s">
        <v>137</v>
      </c>
      <c r="AB6" s="34" t="s">
        <v>138</v>
      </c>
      <c r="AC6" s="34" t="s">
        <v>139</v>
      </c>
      <c r="AD6" s="34" t="s">
        <v>140</v>
      </c>
    </row>
    <row r="7" spans="1:30" x14ac:dyDescent="0.25">
      <c r="B7" s="28" t="s">
        <v>95</v>
      </c>
      <c r="C7" s="28" t="s">
        <v>142</v>
      </c>
      <c r="D7" s="28"/>
      <c r="E7" s="28" t="s">
        <v>143</v>
      </c>
      <c r="F7" s="28"/>
      <c r="G7" s="28" t="s">
        <v>144</v>
      </c>
      <c r="H7" s="37">
        <v>660</v>
      </c>
      <c r="I7" s="37">
        <v>690</v>
      </c>
      <c r="J7" s="28" t="s">
        <v>145</v>
      </c>
      <c r="K7" s="28" t="s">
        <v>146</v>
      </c>
      <c r="L7" s="38">
        <v>1</v>
      </c>
      <c r="M7" s="28" t="s">
        <v>147</v>
      </c>
      <c r="N7" s="30">
        <v>1</v>
      </c>
      <c r="O7" s="30">
        <v>10</v>
      </c>
      <c r="P7" s="28" t="s">
        <v>148</v>
      </c>
      <c r="Q7" s="28" t="s">
        <v>149</v>
      </c>
      <c r="R7" s="32">
        <v>1.62</v>
      </c>
      <c r="S7" s="31"/>
      <c r="T7" s="28" t="s">
        <v>150</v>
      </c>
      <c r="U7" s="39">
        <f>IF(tblPlan[[#This Row],[Process step]]="","",IFERROR(INDEX(tblSteps[Rate (parts/h)],MATCH(tblPlan[[#This Row],[Process step]],tblSteps[Process step],0)),""))</f>
        <v>90</v>
      </c>
      <c r="V7" s="39">
        <f>IF(tblPlan[[#This Row],[Process step]]="","",IFERROR(INDEX(tblSteps[Setups per shift],MATCH(tblPlan[[#This Row],[Process step]],tblSteps[Process step],0)),""))</f>
        <v>0</v>
      </c>
      <c r="W7" s="39">
        <f>IF(tblPlan[[#This Row],[Process step]]="","",IF(tblPlan[[#This Row],[Frequency]]="Per hour",tblPlan[[#This Row],[Times]]*ShiftHours,IF(tblPlan[[#This Row],[Frequency]]="Per shift",tblPlan[[#This Row],[Times]],IF(tblPlan[[#This Row],[Frequency]]="Per lot",tblPlan[[#This Row],[Times]]*LotsPerShift,IF(tblPlan[[#This Row],[Frequency]]="Per setup",tblPlan[[#This Row],[Times]]*tblPlan[[#This Row],[Setups per shift]],"")))))</f>
        <v>7.5</v>
      </c>
      <c r="X7" s="39">
        <f>IF(tblPlan[[#This Row],[Process step]]="","",IF(tblPlan[[#This Row],[Frequency]]="Every part",IF(tblPlan[[#This Row],[Rate (parts/h)]]="","",tblPlan[[#This Row],[Rate (parts/h)]]*ShiftHours),IF(tblPlan[[#This Row],[Checks (per shift)]]="","",tblPlan[[#This Row],[Sample size]]*tblPlan[[#This Row],[Checks (per shift)]])))</f>
        <v>7.5</v>
      </c>
      <c r="Y7" s="39">
        <f>IF(tblPlan[[#This Row],[Process step]]="","",IF(tblPlan[[#This Row],[Parts measured (per shift)]]="","",tblPlan[[#This Row],[Parts measured (per shift)]]*N(tblPlan[[#This Row],[Time per part (s)]])/60))</f>
        <v>1.25</v>
      </c>
      <c r="Z7" s="40">
        <f>IF(tblPlan[[#This Row],[Process step]]="","",IF(AND(ISNUMBER(tblPlan[[#This Row],[LSL]]),ISNUMBER(tblPlan[[#This Row],[USL]])),tblPlan[[#This Row],[USL]]-tblPlan[[#This Row],[LSL]],""))</f>
        <v>30</v>
      </c>
      <c r="AA7" s="41" t="str">
        <f>IF(tblPlan[[#This Row],[Process step]]="","",IF(ISNUMBER(tblPlan[[#This Row],[Cpk]]),IF(tblPlan[[#This Row],[Cpk]]&gt;=MinCpk,"Within limits","Out of limits"),IF(tblPlan[[#This Row],[Class]]&lt;&gt;"","Check","")))</f>
        <v>Within limits</v>
      </c>
      <c r="AB7" s="41">
        <f>IF(tblPlan[[#This Row],[Process step]]="","",IF(N(tblPlan[[#This Row],[GRR]])&gt;0,IF(tblPlan[[#This Row],[GRR]]&lt;=GrrOk,"Within limits",IF(tblPlan[[#This Row],[GRR]]&lt;=GrrMax,"Check","Out of limits")),""))</f>
        <v/>
      </c>
      <c r="AC7" s="42">
        <f>IF(tblPlan[[#This Row],[Process step]]="","",IF(ISNUMBER(tblPlan[[#This Row],[Cpk]]),SUMPRODUCT(ISNUMBER(tblPlan[Cpk])*(ROW(tblPlan[Cpk])&lt;=ROW(tblPlan[[#This Row],[Cpk]]))),""))</f>
        <v>1</v>
      </c>
      <c r="AD7" s="43" t="str">
        <f>IF(tblPlan[[#This Row],[Process step]]="","",IF(tblPlan[[#This Row],[Char. no.]]="","Missing char. no.",IF(tblPlan[[#This Row],[Evaluation method]]="","Missing evaluation method",IF(tblPlan[[#This Row],[Sample size]]="","Missing sample size",IF(tblPlan[[#This Row],[Frequency]]="","Missing frequency",IF(tblPlan[[#This Row],[Reaction plan]]="","Missing reaction plan",IF(tblPlan[[#This Row],[Rate (parts/h)]]="","Step not on Setup list",IF(COUNTIFS(tblPlan[Char. no.],tblPlan[[#This Row],[Char. no.]])&gt;1,"Duplicate characteristic number",IF(AND(ISNUMBER(tblPlan[[#This Row],[LSL]]),ISNUMBER(tblPlan[[#This Row],[USL]]),tblPlan[[#This Row],[LSL]]&gt;=tblPlan[[#This Row],[USL]]),"LSL not below USL",IF(AND(tblPlan[[#This Row],[Frequency]]&lt;&gt;"Every part",N(tblPlan[[#This Row],[Times]])=0),"Frequency needs Times",IF(AND(tblPlan[[#This Row],[Product characteristic]]="",tblPlan[[#This Row],[Process characteristic]]=""),"Missing characteristic","OK")))))))))))</f>
        <v>OK</v>
      </c>
    </row>
    <row r="8" spans="1:30" x14ac:dyDescent="0.25">
      <c r="B8" s="28" t="s">
        <v>95</v>
      </c>
      <c r="C8" s="28" t="s">
        <v>151</v>
      </c>
      <c r="D8" s="28" t="s">
        <v>152</v>
      </c>
      <c r="E8" s="28"/>
      <c r="F8" s="28" t="s">
        <v>114</v>
      </c>
      <c r="G8" s="28" t="s">
        <v>153</v>
      </c>
      <c r="H8" s="37"/>
      <c r="I8" s="37"/>
      <c r="J8" s="28" t="s">
        <v>154</v>
      </c>
      <c r="K8" s="28" t="s">
        <v>155</v>
      </c>
      <c r="L8" s="38">
        <v>1</v>
      </c>
      <c r="M8" s="28" t="s">
        <v>156</v>
      </c>
      <c r="N8" s="30">
        <v>1</v>
      </c>
      <c r="O8" s="30">
        <v>300</v>
      </c>
      <c r="P8" s="28" t="s">
        <v>157</v>
      </c>
      <c r="Q8" s="28" t="s">
        <v>158</v>
      </c>
      <c r="R8" s="32"/>
      <c r="S8" s="31"/>
      <c r="T8" s="28" t="s">
        <v>159</v>
      </c>
      <c r="U8" s="39">
        <f>IF(tblPlan[[#This Row],[Process step]]="","",IFERROR(INDEX(tblSteps[Rate (parts/h)],MATCH(tblPlan[[#This Row],[Process step]],tblSteps[Process step],0)),""))</f>
        <v>90</v>
      </c>
      <c r="V8" s="39">
        <f>IF(tblPlan[[#This Row],[Process step]]="","",IFERROR(INDEX(tblSteps[Setups per shift],MATCH(tblPlan[[#This Row],[Process step]],tblSteps[Process step],0)),""))</f>
        <v>0</v>
      </c>
      <c r="W8" s="39">
        <f>IF(tblPlan[[#This Row],[Process step]]="","",IF(tblPlan[[#This Row],[Frequency]]="Per hour",tblPlan[[#This Row],[Times]]*ShiftHours,IF(tblPlan[[#This Row],[Frequency]]="Per shift",tblPlan[[#This Row],[Times]],IF(tblPlan[[#This Row],[Frequency]]="Per lot",tblPlan[[#This Row],[Times]]*LotsPerShift,IF(tblPlan[[#This Row],[Frequency]]="Per setup",tblPlan[[#This Row],[Times]]*tblPlan[[#This Row],[Setups per shift]],"")))))</f>
        <v>2</v>
      </c>
      <c r="X8" s="39">
        <f>IF(tblPlan[[#This Row],[Process step]]="","",IF(tblPlan[[#This Row],[Frequency]]="Every part",IF(tblPlan[[#This Row],[Rate (parts/h)]]="","",tblPlan[[#This Row],[Rate (parts/h)]]*ShiftHours),IF(tblPlan[[#This Row],[Checks (per shift)]]="","",tblPlan[[#This Row],[Sample size]]*tblPlan[[#This Row],[Checks (per shift)]])))</f>
        <v>2</v>
      </c>
      <c r="Y8" s="39">
        <f>IF(tblPlan[[#This Row],[Process step]]="","",IF(tblPlan[[#This Row],[Parts measured (per shift)]]="","",tblPlan[[#This Row],[Parts measured (per shift)]]*N(tblPlan[[#This Row],[Time per part (s)]])/60))</f>
        <v>10</v>
      </c>
      <c r="Z8" s="40">
        <f>IF(tblPlan[[#This Row],[Process step]]="","",IF(AND(ISNUMBER(tblPlan[[#This Row],[LSL]]),ISNUMBER(tblPlan[[#This Row],[USL]])),tblPlan[[#This Row],[USL]]-tblPlan[[#This Row],[LSL]],""))</f>
        <v/>
      </c>
      <c r="AA8" s="41" t="str">
        <f>IF(tblPlan[[#This Row],[Process step]]="","",IF(ISNUMBER(tblPlan[[#This Row],[Cpk]]),IF(tblPlan[[#This Row],[Cpk]]&gt;=MinCpk,"Within limits","Out of limits"),IF(tblPlan[[#This Row],[Class]]&lt;&gt;"","Check","")))</f>
        <v>Check</v>
      </c>
      <c r="AB8" s="41">
        <f>IF(tblPlan[[#This Row],[Process step]]="","",IF(N(tblPlan[[#This Row],[GRR]])&gt;0,IF(tblPlan[[#This Row],[GRR]]&lt;=GrrOk,"Within limits",IF(tblPlan[[#This Row],[GRR]]&lt;=GrrMax,"Check","Out of limits")),""))</f>
        <v/>
      </c>
      <c r="AC8" s="42">
        <f>IF(tblPlan[[#This Row],[Process step]]="","",IF(ISNUMBER(tblPlan[[#This Row],[Cpk]]),SUMPRODUCT(ISNUMBER(tblPlan[Cpk])*(ROW(tblPlan[Cpk])&lt;=ROW(tblPlan[[#This Row],[Cpk]]))),""))</f>
        <v/>
      </c>
      <c r="AD8" s="43" t="str">
        <f>IF(tblPlan[[#This Row],[Process step]]="","",IF(tblPlan[[#This Row],[Char. no.]]="","Missing char. no.",IF(tblPlan[[#This Row],[Evaluation method]]="","Missing evaluation method",IF(tblPlan[[#This Row],[Sample size]]="","Missing sample size",IF(tblPlan[[#This Row],[Frequency]]="","Missing frequency",IF(tblPlan[[#This Row],[Reaction plan]]="","Missing reaction plan",IF(tblPlan[[#This Row],[Rate (parts/h)]]="","Step not on Setup list",IF(COUNTIFS(tblPlan[Char. no.],tblPlan[[#This Row],[Char. no.]])&gt;1,"Duplicate characteristic number",IF(AND(ISNUMBER(tblPlan[[#This Row],[LSL]]),ISNUMBER(tblPlan[[#This Row],[USL]]),tblPlan[[#This Row],[LSL]]&gt;=tblPlan[[#This Row],[USL]]),"LSL not below USL",IF(AND(tblPlan[[#This Row],[Frequency]]&lt;&gt;"Every part",N(tblPlan[[#This Row],[Times]])=0),"Frequency needs Times",IF(AND(tblPlan[[#This Row],[Product characteristic]]="",tblPlan[[#This Row],[Process characteristic]]=""),"Missing characteristic","OK")))))))))))</f>
        <v>OK</v>
      </c>
    </row>
    <row r="9" spans="1:30" x14ac:dyDescent="0.25">
      <c r="B9" s="28" t="s">
        <v>97</v>
      </c>
      <c r="C9" s="28" t="s">
        <v>160</v>
      </c>
      <c r="D9" s="28"/>
      <c r="E9" s="28" t="s">
        <v>161</v>
      </c>
      <c r="F9" s="28" t="s">
        <v>114</v>
      </c>
      <c r="G9" s="28" t="s">
        <v>162</v>
      </c>
      <c r="H9" s="37">
        <v>0</v>
      </c>
      <c r="I9" s="37">
        <v>2</v>
      </c>
      <c r="J9" s="28" t="s">
        <v>154</v>
      </c>
      <c r="K9" s="28" t="s">
        <v>163</v>
      </c>
      <c r="L9" s="38">
        <v>1</v>
      </c>
      <c r="M9" s="28" t="s">
        <v>156</v>
      </c>
      <c r="N9" s="30">
        <v>2</v>
      </c>
      <c r="O9" s="30">
        <v>420</v>
      </c>
      <c r="P9" s="28" t="s">
        <v>164</v>
      </c>
      <c r="Q9" s="28" t="s">
        <v>165</v>
      </c>
      <c r="R9" s="32">
        <v>1.41</v>
      </c>
      <c r="S9" s="31"/>
      <c r="T9" s="28" t="s">
        <v>166</v>
      </c>
      <c r="U9" s="39">
        <f>IF(tblPlan[[#This Row],[Process step]]="","",IFERROR(INDEX(tblSteps[Rate (parts/h)],MATCH(tblPlan[[#This Row],[Process step]],tblSteps[Process step],0)),""))</f>
        <v>90</v>
      </c>
      <c r="V9" s="39">
        <f>IF(tblPlan[[#This Row],[Process step]]="","",IFERROR(INDEX(tblSteps[Setups per shift],MATCH(tblPlan[[#This Row],[Process step]],tblSteps[Process step],0)),""))</f>
        <v>0</v>
      </c>
      <c r="W9" s="39">
        <f>IF(tblPlan[[#This Row],[Process step]]="","",IF(tblPlan[[#This Row],[Frequency]]="Per hour",tblPlan[[#This Row],[Times]]*ShiftHours,IF(tblPlan[[#This Row],[Frequency]]="Per shift",tblPlan[[#This Row],[Times]],IF(tblPlan[[#This Row],[Frequency]]="Per lot",tblPlan[[#This Row],[Times]]*LotsPerShift,IF(tblPlan[[#This Row],[Frequency]]="Per setup",tblPlan[[#This Row],[Times]]*tblPlan[[#This Row],[Setups per shift]],"")))))</f>
        <v>4</v>
      </c>
      <c r="X9" s="39">
        <f>IF(tblPlan[[#This Row],[Process step]]="","",IF(tblPlan[[#This Row],[Frequency]]="Every part",IF(tblPlan[[#This Row],[Rate (parts/h)]]="","",tblPlan[[#This Row],[Rate (parts/h)]]*ShiftHours),IF(tblPlan[[#This Row],[Checks (per shift)]]="","",tblPlan[[#This Row],[Sample size]]*tblPlan[[#This Row],[Checks (per shift)]])))</f>
        <v>4</v>
      </c>
      <c r="Y9" s="39">
        <f>IF(tblPlan[[#This Row],[Process step]]="","",IF(tblPlan[[#This Row],[Parts measured (per shift)]]="","",tblPlan[[#This Row],[Parts measured (per shift)]]*N(tblPlan[[#This Row],[Time per part (s)]])/60))</f>
        <v>28</v>
      </c>
      <c r="Z9" s="40">
        <f>IF(tblPlan[[#This Row],[Process step]]="","",IF(AND(ISNUMBER(tblPlan[[#This Row],[LSL]]),ISNUMBER(tblPlan[[#This Row],[USL]])),tblPlan[[#This Row],[USL]]-tblPlan[[#This Row],[LSL]],""))</f>
        <v>2</v>
      </c>
      <c r="AA9" s="41" t="str">
        <f>IF(tblPlan[[#This Row],[Process step]]="","",IF(ISNUMBER(tblPlan[[#This Row],[Cpk]]),IF(tblPlan[[#This Row],[Cpk]]&gt;=MinCpk,"Within limits","Out of limits"),IF(tblPlan[[#This Row],[Class]]&lt;&gt;"","Check","")))</f>
        <v>Within limits</v>
      </c>
      <c r="AB9" s="41">
        <f>IF(tblPlan[[#This Row],[Process step]]="","",IF(N(tblPlan[[#This Row],[GRR]])&gt;0,IF(tblPlan[[#This Row],[GRR]]&lt;=GrrOk,"Within limits",IF(tblPlan[[#This Row],[GRR]]&lt;=GrrMax,"Check","Out of limits")),""))</f>
        <v/>
      </c>
      <c r="AC9" s="42">
        <f>IF(tblPlan[[#This Row],[Process step]]="","",IF(ISNUMBER(tblPlan[[#This Row],[Cpk]]),SUMPRODUCT(ISNUMBER(tblPlan[Cpk])*(ROW(tblPlan[Cpk])&lt;=ROW(tblPlan[[#This Row],[Cpk]]))),""))</f>
        <v>2</v>
      </c>
      <c r="AD9" s="43" t="str">
        <f>IF(tblPlan[[#This Row],[Process step]]="","",IF(tblPlan[[#This Row],[Char. no.]]="","Missing char. no.",IF(tblPlan[[#This Row],[Evaluation method]]="","Missing evaluation method",IF(tblPlan[[#This Row],[Sample size]]="","Missing sample size",IF(tblPlan[[#This Row],[Frequency]]="","Missing frequency",IF(tblPlan[[#This Row],[Reaction plan]]="","Missing reaction plan",IF(tblPlan[[#This Row],[Rate (parts/h)]]="","Step not on Setup list",IF(COUNTIFS(tblPlan[Char. no.],tblPlan[[#This Row],[Char. no.]])&gt;1,"Duplicate characteristic number",IF(AND(ISNUMBER(tblPlan[[#This Row],[LSL]]),ISNUMBER(tblPlan[[#This Row],[USL]]),tblPlan[[#This Row],[LSL]]&gt;=tblPlan[[#This Row],[USL]]),"LSL not below USL",IF(AND(tblPlan[[#This Row],[Frequency]]&lt;&gt;"Every part",N(tblPlan[[#This Row],[Times]])=0),"Frequency needs Times",IF(AND(tblPlan[[#This Row],[Product characteristic]]="",tblPlan[[#This Row],[Process characteristic]]=""),"Missing characteristic","OK")))))))))))</f>
        <v>OK</v>
      </c>
    </row>
    <row r="10" spans="1:30" x14ac:dyDescent="0.25">
      <c r="B10" s="28" t="s">
        <v>97</v>
      </c>
      <c r="C10" s="28" t="s">
        <v>167</v>
      </c>
      <c r="D10" s="28"/>
      <c r="E10" s="28" t="s">
        <v>168</v>
      </c>
      <c r="F10" s="28"/>
      <c r="G10" s="28" t="s">
        <v>169</v>
      </c>
      <c r="H10" s="37">
        <v>450</v>
      </c>
      <c r="I10" s="37">
        <v>550</v>
      </c>
      <c r="J10" s="28" t="s">
        <v>170</v>
      </c>
      <c r="K10" s="28" t="s">
        <v>171</v>
      </c>
      <c r="L10" s="38">
        <v>1</v>
      </c>
      <c r="M10" s="28" t="s">
        <v>172</v>
      </c>
      <c r="N10" s="30">
        <v>2</v>
      </c>
      <c r="O10" s="30">
        <v>15</v>
      </c>
      <c r="P10" s="28" t="s">
        <v>173</v>
      </c>
      <c r="Q10" s="28" t="s">
        <v>174</v>
      </c>
      <c r="R10" s="32"/>
      <c r="S10" s="31"/>
      <c r="T10" s="28" t="s">
        <v>166</v>
      </c>
      <c r="U10" s="39">
        <f>IF(tblPlan[[#This Row],[Process step]]="","",IFERROR(INDEX(tblSteps[Rate (parts/h)],MATCH(tblPlan[[#This Row],[Process step]],tblSteps[Process step],0)),""))</f>
        <v>90</v>
      </c>
      <c r="V10" s="39">
        <f>IF(tblPlan[[#This Row],[Process step]]="","",IFERROR(INDEX(tblSteps[Setups per shift],MATCH(tblPlan[[#This Row],[Process step]],tblSteps[Process step],0)),""))</f>
        <v>0</v>
      </c>
      <c r="W10" s="39">
        <f>IF(tblPlan[[#This Row],[Process step]]="","",IF(tblPlan[[#This Row],[Frequency]]="Per hour",tblPlan[[#This Row],[Times]]*ShiftHours,IF(tblPlan[[#This Row],[Frequency]]="Per shift",tblPlan[[#This Row],[Times]],IF(tblPlan[[#This Row],[Frequency]]="Per lot",tblPlan[[#This Row],[Times]]*LotsPerShift,IF(tblPlan[[#This Row],[Frequency]]="Per setup",tblPlan[[#This Row],[Times]]*tblPlan[[#This Row],[Setups per shift]],"")))))</f>
        <v>2</v>
      </c>
      <c r="X10" s="39">
        <f>IF(tblPlan[[#This Row],[Process step]]="","",IF(tblPlan[[#This Row],[Frequency]]="Every part",IF(tblPlan[[#This Row],[Rate (parts/h)]]="","",tblPlan[[#This Row],[Rate (parts/h)]]*ShiftHours),IF(tblPlan[[#This Row],[Checks (per shift)]]="","",tblPlan[[#This Row],[Sample size]]*tblPlan[[#This Row],[Checks (per shift)]])))</f>
        <v>2</v>
      </c>
      <c r="Y10" s="39">
        <f>IF(tblPlan[[#This Row],[Process step]]="","",IF(tblPlan[[#This Row],[Parts measured (per shift)]]="","",tblPlan[[#This Row],[Parts measured (per shift)]]*N(tblPlan[[#This Row],[Time per part (s)]])/60))</f>
        <v>0.5</v>
      </c>
      <c r="Z10" s="40">
        <f>IF(tblPlan[[#This Row],[Process step]]="","",IF(AND(ISNUMBER(tblPlan[[#This Row],[LSL]]),ISNUMBER(tblPlan[[#This Row],[USL]])),tblPlan[[#This Row],[USL]]-tblPlan[[#This Row],[LSL]],""))</f>
        <v>100</v>
      </c>
      <c r="AA10" s="41">
        <f>IF(tblPlan[[#This Row],[Process step]]="","",IF(ISNUMBER(tblPlan[[#This Row],[Cpk]]),IF(tblPlan[[#This Row],[Cpk]]&gt;=MinCpk,"Within limits","Out of limits"),IF(tblPlan[[#This Row],[Class]]&lt;&gt;"","Check","")))</f>
        <v/>
      </c>
      <c r="AB10" s="41">
        <f>IF(tblPlan[[#This Row],[Process step]]="","",IF(N(tblPlan[[#This Row],[GRR]])&gt;0,IF(tblPlan[[#This Row],[GRR]]&lt;=GrrOk,"Within limits",IF(tblPlan[[#This Row],[GRR]]&lt;=GrrMax,"Check","Out of limits")),""))</f>
        <v/>
      </c>
      <c r="AC10" s="42">
        <f>IF(tblPlan[[#This Row],[Process step]]="","",IF(ISNUMBER(tblPlan[[#This Row],[Cpk]]),SUMPRODUCT(ISNUMBER(tblPlan[Cpk])*(ROW(tblPlan[Cpk])&lt;=ROW(tblPlan[[#This Row],[Cpk]]))),""))</f>
        <v/>
      </c>
      <c r="AD10" s="43" t="str">
        <f>IF(tblPlan[[#This Row],[Process step]]="","",IF(tblPlan[[#This Row],[Char. no.]]="","Missing char. no.",IF(tblPlan[[#This Row],[Evaluation method]]="","Missing evaluation method",IF(tblPlan[[#This Row],[Sample size]]="","Missing sample size",IF(tblPlan[[#This Row],[Frequency]]="","Missing frequency",IF(tblPlan[[#This Row],[Reaction plan]]="","Missing reaction plan",IF(tblPlan[[#This Row],[Rate (parts/h)]]="","Step not on Setup list",IF(COUNTIFS(tblPlan[Char. no.],tblPlan[[#This Row],[Char. no.]])&gt;1,"Duplicate characteristic number",IF(AND(ISNUMBER(tblPlan[[#This Row],[LSL]]),ISNUMBER(tblPlan[[#This Row],[USL]]),tblPlan[[#This Row],[LSL]]&gt;=tblPlan[[#This Row],[USL]]),"LSL not below USL",IF(AND(tblPlan[[#This Row],[Frequency]]&lt;&gt;"Every part",N(tblPlan[[#This Row],[Times]])=0),"Frequency needs Times",IF(AND(tblPlan[[#This Row],[Product characteristic]]="",tblPlan[[#This Row],[Process characteristic]]=""),"Missing characteristic","OK")))))))))))</f>
        <v>OK</v>
      </c>
    </row>
    <row r="11" spans="1:30" x14ac:dyDescent="0.25">
      <c r="B11" s="28" t="s">
        <v>99</v>
      </c>
      <c r="C11" s="28" t="s">
        <v>175</v>
      </c>
      <c r="D11" s="28"/>
      <c r="E11" s="28" t="s">
        <v>176</v>
      </c>
      <c r="F11" s="28" t="s">
        <v>112</v>
      </c>
      <c r="G11" s="28" t="s">
        <v>177</v>
      </c>
      <c r="H11" s="37">
        <v>800</v>
      </c>
      <c r="I11" s="37">
        <v>900</v>
      </c>
      <c r="J11" s="28" t="s">
        <v>178</v>
      </c>
      <c r="K11" s="28" t="s">
        <v>179</v>
      </c>
      <c r="L11" s="38">
        <v>1</v>
      </c>
      <c r="M11" s="28" t="s">
        <v>180</v>
      </c>
      <c r="N11" s="30"/>
      <c r="O11" s="30">
        <v>0</v>
      </c>
      <c r="P11" s="28" t="s">
        <v>181</v>
      </c>
      <c r="Q11" s="28" t="s">
        <v>182</v>
      </c>
      <c r="R11" s="32">
        <v>1.25</v>
      </c>
      <c r="S11" s="31"/>
      <c r="T11" s="28" t="s">
        <v>183</v>
      </c>
      <c r="U11" s="39">
        <f>IF(tblPlan[[#This Row],[Process step]]="","",IFERROR(INDEX(tblSteps[Rate (parts/h)],MATCH(tblPlan[[#This Row],[Process step]],tblSteps[Process step],0)),""))</f>
        <v>90</v>
      </c>
      <c r="V11" s="39">
        <f>IF(tblPlan[[#This Row],[Process step]]="","",IFERROR(INDEX(tblSteps[Setups per shift],MATCH(tblPlan[[#This Row],[Process step]],tblSteps[Process step],0)),""))</f>
        <v>1</v>
      </c>
      <c r="W11" s="39">
        <f>IF(tblPlan[[#This Row],[Process step]]="","",IF(tblPlan[[#This Row],[Frequency]]="Per hour",tblPlan[[#This Row],[Times]]*ShiftHours,IF(tblPlan[[#This Row],[Frequency]]="Per shift",tblPlan[[#This Row],[Times]],IF(tblPlan[[#This Row],[Frequency]]="Per lot",tblPlan[[#This Row],[Times]]*LotsPerShift,IF(tblPlan[[#This Row],[Frequency]]="Per setup",tblPlan[[#This Row],[Times]]*tblPlan[[#This Row],[Setups per shift]],"")))))</f>
        <v/>
      </c>
      <c r="X11" s="39">
        <f>IF(tblPlan[[#This Row],[Process step]]="","",IF(tblPlan[[#This Row],[Frequency]]="Every part",IF(tblPlan[[#This Row],[Rate (parts/h)]]="","",tblPlan[[#This Row],[Rate (parts/h)]]*ShiftHours),IF(tblPlan[[#This Row],[Checks (per shift)]]="","",tblPlan[[#This Row],[Sample size]]*tblPlan[[#This Row],[Checks (per shift)]])))</f>
        <v>675</v>
      </c>
      <c r="Y11" s="39">
        <f>IF(tblPlan[[#This Row],[Process step]]="","",IF(tblPlan[[#This Row],[Parts measured (per shift)]]="","",tblPlan[[#This Row],[Parts measured (per shift)]]*N(tblPlan[[#This Row],[Time per part (s)]])/60))</f>
        <v>0</v>
      </c>
      <c r="Z11" s="40">
        <f>IF(tblPlan[[#This Row],[Process step]]="","",IF(AND(ISNUMBER(tblPlan[[#This Row],[LSL]]),ISNUMBER(tblPlan[[#This Row],[USL]])),tblPlan[[#This Row],[USL]]-tblPlan[[#This Row],[LSL]],""))</f>
        <v>100</v>
      </c>
      <c r="AA11" s="41" t="str">
        <f>IF(tblPlan[[#This Row],[Process step]]="","",IF(ISNUMBER(tblPlan[[#This Row],[Cpk]]),IF(tblPlan[[#This Row],[Cpk]]&gt;=MinCpk,"Within limits","Out of limits"),IF(tblPlan[[#This Row],[Class]]&lt;&gt;"","Check","")))</f>
        <v>Out of limits</v>
      </c>
      <c r="AB11" s="41">
        <f>IF(tblPlan[[#This Row],[Process step]]="","",IF(N(tblPlan[[#This Row],[GRR]])&gt;0,IF(tblPlan[[#This Row],[GRR]]&lt;=GrrOk,"Within limits",IF(tblPlan[[#This Row],[GRR]]&lt;=GrrMax,"Check","Out of limits")),""))</f>
        <v/>
      </c>
      <c r="AC11" s="42">
        <f>IF(tblPlan[[#This Row],[Process step]]="","",IF(ISNUMBER(tblPlan[[#This Row],[Cpk]]),SUMPRODUCT(ISNUMBER(tblPlan[Cpk])*(ROW(tblPlan[Cpk])&lt;=ROW(tblPlan[[#This Row],[Cpk]]))),""))</f>
        <v>3</v>
      </c>
      <c r="AD11" s="43" t="str">
        <f>IF(tblPlan[[#This Row],[Process step]]="","",IF(tblPlan[[#This Row],[Char. no.]]="","Missing char. no.",IF(tblPlan[[#This Row],[Evaluation method]]="","Missing evaluation method",IF(tblPlan[[#This Row],[Sample size]]="","Missing sample size",IF(tblPlan[[#This Row],[Frequency]]="","Missing frequency",IF(tblPlan[[#This Row],[Reaction plan]]="","Missing reaction plan",IF(tblPlan[[#This Row],[Rate (parts/h)]]="","Step not on Setup list",IF(COUNTIFS(tblPlan[Char. no.],tblPlan[[#This Row],[Char. no.]])&gt;1,"Duplicate characteristic number",IF(AND(ISNUMBER(tblPlan[[#This Row],[LSL]]),ISNUMBER(tblPlan[[#This Row],[USL]]),tblPlan[[#This Row],[LSL]]&gt;=tblPlan[[#This Row],[USL]]),"LSL not below USL",IF(AND(tblPlan[[#This Row],[Frequency]]&lt;&gt;"Every part",N(tblPlan[[#This Row],[Times]])=0),"Frequency needs Times",IF(AND(tblPlan[[#This Row],[Product characteristic]]="",tblPlan[[#This Row],[Process characteristic]]=""),"Missing characteristic","OK")))))))))))</f>
        <v>OK</v>
      </c>
    </row>
    <row r="12" spans="1:30" x14ac:dyDescent="0.25">
      <c r="B12" s="28" t="s">
        <v>99</v>
      </c>
      <c r="C12" s="28" t="s">
        <v>184</v>
      </c>
      <c r="D12" s="28"/>
      <c r="E12" s="28" t="s">
        <v>185</v>
      </c>
      <c r="F12" s="28"/>
      <c r="G12" s="28" t="s">
        <v>186</v>
      </c>
      <c r="H12" s="37">
        <v>200</v>
      </c>
      <c r="I12" s="37">
        <v>250</v>
      </c>
      <c r="J12" s="28" t="s">
        <v>145</v>
      </c>
      <c r="K12" s="28" t="s">
        <v>187</v>
      </c>
      <c r="L12" s="38">
        <v>1</v>
      </c>
      <c r="M12" s="28" t="s">
        <v>147</v>
      </c>
      <c r="N12" s="30">
        <v>1</v>
      </c>
      <c r="O12" s="30">
        <v>30</v>
      </c>
      <c r="P12" s="28" t="s">
        <v>188</v>
      </c>
      <c r="Q12" s="28" t="s">
        <v>189</v>
      </c>
      <c r="R12" s="32">
        <v>1.48</v>
      </c>
      <c r="S12" s="31"/>
      <c r="T12" s="28" t="s">
        <v>183</v>
      </c>
      <c r="U12" s="39">
        <f>IF(tblPlan[[#This Row],[Process step]]="","",IFERROR(INDEX(tblSteps[Rate (parts/h)],MATCH(tblPlan[[#This Row],[Process step]],tblSteps[Process step],0)),""))</f>
        <v>90</v>
      </c>
      <c r="V12" s="39">
        <f>IF(tblPlan[[#This Row],[Process step]]="","",IFERROR(INDEX(tblSteps[Setups per shift],MATCH(tblPlan[[#This Row],[Process step]],tblSteps[Process step],0)),""))</f>
        <v>1</v>
      </c>
      <c r="W12" s="39">
        <f>IF(tblPlan[[#This Row],[Process step]]="","",IF(tblPlan[[#This Row],[Frequency]]="Per hour",tblPlan[[#This Row],[Times]]*ShiftHours,IF(tblPlan[[#This Row],[Frequency]]="Per shift",tblPlan[[#This Row],[Times]],IF(tblPlan[[#This Row],[Frequency]]="Per lot",tblPlan[[#This Row],[Times]]*LotsPerShift,IF(tblPlan[[#This Row],[Frequency]]="Per setup",tblPlan[[#This Row],[Times]]*tblPlan[[#This Row],[Setups per shift]],"")))))</f>
        <v>7.5</v>
      </c>
      <c r="X12" s="39">
        <f>IF(tblPlan[[#This Row],[Process step]]="","",IF(tblPlan[[#This Row],[Frequency]]="Every part",IF(tblPlan[[#This Row],[Rate (parts/h)]]="","",tblPlan[[#This Row],[Rate (parts/h)]]*ShiftHours),IF(tblPlan[[#This Row],[Checks (per shift)]]="","",tblPlan[[#This Row],[Sample size]]*tblPlan[[#This Row],[Checks (per shift)]])))</f>
        <v>7.5</v>
      </c>
      <c r="Y12" s="39">
        <f>IF(tblPlan[[#This Row],[Process step]]="","",IF(tblPlan[[#This Row],[Parts measured (per shift)]]="","",tblPlan[[#This Row],[Parts measured (per shift)]]*N(tblPlan[[#This Row],[Time per part (s)]])/60))</f>
        <v>3.75</v>
      </c>
      <c r="Z12" s="40">
        <f>IF(tblPlan[[#This Row],[Process step]]="","",IF(AND(ISNUMBER(tblPlan[[#This Row],[LSL]]),ISNUMBER(tblPlan[[#This Row],[USL]])),tblPlan[[#This Row],[USL]]-tblPlan[[#This Row],[LSL]],""))</f>
        <v>50</v>
      </c>
      <c r="AA12" s="41" t="str">
        <f>IF(tblPlan[[#This Row],[Process step]]="","",IF(ISNUMBER(tblPlan[[#This Row],[Cpk]]),IF(tblPlan[[#This Row],[Cpk]]&gt;=MinCpk,"Within limits","Out of limits"),IF(tblPlan[[#This Row],[Class]]&lt;&gt;"","Check","")))</f>
        <v>Within limits</v>
      </c>
      <c r="AB12" s="41">
        <f>IF(tblPlan[[#This Row],[Process step]]="","",IF(N(tblPlan[[#This Row],[GRR]])&gt;0,IF(tblPlan[[#This Row],[GRR]]&lt;=GrrOk,"Within limits",IF(tblPlan[[#This Row],[GRR]]&lt;=GrrMax,"Check","Out of limits")),""))</f>
        <v/>
      </c>
      <c r="AC12" s="42">
        <f>IF(tblPlan[[#This Row],[Process step]]="","",IF(ISNUMBER(tblPlan[[#This Row],[Cpk]]),SUMPRODUCT(ISNUMBER(tblPlan[Cpk])*(ROW(tblPlan[Cpk])&lt;=ROW(tblPlan[[#This Row],[Cpk]]))),""))</f>
        <v>4</v>
      </c>
      <c r="AD12" s="43" t="str">
        <f>IF(tblPlan[[#This Row],[Process step]]="","",IF(tblPlan[[#This Row],[Char. no.]]="","Missing char. no.",IF(tblPlan[[#This Row],[Evaluation method]]="","Missing evaluation method",IF(tblPlan[[#This Row],[Sample size]]="","Missing sample size",IF(tblPlan[[#This Row],[Frequency]]="","Missing frequency",IF(tblPlan[[#This Row],[Reaction plan]]="","Missing reaction plan",IF(tblPlan[[#This Row],[Rate (parts/h)]]="","Step not on Setup list",IF(COUNTIFS(tblPlan[Char. no.],tblPlan[[#This Row],[Char. no.]])&gt;1,"Duplicate characteristic number",IF(AND(ISNUMBER(tblPlan[[#This Row],[LSL]]),ISNUMBER(tblPlan[[#This Row],[USL]]),tblPlan[[#This Row],[LSL]]&gt;=tblPlan[[#This Row],[USL]]),"LSL not below USL",IF(AND(tblPlan[[#This Row],[Frequency]]&lt;&gt;"Every part",N(tblPlan[[#This Row],[Times]])=0),"Frequency needs Times",IF(AND(tblPlan[[#This Row],[Product characteristic]]="",tblPlan[[#This Row],[Process characteristic]]=""),"Missing characteristic","OK")))))))))))</f>
        <v>OK</v>
      </c>
    </row>
    <row r="13" spans="1:30" x14ac:dyDescent="0.25">
      <c r="B13" s="28" t="s">
        <v>99</v>
      </c>
      <c r="C13" s="28" t="s">
        <v>190</v>
      </c>
      <c r="D13" s="28" t="s">
        <v>191</v>
      </c>
      <c r="E13" s="28"/>
      <c r="F13" s="28" t="s">
        <v>114</v>
      </c>
      <c r="G13" s="28" t="s">
        <v>192</v>
      </c>
      <c r="H13" s="37"/>
      <c r="I13" s="37"/>
      <c r="J13" s="28" t="s">
        <v>193</v>
      </c>
      <c r="K13" s="28" t="s">
        <v>194</v>
      </c>
      <c r="L13" s="38">
        <v>1</v>
      </c>
      <c r="M13" s="28" t="s">
        <v>180</v>
      </c>
      <c r="N13" s="30"/>
      <c r="O13" s="30">
        <v>4</v>
      </c>
      <c r="P13" s="28" t="s">
        <v>195</v>
      </c>
      <c r="Q13" s="28" t="s">
        <v>196</v>
      </c>
      <c r="R13" s="32"/>
      <c r="S13" s="31"/>
      <c r="T13" s="28" t="s">
        <v>183</v>
      </c>
      <c r="U13" s="39">
        <f>IF(tblPlan[[#This Row],[Process step]]="","",IFERROR(INDEX(tblSteps[Rate (parts/h)],MATCH(tblPlan[[#This Row],[Process step]],tblSteps[Process step],0)),""))</f>
        <v>90</v>
      </c>
      <c r="V13" s="39">
        <f>IF(tblPlan[[#This Row],[Process step]]="","",IFERROR(INDEX(tblSteps[Setups per shift],MATCH(tblPlan[[#This Row],[Process step]],tblSteps[Process step],0)),""))</f>
        <v>1</v>
      </c>
      <c r="W13" s="39">
        <f>IF(tblPlan[[#This Row],[Process step]]="","",IF(tblPlan[[#This Row],[Frequency]]="Per hour",tblPlan[[#This Row],[Times]]*ShiftHours,IF(tblPlan[[#This Row],[Frequency]]="Per shift",tblPlan[[#This Row],[Times]],IF(tblPlan[[#This Row],[Frequency]]="Per lot",tblPlan[[#This Row],[Times]]*LotsPerShift,IF(tblPlan[[#This Row],[Frequency]]="Per setup",tblPlan[[#This Row],[Times]]*tblPlan[[#This Row],[Setups per shift]],"")))))</f>
        <v/>
      </c>
      <c r="X13" s="39">
        <f>IF(tblPlan[[#This Row],[Process step]]="","",IF(tblPlan[[#This Row],[Frequency]]="Every part",IF(tblPlan[[#This Row],[Rate (parts/h)]]="","",tblPlan[[#This Row],[Rate (parts/h)]]*ShiftHours),IF(tblPlan[[#This Row],[Checks (per shift)]]="","",tblPlan[[#This Row],[Sample size]]*tblPlan[[#This Row],[Checks (per shift)]])))</f>
        <v>675</v>
      </c>
      <c r="Y13" s="39">
        <f>IF(tblPlan[[#This Row],[Process step]]="","",IF(tblPlan[[#This Row],[Parts measured (per shift)]]="","",tblPlan[[#This Row],[Parts measured (per shift)]]*N(tblPlan[[#This Row],[Time per part (s)]])/60))</f>
        <v>45</v>
      </c>
      <c r="Z13" s="40">
        <f>IF(tblPlan[[#This Row],[Process step]]="","",IF(AND(ISNUMBER(tblPlan[[#This Row],[LSL]]),ISNUMBER(tblPlan[[#This Row],[USL]])),tblPlan[[#This Row],[USL]]-tblPlan[[#This Row],[LSL]],""))</f>
        <v/>
      </c>
      <c r="AA13" s="41" t="str">
        <f>IF(tblPlan[[#This Row],[Process step]]="","",IF(ISNUMBER(tblPlan[[#This Row],[Cpk]]),IF(tblPlan[[#This Row],[Cpk]]&gt;=MinCpk,"Within limits","Out of limits"),IF(tblPlan[[#This Row],[Class]]&lt;&gt;"","Check","")))</f>
        <v>Check</v>
      </c>
      <c r="AB13" s="41">
        <f>IF(tblPlan[[#This Row],[Process step]]="","",IF(N(tblPlan[[#This Row],[GRR]])&gt;0,IF(tblPlan[[#This Row],[GRR]]&lt;=GrrOk,"Within limits",IF(tblPlan[[#This Row],[GRR]]&lt;=GrrMax,"Check","Out of limits")),""))</f>
        <v/>
      </c>
      <c r="AC13" s="42">
        <f>IF(tblPlan[[#This Row],[Process step]]="","",IF(ISNUMBER(tblPlan[[#This Row],[Cpk]]),SUMPRODUCT(ISNUMBER(tblPlan[Cpk])*(ROW(tblPlan[Cpk])&lt;=ROW(tblPlan[[#This Row],[Cpk]]))),""))</f>
        <v/>
      </c>
      <c r="AD13" s="43" t="str">
        <f>IF(tblPlan[[#This Row],[Process step]]="","",IF(tblPlan[[#This Row],[Char. no.]]="","Missing char. no.",IF(tblPlan[[#This Row],[Evaluation method]]="","Missing evaluation method",IF(tblPlan[[#This Row],[Sample size]]="","Missing sample size",IF(tblPlan[[#This Row],[Frequency]]="","Missing frequency",IF(tblPlan[[#This Row],[Reaction plan]]="","Missing reaction plan",IF(tblPlan[[#This Row],[Rate (parts/h)]]="","Step not on Setup list",IF(COUNTIFS(tblPlan[Char. no.],tblPlan[[#This Row],[Char. no.]])&gt;1,"Duplicate characteristic number",IF(AND(ISNUMBER(tblPlan[[#This Row],[LSL]]),ISNUMBER(tblPlan[[#This Row],[USL]]),tblPlan[[#This Row],[LSL]]&gt;=tblPlan[[#This Row],[USL]]),"LSL not below USL",IF(AND(tblPlan[[#This Row],[Frequency]]&lt;&gt;"Every part",N(tblPlan[[#This Row],[Times]])=0),"Frequency needs Times",IF(AND(tblPlan[[#This Row],[Product characteristic]]="",tblPlan[[#This Row],[Process characteristic]]=""),"Missing characteristic","OK")))))))))))</f>
        <v>OK</v>
      </c>
    </row>
    <row r="14" spans="1:30" x14ac:dyDescent="0.25">
      <c r="B14" s="28" t="s">
        <v>101</v>
      </c>
      <c r="C14" s="28" t="s">
        <v>197</v>
      </c>
      <c r="D14" s="28" t="s">
        <v>198</v>
      </c>
      <c r="E14" s="28"/>
      <c r="F14" s="28"/>
      <c r="G14" s="28" t="s">
        <v>199</v>
      </c>
      <c r="H14" s="37">
        <v>0</v>
      </c>
      <c r="I14" s="37">
        <v>0.2</v>
      </c>
      <c r="J14" s="28" t="s">
        <v>200</v>
      </c>
      <c r="K14" s="28" t="s">
        <v>201</v>
      </c>
      <c r="L14" s="38">
        <v>1</v>
      </c>
      <c r="M14" s="28" t="s">
        <v>147</v>
      </c>
      <c r="N14" s="30">
        <v>3</v>
      </c>
      <c r="O14" s="30">
        <v>12</v>
      </c>
      <c r="P14" s="28" t="s">
        <v>202</v>
      </c>
      <c r="Q14" s="28" t="s">
        <v>203</v>
      </c>
      <c r="R14" s="32"/>
      <c r="S14" s="31"/>
      <c r="T14" s="28" t="s">
        <v>204</v>
      </c>
      <c r="U14" s="39">
        <f>IF(tblPlan[[#This Row],[Process step]]="","",IFERROR(INDEX(tblSteps[Rate (parts/h)],MATCH(tblPlan[[#This Row],[Process step]],tblSteps[Process step],0)),""))</f>
        <v>90</v>
      </c>
      <c r="V14" s="39">
        <f>IF(tblPlan[[#This Row],[Process step]]="","",IFERROR(INDEX(tblSteps[Setups per shift],MATCH(tblPlan[[#This Row],[Process step]],tblSteps[Process step],0)),""))</f>
        <v>1</v>
      </c>
      <c r="W14" s="39">
        <f>IF(tblPlan[[#This Row],[Process step]]="","",IF(tblPlan[[#This Row],[Frequency]]="Per hour",tblPlan[[#This Row],[Times]]*ShiftHours,IF(tblPlan[[#This Row],[Frequency]]="Per shift",tblPlan[[#This Row],[Times]],IF(tblPlan[[#This Row],[Frequency]]="Per lot",tblPlan[[#This Row],[Times]]*LotsPerShift,IF(tblPlan[[#This Row],[Frequency]]="Per setup",tblPlan[[#This Row],[Times]]*tblPlan[[#This Row],[Setups per shift]],"")))))</f>
        <v>22.5</v>
      </c>
      <c r="X14" s="39">
        <f>IF(tblPlan[[#This Row],[Process step]]="","",IF(tblPlan[[#This Row],[Frequency]]="Every part",IF(tblPlan[[#This Row],[Rate (parts/h)]]="","",tblPlan[[#This Row],[Rate (parts/h)]]*ShiftHours),IF(tblPlan[[#This Row],[Checks (per shift)]]="","",tblPlan[[#This Row],[Sample size]]*tblPlan[[#This Row],[Checks (per shift)]])))</f>
        <v>22.5</v>
      </c>
      <c r="Y14" s="39">
        <f>IF(tblPlan[[#This Row],[Process step]]="","",IF(tblPlan[[#This Row],[Parts measured (per shift)]]="","",tblPlan[[#This Row],[Parts measured (per shift)]]*N(tblPlan[[#This Row],[Time per part (s)]])/60))</f>
        <v>4.5</v>
      </c>
      <c r="Z14" s="40">
        <f>IF(tblPlan[[#This Row],[Process step]]="","",IF(AND(ISNUMBER(tblPlan[[#This Row],[LSL]]),ISNUMBER(tblPlan[[#This Row],[USL]])),tblPlan[[#This Row],[USL]]-tblPlan[[#This Row],[LSL]],""))</f>
        <v>0.2</v>
      </c>
      <c r="AA14" s="41">
        <f>IF(tblPlan[[#This Row],[Process step]]="","",IF(ISNUMBER(tblPlan[[#This Row],[Cpk]]),IF(tblPlan[[#This Row],[Cpk]]&gt;=MinCpk,"Within limits","Out of limits"),IF(tblPlan[[#This Row],[Class]]&lt;&gt;"","Check","")))</f>
        <v/>
      </c>
      <c r="AB14" s="41">
        <f>IF(tblPlan[[#This Row],[Process step]]="","",IF(N(tblPlan[[#This Row],[GRR]])&gt;0,IF(tblPlan[[#This Row],[GRR]]&lt;=GrrOk,"Within limits",IF(tblPlan[[#This Row],[GRR]]&lt;=GrrMax,"Check","Out of limits")),""))</f>
        <v/>
      </c>
      <c r="AC14" s="42">
        <f>IF(tblPlan[[#This Row],[Process step]]="","",IF(ISNUMBER(tblPlan[[#This Row],[Cpk]]),SUMPRODUCT(ISNUMBER(tblPlan[Cpk])*(ROW(tblPlan[Cpk])&lt;=ROW(tblPlan[[#This Row],[Cpk]]))),""))</f>
        <v/>
      </c>
      <c r="AD14" s="43" t="str">
        <f>IF(tblPlan[[#This Row],[Process step]]="","",IF(tblPlan[[#This Row],[Char. no.]]="","Missing char. no.",IF(tblPlan[[#This Row],[Evaluation method]]="","Missing evaluation method",IF(tblPlan[[#This Row],[Sample size]]="","Missing sample size",IF(tblPlan[[#This Row],[Frequency]]="","Missing frequency",IF(tblPlan[[#This Row],[Reaction plan]]="","Missing reaction plan",IF(tblPlan[[#This Row],[Rate (parts/h)]]="","Step not on Setup list",IF(COUNTIFS(tblPlan[Char. no.],tblPlan[[#This Row],[Char. no.]])&gt;1,"Duplicate characteristic number",IF(AND(ISNUMBER(tblPlan[[#This Row],[LSL]]),ISNUMBER(tblPlan[[#This Row],[USL]]),tblPlan[[#This Row],[LSL]]&gt;=tblPlan[[#This Row],[USL]]),"LSL not below USL",IF(AND(tblPlan[[#This Row],[Frequency]]&lt;&gt;"Every part",N(tblPlan[[#This Row],[Times]])=0),"Frequency needs Times",IF(AND(tblPlan[[#This Row],[Product characteristic]]="",tblPlan[[#This Row],[Process characteristic]]=""),"Missing characteristic","OK")))))))))))</f>
        <v>OK</v>
      </c>
    </row>
    <row r="15" spans="1:30" x14ac:dyDescent="0.25">
      <c r="B15" s="28" t="s">
        <v>103</v>
      </c>
      <c r="C15" s="28" t="s">
        <v>205</v>
      </c>
      <c r="D15" s="28" t="s">
        <v>206</v>
      </c>
      <c r="E15" s="28"/>
      <c r="F15" s="28" t="s">
        <v>112</v>
      </c>
      <c r="G15" s="28" t="s">
        <v>207</v>
      </c>
      <c r="H15" s="37"/>
      <c r="I15" s="37"/>
      <c r="J15" s="28" t="s">
        <v>193</v>
      </c>
      <c r="K15" s="28" t="s">
        <v>208</v>
      </c>
      <c r="L15" s="38">
        <v>1</v>
      </c>
      <c r="M15" s="28" t="s">
        <v>180</v>
      </c>
      <c r="N15" s="30"/>
      <c r="O15" s="30">
        <v>8</v>
      </c>
      <c r="P15" s="28" t="s">
        <v>209</v>
      </c>
      <c r="Q15" s="28" t="s">
        <v>210</v>
      </c>
      <c r="R15" s="32"/>
      <c r="S15" s="31"/>
      <c r="T15" s="28" t="s">
        <v>211</v>
      </c>
      <c r="U15" s="39">
        <f>IF(tblPlan[[#This Row],[Process step]]="","",IFERROR(INDEX(tblSteps[Rate (parts/h)],MATCH(tblPlan[[#This Row],[Process step]],tblSteps[Process step],0)),""))</f>
        <v>90</v>
      </c>
      <c r="V15" s="39">
        <f>IF(tblPlan[[#This Row],[Process step]]="","",IFERROR(INDEX(tblSteps[Setups per shift],MATCH(tblPlan[[#This Row],[Process step]],tblSteps[Process step],0)),""))</f>
        <v>0</v>
      </c>
      <c r="W15" s="39">
        <f>IF(tblPlan[[#This Row],[Process step]]="","",IF(tblPlan[[#This Row],[Frequency]]="Per hour",tblPlan[[#This Row],[Times]]*ShiftHours,IF(tblPlan[[#This Row],[Frequency]]="Per shift",tblPlan[[#This Row],[Times]],IF(tblPlan[[#This Row],[Frequency]]="Per lot",tblPlan[[#This Row],[Times]]*LotsPerShift,IF(tblPlan[[#This Row],[Frequency]]="Per setup",tblPlan[[#This Row],[Times]]*tblPlan[[#This Row],[Setups per shift]],"")))))</f>
        <v/>
      </c>
      <c r="X15" s="39">
        <f>IF(tblPlan[[#This Row],[Process step]]="","",IF(tblPlan[[#This Row],[Frequency]]="Every part",IF(tblPlan[[#This Row],[Rate (parts/h)]]="","",tblPlan[[#This Row],[Rate (parts/h)]]*ShiftHours),IF(tblPlan[[#This Row],[Checks (per shift)]]="","",tblPlan[[#This Row],[Sample size]]*tblPlan[[#This Row],[Checks (per shift)]])))</f>
        <v>675</v>
      </c>
      <c r="Y15" s="39">
        <f>IF(tblPlan[[#This Row],[Process step]]="","",IF(tblPlan[[#This Row],[Parts measured (per shift)]]="","",tblPlan[[#This Row],[Parts measured (per shift)]]*N(tblPlan[[#This Row],[Time per part (s)]])/60))</f>
        <v>90</v>
      </c>
      <c r="Z15" s="40">
        <f>IF(tblPlan[[#This Row],[Process step]]="","",IF(AND(ISNUMBER(tblPlan[[#This Row],[LSL]]),ISNUMBER(tblPlan[[#This Row],[USL]])),tblPlan[[#This Row],[USL]]-tblPlan[[#This Row],[LSL]],""))</f>
        <v/>
      </c>
      <c r="AA15" s="41" t="str">
        <f>IF(tblPlan[[#This Row],[Process step]]="","",IF(ISNUMBER(tblPlan[[#This Row],[Cpk]]),IF(tblPlan[[#This Row],[Cpk]]&gt;=MinCpk,"Within limits","Out of limits"),IF(tblPlan[[#This Row],[Class]]&lt;&gt;"","Check","")))</f>
        <v>Check</v>
      </c>
      <c r="AB15" s="41">
        <f>IF(tblPlan[[#This Row],[Process step]]="","",IF(N(tblPlan[[#This Row],[GRR]])&gt;0,IF(tblPlan[[#This Row],[GRR]]&lt;=GrrOk,"Within limits",IF(tblPlan[[#This Row],[GRR]]&lt;=GrrMax,"Check","Out of limits")),""))</f>
        <v/>
      </c>
      <c r="AC15" s="42">
        <f>IF(tblPlan[[#This Row],[Process step]]="","",IF(ISNUMBER(tblPlan[[#This Row],[Cpk]]),SUMPRODUCT(ISNUMBER(tblPlan[Cpk])*(ROW(tblPlan[Cpk])&lt;=ROW(tblPlan[[#This Row],[Cpk]]))),""))</f>
        <v/>
      </c>
      <c r="AD15" s="43" t="str">
        <f>IF(tblPlan[[#This Row],[Process step]]="","",IF(tblPlan[[#This Row],[Char. no.]]="","Missing char. no.",IF(tblPlan[[#This Row],[Evaluation method]]="","Missing evaluation method",IF(tblPlan[[#This Row],[Sample size]]="","Missing sample size",IF(tblPlan[[#This Row],[Frequency]]="","Missing frequency",IF(tblPlan[[#This Row],[Reaction plan]]="","Missing reaction plan",IF(tblPlan[[#This Row],[Rate (parts/h)]]="","Step not on Setup list",IF(COUNTIFS(tblPlan[Char. no.],tblPlan[[#This Row],[Char. no.]])&gt;1,"Duplicate characteristic number",IF(AND(ISNUMBER(tblPlan[[#This Row],[LSL]]),ISNUMBER(tblPlan[[#This Row],[USL]]),tblPlan[[#This Row],[LSL]]&gt;=tblPlan[[#This Row],[USL]]),"LSL not below USL",IF(AND(tblPlan[[#This Row],[Frequency]]&lt;&gt;"Every part",N(tblPlan[[#This Row],[Times]])=0),"Frequency needs Times",IF(AND(tblPlan[[#This Row],[Product characteristic]]="",tblPlan[[#This Row],[Process characteristic]]=""),"Missing characteristic","OK")))))))))))</f>
        <v>OK</v>
      </c>
    </row>
    <row r="16" spans="1:30" x14ac:dyDescent="0.25">
      <c r="B16" s="28" t="s">
        <v>103</v>
      </c>
      <c r="C16" s="28" t="s">
        <v>212</v>
      </c>
      <c r="D16" s="28"/>
      <c r="E16" s="28" t="s">
        <v>213</v>
      </c>
      <c r="F16" s="28"/>
      <c r="G16" s="28" t="s">
        <v>214</v>
      </c>
      <c r="H16" s="37">
        <v>90</v>
      </c>
      <c r="I16" s="37">
        <v>120</v>
      </c>
      <c r="J16" s="28" t="s">
        <v>215</v>
      </c>
      <c r="K16" s="28" t="s">
        <v>216</v>
      </c>
      <c r="L16" s="38">
        <v>1</v>
      </c>
      <c r="M16" s="28" t="s">
        <v>172</v>
      </c>
      <c r="N16" s="30">
        <v>1</v>
      </c>
      <c r="O16" s="30">
        <v>10</v>
      </c>
      <c r="P16" s="28" t="s">
        <v>217</v>
      </c>
      <c r="Q16" s="28" t="s">
        <v>218</v>
      </c>
      <c r="R16" s="32"/>
      <c r="S16" s="31"/>
      <c r="T16" s="28" t="s">
        <v>211</v>
      </c>
      <c r="U16" s="39">
        <f>IF(tblPlan[[#This Row],[Process step]]="","",IFERROR(INDEX(tblSteps[Rate (parts/h)],MATCH(tblPlan[[#This Row],[Process step]],tblSteps[Process step],0)),""))</f>
        <v>90</v>
      </c>
      <c r="V16" s="39">
        <f>IF(tblPlan[[#This Row],[Process step]]="","",IFERROR(INDEX(tblSteps[Setups per shift],MATCH(tblPlan[[#This Row],[Process step]],tblSteps[Process step],0)),""))</f>
        <v>0</v>
      </c>
      <c r="W16" s="39">
        <f>IF(tblPlan[[#This Row],[Process step]]="","",IF(tblPlan[[#This Row],[Frequency]]="Per hour",tblPlan[[#This Row],[Times]]*ShiftHours,IF(tblPlan[[#This Row],[Frequency]]="Per shift",tblPlan[[#This Row],[Times]],IF(tblPlan[[#This Row],[Frequency]]="Per lot",tblPlan[[#This Row],[Times]]*LotsPerShift,IF(tblPlan[[#This Row],[Frequency]]="Per setup",tblPlan[[#This Row],[Times]]*tblPlan[[#This Row],[Setups per shift]],"")))))</f>
        <v>1</v>
      </c>
      <c r="X16" s="39">
        <f>IF(tblPlan[[#This Row],[Process step]]="","",IF(tblPlan[[#This Row],[Frequency]]="Every part",IF(tblPlan[[#This Row],[Rate (parts/h)]]="","",tblPlan[[#This Row],[Rate (parts/h)]]*ShiftHours),IF(tblPlan[[#This Row],[Checks (per shift)]]="","",tblPlan[[#This Row],[Sample size]]*tblPlan[[#This Row],[Checks (per shift)]])))</f>
        <v>1</v>
      </c>
      <c r="Y16" s="39">
        <f>IF(tblPlan[[#This Row],[Process step]]="","",IF(tblPlan[[#This Row],[Parts measured (per shift)]]="","",tblPlan[[#This Row],[Parts measured (per shift)]]*N(tblPlan[[#This Row],[Time per part (s)]])/60))</f>
        <v>0.166666666666667</v>
      </c>
      <c r="Z16" s="40">
        <f>IF(tblPlan[[#This Row],[Process step]]="","",IF(AND(ISNUMBER(tblPlan[[#This Row],[LSL]]),ISNUMBER(tblPlan[[#This Row],[USL]])),tblPlan[[#This Row],[USL]]-tblPlan[[#This Row],[LSL]],""))</f>
        <v>30</v>
      </c>
      <c r="AA16" s="41">
        <f>IF(tblPlan[[#This Row],[Process step]]="","",IF(ISNUMBER(tblPlan[[#This Row],[Cpk]]),IF(tblPlan[[#This Row],[Cpk]]&gt;=MinCpk,"Within limits","Out of limits"),IF(tblPlan[[#This Row],[Class]]&lt;&gt;"","Check","")))</f>
        <v/>
      </c>
      <c r="AB16" s="41">
        <f>IF(tblPlan[[#This Row],[Process step]]="","",IF(N(tblPlan[[#This Row],[GRR]])&gt;0,IF(tblPlan[[#This Row],[GRR]]&lt;=GrrOk,"Within limits",IF(tblPlan[[#This Row],[GRR]]&lt;=GrrMax,"Check","Out of limits")),""))</f>
        <v/>
      </c>
      <c r="AC16" s="42">
        <f>IF(tblPlan[[#This Row],[Process step]]="","",IF(ISNUMBER(tblPlan[[#This Row],[Cpk]]),SUMPRODUCT(ISNUMBER(tblPlan[Cpk])*(ROW(tblPlan[Cpk])&lt;=ROW(tblPlan[[#This Row],[Cpk]]))),""))</f>
        <v/>
      </c>
      <c r="AD16" s="43" t="str">
        <f>IF(tblPlan[[#This Row],[Process step]]="","",IF(tblPlan[[#This Row],[Char. no.]]="","Missing char. no.",IF(tblPlan[[#This Row],[Evaluation method]]="","Missing evaluation method",IF(tblPlan[[#This Row],[Sample size]]="","Missing sample size",IF(tblPlan[[#This Row],[Frequency]]="","Missing frequency",IF(tblPlan[[#This Row],[Reaction plan]]="","Missing reaction plan",IF(tblPlan[[#This Row],[Rate (parts/h)]]="","Step not on Setup list",IF(COUNTIFS(tblPlan[Char. no.],tblPlan[[#This Row],[Char. no.]])&gt;1,"Duplicate characteristic number",IF(AND(ISNUMBER(tblPlan[[#This Row],[LSL]]),ISNUMBER(tblPlan[[#This Row],[USL]]),tblPlan[[#This Row],[LSL]]&gt;=tblPlan[[#This Row],[USL]]),"LSL not below USL",IF(AND(tblPlan[[#This Row],[Frequency]]&lt;&gt;"Every part",N(tblPlan[[#This Row],[Times]])=0),"Frequency needs Times",IF(AND(tblPlan[[#This Row],[Product characteristic]]="",tblPlan[[#This Row],[Process characteristic]]=""),"Missing characteristic","OK")))))))))))</f>
        <v>OK</v>
      </c>
    </row>
    <row r="17" spans="2:30" x14ac:dyDescent="0.25">
      <c r="B17" s="28" t="s">
        <v>105</v>
      </c>
      <c r="C17" s="28" t="s">
        <v>219</v>
      </c>
      <c r="D17" s="28" t="s">
        <v>220</v>
      </c>
      <c r="E17" s="28"/>
      <c r="F17" s="28" t="s">
        <v>114</v>
      </c>
      <c r="G17" s="28" t="s">
        <v>221</v>
      </c>
      <c r="H17" s="37">
        <v>42</v>
      </c>
      <c r="I17" s="37">
        <v>42.025</v>
      </c>
      <c r="J17" s="28" t="s">
        <v>200</v>
      </c>
      <c r="K17" s="28" t="s">
        <v>222</v>
      </c>
      <c r="L17" s="38">
        <v>1</v>
      </c>
      <c r="M17" s="28" t="s">
        <v>147</v>
      </c>
      <c r="N17" s="30">
        <v>6</v>
      </c>
      <c r="O17" s="30">
        <v>20</v>
      </c>
      <c r="P17" s="28" t="s">
        <v>223</v>
      </c>
      <c r="Q17" s="28" t="s">
        <v>224</v>
      </c>
      <c r="R17" s="32">
        <v>1.71</v>
      </c>
      <c r="S17" s="31">
        <v>0.08</v>
      </c>
      <c r="T17" s="28" t="s">
        <v>225</v>
      </c>
      <c r="U17" s="39">
        <f>IF(tblPlan[[#This Row],[Process step]]="","",IFERROR(INDEX(tblSteps[Rate (parts/h)],MATCH(tblPlan[[#This Row],[Process step]],tblSteps[Process step],0)),""))</f>
        <v>90</v>
      </c>
      <c r="V17" s="39">
        <f>IF(tblPlan[[#This Row],[Process step]]="","",IFERROR(INDEX(tblSteps[Setups per shift],MATCH(tblPlan[[#This Row],[Process step]],tblSteps[Process step],0)),""))</f>
        <v>2</v>
      </c>
      <c r="W17" s="39">
        <f>IF(tblPlan[[#This Row],[Process step]]="","",IF(tblPlan[[#This Row],[Frequency]]="Per hour",tblPlan[[#This Row],[Times]]*ShiftHours,IF(tblPlan[[#This Row],[Frequency]]="Per shift",tblPlan[[#This Row],[Times]],IF(tblPlan[[#This Row],[Frequency]]="Per lot",tblPlan[[#This Row],[Times]]*LotsPerShift,IF(tblPlan[[#This Row],[Frequency]]="Per setup",tblPlan[[#This Row],[Times]]*tblPlan[[#This Row],[Setups per shift]],"")))))</f>
        <v>45</v>
      </c>
      <c r="X17" s="39">
        <f>IF(tblPlan[[#This Row],[Process step]]="","",IF(tblPlan[[#This Row],[Frequency]]="Every part",IF(tblPlan[[#This Row],[Rate (parts/h)]]="","",tblPlan[[#This Row],[Rate (parts/h)]]*ShiftHours),IF(tblPlan[[#This Row],[Checks (per shift)]]="","",tblPlan[[#This Row],[Sample size]]*tblPlan[[#This Row],[Checks (per shift)]])))</f>
        <v>45</v>
      </c>
      <c r="Y17" s="39">
        <f>IF(tblPlan[[#This Row],[Process step]]="","",IF(tblPlan[[#This Row],[Parts measured (per shift)]]="","",tblPlan[[#This Row],[Parts measured (per shift)]]*N(tblPlan[[#This Row],[Time per part (s)]])/60))</f>
        <v>15</v>
      </c>
      <c r="Z17" s="40">
        <f>IF(tblPlan[[#This Row],[Process step]]="","",IF(AND(ISNUMBER(tblPlan[[#This Row],[LSL]]),ISNUMBER(tblPlan[[#This Row],[USL]])),tblPlan[[#This Row],[USL]]-tblPlan[[#This Row],[LSL]],""))</f>
        <v>0.0249999999999986</v>
      </c>
      <c r="AA17" s="41" t="str">
        <f>IF(tblPlan[[#This Row],[Process step]]="","",IF(ISNUMBER(tblPlan[[#This Row],[Cpk]]),IF(tblPlan[[#This Row],[Cpk]]&gt;=MinCpk,"Within limits","Out of limits"),IF(tblPlan[[#This Row],[Class]]&lt;&gt;"","Check","")))</f>
        <v>Within limits</v>
      </c>
      <c r="AB17" s="41" t="str">
        <f>IF(tblPlan[[#This Row],[Process step]]="","",IF(N(tblPlan[[#This Row],[GRR]])&gt;0,IF(tblPlan[[#This Row],[GRR]]&lt;=GrrOk,"Within limits",IF(tblPlan[[#This Row],[GRR]]&lt;=GrrMax,"Check","Out of limits")),""))</f>
        <v>Within limits</v>
      </c>
      <c r="AC17" s="42">
        <f>IF(tblPlan[[#This Row],[Process step]]="","",IF(ISNUMBER(tblPlan[[#This Row],[Cpk]]),SUMPRODUCT(ISNUMBER(tblPlan[Cpk])*(ROW(tblPlan[Cpk])&lt;=ROW(tblPlan[[#This Row],[Cpk]]))),""))</f>
        <v>5</v>
      </c>
      <c r="AD17" s="43" t="str">
        <f>IF(tblPlan[[#This Row],[Process step]]="","",IF(tblPlan[[#This Row],[Char. no.]]="","Missing char. no.",IF(tblPlan[[#This Row],[Evaluation method]]="","Missing evaluation method",IF(tblPlan[[#This Row],[Sample size]]="","Missing sample size",IF(tblPlan[[#This Row],[Frequency]]="","Missing frequency",IF(tblPlan[[#This Row],[Reaction plan]]="","Missing reaction plan",IF(tblPlan[[#This Row],[Rate (parts/h)]]="","Step not on Setup list",IF(COUNTIFS(tblPlan[Char. no.],tblPlan[[#This Row],[Char. no.]])&gt;1,"Duplicate characteristic number",IF(AND(ISNUMBER(tblPlan[[#This Row],[LSL]]),ISNUMBER(tblPlan[[#This Row],[USL]]),tblPlan[[#This Row],[LSL]]&gt;=tblPlan[[#This Row],[USL]]),"LSL not below USL",IF(AND(tblPlan[[#This Row],[Frequency]]&lt;&gt;"Every part",N(tblPlan[[#This Row],[Times]])=0),"Frequency needs Times",IF(AND(tblPlan[[#This Row],[Product characteristic]]="",tblPlan[[#This Row],[Process characteristic]]=""),"Missing characteristic","OK")))))))))))</f>
        <v>OK</v>
      </c>
    </row>
    <row r="18" spans="2:30" x14ac:dyDescent="0.25">
      <c r="B18" s="28" t="s">
        <v>105</v>
      </c>
      <c r="C18" s="28" t="s">
        <v>226</v>
      </c>
      <c r="D18" s="28" t="s">
        <v>227</v>
      </c>
      <c r="E18" s="28"/>
      <c r="F18" s="28"/>
      <c r="G18" s="28" t="s">
        <v>228</v>
      </c>
      <c r="H18" s="37">
        <v>0</v>
      </c>
      <c r="I18" s="37">
        <v>0.1</v>
      </c>
      <c r="J18" s="28" t="s">
        <v>200</v>
      </c>
      <c r="K18" s="28" t="s">
        <v>229</v>
      </c>
      <c r="L18" s="38">
        <v>1</v>
      </c>
      <c r="M18" s="28" t="s">
        <v>172</v>
      </c>
      <c r="N18" s="30">
        <v>1</v>
      </c>
      <c r="O18" s="30">
        <v>900</v>
      </c>
      <c r="P18" s="28" t="s">
        <v>230</v>
      </c>
      <c r="Q18" s="28" t="s">
        <v>231</v>
      </c>
      <c r="R18" s="32">
        <v>1.38</v>
      </c>
      <c r="S18" s="31">
        <v>0.12</v>
      </c>
      <c r="T18" s="28" t="s">
        <v>232</v>
      </c>
      <c r="U18" s="39">
        <f>IF(tblPlan[[#This Row],[Process step]]="","",IFERROR(INDEX(tblSteps[Rate (parts/h)],MATCH(tblPlan[[#This Row],[Process step]],tblSteps[Process step],0)),""))</f>
        <v>90</v>
      </c>
      <c r="V18" s="39">
        <f>IF(tblPlan[[#This Row],[Process step]]="","",IFERROR(INDEX(tblSteps[Setups per shift],MATCH(tblPlan[[#This Row],[Process step]],tblSteps[Process step],0)),""))</f>
        <v>2</v>
      </c>
      <c r="W18" s="39">
        <f>IF(tblPlan[[#This Row],[Process step]]="","",IF(tblPlan[[#This Row],[Frequency]]="Per hour",tblPlan[[#This Row],[Times]]*ShiftHours,IF(tblPlan[[#This Row],[Frequency]]="Per shift",tblPlan[[#This Row],[Times]],IF(tblPlan[[#This Row],[Frequency]]="Per lot",tblPlan[[#This Row],[Times]]*LotsPerShift,IF(tblPlan[[#This Row],[Frequency]]="Per setup",tblPlan[[#This Row],[Times]]*tblPlan[[#This Row],[Setups per shift]],"")))))</f>
        <v>1</v>
      </c>
      <c r="X18" s="39">
        <f>IF(tblPlan[[#This Row],[Process step]]="","",IF(tblPlan[[#This Row],[Frequency]]="Every part",IF(tblPlan[[#This Row],[Rate (parts/h)]]="","",tblPlan[[#This Row],[Rate (parts/h)]]*ShiftHours),IF(tblPlan[[#This Row],[Checks (per shift)]]="","",tblPlan[[#This Row],[Sample size]]*tblPlan[[#This Row],[Checks (per shift)]])))</f>
        <v>1</v>
      </c>
      <c r="Y18" s="39">
        <f>IF(tblPlan[[#This Row],[Process step]]="","",IF(tblPlan[[#This Row],[Parts measured (per shift)]]="","",tblPlan[[#This Row],[Parts measured (per shift)]]*N(tblPlan[[#This Row],[Time per part (s)]])/60))</f>
        <v>15</v>
      </c>
      <c r="Z18" s="40">
        <f>IF(tblPlan[[#This Row],[Process step]]="","",IF(AND(ISNUMBER(tblPlan[[#This Row],[LSL]]),ISNUMBER(tblPlan[[#This Row],[USL]])),tblPlan[[#This Row],[USL]]-tblPlan[[#This Row],[LSL]],""))</f>
        <v>0.1</v>
      </c>
      <c r="AA18" s="41" t="str">
        <f>IF(tblPlan[[#This Row],[Process step]]="","",IF(ISNUMBER(tblPlan[[#This Row],[Cpk]]),IF(tblPlan[[#This Row],[Cpk]]&gt;=MinCpk,"Within limits","Out of limits"),IF(tblPlan[[#This Row],[Class]]&lt;&gt;"","Check","")))</f>
        <v>Within limits</v>
      </c>
      <c r="AB18" s="41" t="str">
        <f>IF(tblPlan[[#This Row],[Process step]]="","",IF(N(tblPlan[[#This Row],[GRR]])&gt;0,IF(tblPlan[[#This Row],[GRR]]&lt;=GrrOk,"Within limits",IF(tblPlan[[#This Row],[GRR]]&lt;=GrrMax,"Check","Out of limits")),""))</f>
        <v>Check</v>
      </c>
      <c r="AC18" s="42">
        <f>IF(tblPlan[[#This Row],[Process step]]="","",IF(ISNUMBER(tblPlan[[#This Row],[Cpk]]),SUMPRODUCT(ISNUMBER(tblPlan[Cpk])*(ROW(tblPlan[Cpk])&lt;=ROW(tblPlan[[#This Row],[Cpk]]))),""))</f>
        <v>6</v>
      </c>
      <c r="AD18" s="43" t="str">
        <f>IF(tblPlan[[#This Row],[Process step]]="","",IF(tblPlan[[#This Row],[Char. no.]]="","Missing char. no.",IF(tblPlan[[#This Row],[Evaluation method]]="","Missing evaluation method",IF(tblPlan[[#This Row],[Sample size]]="","Missing sample size",IF(tblPlan[[#This Row],[Frequency]]="","Missing frequency",IF(tblPlan[[#This Row],[Reaction plan]]="","Missing reaction plan",IF(tblPlan[[#This Row],[Rate (parts/h)]]="","Step not on Setup list",IF(COUNTIFS(tblPlan[Char. no.],tblPlan[[#This Row],[Char. no.]])&gt;1,"Duplicate characteristic number",IF(AND(ISNUMBER(tblPlan[[#This Row],[LSL]]),ISNUMBER(tblPlan[[#This Row],[USL]]),tblPlan[[#This Row],[LSL]]&gt;=tblPlan[[#This Row],[USL]]),"LSL not below USL",IF(AND(tblPlan[[#This Row],[Frequency]]&lt;&gt;"Every part",N(tblPlan[[#This Row],[Times]])=0),"Frequency needs Times",IF(AND(tblPlan[[#This Row],[Product characteristic]]="",tblPlan[[#This Row],[Process characteristic]]=""),"Missing characteristic","OK")))))))))))</f>
        <v>OK</v>
      </c>
    </row>
    <row r="19" spans="2:30" x14ac:dyDescent="0.25">
      <c r="B19" s="28" t="s">
        <v>105</v>
      </c>
      <c r="C19" s="28" t="s">
        <v>233</v>
      </c>
      <c r="D19" s="28" t="s">
        <v>234</v>
      </c>
      <c r="E19" s="28"/>
      <c r="F19" s="28" t="s">
        <v>114</v>
      </c>
      <c r="G19" s="28" t="s">
        <v>235</v>
      </c>
      <c r="H19" s="37">
        <v>0</v>
      </c>
      <c r="I19" s="37">
        <v>0.05</v>
      </c>
      <c r="J19" s="28" t="s">
        <v>200</v>
      </c>
      <c r="K19" s="28" t="s">
        <v>229</v>
      </c>
      <c r="L19" s="38">
        <v>1</v>
      </c>
      <c r="M19" s="28" t="s">
        <v>172</v>
      </c>
      <c r="N19" s="30">
        <v>1</v>
      </c>
      <c r="O19" s="30">
        <v>600</v>
      </c>
      <c r="P19" s="28" t="s">
        <v>230</v>
      </c>
      <c r="Q19" s="28" t="s">
        <v>236</v>
      </c>
      <c r="R19" s="32">
        <v>1.29</v>
      </c>
      <c r="S19" s="31">
        <v>0.18</v>
      </c>
      <c r="T19" s="28" t="s">
        <v>232</v>
      </c>
      <c r="U19" s="39">
        <f>IF(tblPlan[[#This Row],[Process step]]="","",IFERROR(INDEX(tblSteps[Rate (parts/h)],MATCH(tblPlan[[#This Row],[Process step]],tblSteps[Process step],0)),""))</f>
        <v>90</v>
      </c>
      <c r="V19" s="39">
        <f>IF(tblPlan[[#This Row],[Process step]]="","",IFERROR(INDEX(tblSteps[Setups per shift],MATCH(tblPlan[[#This Row],[Process step]],tblSteps[Process step],0)),""))</f>
        <v>2</v>
      </c>
      <c r="W19" s="39">
        <f>IF(tblPlan[[#This Row],[Process step]]="","",IF(tblPlan[[#This Row],[Frequency]]="Per hour",tblPlan[[#This Row],[Times]]*ShiftHours,IF(tblPlan[[#This Row],[Frequency]]="Per shift",tblPlan[[#This Row],[Times]],IF(tblPlan[[#This Row],[Frequency]]="Per lot",tblPlan[[#This Row],[Times]]*LotsPerShift,IF(tblPlan[[#This Row],[Frequency]]="Per setup",tblPlan[[#This Row],[Times]]*tblPlan[[#This Row],[Setups per shift]],"")))))</f>
        <v>1</v>
      </c>
      <c r="X19" s="39">
        <f>IF(tblPlan[[#This Row],[Process step]]="","",IF(tblPlan[[#This Row],[Frequency]]="Every part",IF(tblPlan[[#This Row],[Rate (parts/h)]]="","",tblPlan[[#This Row],[Rate (parts/h)]]*ShiftHours),IF(tblPlan[[#This Row],[Checks (per shift)]]="","",tblPlan[[#This Row],[Sample size]]*tblPlan[[#This Row],[Checks (per shift)]])))</f>
        <v>1</v>
      </c>
      <c r="Y19" s="39">
        <f>IF(tblPlan[[#This Row],[Process step]]="","",IF(tblPlan[[#This Row],[Parts measured (per shift)]]="","",tblPlan[[#This Row],[Parts measured (per shift)]]*N(tblPlan[[#This Row],[Time per part (s)]])/60))</f>
        <v>10</v>
      </c>
      <c r="Z19" s="40">
        <f>IF(tblPlan[[#This Row],[Process step]]="","",IF(AND(ISNUMBER(tblPlan[[#This Row],[LSL]]),ISNUMBER(tblPlan[[#This Row],[USL]])),tblPlan[[#This Row],[USL]]-tblPlan[[#This Row],[LSL]],""))</f>
        <v>0.05</v>
      </c>
      <c r="AA19" s="41" t="str">
        <f>IF(tblPlan[[#This Row],[Process step]]="","",IF(ISNUMBER(tblPlan[[#This Row],[Cpk]]),IF(tblPlan[[#This Row],[Cpk]]&gt;=MinCpk,"Within limits","Out of limits"),IF(tblPlan[[#This Row],[Class]]&lt;&gt;"","Check","")))</f>
        <v>Out of limits</v>
      </c>
      <c r="AB19" s="41" t="str">
        <f>IF(tblPlan[[#This Row],[Process step]]="","",IF(N(tblPlan[[#This Row],[GRR]])&gt;0,IF(tblPlan[[#This Row],[GRR]]&lt;=GrrOk,"Within limits",IF(tblPlan[[#This Row],[GRR]]&lt;=GrrMax,"Check","Out of limits")),""))</f>
        <v>Check</v>
      </c>
      <c r="AC19" s="42">
        <f>IF(tblPlan[[#This Row],[Process step]]="","",IF(ISNUMBER(tblPlan[[#This Row],[Cpk]]),SUMPRODUCT(ISNUMBER(tblPlan[Cpk])*(ROW(tblPlan[Cpk])&lt;=ROW(tblPlan[[#This Row],[Cpk]]))),""))</f>
        <v>7</v>
      </c>
      <c r="AD19" s="43" t="str">
        <f>IF(tblPlan[[#This Row],[Process step]]="","",IF(tblPlan[[#This Row],[Char. no.]]="","Missing char. no.",IF(tblPlan[[#This Row],[Evaluation method]]="","Missing evaluation method",IF(tblPlan[[#This Row],[Sample size]]="","Missing sample size",IF(tblPlan[[#This Row],[Frequency]]="","Missing frequency",IF(tblPlan[[#This Row],[Reaction plan]]="","Missing reaction plan",IF(tblPlan[[#This Row],[Rate (parts/h)]]="","Step not on Setup list",IF(COUNTIFS(tblPlan[Char. no.],tblPlan[[#This Row],[Char. no.]])&gt;1,"Duplicate characteristic number",IF(AND(ISNUMBER(tblPlan[[#This Row],[LSL]]),ISNUMBER(tblPlan[[#This Row],[USL]]),tblPlan[[#This Row],[LSL]]&gt;=tblPlan[[#This Row],[USL]]),"LSL not below USL",IF(AND(tblPlan[[#This Row],[Frequency]]&lt;&gt;"Every part",N(tblPlan[[#This Row],[Times]])=0),"Frequency needs Times",IF(AND(tblPlan[[#This Row],[Product characteristic]]="",tblPlan[[#This Row],[Process characteristic]]=""),"Missing characteristic","OK")))))))))))</f>
        <v>OK</v>
      </c>
    </row>
    <row r="20" spans="2:30" x14ac:dyDescent="0.25">
      <c r="B20" s="28" t="s">
        <v>105</v>
      </c>
      <c r="C20" s="28" t="s">
        <v>237</v>
      </c>
      <c r="D20" s="28" t="s">
        <v>238</v>
      </c>
      <c r="E20" s="28"/>
      <c r="F20" s="28"/>
      <c r="G20" s="28" t="s">
        <v>239</v>
      </c>
      <c r="H20" s="37"/>
      <c r="I20" s="37"/>
      <c r="J20" s="28" t="s">
        <v>193</v>
      </c>
      <c r="K20" s="28" t="s">
        <v>240</v>
      </c>
      <c r="L20" s="38">
        <v>1</v>
      </c>
      <c r="M20" s="28" t="s">
        <v>147</v>
      </c>
      <c r="N20" s="30">
        <v>2</v>
      </c>
      <c r="O20" s="30">
        <v>30</v>
      </c>
      <c r="P20" s="28" t="s">
        <v>241</v>
      </c>
      <c r="Q20" s="28" t="s">
        <v>242</v>
      </c>
      <c r="R20" s="32"/>
      <c r="S20" s="31"/>
      <c r="T20" s="28" t="s">
        <v>225</v>
      </c>
      <c r="U20" s="39">
        <f>IF(tblPlan[[#This Row],[Process step]]="","",IFERROR(INDEX(tblSteps[Rate (parts/h)],MATCH(tblPlan[[#This Row],[Process step]],tblSteps[Process step],0)),""))</f>
        <v>90</v>
      </c>
      <c r="V20" s="39">
        <f>IF(tblPlan[[#This Row],[Process step]]="","",IFERROR(INDEX(tblSteps[Setups per shift],MATCH(tblPlan[[#This Row],[Process step]],tblSteps[Process step],0)),""))</f>
        <v>2</v>
      </c>
      <c r="W20" s="39">
        <f>IF(tblPlan[[#This Row],[Process step]]="","",IF(tblPlan[[#This Row],[Frequency]]="Per hour",tblPlan[[#This Row],[Times]]*ShiftHours,IF(tblPlan[[#This Row],[Frequency]]="Per shift",tblPlan[[#This Row],[Times]],IF(tblPlan[[#This Row],[Frequency]]="Per lot",tblPlan[[#This Row],[Times]]*LotsPerShift,IF(tblPlan[[#This Row],[Frequency]]="Per setup",tblPlan[[#This Row],[Times]]*tblPlan[[#This Row],[Setups per shift]],"")))))</f>
        <v>15</v>
      </c>
      <c r="X20" s="39">
        <f>IF(tblPlan[[#This Row],[Process step]]="","",IF(tblPlan[[#This Row],[Frequency]]="Every part",IF(tblPlan[[#This Row],[Rate (parts/h)]]="","",tblPlan[[#This Row],[Rate (parts/h)]]*ShiftHours),IF(tblPlan[[#This Row],[Checks (per shift)]]="","",tblPlan[[#This Row],[Sample size]]*tblPlan[[#This Row],[Checks (per shift)]])))</f>
        <v>15</v>
      </c>
      <c r="Y20" s="39">
        <f>IF(tblPlan[[#This Row],[Process step]]="","",IF(tblPlan[[#This Row],[Parts measured (per shift)]]="","",tblPlan[[#This Row],[Parts measured (per shift)]]*N(tblPlan[[#This Row],[Time per part (s)]])/60))</f>
        <v>7.5</v>
      </c>
      <c r="Z20" s="40">
        <f>IF(tblPlan[[#This Row],[Process step]]="","",IF(AND(ISNUMBER(tblPlan[[#This Row],[LSL]]),ISNUMBER(tblPlan[[#This Row],[USL]])),tblPlan[[#This Row],[USL]]-tblPlan[[#This Row],[LSL]],""))</f>
        <v/>
      </c>
      <c r="AA20" s="41">
        <f>IF(tblPlan[[#This Row],[Process step]]="","",IF(ISNUMBER(tblPlan[[#This Row],[Cpk]]),IF(tblPlan[[#This Row],[Cpk]]&gt;=MinCpk,"Within limits","Out of limits"),IF(tblPlan[[#This Row],[Class]]&lt;&gt;"","Check","")))</f>
        <v/>
      </c>
      <c r="AB20" s="41">
        <f>IF(tblPlan[[#This Row],[Process step]]="","",IF(N(tblPlan[[#This Row],[GRR]])&gt;0,IF(tblPlan[[#This Row],[GRR]]&lt;=GrrOk,"Within limits",IF(tblPlan[[#This Row],[GRR]]&lt;=GrrMax,"Check","Out of limits")),""))</f>
        <v/>
      </c>
      <c r="AC20" s="42">
        <f>IF(tblPlan[[#This Row],[Process step]]="","",IF(ISNUMBER(tblPlan[[#This Row],[Cpk]]),SUMPRODUCT(ISNUMBER(tblPlan[Cpk])*(ROW(tblPlan[Cpk])&lt;=ROW(tblPlan[[#This Row],[Cpk]]))),""))</f>
        <v/>
      </c>
      <c r="AD20" s="43" t="str">
        <f>IF(tblPlan[[#This Row],[Process step]]="","",IF(tblPlan[[#This Row],[Char. no.]]="","Missing char. no.",IF(tblPlan[[#This Row],[Evaluation method]]="","Missing evaluation method",IF(tblPlan[[#This Row],[Sample size]]="","Missing sample size",IF(tblPlan[[#This Row],[Frequency]]="","Missing frequency",IF(tblPlan[[#This Row],[Reaction plan]]="","Missing reaction plan",IF(tblPlan[[#This Row],[Rate (parts/h)]]="","Step not on Setup list",IF(COUNTIFS(tblPlan[Char. no.],tblPlan[[#This Row],[Char. no.]])&gt;1,"Duplicate characteristic number",IF(AND(ISNUMBER(tblPlan[[#This Row],[LSL]]),ISNUMBER(tblPlan[[#This Row],[USL]]),tblPlan[[#This Row],[LSL]]&gt;=tblPlan[[#This Row],[USL]]),"LSL not below USL",IF(AND(tblPlan[[#This Row],[Frequency]]&lt;&gt;"Every part",N(tblPlan[[#This Row],[Times]])=0),"Frequency needs Times",IF(AND(tblPlan[[#This Row],[Product characteristic]]="",tblPlan[[#This Row],[Process characteristic]]=""),"Missing characteristic","OK")))))))))))</f>
        <v>OK</v>
      </c>
    </row>
    <row r="21" spans="2:30" x14ac:dyDescent="0.25">
      <c r="B21" s="28" t="s">
        <v>105</v>
      </c>
      <c r="C21" s="28" t="s">
        <v>243</v>
      </c>
      <c r="D21" s="28"/>
      <c r="E21" s="28" t="s">
        <v>244</v>
      </c>
      <c r="F21" s="28"/>
      <c r="G21" s="28" t="s">
        <v>245</v>
      </c>
      <c r="H21" s="37"/>
      <c r="I21" s="37"/>
      <c r="J21" s="28" t="s">
        <v>246</v>
      </c>
      <c r="K21" s="28" t="s">
        <v>247</v>
      </c>
      <c r="L21" s="38">
        <v>1</v>
      </c>
      <c r="M21" s="28" t="s">
        <v>248</v>
      </c>
      <c r="N21" s="30">
        <v>1</v>
      </c>
      <c r="O21" s="30">
        <v>30</v>
      </c>
      <c r="P21" s="28" t="s">
        <v>249</v>
      </c>
      <c r="Q21" s="28" t="s">
        <v>250</v>
      </c>
      <c r="R21" s="32"/>
      <c r="S21" s="31"/>
      <c r="T21" s="28" t="s">
        <v>225</v>
      </c>
      <c r="U21" s="39">
        <f>IF(tblPlan[[#This Row],[Process step]]="","",IFERROR(INDEX(tblSteps[Rate (parts/h)],MATCH(tblPlan[[#This Row],[Process step]],tblSteps[Process step],0)),""))</f>
        <v>90</v>
      </c>
      <c r="V21" s="39">
        <f>IF(tblPlan[[#This Row],[Process step]]="","",IFERROR(INDEX(tblSteps[Setups per shift],MATCH(tblPlan[[#This Row],[Process step]],tblSteps[Process step],0)),""))</f>
        <v>2</v>
      </c>
      <c r="W21" s="39">
        <f>IF(tblPlan[[#This Row],[Process step]]="","",IF(tblPlan[[#This Row],[Frequency]]="Per hour",tblPlan[[#This Row],[Times]]*ShiftHours,IF(tblPlan[[#This Row],[Frequency]]="Per shift",tblPlan[[#This Row],[Times]],IF(tblPlan[[#This Row],[Frequency]]="Per lot",tblPlan[[#This Row],[Times]]*LotsPerShift,IF(tblPlan[[#This Row],[Frequency]]="Per setup",tblPlan[[#This Row],[Times]]*tblPlan[[#This Row],[Setups per shift]],"")))))</f>
        <v>2</v>
      </c>
      <c r="X21" s="39">
        <f>IF(tblPlan[[#This Row],[Process step]]="","",IF(tblPlan[[#This Row],[Frequency]]="Every part",IF(tblPlan[[#This Row],[Rate (parts/h)]]="","",tblPlan[[#This Row],[Rate (parts/h)]]*ShiftHours),IF(tblPlan[[#This Row],[Checks (per shift)]]="","",tblPlan[[#This Row],[Sample size]]*tblPlan[[#This Row],[Checks (per shift)]])))</f>
        <v>2</v>
      </c>
      <c r="Y21" s="39">
        <f>IF(tblPlan[[#This Row],[Process step]]="","",IF(tblPlan[[#This Row],[Parts measured (per shift)]]="","",tblPlan[[#This Row],[Parts measured (per shift)]]*N(tblPlan[[#This Row],[Time per part (s)]])/60))</f>
        <v>1</v>
      </c>
      <c r="Z21" s="40">
        <f>IF(tblPlan[[#This Row],[Process step]]="","",IF(AND(ISNUMBER(tblPlan[[#This Row],[LSL]]),ISNUMBER(tblPlan[[#This Row],[USL]])),tblPlan[[#This Row],[USL]]-tblPlan[[#This Row],[LSL]],""))</f>
        <v/>
      </c>
      <c r="AA21" s="41">
        <f>IF(tblPlan[[#This Row],[Process step]]="","",IF(ISNUMBER(tblPlan[[#This Row],[Cpk]]),IF(tblPlan[[#This Row],[Cpk]]&gt;=MinCpk,"Within limits","Out of limits"),IF(tblPlan[[#This Row],[Class]]&lt;&gt;"","Check","")))</f>
        <v/>
      </c>
      <c r="AB21" s="41">
        <f>IF(tblPlan[[#This Row],[Process step]]="","",IF(N(tblPlan[[#This Row],[GRR]])&gt;0,IF(tblPlan[[#This Row],[GRR]]&lt;=GrrOk,"Within limits",IF(tblPlan[[#This Row],[GRR]]&lt;=GrrMax,"Check","Out of limits")),""))</f>
        <v/>
      </c>
      <c r="AC21" s="42">
        <f>IF(tblPlan[[#This Row],[Process step]]="","",IF(ISNUMBER(tblPlan[[#This Row],[Cpk]]),SUMPRODUCT(ISNUMBER(tblPlan[Cpk])*(ROW(tblPlan[Cpk])&lt;=ROW(tblPlan[[#This Row],[Cpk]]))),""))</f>
        <v/>
      </c>
      <c r="AD21" s="43" t="str">
        <f>IF(tblPlan[[#This Row],[Process step]]="","",IF(tblPlan[[#This Row],[Char. no.]]="","Missing char. no.",IF(tblPlan[[#This Row],[Evaluation method]]="","Missing evaluation method",IF(tblPlan[[#This Row],[Sample size]]="","Missing sample size",IF(tblPlan[[#This Row],[Frequency]]="","Missing frequency",IF(tblPlan[[#This Row],[Reaction plan]]="","Missing reaction plan",IF(tblPlan[[#This Row],[Rate (parts/h)]]="","Step not on Setup list",IF(COUNTIFS(tblPlan[Char. no.],tblPlan[[#This Row],[Char. no.]])&gt;1,"Duplicate characteristic number",IF(AND(ISNUMBER(tblPlan[[#This Row],[LSL]]),ISNUMBER(tblPlan[[#This Row],[USL]]),tblPlan[[#This Row],[LSL]]&gt;=tblPlan[[#This Row],[USL]]),"LSL not below USL",IF(AND(tblPlan[[#This Row],[Frequency]]&lt;&gt;"Every part",N(tblPlan[[#This Row],[Times]])=0),"Frequency needs Times",IF(AND(tblPlan[[#This Row],[Product characteristic]]="",tblPlan[[#This Row],[Process characteristic]]=""),"Missing characteristic","OK")))))))))))</f>
        <v>OK</v>
      </c>
    </row>
    <row r="22" spans="2:30" x14ac:dyDescent="0.25">
      <c r="B22" s="28" t="s">
        <v>107</v>
      </c>
      <c r="C22" s="28" t="s">
        <v>251</v>
      </c>
      <c r="D22" s="28" t="s">
        <v>252</v>
      </c>
      <c r="E22" s="28"/>
      <c r="F22" s="28" t="s">
        <v>112</v>
      </c>
      <c r="G22" s="28" t="s">
        <v>162</v>
      </c>
      <c r="H22" s="37">
        <v>0</v>
      </c>
      <c r="I22" s="37">
        <v>2</v>
      </c>
      <c r="J22" s="28" t="s">
        <v>253</v>
      </c>
      <c r="K22" s="28" t="s">
        <v>254</v>
      </c>
      <c r="L22" s="38">
        <v>1</v>
      </c>
      <c r="M22" s="28" t="s">
        <v>180</v>
      </c>
      <c r="N22" s="30"/>
      <c r="O22" s="30">
        <v>0</v>
      </c>
      <c r="P22" s="28" t="s">
        <v>255</v>
      </c>
      <c r="Q22" s="28" t="s">
        <v>256</v>
      </c>
      <c r="R22" s="32">
        <v>1.55</v>
      </c>
      <c r="S22" s="31">
        <v>0.07000000000000001</v>
      </c>
      <c r="T22" s="28" t="s">
        <v>257</v>
      </c>
      <c r="U22" s="39">
        <f>IF(tblPlan[[#This Row],[Process step]]="","",IFERROR(INDEX(tblSteps[Rate (parts/h)],MATCH(tblPlan[[#This Row],[Process step]],tblSteps[Process step],0)),""))</f>
        <v>90</v>
      </c>
      <c r="V22" s="39">
        <f>IF(tblPlan[[#This Row],[Process step]]="","",IFERROR(INDEX(tblSteps[Setups per shift],MATCH(tblPlan[[#This Row],[Process step]],tblSteps[Process step],0)),""))</f>
        <v>0</v>
      </c>
      <c r="W22" s="39">
        <f>IF(tblPlan[[#This Row],[Process step]]="","",IF(tblPlan[[#This Row],[Frequency]]="Per hour",tblPlan[[#This Row],[Times]]*ShiftHours,IF(tblPlan[[#This Row],[Frequency]]="Per shift",tblPlan[[#This Row],[Times]],IF(tblPlan[[#This Row],[Frequency]]="Per lot",tblPlan[[#This Row],[Times]]*LotsPerShift,IF(tblPlan[[#This Row],[Frequency]]="Per setup",tblPlan[[#This Row],[Times]]*tblPlan[[#This Row],[Setups per shift]],"")))))</f>
        <v/>
      </c>
      <c r="X22" s="39">
        <f>IF(tblPlan[[#This Row],[Process step]]="","",IF(tblPlan[[#This Row],[Frequency]]="Every part",IF(tblPlan[[#This Row],[Rate (parts/h)]]="","",tblPlan[[#This Row],[Rate (parts/h)]]*ShiftHours),IF(tblPlan[[#This Row],[Checks (per shift)]]="","",tblPlan[[#This Row],[Sample size]]*tblPlan[[#This Row],[Checks (per shift)]])))</f>
        <v>675</v>
      </c>
      <c r="Y22" s="39">
        <f>IF(tblPlan[[#This Row],[Process step]]="","",IF(tblPlan[[#This Row],[Parts measured (per shift)]]="","",tblPlan[[#This Row],[Parts measured (per shift)]]*N(tblPlan[[#This Row],[Time per part (s)]])/60))</f>
        <v>0</v>
      </c>
      <c r="Z22" s="40">
        <f>IF(tblPlan[[#This Row],[Process step]]="","",IF(AND(ISNUMBER(tblPlan[[#This Row],[LSL]]),ISNUMBER(tblPlan[[#This Row],[USL]])),tblPlan[[#This Row],[USL]]-tblPlan[[#This Row],[LSL]],""))</f>
        <v>2</v>
      </c>
      <c r="AA22" s="41" t="str">
        <f>IF(tblPlan[[#This Row],[Process step]]="","",IF(ISNUMBER(tblPlan[[#This Row],[Cpk]]),IF(tblPlan[[#This Row],[Cpk]]&gt;=MinCpk,"Within limits","Out of limits"),IF(tblPlan[[#This Row],[Class]]&lt;&gt;"","Check","")))</f>
        <v>Within limits</v>
      </c>
      <c r="AB22" s="41" t="str">
        <f>IF(tblPlan[[#This Row],[Process step]]="","",IF(N(tblPlan[[#This Row],[GRR]])&gt;0,IF(tblPlan[[#This Row],[GRR]]&lt;=GrrOk,"Within limits",IF(tblPlan[[#This Row],[GRR]]&lt;=GrrMax,"Check","Out of limits")),""))</f>
        <v>Within limits</v>
      </c>
      <c r="AC22" s="42">
        <f>IF(tblPlan[[#This Row],[Process step]]="","",IF(ISNUMBER(tblPlan[[#This Row],[Cpk]]),SUMPRODUCT(ISNUMBER(tblPlan[Cpk])*(ROW(tblPlan[Cpk])&lt;=ROW(tblPlan[[#This Row],[Cpk]]))),""))</f>
        <v>8</v>
      </c>
      <c r="AD22" s="43" t="str">
        <f>IF(tblPlan[[#This Row],[Process step]]="","",IF(tblPlan[[#This Row],[Char. no.]]="","Missing char. no.",IF(tblPlan[[#This Row],[Evaluation method]]="","Missing evaluation method",IF(tblPlan[[#This Row],[Sample size]]="","Missing sample size",IF(tblPlan[[#This Row],[Frequency]]="","Missing frequency",IF(tblPlan[[#This Row],[Reaction plan]]="","Missing reaction plan",IF(tblPlan[[#This Row],[Rate (parts/h)]]="","Step not on Setup list",IF(COUNTIFS(tblPlan[Char. no.],tblPlan[[#This Row],[Char. no.]])&gt;1,"Duplicate characteristic number",IF(AND(ISNUMBER(tblPlan[[#This Row],[LSL]]),ISNUMBER(tblPlan[[#This Row],[USL]]),tblPlan[[#This Row],[LSL]]&gt;=tblPlan[[#This Row],[USL]]),"LSL not below USL",IF(AND(tblPlan[[#This Row],[Frequency]]&lt;&gt;"Every part",N(tblPlan[[#This Row],[Times]])=0),"Frequency needs Times",IF(AND(tblPlan[[#This Row],[Product characteristic]]="",tblPlan[[#This Row],[Process characteristic]]=""),"Missing characteristic","OK")))))))))))</f>
        <v>OK</v>
      </c>
    </row>
    <row r="23" spans="2:30" x14ac:dyDescent="0.25">
      <c r="B23" s="28" t="s">
        <v>107</v>
      </c>
      <c r="C23" s="28" t="s">
        <v>258</v>
      </c>
      <c r="D23" s="28"/>
      <c r="E23" s="28" t="s">
        <v>259</v>
      </c>
      <c r="F23" s="28"/>
      <c r="G23" s="28" t="s">
        <v>260</v>
      </c>
      <c r="H23" s="37"/>
      <c r="I23" s="37"/>
      <c r="J23" s="28" t="s">
        <v>193</v>
      </c>
      <c r="K23" s="28" t="s">
        <v>261</v>
      </c>
      <c r="L23" s="38">
        <v>2</v>
      </c>
      <c r="M23" s="28" t="s">
        <v>172</v>
      </c>
      <c r="N23" s="30">
        <v>1</v>
      </c>
      <c r="O23" s="30">
        <v>120</v>
      </c>
      <c r="P23" s="28" t="s">
        <v>262</v>
      </c>
      <c r="Q23" s="28" t="s">
        <v>263</v>
      </c>
      <c r="R23" s="32"/>
      <c r="S23" s="31"/>
      <c r="T23" s="28" t="s">
        <v>257</v>
      </c>
      <c r="U23" s="39">
        <f>IF(tblPlan[[#This Row],[Process step]]="","",IFERROR(INDEX(tblSteps[Rate (parts/h)],MATCH(tblPlan[[#This Row],[Process step]],tblSteps[Process step],0)),""))</f>
        <v>90</v>
      </c>
      <c r="V23" s="39">
        <f>IF(tblPlan[[#This Row],[Process step]]="","",IFERROR(INDEX(tblSteps[Setups per shift],MATCH(tblPlan[[#This Row],[Process step]],tblSteps[Process step],0)),""))</f>
        <v>0</v>
      </c>
      <c r="W23" s="39">
        <f>IF(tblPlan[[#This Row],[Process step]]="","",IF(tblPlan[[#This Row],[Frequency]]="Per hour",tblPlan[[#This Row],[Times]]*ShiftHours,IF(tblPlan[[#This Row],[Frequency]]="Per shift",tblPlan[[#This Row],[Times]],IF(tblPlan[[#This Row],[Frequency]]="Per lot",tblPlan[[#This Row],[Times]]*LotsPerShift,IF(tblPlan[[#This Row],[Frequency]]="Per setup",tblPlan[[#This Row],[Times]]*tblPlan[[#This Row],[Setups per shift]],"")))))</f>
        <v>1</v>
      </c>
      <c r="X23" s="39">
        <f>IF(tblPlan[[#This Row],[Process step]]="","",IF(tblPlan[[#This Row],[Frequency]]="Every part",IF(tblPlan[[#This Row],[Rate (parts/h)]]="","",tblPlan[[#This Row],[Rate (parts/h)]]*ShiftHours),IF(tblPlan[[#This Row],[Checks (per shift)]]="","",tblPlan[[#This Row],[Sample size]]*tblPlan[[#This Row],[Checks (per shift)]])))</f>
        <v>2</v>
      </c>
      <c r="Y23" s="39">
        <f>IF(tblPlan[[#This Row],[Process step]]="","",IF(tblPlan[[#This Row],[Parts measured (per shift)]]="","",tblPlan[[#This Row],[Parts measured (per shift)]]*N(tblPlan[[#This Row],[Time per part (s)]])/60))</f>
        <v>4</v>
      </c>
      <c r="Z23" s="40">
        <f>IF(tblPlan[[#This Row],[Process step]]="","",IF(AND(ISNUMBER(tblPlan[[#This Row],[LSL]]),ISNUMBER(tblPlan[[#This Row],[USL]])),tblPlan[[#This Row],[USL]]-tblPlan[[#This Row],[LSL]],""))</f>
        <v/>
      </c>
      <c r="AA23" s="41">
        <f>IF(tblPlan[[#This Row],[Process step]]="","",IF(ISNUMBER(tblPlan[[#This Row],[Cpk]]),IF(tblPlan[[#This Row],[Cpk]]&gt;=MinCpk,"Within limits","Out of limits"),IF(tblPlan[[#This Row],[Class]]&lt;&gt;"","Check","")))</f>
        <v/>
      </c>
      <c r="AB23" s="41">
        <f>IF(tblPlan[[#This Row],[Process step]]="","",IF(N(tblPlan[[#This Row],[GRR]])&gt;0,IF(tblPlan[[#This Row],[GRR]]&lt;=GrrOk,"Within limits",IF(tblPlan[[#This Row],[GRR]]&lt;=GrrMax,"Check","Out of limits")),""))</f>
        <v/>
      </c>
      <c r="AC23" s="42">
        <f>IF(tblPlan[[#This Row],[Process step]]="","",IF(ISNUMBER(tblPlan[[#This Row],[Cpk]]),SUMPRODUCT(ISNUMBER(tblPlan[Cpk])*(ROW(tblPlan[Cpk])&lt;=ROW(tblPlan[[#This Row],[Cpk]]))),""))</f>
        <v/>
      </c>
      <c r="AD23" s="43" t="str">
        <f>IF(tblPlan[[#This Row],[Process step]]="","",IF(tblPlan[[#This Row],[Char. no.]]="","Missing char. no.",IF(tblPlan[[#This Row],[Evaluation method]]="","Missing evaluation method",IF(tblPlan[[#This Row],[Sample size]]="","Missing sample size",IF(tblPlan[[#This Row],[Frequency]]="","Missing frequency",IF(tblPlan[[#This Row],[Reaction plan]]="","Missing reaction plan",IF(tblPlan[[#This Row],[Rate (parts/h)]]="","Step not on Setup list",IF(COUNTIFS(tblPlan[Char. no.],tblPlan[[#This Row],[Char. no.]])&gt;1,"Duplicate characteristic number",IF(AND(ISNUMBER(tblPlan[[#This Row],[LSL]]),ISNUMBER(tblPlan[[#This Row],[USL]]),tblPlan[[#This Row],[LSL]]&gt;=tblPlan[[#This Row],[USL]]),"LSL not below USL",IF(AND(tblPlan[[#This Row],[Frequency]]&lt;&gt;"Every part",N(tblPlan[[#This Row],[Times]])=0),"Frequency needs Times",IF(AND(tblPlan[[#This Row],[Product characteristic]]="",tblPlan[[#This Row],[Process characteristic]]=""),"Missing characteristic","OK")))))))))))</f>
        <v>OK</v>
      </c>
    </row>
    <row r="24" spans="2:30" x14ac:dyDescent="0.25">
      <c r="B24" s="28" t="s">
        <v>109</v>
      </c>
      <c r="C24" s="28" t="s">
        <v>264</v>
      </c>
      <c r="D24" s="28" t="s">
        <v>265</v>
      </c>
      <c r="E24" s="28"/>
      <c r="F24" s="28" t="s">
        <v>114</v>
      </c>
      <c r="G24" s="28" t="s">
        <v>266</v>
      </c>
      <c r="H24" s="37">
        <v>0</v>
      </c>
      <c r="I24" s="37">
        <v>2</v>
      </c>
      <c r="J24" s="28" t="s">
        <v>267</v>
      </c>
      <c r="K24" s="28" t="s">
        <v>268</v>
      </c>
      <c r="L24" s="38">
        <v>1</v>
      </c>
      <c r="M24" s="28" t="s">
        <v>156</v>
      </c>
      <c r="N24" s="30">
        <v>1</v>
      </c>
      <c r="O24" s="30">
        <v>1200</v>
      </c>
      <c r="P24" s="28" t="s">
        <v>269</v>
      </c>
      <c r="Q24" s="28" t="s">
        <v>270</v>
      </c>
      <c r="R24" s="32">
        <v>1.36</v>
      </c>
      <c r="S24" s="31"/>
      <c r="T24" s="28" t="s">
        <v>159</v>
      </c>
      <c r="U24" s="39">
        <f>IF(tblPlan[[#This Row],[Process step]]="","",IFERROR(INDEX(tblSteps[Rate (parts/h)],MATCH(tblPlan[[#This Row],[Process step]],tblSteps[Process step],0)),""))</f>
        <v>90</v>
      </c>
      <c r="V24" s="39">
        <f>IF(tblPlan[[#This Row],[Process step]]="","",IFERROR(INDEX(tblSteps[Setups per shift],MATCH(tblPlan[[#This Row],[Process step]],tblSteps[Process step],0)),""))</f>
        <v>1</v>
      </c>
      <c r="W24" s="39">
        <f>IF(tblPlan[[#This Row],[Process step]]="","",IF(tblPlan[[#This Row],[Frequency]]="Per hour",tblPlan[[#This Row],[Times]]*ShiftHours,IF(tblPlan[[#This Row],[Frequency]]="Per shift",tblPlan[[#This Row],[Times]],IF(tblPlan[[#This Row],[Frequency]]="Per lot",tblPlan[[#This Row],[Times]]*LotsPerShift,IF(tblPlan[[#This Row],[Frequency]]="Per setup",tblPlan[[#This Row],[Times]]*tblPlan[[#This Row],[Setups per shift]],"")))))</f>
        <v>2</v>
      </c>
      <c r="X24" s="39">
        <f>IF(tblPlan[[#This Row],[Process step]]="","",IF(tblPlan[[#This Row],[Frequency]]="Every part",IF(tblPlan[[#This Row],[Rate (parts/h)]]="","",tblPlan[[#This Row],[Rate (parts/h)]]*ShiftHours),IF(tblPlan[[#This Row],[Checks (per shift)]]="","",tblPlan[[#This Row],[Sample size]]*tblPlan[[#This Row],[Checks (per shift)]])))</f>
        <v>2</v>
      </c>
      <c r="Y24" s="39">
        <f>IF(tblPlan[[#This Row],[Process step]]="","",IF(tblPlan[[#This Row],[Parts measured (per shift)]]="","",tblPlan[[#This Row],[Parts measured (per shift)]]*N(tblPlan[[#This Row],[Time per part (s)]])/60))</f>
        <v>40</v>
      </c>
      <c r="Z24" s="40">
        <f>IF(tblPlan[[#This Row],[Process step]]="","",IF(AND(ISNUMBER(tblPlan[[#This Row],[LSL]]),ISNUMBER(tblPlan[[#This Row],[USL]])),tblPlan[[#This Row],[USL]]-tblPlan[[#This Row],[LSL]],""))</f>
        <v>2</v>
      </c>
      <c r="AA24" s="41" t="str">
        <f>IF(tblPlan[[#This Row],[Process step]]="","",IF(ISNUMBER(tblPlan[[#This Row],[Cpk]]),IF(tblPlan[[#This Row],[Cpk]]&gt;=MinCpk,"Within limits","Out of limits"),IF(tblPlan[[#This Row],[Class]]&lt;&gt;"","Check","")))</f>
        <v>Within limits</v>
      </c>
      <c r="AB24" s="41">
        <f>IF(tblPlan[[#This Row],[Process step]]="","",IF(N(tblPlan[[#This Row],[GRR]])&gt;0,IF(tblPlan[[#This Row],[GRR]]&lt;=GrrOk,"Within limits",IF(tblPlan[[#This Row],[GRR]]&lt;=GrrMax,"Check","Out of limits")),""))</f>
        <v/>
      </c>
      <c r="AC24" s="42">
        <f>IF(tblPlan[[#This Row],[Process step]]="","",IF(ISNUMBER(tblPlan[[#This Row],[Cpk]]),SUMPRODUCT(ISNUMBER(tblPlan[Cpk])*(ROW(tblPlan[Cpk])&lt;=ROW(tblPlan[[#This Row],[Cpk]]))),""))</f>
        <v>9</v>
      </c>
      <c r="AD24" s="43" t="str">
        <f>IF(tblPlan[[#This Row],[Process step]]="","",IF(tblPlan[[#This Row],[Char. no.]]="","Missing char. no.",IF(tblPlan[[#This Row],[Evaluation method]]="","Missing evaluation method",IF(tblPlan[[#This Row],[Sample size]]="","Missing sample size",IF(tblPlan[[#This Row],[Frequency]]="","Missing frequency",IF(tblPlan[[#This Row],[Reaction plan]]="","Missing reaction plan",IF(tblPlan[[#This Row],[Rate (parts/h)]]="","Step not on Setup list",IF(COUNTIFS(tblPlan[Char. no.],tblPlan[[#This Row],[Char. no.]])&gt;1,"Duplicate characteristic number",IF(AND(ISNUMBER(tblPlan[[#This Row],[LSL]]),ISNUMBER(tblPlan[[#This Row],[USL]]),tblPlan[[#This Row],[LSL]]&gt;=tblPlan[[#This Row],[USL]]),"LSL not below USL",IF(AND(tblPlan[[#This Row],[Frequency]]&lt;&gt;"Every part",N(tblPlan[[#This Row],[Times]])=0),"Frequency needs Times",IF(AND(tblPlan[[#This Row],[Product characteristic]]="",tblPlan[[#This Row],[Process characteristic]]=""),"Missing characteristic","OK")))))))))))</f>
        <v>OK</v>
      </c>
    </row>
    <row r="25" spans="2:30" x14ac:dyDescent="0.25">
      <c r="B25" s="28" t="s">
        <v>109</v>
      </c>
      <c r="C25" s="28" t="s">
        <v>271</v>
      </c>
      <c r="D25" s="28"/>
      <c r="E25" s="28" t="s">
        <v>272</v>
      </c>
      <c r="F25" s="28"/>
      <c r="G25" s="28" t="s">
        <v>273</v>
      </c>
      <c r="H25" s="37">
        <v>55</v>
      </c>
      <c r="I25" s="37">
        <v>65</v>
      </c>
      <c r="J25" s="28" t="s">
        <v>145</v>
      </c>
      <c r="K25" s="28" t="s">
        <v>274</v>
      </c>
      <c r="L25" s="38">
        <v>1</v>
      </c>
      <c r="M25" s="28" t="s">
        <v>172</v>
      </c>
      <c r="N25" s="30">
        <v>2</v>
      </c>
      <c r="O25" s="30">
        <v>10</v>
      </c>
      <c r="P25" s="28" t="s">
        <v>241</v>
      </c>
      <c r="Q25" s="28" t="s">
        <v>275</v>
      </c>
      <c r="R25" s="32"/>
      <c r="S25" s="31"/>
      <c r="T25" s="28" t="s">
        <v>276</v>
      </c>
      <c r="U25" s="39">
        <f>IF(tblPlan[[#This Row],[Process step]]="","",IFERROR(INDEX(tblSteps[Rate (parts/h)],MATCH(tblPlan[[#This Row],[Process step]],tblSteps[Process step],0)),""))</f>
        <v>90</v>
      </c>
      <c r="V25" s="39">
        <f>IF(tblPlan[[#This Row],[Process step]]="","",IFERROR(INDEX(tblSteps[Setups per shift],MATCH(tblPlan[[#This Row],[Process step]],tblSteps[Process step],0)),""))</f>
        <v>1</v>
      </c>
      <c r="W25" s="39">
        <f>IF(tblPlan[[#This Row],[Process step]]="","",IF(tblPlan[[#This Row],[Frequency]]="Per hour",tblPlan[[#This Row],[Times]]*ShiftHours,IF(tblPlan[[#This Row],[Frequency]]="Per shift",tblPlan[[#This Row],[Times]],IF(tblPlan[[#This Row],[Frequency]]="Per lot",tblPlan[[#This Row],[Times]]*LotsPerShift,IF(tblPlan[[#This Row],[Frequency]]="Per setup",tblPlan[[#This Row],[Times]]*tblPlan[[#This Row],[Setups per shift]],"")))))</f>
        <v>2</v>
      </c>
      <c r="X25" s="39">
        <f>IF(tblPlan[[#This Row],[Process step]]="","",IF(tblPlan[[#This Row],[Frequency]]="Every part",IF(tblPlan[[#This Row],[Rate (parts/h)]]="","",tblPlan[[#This Row],[Rate (parts/h)]]*ShiftHours),IF(tblPlan[[#This Row],[Checks (per shift)]]="","",tblPlan[[#This Row],[Sample size]]*tblPlan[[#This Row],[Checks (per shift)]])))</f>
        <v>2</v>
      </c>
      <c r="Y25" s="39">
        <f>IF(tblPlan[[#This Row],[Process step]]="","",IF(tblPlan[[#This Row],[Parts measured (per shift)]]="","",tblPlan[[#This Row],[Parts measured (per shift)]]*N(tblPlan[[#This Row],[Time per part (s)]])/60))</f>
        <v>0.333333333333333</v>
      </c>
      <c r="Z25" s="40">
        <f>IF(tblPlan[[#This Row],[Process step]]="","",IF(AND(ISNUMBER(tblPlan[[#This Row],[LSL]]),ISNUMBER(tblPlan[[#This Row],[USL]])),tblPlan[[#This Row],[USL]]-tblPlan[[#This Row],[LSL]],""))</f>
        <v>10</v>
      </c>
      <c r="AA25" s="41">
        <f>IF(tblPlan[[#This Row],[Process step]]="","",IF(ISNUMBER(tblPlan[[#This Row],[Cpk]]),IF(tblPlan[[#This Row],[Cpk]]&gt;=MinCpk,"Within limits","Out of limits"),IF(tblPlan[[#This Row],[Class]]&lt;&gt;"","Check","")))</f>
        <v/>
      </c>
      <c r="AB25" s="41">
        <f>IF(tblPlan[[#This Row],[Process step]]="","",IF(N(tblPlan[[#This Row],[GRR]])&gt;0,IF(tblPlan[[#This Row],[GRR]]&lt;=GrrOk,"Within limits",IF(tblPlan[[#This Row],[GRR]]&lt;=GrrMax,"Check","Out of limits")),""))</f>
        <v/>
      </c>
      <c r="AC25" s="42">
        <f>IF(tblPlan[[#This Row],[Process step]]="","",IF(ISNUMBER(tblPlan[[#This Row],[Cpk]]),SUMPRODUCT(ISNUMBER(tblPlan[Cpk])*(ROW(tblPlan[Cpk])&lt;=ROW(tblPlan[[#This Row],[Cpk]]))),""))</f>
        <v/>
      </c>
      <c r="AD25" s="43" t="str">
        <f>IF(tblPlan[[#This Row],[Process step]]="","",IF(tblPlan[[#This Row],[Char. no.]]="","Missing char. no.",IF(tblPlan[[#This Row],[Evaluation method]]="","Missing evaluation method",IF(tblPlan[[#This Row],[Sample size]]="","Missing sample size",IF(tblPlan[[#This Row],[Frequency]]="","Missing frequency",IF(tblPlan[[#This Row],[Reaction plan]]="","Missing reaction plan",IF(tblPlan[[#This Row],[Rate (parts/h)]]="","Step not on Setup list",IF(COUNTIFS(tblPlan[Char. no.],tblPlan[[#This Row],[Char. no.]])&gt;1,"Duplicate characteristic number",IF(AND(ISNUMBER(tblPlan[[#This Row],[LSL]]),ISNUMBER(tblPlan[[#This Row],[USL]]),tblPlan[[#This Row],[LSL]]&gt;=tblPlan[[#This Row],[USL]]),"LSL not below USL",IF(AND(tblPlan[[#This Row],[Frequency]]&lt;&gt;"Every part",N(tblPlan[[#This Row],[Times]])=0),"Frequency needs Times",IF(AND(tblPlan[[#This Row],[Product characteristic]]="",tblPlan[[#This Row],[Process characteristic]]=""),"Missing characteristic","OK")))))))))))</f>
        <v>OK</v>
      </c>
    </row>
    <row r="26" spans="2:30" x14ac:dyDescent="0.25">
      <c r="B26" s="28" t="s">
        <v>109</v>
      </c>
      <c r="C26" s="28" t="s">
        <v>277</v>
      </c>
      <c r="D26" s="28" t="s">
        <v>278</v>
      </c>
      <c r="E26" s="28"/>
      <c r="F26" s="28"/>
      <c r="G26" s="28" t="s">
        <v>279</v>
      </c>
      <c r="H26" s="37"/>
      <c r="I26" s="37"/>
      <c r="J26" s="28" t="s">
        <v>193</v>
      </c>
      <c r="K26" s="28" t="s">
        <v>280</v>
      </c>
      <c r="L26" s="38">
        <v>1</v>
      </c>
      <c r="M26" s="28" t="s">
        <v>180</v>
      </c>
      <c r="N26" s="30"/>
      <c r="O26" s="30">
        <v>3</v>
      </c>
      <c r="P26" s="28" t="s">
        <v>281</v>
      </c>
      <c r="Q26" s="28" t="s">
        <v>282</v>
      </c>
      <c r="R26" s="32"/>
      <c r="S26" s="31"/>
      <c r="T26" s="28" t="s">
        <v>276</v>
      </c>
      <c r="U26" s="39">
        <f>IF(tblPlan[[#This Row],[Process step]]="","",IFERROR(INDEX(tblSteps[Rate (parts/h)],MATCH(tblPlan[[#This Row],[Process step]],tblSteps[Process step],0)),""))</f>
        <v>90</v>
      </c>
      <c r="V26" s="39">
        <f>IF(tblPlan[[#This Row],[Process step]]="","",IFERROR(INDEX(tblSteps[Setups per shift],MATCH(tblPlan[[#This Row],[Process step]],tblSteps[Process step],0)),""))</f>
        <v>1</v>
      </c>
      <c r="W26" s="39">
        <f>IF(tblPlan[[#This Row],[Process step]]="","",IF(tblPlan[[#This Row],[Frequency]]="Per hour",tblPlan[[#This Row],[Times]]*ShiftHours,IF(tblPlan[[#This Row],[Frequency]]="Per shift",tblPlan[[#This Row],[Times]],IF(tblPlan[[#This Row],[Frequency]]="Per lot",tblPlan[[#This Row],[Times]]*LotsPerShift,IF(tblPlan[[#This Row],[Frequency]]="Per setup",tblPlan[[#This Row],[Times]]*tblPlan[[#This Row],[Setups per shift]],"")))))</f>
        <v/>
      </c>
      <c r="X26" s="39">
        <f>IF(tblPlan[[#This Row],[Process step]]="","",IF(tblPlan[[#This Row],[Frequency]]="Every part",IF(tblPlan[[#This Row],[Rate (parts/h)]]="","",tblPlan[[#This Row],[Rate (parts/h)]]*ShiftHours),IF(tblPlan[[#This Row],[Checks (per shift)]]="","",tblPlan[[#This Row],[Sample size]]*tblPlan[[#This Row],[Checks (per shift)]])))</f>
        <v>675</v>
      </c>
      <c r="Y26" s="39">
        <f>IF(tblPlan[[#This Row],[Process step]]="","",IF(tblPlan[[#This Row],[Parts measured (per shift)]]="","",tblPlan[[#This Row],[Parts measured (per shift)]]*N(tblPlan[[#This Row],[Time per part (s)]])/60))</f>
        <v>33.75</v>
      </c>
      <c r="Z26" s="40">
        <f>IF(tblPlan[[#This Row],[Process step]]="","",IF(AND(ISNUMBER(tblPlan[[#This Row],[LSL]]),ISNUMBER(tblPlan[[#This Row],[USL]])),tblPlan[[#This Row],[USL]]-tblPlan[[#This Row],[LSL]],""))</f>
        <v/>
      </c>
      <c r="AA26" s="41">
        <f>IF(tblPlan[[#This Row],[Process step]]="","",IF(ISNUMBER(tblPlan[[#This Row],[Cpk]]),IF(tblPlan[[#This Row],[Cpk]]&gt;=MinCpk,"Within limits","Out of limits"),IF(tblPlan[[#This Row],[Class]]&lt;&gt;"","Check","")))</f>
        <v/>
      </c>
      <c r="AB26" s="41">
        <f>IF(tblPlan[[#This Row],[Process step]]="","",IF(N(tblPlan[[#This Row],[GRR]])&gt;0,IF(tblPlan[[#This Row],[GRR]]&lt;=GrrOk,"Within limits",IF(tblPlan[[#This Row],[GRR]]&lt;=GrrMax,"Check","Out of limits")),""))</f>
        <v/>
      </c>
      <c r="AC26" s="42">
        <f>IF(tblPlan[[#This Row],[Process step]]="","",IF(ISNUMBER(tblPlan[[#This Row],[Cpk]]),SUMPRODUCT(ISNUMBER(tblPlan[Cpk])*(ROW(tblPlan[Cpk])&lt;=ROW(tblPlan[[#This Row],[Cpk]]))),""))</f>
        <v/>
      </c>
      <c r="AD26" s="43" t="str">
        <f>IF(tblPlan[[#This Row],[Process step]]="","",IF(tblPlan[[#This Row],[Char. no.]]="","Missing char. no.",IF(tblPlan[[#This Row],[Evaluation method]]="","Missing evaluation method",IF(tblPlan[[#This Row],[Sample size]]="","Missing sample size",IF(tblPlan[[#This Row],[Frequency]]="","Missing frequency",IF(tblPlan[[#This Row],[Reaction plan]]="","Missing reaction plan",IF(tblPlan[[#This Row],[Rate (parts/h)]]="","Step not on Setup list",IF(COUNTIFS(tblPlan[Char. no.],tblPlan[[#This Row],[Char. no.]])&gt;1,"Duplicate characteristic number",IF(AND(ISNUMBER(tblPlan[[#This Row],[LSL]]),ISNUMBER(tblPlan[[#This Row],[USL]]),tblPlan[[#This Row],[LSL]]&gt;=tblPlan[[#This Row],[USL]]),"LSL not below USL",IF(AND(tblPlan[[#This Row],[Frequency]]&lt;&gt;"Every part",N(tblPlan[[#This Row],[Times]])=0),"Frequency needs Times",IF(AND(tblPlan[[#This Row],[Product characteristic]]="",tblPlan[[#This Row],[Process characteristic]]=""),"Missing characteristic","OK")))))))))))</f>
        <v>OK</v>
      </c>
    </row>
  </sheetData>
  <mergeCells count="4">
    <mergeCell ref="A1:AD1"/>
    <mergeCell ref="B2:AC2"/>
    <mergeCell ref="B4:I4"/>
    <mergeCell ref="B5:AD5"/>
  </mergeCells>
  <conditionalFormatting sqref="AA7:AA526">
    <cfRule type="cellIs" dxfId="0" priority="2" operator="equal">
      <formula>"On target"</formula>
    </cfRule>
    <cfRule type="cellIs" dxfId="0" priority="3" operator="equal">
      <formula>"PASS"</formula>
    </cfRule>
    <cfRule type="cellIs" dxfId="0" priority="4" operator="equal">
      <formula>"OK"</formula>
    </cfRule>
    <cfRule type="cellIs" dxfId="0" priority="5" operator="equal">
      <formula>"Within limits"</formula>
    </cfRule>
    <cfRule type="cellIs" dxfId="0" priority="6" operator="equal">
      <formula>"Under capacity"</formula>
    </cfRule>
    <cfRule type="cellIs" dxfId="0" priority="7" operator="equal">
      <formula>"Complete"</formula>
    </cfRule>
    <cfRule type="cellIs" dxfId="0" priority="8" operator="equal">
      <formula>"Yes"</formula>
    </cfRule>
    <cfRule type="cellIs" dxfId="1" priority="9" operator="equal">
      <formula>"Near target"</formula>
    </cfRule>
    <cfRule type="cellIs" dxfId="1" priority="10" operator="equal">
      <formula>"Check"</formula>
    </cfRule>
    <cfRule type="cellIs" dxfId="1" priority="11" operator="equal">
      <formula>"Due soon"</formula>
    </cfRule>
    <cfRule type="cellIs" dxfId="1" priority="12" operator="equal">
      <formula>"Near capacity"</formula>
    </cfRule>
    <cfRule type="cellIs" dxfId="1" priority="13" operator="equal">
      <formula>"In progress"</formula>
    </cfRule>
    <cfRule type="cellIs" dxfId="1" priority="14" operator="equal">
      <formula>"Partial"</formula>
    </cfRule>
    <cfRule type="cellIs" dxfId="2" priority="15" operator="equal">
      <formula>"Below target"</formula>
    </cfRule>
    <cfRule type="cellIs" dxfId="2" priority="16" operator="equal">
      <formula>"Above target"</formula>
    </cfRule>
    <cfRule type="cellIs" dxfId="2" priority="17" operator="equal">
      <formula>"FAIL"</formula>
    </cfRule>
    <cfRule type="cellIs" dxfId="2" priority="18" operator="equal">
      <formula>"Over capacity"</formula>
    </cfRule>
    <cfRule type="cellIs" dxfId="2" priority="19" operator="equal">
      <formula>"Overdue"</formula>
    </cfRule>
    <cfRule type="cellIs" dxfId="2" priority="20" operator="equal">
      <formula>"Out of limits"</formula>
    </cfRule>
    <cfRule type="cellIs" dxfId="2" priority="21" operator="equal">
      <formula>"No"</formula>
    </cfRule>
  </conditionalFormatting>
  <conditionalFormatting sqref="AB7:AB526">
    <cfRule type="cellIs" dxfId="0" priority="22" operator="equal">
      <formula>"On target"</formula>
    </cfRule>
    <cfRule type="cellIs" dxfId="0" priority="23" operator="equal">
      <formula>"PASS"</formula>
    </cfRule>
    <cfRule type="cellIs" dxfId="0" priority="24" operator="equal">
      <formula>"OK"</formula>
    </cfRule>
    <cfRule type="cellIs" dxfId="0" priority="25" operator="equal">
      <formula>"Within limits"</formula>
    </cfRule>
    <cfRule type="cellIs" dxfId="0" priority="26" operator="equal">
      <formula>"Under capacity"</formula>
    </cfRule>
    <cfRule type="cellIs" dxfId="0" priority="27" operator="equal">
      <formula>"Complete"</formula>
    </cfRule>
    <cfRule type="cellIs" dxfId="0" priority="28" operator="equal">
      <formula>"Yes"</formula>
    </cfRule>
    <cfRule type="cellIs" dxfId="1" priority="29" operator="equal">
      <formula>"Near target"</formula>
    </cfRule>
    <cfRule type="cellIs" dxfId="1" priority="30" operator="equal">
      <formula>"Check"</formula>
    </cfRule>
    <cfRule type="cellIs" dxfId="1" priority="31" operator="equal">
      <formula>"Due soon"</formula>
    </cfRule>
    <cfRule type="cellIs" dxfId="1" priority="32" operator="equal">
      <formula>"Near capacity"</formula>
    </cfRule>
    <cfRule type="cellIs" dxfId="1" priority="33" operator="equal">
      <formula>"In progress"</formula>
    </cfRule>
    <cfRule type="cellIs" dxfId="1" priority="34" operator="equal">
      <formula>"Partial"</formula>
    </cfRule>
    <cfRule type="cellIs" dxfId="2" priority="35" operator="equal">
      <formula>"Below target"</formula>
    </cfRule>
    <cfRule type="cellIs" dxfId="2" priority="36" operator="equal">
      <formula>"Above target"</formula>
    </cfRule>
    <cfRule type="cellIs" dxfId="2" priority="37" operator="equal">
      <formula>"FAIL"</formula>
    </cfRule>
    <cfRule type="cellIs" dxfId="2" priority="38" operator="equal">
      <formula>"Over capacity"</formula>
    </cfRule>
    <cfRule type="cellIs" dxfId="2" priority="39" operator="equal">
      <formula>"Overdue"</formula>
    </cfRule>
    <cfRule type="cellIs" dxfId="2" priority="40" operator="equal">
      <formula>"Out of limits"</formula>
    </cfRule>
    <cfRule type="cellIs" dxfId="2" priority="41" operator="equal">
      <formula>"No"</formula>
    </cfRule>
  </conditionalFormatting>
  <conditionalFormatting sqref="AD7:AD526">
    <cfRule type="expression" dxfId="3" priority="42">
      <formula>$AD7="OK"</formula>
    </cfRule>
    <cfRule type="expression" dxfId="1" priority="43">
      <formula>AND($AD7&lt;&gt;"",$AD7&lt;&gt;"OK")</formula>
    </cfRule>
  </conditionalFormatting>
  <conditionalFormatting sqref="Y7:Y526">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dataValidations count="19">
    <dataValidation type="list" allowBlank="1" showInputMessage="1" showErrorMessage="1" errorTitle="Check this entry" error="Pick from the list (edit the list on Setup: Steps)." promptTitle="Process step" prompt="Pick from the list (edit the list on Setup: Steps)." sqref="B7:B526">
      <formula1>Steps</formula1>
    </dataValidation>
    <dataValidation type="textLength" allowBlank="1" showInputMessage="1" showErrorMessage="1" errorTitle="Check this entry" error="Text up to 12 characters." promptTitle="Char. no." prompt="Text up to 12 characters." sqref="C7:C526">
      <formula1>0</formula1>
      <formula2>12</formula2>
    </dataValidation>
    <dataValidation type="textLength" allowBlank="1" showInputMessage="1" showErrorMessage="1" errorTitle="Check this entry" error="Text up to 120 characters." promptTitle="Product characteristic" prompt="Text up to 120 characters." sqref="D7:D526">
      <formula1>0</formula1>
      <formula2>120</formula2>
    </dataValidation>
    <dataValidation type="textLength" allowBlank="1" showInputMessage="1" showErrorMessage="1" errorTitle="Check this entry" error="Text up to 120 characters." promptTitle="Process characteristic" prompt="Text up to 120 characters." sqref="E7:E526">
      <formula1>0</formula1>
      <formula2>120</formula2>
    </dataValidation>
    <dataValidation type="list" allowBlank="1" showInputMessage="1" showErrorMessage="1" errorTitle="Check this entry" error="Pick from the list (edit the list on Setup: Classes)." promptTitle="Class" prompt="Pick from the list (edit the list on Setup: Classes)." sqref="F7:F526">
      <formula1>Classes</formula1>
    </dataValidation>
    <dataValidation type="textLength" allowBlank="1" showInputMessage="1" showErrorMessage="1" errorTitle="Check this entry" error="Text up to 80 characters." promptTitle="Specification" prompt="Text up to 80 characters." sqref="G7:G526">
      <formula1>0</formula1>
      <formula2>80</formula2>
    </dataValidation>
    <dataValidation type="decimal" allowBlank="1" showInputMessage="1" showErrorMessage="1" errorTitle="Check this entry" error="Enter a number of at least -1,000,000,000." promptTitle="LSL" prompt="Lower specification limit, in the unit column. Blank for a one-sided or attribute characteristic. Enter a number of at least -1,000,000,000." sqref="H7:H526">
      <formula1>-1000000000.0</formula1>
      <formula2>1000000000.0</formula2>
    </dataValidation>
    <dataValidation type="decimal" allowBlank="1" showInputMessage="1" showErrorMessage="1" errorTitle="Check this entry" error="Enter a number of at least -1,000,000,000." promptTitle="USL" prompt="Upper specification limit. Blank for a one-sided or attribute characteristic. Enter a number of at least -1,000,000,000." sqref="I7:I526">
      <formula1>-1000000000.0</formula1>
      <formula2>1000000000.0</formula2>
    </dataValidation>
    <dataValidation type="textLength" allowBlank="1" showInputMessage="1" showErrorMessage="1" errorTitle="Check this entry" error="Text up to 12 characters." promptTitle="Unit" prompt="Text up to 12 characters." sqref="J7:J526">
      <formula1>0</formula1>
      <formula2>12</formula2>
    </dataValidation>
    <dataValidation type="textLength" allowBlank="1" showInputMessage="1" showErrorMessage="1" errorTitle="Check this entry" error="Text up to 80 characters." promptTitle="Evaluation method" prompt="Measuring technique or gauge. Text up to 80 characters." sqref="K7:K526">
      <formula1>0</formula1>
      <formula2>80</formula2>
    </dataValidation>
    <dataValidation type="whole" allowBlank="1" showInputMessage="1" showErrorMessage="1" errorTitle="Check this entry" error="Enter a whole number from 1 to 100,000." promptTitle="Sample size" prompt="Parts measured each time the check is made. Enter a whole number from 1 to 100,000." sqref="L7:L526">
      <formula1>1</formula1>
      <formula2>100000</formula2>
    </dataValidation>
    <dataValidation type="list" allowBlank="1" showInputMessage="1" showErrorMessage="1" errorTitle="Check this entry" error="Pick one of: Per hour, Per shift, Per lot, Per setup, Every part." promptTitle="Frequency" prompt="How often: per hour, per shift, per lot, per setup, or every part (100% inspection). Pick one of: Per hour, Per shift, Per lot, Per setup, Every part." sqref="M7:M526">
      <formula1>"Per hour,Per shift,Per lot,Per setup,Every part"</formula1>
    </dataValidation>
    <dataValidation type="decimal" allowBlank="1" showInputMessage="1" showErrorMessage="1" errorTitle="Check this entry" error="Enter a number from 0 to 10,000." promptTitle="Times" prompt="How many checks per hour, shift, lot or setup (2 per shift = 2). Leave blank for every part. Enter a number from 0 to 10,000." sqref="N7:N526">
      <formula1>0</formula1>
      <formula2>10000</formula2>
    </dataValidation>
    <dataValidation type="decimal" allowBlank="1" showInputMessage="1" showErrorMessage="1" errorTitle="Check this entry" error="Enter a number from 0 to 86,400." promptTitle="Time per part (s)" prompt="Hands-on time to measure and record one part. 0 for a fully automatic check. Enter a number from 0 to 86,400." sqref="O7:O526">
      <formula1>0</formula1>
      <formula2>86400</formula2>
    </dataValidation>
    <dataValidation type="textLength" allowBlank="1" showInputMessage="1" showErrorMessage="1" errorTitle="Check this entry" error="Text up to 120 characters." promptTitle="Control method" prompt="Text up to 120 characters." sqref="P7:P526">
      <formula1>0</formula1>
      <formula2>120</formula2>
    </dataValidation>
    <dataValidation type="textLength" allowBlank="1" showInputMessage="1" showErrorMessage="1" errorTitle="Check this entry" error="Text up to 200 characters." promptTitle="Reaction plan" prompt="What the operator does when a check is out: contain, correct, tell whom. Text up to 200 characters." sqref="Q7:Q526">
      <formula1>0</formula1>
      <formula2>200</formula2>
    </dataValidation>
    <dataValidation type="decimal" allowBlank="1" showInputMessage="1" showErrorMessage="1" errorTitle="Check this entry" error="Enter a number from 0 to 20." promptTitle="Cpk" prompt="Latest capability index for a variable characteristic. Leave blank if not studied. Enter a number from 0 to 20." sqref="R7:R526">
      <formula1>0</formula1>
      <formula2>20</formula2>
    </dataValidation>
    <dataValidation type="decimal" allowBlank="1" showInputMessage="1" showErrorMessage="1" errorTitle="Check this entry" error="Enter a percentage from 0% to 500% (type 85% or 0.85)." promptTitle="GRR" prompt="Latest gauge R&amp;R as a share of tolerance (0.12 = 12%). Leave blank if not studied. Enter a percentage from 0% to 500% (type 85% or 0.85)." sqref="S7:S526">
      <formula1>0</formula1>
      <formula2>5</formula2>
    </dataValidation>
    <dataValidation type="textLength" allowBlank="1" showInputMessage="1" showErrorMessage="1" errorTitle="Check this entry" error="Text up to 40 characters." promptTitle="Responsible" prompt="Text up to 40 characters." sqref="T7:T526">
      <formula1>0</formula1>
      <formula2>40</formula2>
    </dataValidation>
  </dataValidations>
  <hyperlinks>
    <hyperlink ref="AD2" r:id="rId1" tooltip="Free manufacturing calculators and templates"/>
  </hyperlinks>
  <pageMargins left="0.4" right="0.4" top="0.7" bottom="0.65" header="0.3" footer="0.3"/>
  <pageSetup fitToHeight="0" orientation="landscape"/>
  <headerFooter>
    <oddHeader>&amp;L&amp;8MFG Calcs - Control Plan&amp;R&amp;8&amp;A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Y7:Y526</xm:sqref>
        </x14:conditionalFormatting>
      </x14:conditionalFormattings>
    </ext>
  </extLst>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60"/>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21</v>
      </c>
      <c r="C2" s="2"/>
      <c r="D2" s="2"/>
      <c r="E2" s="2"/>
      <c r="F2" s="2"/>
      <c r="G2" s="2"/>
      <c r="H2" s="2"/>
      <c r="I2" s="2"/>
      <c r="J2" s="2"/>
      <c r="K2" s="3" t="s">
        <v>2</v>
      </c>
      <c r="L2" s="3"/>
    </row>
    <row r="3" spans="1:12" ht="6" customHeight="1"/>
    <row r="4" spans="1:12">
      <c r="B4" s="35" t="str">
        <f>"Control plan "&amp;PlanNo&amp;" ("&amp;Phase&amp;"), "&amp;PartName&amp;". Minimum Cpk "&amp;TEXT(MinCpk,"0.00")&amp;"; %GRR limits "&amp;TEXT(GrrOk,"0%")&amp;" and "&amp;TEXT(GrrMax,"0%")&amp;"; "&amp;TEXT(ShiftHours,"0.0")&amp;" h shifts (Setup)."</f>
        <v>Control plan CP-450-01 (Production), Pump housing, A380 aluminium die casting. Minimum Cpk 1.33; %GRR limits 10% and 30%; 7.5 h shifts (Setup).</v>
      </c>
      <c r="C4" s="35"/>
      <c r="D4" s="35"/>
      <c r="E4" s="35"/>
      <c r="F4" s="35"/>
      <c r="G4" s="35"/>
      <c r="H4" s="35"/>
      <c r="I4" s="35"/>
      <c r="J4" s="35"/>
      <c r="K4" s="35"/>
      <c r="L4" s="35"/>
    </row>
    <row r="6" spans="1:12" ht="18" customHeight="1">
      <c r="B6" s="44" t="s">
        <v>283</v>
      </c>
      <c r="C6" s="44"/>
      <c r="D6" s="44" t="s">
        <v>284</v>
      </c>
      <c r="E6" s="44"/>
      <c r="F6" s="44"/>
      <c r="G6" s="44" t="s">
        <v>285</v>
      </c>
      <c r="H6" s="44"/>
      <c r="I6" s="44"/>
      <c r="J6" s="44" t="s">
        <v>286</v>
      </c>
      <c r="K6" s="44"/>
      <c r="L6" s="44"/>
    </row>
    <row r="7" spans="1:12" ht="21" customHeight="1">
      <c r="B7" s="45">
        <f>COUNTIFS(tblPlan[Char. no.],"&lt;&gt;")</f>
        <v>20</v>
      </c>
      <c r="C7" s="45"/>
      <c r="D7" s="45">
        <f>COUNTIFS(tblPlan[Capability],"Out of limits")</f>
        <v>2</v>
      </c>
      <c r="E7" s="45"/>
      <c r="F7" s="45"/>
      <c r="G7" s="45">
        <f>COUNTIFS(tblPlan[Gauge],"Out of limits")+COUNTIFS(tblPlan[Gauge],"Check")</f>
        <v>2</v>
      </c>
      <c r="H7" s="45"/>
      <c r="I7" s="45"/>
      <c r="J7" s="46">
        <f>IF((AvailHours)=0,"",(SUM(tblPlan[Inspection (min/shift)])/60)/(AvailHours))</f>
        <v>0.860416666666667</v>
      </c>
      <c r="K7" s="46"/>
      <c r="L7" s="46"/>
    </row>
    <row r="8" spans="1:12" ht="21" customHeight="1">
      <c r="B8" s="45"/>
      <c r="C8" s="45"/>
      <c r="D8" s="45"/>
      <c r="E8" s="45"/>
      <c r="F8" s="45"/>
      <c r="G8" s="45"/>
      <c r="H8" s="45"/>
      <c r="I8" s="45"/>
      <c r="J8" s="46"/>
      <c r="K8" s="46"/>
      <c r="L8" s="46"/>
    </row>
    <row r="9" spans="1:12">
      <c r="B9" s="47" t="s">
        <v>287</v>
      </c>
      <c r="C9" s="47"/>
      <c r="D9" s="48">
        <f>0</f>
        <v>0</v>
      </c>
      <c r="E9" s="48"/>
      <c r="F9" s="48"/>
      <c r="G9" s="48">
        <f>0</f>
        <v>0</v>
      </c>
      <c r="H9" s="48"/>
      <c r="I9" s="48"/>
      <c r="J9" s="49">
        <f>1</f>
        <v>1</v>
      </c>
      <c r="K9" s="49"/>
      <c r="L9" s="49"/>
    </row>
    <row r="10" spans="1:12" ht="18" customHeight="1">
      <c r="B10" s="50"/>
      <c r="C10" s="50"/>
      <c r="D10" s="50" t="str">
        <f>IF(NOT(ISNUMBER(KpiCapOut)),"No data",IF(KpiCapOut&lt;=(0),"On target",IF(KpiCapOut&lt;=(0)*(1+0.05),"Near target","Above target")))</f>
        <v>Above target</v>
      </c>
      <c r="E10" s="50"/>
      <c r="F10" s="50"/>
      <c r="G10" s="50" t="str">
        <f>IF(NOT(ISNUMBER(KpiGage)),"No data",IF(KpiGage&lt;=(0),"On target",IF(KpiGage&lt;=(0)*(1+0.05),"Near target","Above target")))</f>
        <v>Above target</v>
      </c>
      <c r="H10" s="50"/>
      <c r="I10" s="50"/>
      <c r="J10" s="50" t="str">
        <f>IF(NOT(ISNUMBER(KpiUtil)),"No data",IF(KpiUtil&lt;=(NearAt),"Under capacity",IF(KpiUtil&lt;=(1),"Near capacity","Over capacity")))</f>
        <v>Near capacity</v>
      </c>
      <c r="K10" s="50"/>
      <c r="L10" s="50"/>
    </row>
    <row r="29" spans="2:12" ht="18" customHeight="1">
      <c r="B29" s="44" t="s">
        <v>288</v>
      </c>
      <c r="C29" s="44"/>
      <c r="D29" s="44" t="s">
        <v>289</v>
      </c>
      <c r="E29" s="44"/>
      <c r="F29" s="44"/>
      <c r="G29" s="44" t="s">
        <v>290</v>
      </c>
      <c r="H29" s="44"/>
      <c r="I29" s="44"/>
      <c r="J29" s="44" t="s">
        <v>291</v>
      </c>
      <c r="K29" s="44"/>
      <c r="L29" s="44"/>
    </row>
    <row r="30" spans="2:12" ht="21" customHeight="1">
      <c r="B30" s="45">
        <f>COUNTIFS(tblPlan[Char. no.],"&lt;&gt;",tblPlan[Class],"&lt;&gt;")</f>
        <v>9</v>
      </c>
      <c r="C30" s="45"/>
      <c r="D30" s="45">
        <f>COUNTIFS(tblPlan[Capability],"Check")</f>
        <v>3</v>
      </c>
      <c r="E30" s="45"/>
      <c r="F30" s="45"/>
      <c r="G30" s="51">
        <f>SUM(tblPlan[Inspection (min/shift)])/60</f>
        <v>5.1625</v>
      </c>
      <c r="H30" s="51"/>
      <c r="I30" s="51"/>
      <c r="J30" s="45">
        <f>SUM(tblPlan[Parts measured (per shift)])</f>
        <v>3491.5</v>
      </c>
      <c r="K30" s="45"/>
      <c r="L30" s="45"/>
    </row>
    <row r="31" spans="2:12" ht="21" customHeight="1">
      <c r="B31" s="45"/>
      <c r="C31" s="45"/>
      <c r="D31" s="45"/>
      <c r="E31" s="45"/>
      <c r="F31" s="45"/>
      <c r="G31" s="51"/>
      <c r="H31" s="51"/>
      <c r="I31" s="51"/>
      <c r="J31" s="45"/>
      <c r="K31" s="45"/>
      <c r="L31" s="45"/>
    </row>
    <row r="32" spans="2:12">
      <c r="B32" s="47" t="s">
        <v>292</v>
      </c>
      <c r="C32" s="47"/>
      <c r="D32" s="47" t="s">
        <v>293</v>
      </c>
      <c r="E32" s="47"/>
      <c r="F32" s="47"/>
      <c r="G32" s="47" t="s">
        <v>294</v>
      </c>
      <c r="H32" s="47"/>
      <c r="I32" s="47"/>
      <c r="J32" s="47" t="s">
        <v>295</v>
      </c>
      <c r="K32" s="47"/>
      <c r="L32" s="47"/>
    </row>
    <row r="33" spans="2:12" ht="18" customHeight="1">
      <c r="B33" s="50"/>
      <c r="C33" s="50"/>
      <c r="D33" s="50"/>
      <c r="E33" s="50"/>
      <c r="F33" s="50"/>
      <c r="G33" s="50"/>
      <c r="H33" s="50"/>
      <c r="I33" s="50"/>
      <c r="J33" s="50"/>
      <c r="K33" s="50"/>
      <c r="L33" s="50"/>
    </row>
    <row r="35" spans="2:12">
      <c r="B35" s="33" t="s">
        <v>296</v>
      </c>
      <c r="C35" s="33"/>
      <c r="D35" s="33"/>
      <c r="E35" s="33"/>
      <c r="F35" s="33"/>
      <c r="G35" s="33"/>
      <c r="H35" s="33"/>
      <c r="I35" s="33"/>
      <c r="J35" s="33"/>
      <c r="K35" s="33"/>
      <c r="L35" s="33"/>
    </row>
    <row r="36" spans="2:12" ht="20" customHeight="1">
      <c r="B36" s="52" t="s">
        <v>297</v>
      </c>
      <c r="C36" s="34" t="s">
        <v>298</v>
      </c>
      <c r="D36" s="34" t="s">
        <v>299</v>
      </c>
      <c r="E36" s="34"/>
      <c r="F36" s="34"/>
      <c r="G36" s="34"/>
      <c r="H36" s="34" t="s">
        <v>63</v>
      </c>
      <c r="I36" s="34" t="s">
        <v>130</v>
      </c>
      <c r="J36" s="34" t="s">
        <v>300</v>
      </c>
      <c r="K36" s="34" t="s">
        <v>137</v>
      </c>
      <c r="L36" s="34"/>
    </row>
    <row r="37" spans="2:12">
      <c r="B37" s="53">
        <v>1</v>
      </c>
      <c r="C37" s="54">
        <f>IFERROR(MATCH($B$37,tblPlan[Cpk no.],0),"")</f>
        <v>1</v>
      </c>
      <c r="D37" s="55" t="str">
        <f>IF($C$37="","",INDEX(tblPlan[Char. no.],$C$37)&amp;" "&amp;INDEX(tblPlan[Product characteristic],$C$37)&amp;INDEX(tblPlan[Process characteristic],$C$37))</f>
        <v>C01 Melt temperature</v>
      </c>
      <c r="E37" s="55"/>
      <c r="F37" s="55"/>
      <c r="G37" s="55"/>
      <c r="H37" s="55">
        <f>IF($C$37="","",INDEX(tblPlan[Class],$C$37)&amp;"")</f>
        <v/>
      </c>
      <c r="I37" s="56">
        <f>IF($C$37="","",INDEX(tblPlan[Cpk],$C$37))</f>
        <v>1.62</v>
      </c>
      <c r="J37" s="57">
        <f>MinCpk</f>
        <v>1.33</v>
      </c>
      <c r="K37" s="55" t="str">
        <f>IF($C$37="","",INDEX(tblPlan[Capability],$C$37))</f>
        <v>Within limits</v>
      </c>
      <c r="L37" s="55"/>
    </row>
    <row r="38" spans="2:12">
      <c r="B38" s="53">
        <f>$B$37+1</f>
        <v>2</v>
      </c>
      <c r="C38" s="54">
        <f>IFERROR(MATCH($B$38,tblPlan[Cpk no.],0),"")</f>
        <v>3</v>
      </c>
      <c r="D38" s="55" t="str">
        <f>IF($C$38="","",INDEX(tblPlan[Char. no.],$C$38)&amp;" "&amp;INDEX(tblPlan[Product characteristic],$C$38)&amp;INDEX(tblPlan[Process characteristic],$C$38))</f>
        <v>C03 Melt density index</v>
      </c>
      <c r="E38" s="55"/>
      <c r="F38" s="55"/>
      <c r="G38" s="55"/>
      <c r="H38" s="55" t="str">
        <f>IF($C$38="","",INDEX(tblPlan[Class],$C$38)&amp;"")</f>
        <v>SC</v>
      </c>
      <c r="I38" s="56">
        <f>IF($C$38="","",INDEX(tblPlan[Cpk],$C$38))</f>
        <v>1.41</v>
      </c>
      <c r="J38" s="57">
        <f>MinCpk</f>
        <v>1.33</v>
      </c>
      <c r="K38" s="55" t="str">
        <f>IF($C$38="","",INDEX(tblPlan[Capability],$C$38))</f>
        <v>Within limits</v>
      </c>
      <c r="L38" s="55"/>
    </row>
    <row r="39" spans="2:12">
      <c r="B39" s="53">
        <f>$B$38+1</f>
        <v>3</v>
      </c>
      <c r="C39" s="54">
        <f>IFERROR(MATCH($B$39,tblPlan[Cpk no.],0),"")</f>
        <v>5</v>
      </c>
      <c r="D39" s="55" t="str">
        <f>IF($C$39="","",INDEX(tblPlan[Char. no.],$C$39)&amp;" "&amp;INDEX(tblPlan[Product characteristic],$C$39)&amp;INDEX(tblPlan[Process characteristic],$C$39))</f>
        <v>C05 Intensification pressure</v>
      </c>
      <c r="E39" s="55"/>
      <c r="F39" s="55"/>
      <c r="G39" s="55"/>
      <c r="H39" s="55" t="str">
        <f>IF($C$39="","",INDEX(tblPlan[Class],$C$39)&amp;"")</f>
        <v>CC</v>
      </c>
      <c r="I39" s="56">
        <f>IF($C$39="","",INDEX(tblPlan[Cpk],$C$39))</f>
        <v>1.25</v>
      </c>
      <c r="J39" s="57">
        <f>MinCpk</f>
        <v>1.33</v>
      </c>
      <c r="K39" s="55" t="str">
        <f>IF($C$39="","",INDEX(tblPlan[Capability],$C$39))</f>
        <v>Out of limits</v>
      </c>
      <c r="L39" s="55"/>
    </row>
    <row r="40" spans="2:12">
      <c r="B40" s="53">
        <f>$B$39+1</f>
        <v>4</v>
      </c>
      <c r="C40" s="54">
        <f>IFERROR(MATCH($B$40,tblPlan[Cpk no.],0),"")</f>
        <v>6</v>
      </c>
      <c r="D40" s="55" t="str">
        <f>IF($C$40="","",INDEX(tblPlan[Char. no.],$C$40)&amp;" "&amp;INDEX(tblPlan[Product characteristic],$C$40)&amp;INDEX(tblPlan[Process characteristic],$C$40))</f>
        <v>C06 Die temperature</v>
      </c>
      <c r="E40" s="55"/>
      <c r="F40" s="55"/>
      <c r="G40" s="55"/>
      <c r="H40" s="55">
        <f>IF($C$40="","",INDEX(tblPlan[Class],$C$40)&amp;"")</f>
        <v/>
      </c>
      <c r="I40" s="56">
        <f>IF($C$40="","",INDEX(tblPlan[Cpk],$C$40))</f>
        <v>1.48</v>
      </c>
      <c r="J40" s="57">
        <f>MinCpk</f>
        <v>1.33</v>
      </c>
      <c r="K40" s="55" t="str">
        <f>IF($C$40="","",INDEX(tblPlan[Capability],$C$40))</f>
        <v>Within limits</v>
      </c>
      <c r="L40" s="55"/>
    </row>
    <row r="41" spans="2:12">
      <c r="B41" s="53">
        <f>$B$40+1</f>
        <v>5</v>
      </c>
      <c r="C41" s="54">
        <f>IFERROR(MATCH($B$41,tblPlan[Cpk no.],0),"")</f>
        <v>11</v>
      </c>
      <c r="D41" s="55" t="str">
        <f>IF($C$41="","",INDEX(tblPlan[Char. no.],$C$41)&amp;" "&amp;INDEX(tblPlan[Product characteristic],$C$41)&amp;INDEX(tblPlan[Process characteristic],$C$41))</f>
        <v>C11 Bore diameter 42 H7</v>
      </c>
      <c r="E41" s="55"/>
      <c r="F41" s="55"/>
      <c r="G41" s="55"/>
      <c r="H41" s="55" t="str">
        <f>IF($C$41="","",INDEX(tblPlan[Class],$C$41)&amp;"")</f>
        <v>SC</v>
      </c>
      <c r="I41" s="56">
        <f>IF($C$41="","",INDEX(tblPlan[Cpk],$C$41))</f>
        <v>1.71</v>
      </c>
      <c r="J41" s="57">
        <f>MinCpk</f>
        <v>1.33</v>
      </c>
      <c r="K41" s="55" t="str">
        <f>IF($C$41="","",INDEX(tblPlan[Capability],$C$41))</f>
        <v>Within limits</v>
      </c>
      <c r="L41" s="55"/>
    </row>
    <row r="42" spans="2:12">
      <c r="B42" s="53">
        <f>$B$41+1</f>
        <v>6</v>
      </c>
      <c r="C42" s="54">
        <f>IFERROR(MATCH($B$42,tblPlan[Cpk no.],0),"")</f>
        <v>12</v>
      </c>
      <c r="D42" s="55" t="str">
        <f>IF($C$42="","",INDEX(tblPlan[Char. no.],$C$42)&amp;" "&amp;INDEX(tblPlan[Product characteristic],$C$42)&amp;INDEX(tblPlan[Process characteristic],$C$42))</f>
        <v>C12 Bolt-hole position</v>
      </c>
      <c r="E42" s="55"/>
      <c r="F42" s="55"/>
      <c r="G42" s="55"/>
      <c r="H42" s="55">
        <f>IF($C$42="","",INDEX(tblPlan[Class],$C$42)&amp;"")</f>
        <v/>
      </c>
      <c r="I42" s="56">
        <f>IF($C$42="","",INDEX(tblPlan[Cpk],$C$42))</f>
        <v>1.38</v>
      </c>
      <c r="J42" s="57">
        <f>MinCpk</f>
        <v>1.33</v>
      </c>
      <c r="K42" s="55" t="str">
        <f>IF($C$42="","",INDEX(tblPlan[Capability],$C$42))</f>
        <v>Within limits</v>
      </c>
      <c r="L42" s="55"/>
    </row>
    <row r="43" spans="2:12">
      <c r="B43" s="53">
        <f>$B$42+1</f>
        <v>7</v>
      </c>
      <c r="C43" s="54">
        <f>IFERROR(MATCH($B$43,tblPlan[Cpk no.],0),"")</f>
        <v>13</v>
      </c>
      <c r="D43" s="55" t="str">
        <f>IF($C$43="","",INDEX(tblPlan[Char. no.],$C$43)&amp;" "&amp;INDEX(tblPlan[Product characteristic],$C$43)&amp;INDEX(tblPlan[Process characteristic],$C$43))</f>
        <v>C13 Sealing face flatness</v>
      </c>
      <c r="E43" s="55"/>
      <c r="F43" s="55"/>
      <c r="G43" s="55"/>
      <c r="H43" s="55" t="str">
        <f>IF($C$43="","",INDEX(tblPlan[Class],$C$43)&amp;"")</f>
        <v>SC</v>
      </c>
      <c r="I43" s="56">
        <f>IF($C$43="","",INDEX(tblPlan[Cpk],$C$43))</f>
        <v>1.29</v>
      </c>
      <c r="J43" s="57">
        <f>MinCpk</f>
        <v>1.33</v>
      </c>
      <c r="K43" s="55" t="str">
        <f>IF($C$43="","",INDEX(tblPlan[Capability],$C$43))</f>
        <v>Out of limits</v>
      </c>
      <c r="L43" s="55"/>
    </row>
    <row r="44" spans="2:12">
      <c r="B44" s="53">
        <f>$B$43+1</f>
        <v>8</v>
      </c>
      <c r="C44" s="54">
        <f>IFERROR(MATCH($B$44,tblPlan[Cpk no.],0),"")</f>
        <v>16</v>
      </c>
      <c r="D44" s="55" t="str">
        <f>IF($C$44="","",INDEX(tblPlan[Char. no.],$C$44)&amp;" "&amp;INDEX(tblPlan[Product characteristic],$C$44)&amp;INDEX(tblPlan[Process characteristic],$C$44))</f>
        <v>C16 Leak rate</v>
      </c>
      <c r="E44" s="55"/>
      <c r="F44" s="55"/>
      <c r="G44" s="55"/>
      <c r="H44" s="55" t="str">
        <f>IF($C$44="","",INDEX(tblPlan[Class],$C$44)&amp;"")</f>
        <v>CC</v>
      </c>
      <c r="I44" s="56">
        <f>IF($C$44="","",INDEX(tblPlan[Cpk],$C$44))</f>
        <v>1.55</v>
      </c>
      <c r="J44" s="57">
        <f>MinCpk</f>
        <v>1.33</v>
      </c>
      <c r="K44" s="55" t="str">
        <f>IF($C$44="","",INDEX(tblPlan[Capability],$C$44))</f>
        <v>Within limits</v>
      </c>
      <c r="L44" s="55"/>
    </row>
    <row r="45" spans="2:12">
      <c r="B45" s="53">
        <f>$B$44+1</f>
        <v>9</v>
      </c>
      <c r="C45" s="54">
        <f>IFERROR(MATCH($B$45,tblPlan[Cpk no.],0),"")</f>
        <v>18</v>
      </c>
      <c r="D45" s="55" t="str">
        <f>IF($C$45="","",INDEX(tblPlan[Char. no.],$C$45)&amp;" "&amp;INDEX(tblPlan[Product characteristic],$C$45)&amp;INDEX(tblPlan[Process characteristic],$C$45))</f>
        <v>C18 Cleanliness</v>
      </c>
      <c r="E45" s="55"/>
      <c r="F45" s="55"/>
      <c r="G45" s="55"/>
      <c r="H45" s="55" t="str">
        <f>IF($C$45="","",INDEX(tblPlan[Class],$C$45)&amp;"")</f>
        <v>SC</v>
      </c>
      <c r="I45" s="56">
        <f>IF($C$45="","",INDEX(tblPlan[Cpk],$C$45))</f>
        <v>1.36</v>
      </c>
      <c r="J45" s="57">
        <f>MinCpk</f>
        <v>1.33</v>
      </c>
      <c r="K45" s="55" t="str">
        <f>IF($C$45="","",INDEX(tblPlan[Capability],$C$45))</f>
        <v>Within limits</v>
      </c>
      <c r="L45" s="55"/>
    </row>
    <row r="46" spans="2:12">
      <c r="B46" s="53">
        <f>$B$45+1</f>
        <v>10</v>
      </c>
      <c r="C46" s="54">
        <f>IFERROR(MATCH($B$46,tblPlan[Cpk no.],0),"")</f>
        <v/>
      </c>
      <c r="D46" s="55">
        <f>IF($C$46="","",INDEX(tblPlan[Char. no.],$C$46)&amp;" "&amp;INDEX(tblPlan[Product characteristic],$C$46)&amp;INDEX(tblPlan[Process characteristic],$C$46))</f>
        <v/>
      </c>
      <c r="E46" s="55"/>
      <c r="F46" s="55"/>
      <c r="G46" s="55"/>
      <c r="H46" s="55">
        <f>IF($C$46="","",INDEX(tblPlan[Class],$C$46)&amp;"")</f>
        <v/>
      </c>
      <c r="I46" s="56">
        <f>IF($C$46="","",INDEX(tblPlan[Cpk],$C$46))</f>
        <v/>
      </c>
      <c r="J46" s="57">
        <f>MinCpk</f>
        <v>1.33</v>
      </c>
      <c r="K46" s="55">
        <f>IF($C$46="","",INDEX(tblPlan[Capability],$C$46))</f>
        <v/>
      </c>
      <c r="L46" s="55"/>
    </row>
    <row r="48" spans="2:12">
      <c r="B48" s="33" t="s">
        <v>301</v>
      </c>
      <c r="C48" s="33"/>
      <c r="D48" s="33"/>
      <c r="E48" s="33"/>
      <c r="F48" s="33"/>
      <c r="G48" s="33"/>
      <c r="H48" s="33"/>
    </row>
    <row r="49" spans="2:12" ht="45.5" customHeight="1">
      <c r="B49" s="52" t="s">
        <v>59</v>
      </c>
      <c r="C49" s="34" t="s">
        <v>302</v>
      </c>
      <c r="D49" s="34" t="s">
        <v>303</v>
      </c>
      <c r="E49" s="34" t="s">
        <v>304</v>
      </c>
      <c r="F49" s="34" t="s">
        <v>305</v>
      </c>
      <c r="G49" s="34" t="s">
        <v>306</v>
      </c>
      <c r="H49" s="34" t="s">
        <v>307</v>
      </c>
    </row>
    <row r="50" spans="2:12">
      <c r="B50" s="58" t="str">
        <f>IFERROR(INDEX(tblSteps[Process step],1)&amp;"","")</f>
        <v>OP10 Melt</v>
      </c>
      <c r="C50" s="42">
        <f>IF($B$50="","",COUNTIFS(tblPlan[Process step],$B$50))</f>
        <v>2</v>
      </c>
      <c r="D50" s="42">
        <f>IF($B$50="","",COUNTIFS(tblPlan[Process step],$B$50,tblPlan[Class],"&lt;&gt;"))</f>
        <v>1</v>
      </c>
      <c r="E50" s="42">
        <f>IF($B$50="","",SUMIFS(tblPlan[Parts measured (per shift)],tblPlan[Process step],$B$50))</f>
        <v>9.5</v>
      </c>
      <c r="F50" s="39">
        <f>IF($B$50="","",SUMIFS(tblPlan[Inspection (min/shift)],tblPlan[Process step],$B$50,tblPlan[Class],"&lt;&gt;"))</f>
        <v>10</v>
      </c>
      <c r="G50" s="39">
        <f>IF($B$50="","",SUMIFS(tblPlan[Inspection (min/shift)],tblPlan[Process step],$B$50)-$F$50)</f>
        <v>1.25</v>
      </c>
      <c r="H50" s="42">
        <f>IF($B$50="","",COUNTIFS(tblPlan[Process step],$B$50,tblPlan[Capability],"Out of limits")+COUNTIFS(tblPlan[Process step],$B$50,tblPlan[Capability],"Check")+COUNTIFS(tblPlan[Process step],$B$50,tblPlan[Gauge],"Out of limits")+COUNTIFS(tblPlan[Process step],$B$50,tblPlan[Gauge],"Check"))</f>
        <v>1</v>
      </c>
    </row>
    <row r="51" spans="2:12">
      <c r="B51" s="58" t="str">
        <f>IFERROR(INDEX(tblSteps[Process step],2)&amp;"","")</f>
        <v>OP20 Degas</v>
      </c>
      <c r="C51" s="42">
        <f>IF($B$51="","",COUNTIFS(tblPlan[Process step],$B$51))</f>
        <v>2</v>
      </c>
      <c r="D51" s="42">
        <f>IF($B$51="","",COUNTIFS(tblPlan[Process step],$B$51,tblPlan[Class],"&lt;&gt;"))</f>
        <v>1</v>
      </c>
      <c r="E51" s="42">
        <f>IF($B$51="","",SUMIFS(tblPlan[Parts measured (per shift)],tblPlan[Process step],$B$51))</f>
        <v>6</v>
      </c>
      <c r="F51" s="39">
        <f>IF($B$51="","",SUMIFS(tblPlan[Inspection (min/shift)],tblPlan[Process step],$B$51,tblPlan[Class],"&lt;&gt;"))</f>
        <v>28</v>
      </c>
      <c r="G51" s="39">
        <f>IF($B$51="","",SUMIFS(tblPlan[Inspection (min/shift)],tblPlan[Process step],$B$51)-$F$51)</f>
        <v>0.5</v>
      </c>
      <c r="H51" s="42">
        <f>IF($B$51="","",COUNTIFS(tblPlan[Process step],$B$51,tblPlan[Capability],"Out of limits")+COUNTIFS(tblPlan[Process step],$B$51,tblPlan[Capability],"Check")+COUNTIFS(tblPlan[Process step],$B$51,tblPlan[Gauge],"Out of limits")+COUNTIFS(tblPlan[Process step],$B$51,tblPlan[Gauge],"Check"))</f>
        <v>0</v>
      </c>
    </row>
    <row r="52" spans="2:12">
      <c r="B52" s="58" t="str">
        <f>IFERROR(INDEX(tblSteps[Process step],3)&amp;"","")</f>
        <v>OP30 Die cast</v>
      </c>
      <c r="C52" s="42">
        <f>IF($B$52="","",COUNTIFS(tblPlan[Process step],$B$52))</f>
        <v>3</v>
      </c>
      <c r="D52" s="42">
        <f>IF($B$52="","",COUNTIFS(tblPlan[Process step],$B$52,tblPlan[Class],"&lt;&gt;"))</f>
        <v>2</v>
      </c>
      <c r="E52" s="42">
        <f>IF($B$52="","",SUMIFS(tblPlan[Parts measured (per shift)],tblPlan[Process step],$B$52))</f>
        <v>1357.5</v>
      </c>
      <c r="F52" s="39">
        <f>IF($B$52="","",SUMIFS(tblPlan[Inspection (min/shift)],tblPlan[Process step],$B$52,tblPlan[Class],"&lt;&gt;"))</f>
        <v>45</v>
      </c>
      <c r="G52" s="39">
        <f>IF($B$52="","",SUMIFS(tblPlan[Inspection (min/shift)],tblPlan[Process step],$B$52)-$F$52)</f>
        <v>3.75</v>
      </c>
      <c r="H52" s="42">
        <f>IF($B$52="","",COUNTIFS(tblPlan[Process step],$B$52,tblPlan[Capability],"Out of limits")+COUNTIFS(tblPlan[Process step],$B$52,tblPlan[Capability],"Check")+COUNTIFS(tblPlan[Process step],$B$52,tblPlan[Gauge],"Out of limits")+COUNTIFS(tblPlan[Process step],$B$52,tblPlan[Gauge],"Check"))</f>
        <v>2</v>
      </c>
    </row>
    <row r="53" spans="2:12">
      <c r="B53" s="58" t="str">
        <f>IFERROR(INDEX(tblSteps[Process step],4)&amp;"","")</f>
        <v>OP40 Trim</v>
      </c>
      <c r="C53" s="42">
        <f>IF($B$53="","",COUNTIFS(tblPlan[Process step],$B$53))</f>
        <v>1</v>
      </c>
      <c r="D53" s="42">
        <f>IF($B$53="","",COUNTIFS(tblPlan[Process step],$B$53,tblPlan[Class],"&lt;&gt;"))</f>
        <v>0</v>
      </c>
      <c r="E53" s="42">
        <f>IF($B$53="","",SUMIFS(tblPlan[Parts measured (per shift)],tblPlan[Process step],$B$53))</f>
        <v>22.5</v>
      </c>
      <c r="F53" s="39">
        <f>IF($B$53="","",SUMIFS(tblPlan[Inspection (min/shift)],tblPlan[Process step],$B$53,tblPlan[Class],"&lt;&gt;"))</f>
        <v>0</v>
      </c>
      <c r="G53" s="39">
        <f>IF($B$53="","",SUMIFS(tblPlan[Inspection (min/shift)],tblPlan[Process step],$B$53)-$F$53)</f>
        <v>4.5</v>
      </c>
      <c r="H53" s="42">
        <f>IF($B$53="","",COUNTIFS(tblPlan[Process step],$B$53,tblPlan[Capability],"Out of limits")+COUNTIFS(tblPlan[Process step],$B$53,tblPlan[Capability],"Check")+COUNTIFS(tblPlan[Process step],$B$53,tblPlan[Gauge],"Out of limits")+COUNTIFS(tblPlan[Process step],$B$53,tblPlan[Gauge],"Check"))</f>
        <v>0</v>
      </c>
    </row>
    <row r="54" spans="2:12">
      <c r="B54" s="58" t="str">
        <f>IFERROR(INDEX(tblSteps[Process step],5)&amp;"","")</f>
        <v>OP50 Shot blast</v>
      </c>
      <c r="C54" s="42">
        <f>IF($B$54="","",COUNTIFS(tblPlan[Process step],$B$54))</f>
        <v>2</v>
      </c>
      <c r="D54" s="42">
        <f>IF($B$54="","",COUNTIFS(tblPlan[Process step],$B$54,tblPlan[Class],"&lt;&gt;"))</f>
        <v>1</v>
      </c>
      <c r="E54" s="42">
        <f>IF($B$54="","",SUMIFS(tblPlan[Parts measured (per shift)],tblPlan[Process step],$B$54))</f>
        <v>676</v>
      </c>
      <c r="F54" s="39">
        <f>IF($B$54="","",SUMIFS(tblPlan[Inspection (min/shift)],tblPlan[Process step],$B$54,tblPlan[Class],"&lt;&gt;"))</f>
        <v>90</v>
      </c>
      <c r="G54" s="39">
        <f>IF($B$54="","",SUMIFS(tblPlan[Inspection (min/shift)],tblPlan[Process step],$B$54)-$F$54)</f>
        <v>0.166666666666671</v>
      </c>
      <c r="H54" s="42">
        <f>IF($B$54="","",COUNTIFS(tblPlan[Process step],$B$54,tblPlan[Capability],"Out of limits")+COUNTIFS(tblPlan[Process step],$B$54,tblPlan[Capability],"Check")+COUNTIFS(tblPlan[Process step],$B$54,tblPlan[Gauge],"Out of limits")+COUNTIFS(tblPlan[Process step],$B$54,tblPlan[Gauge],"Check"))</f>
        <v>1</v>
      </c>
    </row>
    <row r="55" spans="2:12">
      <c r="B55" s="58" t="str">
        <f>IFERROR(INDEX(tblSteps[Process step],6)&amp;"","")</f>
        <v>OP60 Machine</v>
      </c>
      <c r="C55" s="42">
        <f>IF($B$55="","",COUNTIFS(tblPlan[Process step],$B$55))</f>
        <v>5</v>
      </c>
      <c r="D55" s="42">
        <f>IF($B$55="","",COUNTIFS(tblPlan[Process step],$B$55,tblPlan[Class],"&lt;&gt;"))</f>
        <v>2</v>
      </c>
      <c r="E55" s="42">
        <f>IF($B$55="","",SUMIFS(tblPlan[Parts measured (per shift)],tblPlan[Process step],$B$55))</f>
        <v>64</v>
      </c>
      <c r="F55" s="39">
        <f>IF($B$55="","",SUMIFS(tblPlan[Inspection (min/shift)],tblPlan[Process step],$B$55,tblPlan[Class],"&lt;&gt;"))</f>
        <v>25</v>
      </c>
      <c r="G55" s="39">
        <f>IF($B$55="","",SUMIFS(tblPlan[Inspection (min/shift)],tblPlan[Process step],$B$55)-$F$55)</f>
        <v>23.5</v>
      </c>
      <c r="H55" s="42">
        <f>IF($B$55="","",COUNTIFS(tblPlan[Process step],$B$55,tblPlan[Capability],"Out of limits")+COUNTIFS(tblPlan[Process step],$B$55,tblPlan[Capability],"Check")+COUNTIFS(tblPlan[Process step],$B$55,tblPlan[Gauge],"Out of limits")+COUNTIFS(tblPlan[Process step],$B$55,tblPlan[Gauge],"Check"))</f>
        <v>3</v>
      </c>
    </row>
    <row r="56" spans="2:12">
      <c r="B56" s="58" t="str">
        <f>IFERROR(INDEX(tblSteps[Process step],7)&amp;"","")</f>
        <v>OP70 Leak test</v>
      </c>
      <c r="C56" s="42">
        <f>IF($B$56="","",COUNTIFS(tblPlan[Process step],$B$56))</f>
        <v>2</v>
      </c>
      <c r="D56" s="42">
        <f>IF($B$56="","",COUNTIFS(tblPlan[Process step],$B$56,tblPlan[Class],"&lt;&gt;"))</f>
        <v>1</v>
      </c>
      <c r="E56" s="42">
        <f>IF($B$56="","",SUMIFS(tblPlan[Parts measured (per shift)],tblPlan[Process step],$B$56))</f>
        <v>677</v>
      </c>
      <c r="F56" s="39">
        <f>IF($B$56="","",SUMIFS(tblPlan[Inspection (min/shift)],tblPlan[Process step],$B$56,tblPlan[Class],"&lt;&gt;"))</f>
        <v>0</v>
      </c>
      <c r="G56" s="39">
        <f>IF($B$56="","",SUMIFS(tblPlan[Inspection (min/shift)],tblPlan[Process step],$B$56)-$F$56)</f>
        <v>4</v>
      </c>
      <c r="H56" s="42">
        <f>IF($B$56="","",COUNTIFS(tblPlan[Process step],$B$56,tblPlan[Capability],"Out of limits")+COUNTIFS(tblPlan[Process step],$B$56,tblPlan[Capability],"Check")+COUNTIFS(tblPlan[Process step],$B$56,tblPlan[Gauge],"Out of limits")+COUNTIFS(tblPlan[Process step],$B$56,tblPlan[Gauge],"Check"))</f>
        <v>0</v>
      </c>
    </row>
    <row r="57" spans="2:12">
      <c r="B57" s="58" t="str">
        <f>IFERROR(INDEX(tblSteps[Process step],8)&amp;"","")</f>
        <v>OP80 Wash and pack</v>
      </c>
      <c r="C57" s="42">
        <f>IF($B$57="","",COUNTIFS(tblPlan[Process step],$B$57))</f>
        <v>3</v>
      </c>
      <c r="D57" s="42">
        <f>IF($B$57="","",COUNTIFS(tblPlan[Process step],$B$57,tblPlan[Class],"&lt;&gt;"))</f>
        <v>1</v>
      </c>
      <c r="E57" s="42">
        <f>IF($B$57="","",SUMIFS(tblPlan[Parts measured (per shift)],tblPlan[Process step],$B$57))</f>
        <v>679</v>
      </c>
      <c r="F57" s="39">
        <f>IF($B$57="","",SUMIFS(tblPlan[Inspection (min/shift)],tblPlan[Process step],$B$57,tblPlan[Class],"&lt;&gt;"))</f>
        <v>40</v>
      </c>
      <c r="G57" s="39">
        <f>IF($B$57="","",SUMIFS(tblPlan[Inspection (min/shift)],tblPlan[Process step],$B$57)-$F$57)</f>
        <v>34.0833333333333</v>
      </c>
      <c r="H57" s="42">
        <f>IF($B$57="","",COUNTIFS(tblPlan[Process step],$B$57,tblPlan[Capability],"Out of limits")+COUNTIFS(tblPlan[Process step],$B$57,tblPlan[Capability],"Check")+COUNTIFS(tblPlan[Process step],$B$57,tblPlan[Gauge],"Out of limits")+COUNTIFS(tblPlan[Process step],$B$57,tblPlan[Gauge],"Check"))</f>
        <v>0</v>
      </c>
    </row>
    <row r="58" spans="2:12" ht="8" customHeight="1"/>
    <row r="59" spans="2:12" ht="26.76" customHeight="1">
      <c r="B59" s="21" t="s">
        <v>308</v>
      </c>
      <c r="C59" s="21"/>
      <c r="D59" s="21"/>
      <c r="E59" s="21"/>
      <c r="F59" s="21"/>
      <c r="G59" s="21"/>
      <c r="H59" s="21"/>
      <c r="I59" s="21"/>
      <c r="J59" s="21"/>
      <c r="K59" s="21"/>
      <c r="L59" s="21"/>
    </row>
    <row r="60" spans="2:12">
      <c r="B60" s="59">
        <f>IF(OR(COUNTA(tblSteps[Process step])&gt;8,COUNT(tblPlan[Cpk])&gt;10),"Lists are longer than the Dashboard blocks: some steps or studied characteristics are not shown.","")</f>
        <v/>
      </c>
      <c r="C60" s="59"/>
      <c r="D60" s="59"/>
      <c r="E60" s="59"/>
      <c r="F60" s="59"/>
      <c r="G60" s="59"/>
      <c r="H60" s="59"/>
      <c r="I60" s="59"/>
      <c r="J60" s="59"/>
      <c r="K60" s="59"/>
      <c r="L60" s="59"/>
    </row>
  </sheetData>
  <sheetProtection sheet="1" formatColumns="0" formatRows="0"/>
  <mergeCells count="62">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35:L35"/>
    <mergeCell ref="D36:G36"/>
    <mergeCell ref="K36:L36"/>
    <mergeCell ref="D37:G37"/>
    <mergeCell ref="D38:G38"/>
    <mergeCell ref="D39:G39"/>
    <mergeCell ref="D40:G40"/>
    <mergeCell ref="D41:G41"/>
    <mergeCell ref="D42:G42"/>
    <mergeCell ref="D43:G43"/>
    <mergeCell ref="D44:G44"/>
    <mergeCell ref="D45:G45"/>
    <mergeCell ref="D46:G46"/>
    <mergeCell ref="K37:L37"/>
    <mergeCell ref="K38:L38"/>
    <mergeCell ref="K39:L39"/>
    <mergeCell ref="K40:L40"/>
    <mergeCell ref="K41:L41"/>
    <mergeCell ref="K42:L42"/>
    <mergeCell ref="K43:L43"/>
    <mergeCell ref="K44:L44"/>
    <mergeCell ref="K45:L45"/>
    <mergeCell ref="K46:L46"/>
    <mergeCell ref="B48:H48"/>
    <mergeCell ref="B59:L59"/>
    <mergeCell ref="B60:L60"/>
  </mergeCells>
  <conditionalFormatting sqref="D1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G10">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I37:I46">
    <cfRule type="expression" dxfId="3" priority="61" stopIfTrue="1">
      <formula>AND(ISNUMBER(I37),I37&gt;=(MinCpk))</formula>
    </cfRule>
    <cfRule type="expression" dxfId="4" priority="62" stopIfTrue="1">
      <formula>AND(ISNUMBER(I37),I37&gt;=(MinCpk)*(1-0.05))</formula>
    </cfRule>
    <cfRule type="expression" dxfId="5" priority="63">
      <formula>ISNUMBER(I37)</formula>
    </cfRule>
  </conditionalFormatting>
  <conditionalFormatting sqref="J10">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K37:K46">
    <cfRule type="cellIs" dxfId="0" priority="64" operator="equal">
      <formula>"On target"</formula>
    </cfRule>
    <cfRule type="cellIs" dxfId="0" priority="65" operator="equal">
      <formula>"PASS"</formula>
    </cfRule>
    <cfRule type="cellIs" dxfId="0" priority="66" operator="equal">
      <formula>"OK"</formula>
    </cfRule>
    <cfRule type="cellIs" dxfId="0" priority="67" operator="equal">
      <formula>"Within limits"</formula>
    </cfRule>
    <cfRule type="cellIs" dxfId="0" priority="68" operator="equal">
      <formula>"Under capacity"</formula>
    </cfRule>
    <cfRule type="cellIs" dxfId="0" priority="69" operator="equal">
      <formula>"Complete"</formula>
    </cfRule>
    <cfRule type="cellIs" dxfId="0" priority="70" operator="equal">
      <formula>"Yes"</formula>
    </cfRule>
    <cfRule type="cellIs" dxfId="1" priority="71" operator="equal">
      <formula>"Near target"</formula>
    </cfRule>
    <cfRule type="cellIs" dxfId="1" priority="72" operator="equal">
      <formula>"Check"</formula>
    </cfRule>
    <cfRule type="cellIs" dxfId="1" priority="73" operator="equal">
      <formula>"Due soon"</formula>
    </cfRule>
    <cfRule type="cellIs" dxfId="1" priority="74" operator="equal">
      <formula>"Near capacity"</formula>
    </cfRule>
    <cfRule type="cellIs" dxfId="1" priority="75" operator="equal">
      <formula>"In progress"</formula>
    </cfRule>
    <cfRule type="cellIs" dxfId="1" priority="76" operator="equal">
      <formula>"Partial"</formula>
    </cfRule>
    <cfRule type="cellIs" dxfId="2" priority="77" operator="equal">
      <formula>"Below target"</formula>
    </cfRule>
    <cfRule type="cellIs" dxfId="2" priority="78" operator="equal">
      <formula>"Above target"</formula>
    </cfRule>
    <cfRule type="cellIs" dxfId="2" priority="79" operator="equal">
      <formula>"FAIL"</formula>
    </cfRule>
    <cfRule type="cellIs" dxfId="2" priority="80" operator="equal">
      <formula>"Over capacity"</formula>
    </cfRule>
    <cfRule type="cellIs" dxfId="2" priority="81" operator="equal">
      <formula>"Overdue"</formula>
    </cfRule>
    <cfRule type="cellIs" dxfId="2" priority="82" operator="equal">
      <formula>"Out of limits"</formula>
    </cfRule>
    <cfRule type="cellIs" dxfId="2" priority="83" operator="equal">
      <formula>"No"</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Control Plan&amp;R&amp;8&amp;A</oddHeader>
    <oddFooter>&amp;L&amp;8mfgcalcs.com - free manufacturing templates&amp;R&amp;8Page &amp;P of &amp;N</oddFooter>
  </headerFooter>
  <rowBreaks count="2" manualBreakCount="2">
    <brk id="28" max="16383" man="1"/>
    <brk id="47"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4"/>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23</v>
      </c>
      <c r="C2" s="2"/>
      <c r="D2" s="3" t="s">
        <v>2</v>
      </c>
    </row>
    <row r="3" spans="1:4" ht="6" customHeight="1"/>
    <row r="4" spans="1:4" ht="21" customHeight="1">
      <c r="B4" s="8" t="s">
        <v>309</v>
      </c>
      <c r="C4" s="8"/>
      <c r="D4" s="8"/>
    </row>
    <row r="5" spans="1:4" ht="5" customHeight="1"/>
    <row r="6" spans="1:4" ht="42.6" customHeight="1">
      <c r="B6" s="10" t="s">
        <v>310</v>
      </c>
      <c r="C6" s="10"/>
      <c r="D6" s="10"/>
    </row>
    <row r="8" spans="1:4" ht="21" customHeight="1">
      <c r="B8" s="8" t="s">
        <v>311</v>
      </c>
      <c r="C8" s="8"/>
      <c r="D8" s="8"/>
    </row>
    <row r="9" spans="1:4" ht="5" customHeight="1"/>
    <row r="10" spans="1:4" ht="20" customHeight="1">
      <c r="B10" s="52" t="s">
        <v>312</v>
      </c>
      <c r="C10" s="52" t="s">
        <v>313</v>
      </c>
      <c r="D10" s="34" t="s">
        <v>314</v>
      </c>
    </row>
    <row r="11" spans="1:4" ht="30.4" customHeight="1">
      <c r="B11" s="60" t="s">
        <v>315</v>
      </c>
      <c r="C11" s="61" t="s">
        <v>316</v>
      </c>
      <c r="D11" s="62" t="s">
        <v>317</v>
      </c>
    </row>
    <row r="12" spans="1:4" ht="30.4" customHeight="1">
      <c r="B12" s="60" t="s">
        <v>304</v>
      </c>
      <c r="C12" s="61" t="s">
        <v>318</v>
      </c>
      <c r="D12" s="62" t="s">
        <v>246</v>
      </c>
    </row>
    <row r="13" spans="1:4" ht="17.2" customHeight="1">
      <c r="B13" s="60" t="s">
        <v>319</v>
      </c>
      <c r="C13" s="61" t="s">
        <v>320</v>
      </c>
      <c r="D13" s="62" t="s">
        <v>321</v>
      </c>
    </row>
    <row r="14" spans="1:4" ht="17.2" customHeight="1">
      <c r="B14" s="60" t="s">
        <v>136</v>
      </c>
      <c r="C14" s="61" t="s">
        <v>322</v>
      </c>
      <c r="D14" s="62" t="s">
        <v>323</v>
      </c>
    </row>
    <row r="15" spans="1:4" ht="30.4" customHeight="1">
      <c r="B15" s="60" t="s">
        <v>137</v>
      </c>
      <c r="C15" s="61" t="s">
        <v>324</v>
      </c>
      <c r="D15" s="62" t="s">
        <v>325</v>
      </c>
    </row>
    <row r="16" spans="1:4" ht="30.4" customHeight="1">
      <c r="B16" s="60" t="s">
        <v>138</v>
      </c>
      <c r="C16" s="61" t="s">
        <v>326</v>
      </c>
      <c r="D16" s="62" t="s">
        <v>325</v>
      </c>
    </row>
    <row r="17" spans="2:4" ht="30.4" customHeight="1">
      <c r="B17" s="60" t="s">
        <v>327</v>
      </c>
      <c r="C17" s="61" t="s">
        <v>328</v>
      </c>
      <c r="D17" s="62" t="s">
        <v>154</v>
      </c>
    </row>
    <row r="18" spans="2:4" ht="30.4" customHeight="1">
      <c r="B18" s="60" t="s">
        <v>139</v>
      </c>
      <c r="C18" s="61" t="s">
        <v>329</v>
      </c>
      <c r="D18" s="62" t="s">
        <v>325</v>
      </c>
    </row>
    <row r="20" spans="2:4" ht="21" customHeight="1">
      <c r="B20" s="8" t="s">
        <v>330</v>
      </c>
      <c r="C20" s="8"/>
      <c r="D20" s="8"/>
    </row>
    <row r="21" spans="2:4" ht="5" customHeight="1"/>
    <row r="22" spans="2:4" ht="29.4" customHeight="1">
      <c r="B22" s="26" t="s">
        <v>52</v>
      </c>
      <c r="C22" s="10" t="s">
        <v>331</v>
      </c>
      <c r="D22" s="10"/>
    </row>
    <row r="23" spans="2:4" ht="29.4" customHeight="1">
      <c r="B23" s="26" t="s">
        <v>52</v>
      </c>
      <c r="C23" s="10" t="s">
        <v>332</v>
      </c>
      <c r="D23" s="10"/>
    </row>
    <row r="24" spans="2:4" ht="29.4" customHeight="1">
      <c r="B24" s="26" t="s">
        <v>52</v>
      </c>
      <c r="C24" s="10" t="s">
        <v>333</v>
      </c>
      <c r="D24" s="10"/>
    </row>
    <row r="26" spans="2:4" ht="21" customHeight="1">
      <c r="B26" s="8" t="s">
        <v>334</v>
      </c>
      <c r="C26" s="8"/>
      <c r="D26" s="8"/>
    </row>
    <row r="27" spans="2:4" ht="5" customHeight="1"/>
    <row r="28" spans="2:4" ht="29.4" customHeight="1">
      <c r="B28" s="26" t="s">
        <v>52</v>
      </c>
      <c r="C28" s="10" t="s">
        <v>335</v>
      </c>
      <c r="D28" s="10"/>
    </row>
    <row r="29" spans="2:4" ht="29.4" customHeight="1">
      <c r="B29" s="26" t="s">
        <v>52</v>
      </c>
      <c r="C29" s="10" t="s">
        <v>336</v>
      </c>
      <c r="D29" s="10"/>
    </row>
    <row r="30" spans="2:4" ht="29.4" customHeight="1">
      <c r="B30" s="26" t="s">
        <v>52</v>
      </c>
      <c r="C30" s="10" t="s">
        <v>337</v>
      </c>
      <c r="D30" s="10"/>
    </row>
    <row r="32" spans="2:4" ht="21" customHeight="1">
      <c r="B32" s="8" t="s">
        <v>338</v>
      </c>
      <c r="C32" s="8"/>
      <c r="D32" s="8"/>
    </row>
    <row r="33" spans="2:4" ht="5" customHeight="1"/>
    <row r="34" spans="2:4" ht="69" customHeight="1">
      <c r="B34" s="10" t="s">
        <v>339</v>
      </c>
      <c r="C34" s="10"/>
      <c r="D34" s="10"/>
    </row>
    <row r="35" spans="2:4">
      <c r="B35" s="24" t="s">
        <v>340</v>
      </c>
      <c r="C35" s="24"/>
      <c r="D35" s="24"/>
    </row>
    <row r="37" spans="2:4" ht="21" customHeight="1">
      <c r="B37" s="8" t="s">
        <v>39</v>
      </c>
      <c r="C37" s="8"/>
      <c r="D37" s="8"/>
    </row>
    <row r="38" spans="2:4" ht="5" customHeight="1"/>
    <row r="39" spans="2:4" ht="42.6" customHeight="1">
      <c r="B39" s="10" t="s">
        <v>341</v>
      </c>
      <c r="C39" s="10"/>
      <c r="D39" s="10"/>
    </row>
    <row r="41" spans="2:4" ht="21" customHeight="1">
      <c r="B41" s="8" t="s">
        <v>342</v>
      </c>
      <c r="C41" s="8"/>
      <c r="D41" s="8"/>
    </row>
    <row r="42" spans="2:4" ht="5" customHeight="1"/>
    <row r="43" spans="2:4" ht="29.4" customHeight="1">
      <c r="B43" s="26" t="s">
        <v>52</v>
      </c>
      <c r="C43" s="10" t="s">
        <v>343</v>
      </c>
      <c r="D43" s="10"/>
    </row>
    <row r="44" spans="2:4" ht="29.4" customHeight="1">
      <c r="B44" s="26" t="s">
        <v>52</v>
      </c>
      <c r="C44" s="10" t="s">
        <v>344</v>
      </c>
      <c r="D44" s="10"/>
    </row>
    <row r="45" spans="2:4" ht="29.4" customHeight="1">
      <c r="B45" s="26" t="s">
        <v>52</v>
      </c>
      <c r="C45" s="10" t="s">
        <v>345</v>
      </c>
      <c r="D45" s="10"/>
    </row>
    <row r="46" spans="2:4" ht="29.4" customHeight="1">
      <c r="B46" s="26" t="s">
        <v>52</v>
      </c>
      <c r="C46" s="10" t="s">
        <v>346</v>
      </c>
      <c r="D46" s="10"/>
    </row>
    <row r="47" spans="2:4">
      <c r="B47" s="21" t="s">
        <v>347</v>
      </c>
      <c r="C47" s="21"/>
      <c r="D47" s="21"/>
    </row>
    <row r="49" spans="2:4" ht="21" customHeight="1">
      <c r="B49" s="8" t="s">
        <v>348</v>
      </c>
      <c r="C49" s="8"/>
      <c r="D49" s="8"/>
    </row>
    <row r="50" spans="2:4" ht="5" customHeight="1"/>
    <row r="51" spans="2:4">
      <c r="B51" s="52" t="s">
        <v>47</v>
      </c>
      <c r="C51" s="52" t="s">
        <v>349</v>
      </c>
      <c r="D51" s="34" t="s">
        <v>350</v>
      </c>
    </row>
    <row r="52" spans="2:4" ht="16.2" customHeight="1">
      <c r="B52" s="63" t="s">
        <v>351</v>
      </c>
      <c r="C52" s="64" t="s">
        <v>352</v>
      </c>
      <c r="D52" s="65" t="s">
        <v>353</v>
      </c>
    </row>
    <row r="54" spans="2:4">
      <c r="B54" s="21" t="s">
        <v>58</v>
      </c>
      <c r="C54" s="21"/>
      <c r="D54" s="21"/>
    </row>
  </sheetData>
  <sheetProtection sheet="1" formatColumns="0" formatRows="0"/>
  <mergeCells count="26">
    <mergeCell ref="A1:D1"/>
    <mergeCell ref="B2:C2"/>
    <mergeCell ref="B4:D4"/>
    <mergeCell ref="B6:D6"/>
    <mergeCell ref="B8:D8"/>
    <mergeCell ref="B20:D20"/>
    <mergeCell ref="C22:D22"/>
    <mergeCell ref="C23:D23"/>
    <mergeCell ref="C24:D24"/>
    <mergeCell ref="B26:D26"/>
    <mergeCell ref="C28:D28"/>
    <mergeCell ref="C29:D29"/>
    <mergeCell ref="C30:D30"/>
    <mergeCell ref="B32:D32"/>
    <mergeCell ref="B34:D34"/>
    <mergeCell ref="B35:D35"/>
    <mergeCell ref="B37:D37"/>
    <mergeCell ref="B39:D39"/>
    <mergeCell ref="B41:D41"/>
    <mergeCell ref="C43:D43"/>
    <mergeCell ref="C44:D44"/>
    <mergeCell ref="C45:D45"/>
    <mergeCell ref="C46:D46"/>
    <mergeCell ref="B47:D47"/>
    <mergeCell ref="B49:D49"/>
    <mergeCell ref="B54:D54"/>
  </mergeCells>
  <hyperlinks>
    <hyperlink ref="D2" r:id="rId1" tooltip="Free manufacturing calculators and templates"/>
    <hyperlink ref="B35" r:id="rId2"/>
  </hyperlinks>
  <printOptions horizontalCentered="1"/>
  <pageMargins left="0.4" right="0.4" top="0.7" bottom="0.65" header="0.3" footer="0.3"/>
  <pageSetup fitToHeight="0" orientation="portrait"/>
  <headerFooter>
    <oddHeader>&amp;L&amp;8MFG Calcs - Control Plan&amp;R&amp;8&amp;A</oddHeader>
    <oddFooter>&amp;L&amp;8mfgcalcs.com - free manufacturing templates&amp;R&amp;8Page &amp;P of &amp;N</oddFooter>
  </headerFooter>
  <rowBreaks count="1" manualBreakCount="1">
    <brk id="25"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AD53"/>
  <sheetViews>
    <sheetView showGridLines="0" workbookViewId="0"/>
  </sheetViews>
  <sheetFormatPr defaultRowHeight="15"/>
  <cols>
    <col min="1" max="1" width="2.7109375" customWidth="1"/>
    <col min="2" max="19" width="12.7109375" customWidth="1"/>
    <col min="20" max="20" width="13.7109375" customWidth="1"/>
    <col min="21" max="22" width="8.7109375" customWidth="1"/>
    <col min="23" max="23" width="9.28515625" customWidth="1"/>
    <col min="24" max="25" width="10.7109375" customWidth="1"/>
    <col min="26" max="26" width="9.28515625" customWidth="1"/>
    <col min="27" max="28" width="12.7109375" customWidth="1"/>
    <col min="29" max="29" width="7.28515625" customWidth="1"/>
    <col min="30" max="30" width="24.7109375" customWidth="1"/>
  </cols>
  <sheetData>
    <row r="1" spans="1:30" ht="30"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ht="21" customHeight="1">
      <c r="B2" s="2" t="s">
        <v>25</v>
      </c>
      <c r="C2" s="2"/>
      <c r="D2" s="2"/>
      <c r="E2" s="2"/>
      <c r="F2" s="2"/>
      <c r="G2" s="2"/>
      <c r="H2" s="2"/>
      <c r="I2" s="2"/>
      <c r="J2" s="2"/>
      <c r="K2" s="2"/>
      <c r="L2" s="2"/>
      <c r="M2" s="2"/>
      <c r="N2" s="2"/>
      <c r="O2" s="2"/>
      <c r="P2" s="2"/>
      <c r="Q2" s="2"/>
      <c r="R2" s="2"/>
      <c r="S2" s="2"/>
      <c r="T2" s="2"/>
      <c r="U2" s="2"/>
      <c r="V2" s="2"/>
      <c r="W2" s="2"/>
      <c r="X2" s="2"/>
      <c r="Y2" s="2"/>
      <c r="Z2" s="2"/>
      <c r="AA2" s="2"/>
      <c r="AB2" s="2"/>
      <c r="AC2" s="2"/>
      <c r="AD2" s="3" t="s">
        <v>2</v>
      </c>
    </row>
    <row r="3" spans="1:30" ht="6" customHeight="1"/>
    <row r="4" spans="1:30" ht="30" customHeight="1">
      <c r="B4" s="66" t="s">
        <v>354</v>
      </c>
      <c r="C4" s="66"/>
      <c r="D4" s="22" t="str">
        <f>IF(COUNTIF($K$11:$K$33,"PASS")=23,"PASS","FAIL")</f>
        <v>PASS</v>
      </c>
      <c r="E4" s="22"/>
      <c r="F4" s="23" t="str">
        <f>COUNTIF($K$11:$K$33,"PASS")&amp;" of 23 checks pass"</f>
        <v>23 of 23 checks pass</v>
      </c>
      <c r="G4" s="23"/>
      <c r="H4" s="23"/>
      <c r="I4" s="23"/>
      <c r="J4" s="23"/>
    </row>
    <row r="6" spans="1:30" ht="29.4" customHeight="1">
      <c r="B6" s="10" t="s">
        <v>355</v>
      </c>
      <c r="C6" s="10"/>
      <c r="D6" s="10"/>
      <c r="E6" s="10"/>
      <c r="F6" s="10"/>
      <c r="G6" s="10"/>
      <c r="H6" s="10"/>
      <c r="I6" s="10"/>
      <c r="J6" s="10"/>
      <c r="K6" s="10"/>
      <c r="L6" s="10"/>
    </row>
    <row r="8" spans="1:30" ht="21" customHeight="1">
      <c r="B8" s="8" t="s">
        <v>356</v>
      </c>
      <c r="C8" s="8"/>
      <c r="D8" s="8"/>
      <c r="E8" s="8"/>
      <c r="F8" s="8"/>
      <c r="G8" s="8"/>
      <c r="H8" s="8"/>
      <c r="I8" s="8"/>
      <c r="J8" s="8"/>
      <c r="K8" s="8"/>
      <c r="L8" s="8"/>
    </row>
    <row r="9" spans="1:30" ht="5" customHeight="1"/>
    <row r="10" spans="1:30" ht="30" customHeight="1">
      <c r="B10" s="34" t="s">
        <v>297</v>
      </c>
      <c r="C10" s="52" t="s">
        <v>140</v>
      </c>
      <c r="D10" s="52"/>
      <c r="E10" s="52"/>
      <c r="F10" s="52"/>
      <c r="G10" s="34" t="s">
        <v>357</v>
      </c>
      <c r="H10" s="34" t="s">
        <v>358</v>
      </c>
      <c r="I10" s="34" t="s">
        <v>359</v>
      </c>
      <c r="J10" s="34" t="s">
        <v>136</v>
      </c>
      <c r="K10" s="34" t="s">
        <v>360</v>
      </c>
    </row>
    <row r="11" spans="1:30" ht="16.2" customHeight="1">
      <c r="B11" s="67">
        <v>1</v>
      </c>
      <c r="C11" s="64" t="s">
        <v>361</v>
      </c>
      <c r="D11" s="64"/>
      <c r="E11" s="64"/>
      <c r="F11" s="64"/>
      <c r="G11" s="68">
        <v>40</v>
      </c>
      <c r="H11" s="39">
        <f>$X$48</f>
        <v>40</v>
      </c>
      <c r="I11" s="69">
        <f>IF(AND(ISNUMBER($G$11),ISNUMBER($H$11)),ABS($H$11-$G$11),"")</f>
        <v>0</v>
      </c>
      <c r="J11" s="70">
        <v>1E-09</v>
      </c>
      <c r="K11" s="41" t="str">
        <f>IF(AND(ISNUMBER($G$11),ISNUMBER($H$11)),IF(ABS($H$11-$G$11)&lt;=$J$11,"PASS","FAIL"),"FAIL")</f>
        <v>PASS</v>
      </c>
    </row>
    <row r="12" spans="1:30" ht="16.2" customHeight="1">
      <c r="B12" s="67">
        <v>2</v>
      </c>
      <c r="C12" s="64" t="s">
        <v>362</v>
      </c>
      <c r="D12" s="64"/>
      <c r="E12" s="64"/>
      <c r="F12" s="64"/>
      <c r="G12" s="57">
        <v>13.33333333333333</v>
      </c>
      <c r="H12" s="56">
        <f>$Y$48</f>
        <v>13.3333333333333</v>
      </c>
      <c r="I12" s="69">
        <f>IF(AND(ISNUMBER($G$12),ISNUMBER($H$12)),ABS($H$12-$G$12),"")</f>
        <v>0</v>
      </c>
      <c r="J12" s="70">
        <v>1E-09</v>
      </c>
      <c r="K12" s="41" t="str">
        <f>IF(AND(ISNUMBER($G$12),ISNUMBER($H$12)),IF(ABS($H$12-$G$12)&lt;=$J$12,"PASS","FAIL"),"FAIL")</f>
        <v>PASS</v>
      </c>
    </row>
    <row r="13" spans="1:30" ht="16.2" customHeight="1">
      <c r="B13" s="67">
        <v>3</v>
      </c>
      <c r="C13" s="64" t="s">
        <v>363</v>
      </c>
      <c r="D13" s="64"/>
      <c r="E13" s="64"/>
      <c r="F13" s="64"/>
      <c r="G13" s="68">
        <v>2</v>
      </c>
      <c r="H13" s="39">
        <f>$X$49</f>
        <v>2</v>
      </c>
      <c r="I13" s="69">
        <f>IF(AND(ISNUMBER($G$13),ISNUMBER($H$13)),ABS($H$13-$G$13),"")</f>
        <v>0</v>
      </c>
      <c r="J13" s="70">
        <v>1E-09</v>
      </c>
      <c r="K13" s="41" t="str">
        <f>IF(AND(ISNUMBER($G$13),ISNUMBER($H$13)),IF(ABS($H$13-$G$13)&lt;=$J$13,"PASS","FAIL"),"FAIL")</f>
        <v>PASS</v>
      </c>
    </row>
    <row r="14" spans="1:30" ht="16.2" customHeight="1">
      <c r="B14" s="67">
        <v>4</v>
      </c>
      <c r="C14" s="64" t="s">
        <v>364</v>
      </c>
      <c r="D14" s="64"/>
      <c r="E14" s="64"/>
      <c r="F14" s="64"/>
      <c r="G14" s="57">
        <v>20</v>
      </c>
      <c r="H14" s="56">
        <f>$Y$49</f>
        <v>20</v>
      </c>
      <c r="I14" s="69">
        <f>IF(AND(ISNUMBER($G$14),ISNUMBER($H$14)),ABS($H$14-$G$14),"")</f>
        <v>0</v>
      </c>
      <c r="J14" s="70">
        <v>1E-09</v>
      </c>
      <c r="K14" s="41" t="str">
        <f>IF(AND(ISNUMBER($G$14),ISNUMBER($H$14)),IF(ABS($H$14-$G$14)&lt;=$J$14,"PASS","FAIL"),"FAIL")</f>
        <v>PASS</v>
      </c>
    </row>
    <row r="15" spans="1:30" ht="16.2" customHeight="1">
      <c r="B15" s="67">
        <v>5</v>
      </c>
      <c r="C15" s="64" t="s">
        <v>365</v>
      </c>
      <c r="D15" s="64"/>
      <c r="E15" s="64"/>
      <c r="F15" s="64"/>
      <c r="G15" s="68">
        <v>9</v>
      </c>
      <c r="H15" s="39">
        <f>$X$50</f>
        <v>9</v>
      </c>
      <c r="I15" s="69">
        <f>IF(AND(ISNUMBER($G$15),ISNUMBER($H$15)),ABS($H$15-$G$15),"")</f>
        <v>0</v>
      </c>
      <c r="J15" s="70">
        <v>1E-09</v>
      </c>
      <c r="K15" s="41" t="str">
        <f>IF(AND(ISNUMBER($G$15),ISNUMBER($H$15)),IF(ABS($H$15-$G$15)&lt;=$J$15,"PASS","FAIL"),"FAIL")</f>
        <v>PASS</v>
      </c>
    </row>
    <row r="16" spans="1:30" ht="16.2" customHeight="1">
      <c r="B16" s="67">
        <v>6</v>
      </c>
      <c r="C16" s="64" t="s">
        <v>366</v>
      </c>
      <c r="D16" s="64"/>
      <c r="E16" s="64"/>
      <c r="F16" s="64"/>
      <c r="G16" s="57">
        <v>13.5</v>
      </c>
      <c r="H16" s="56">
        <f>$Y$50</f>
        <v>13.5</v>
      </c>
      <c r="I16" s="69">
        <f>IF(AND(ISNUMBER($G$16),ISNUMBER($H$16)),ABS($H$16-$G$16),"")</f>
        <v>0</v>
      </c>
      <c r="J16" s="70">
        <v>1E-09</v>
      </c>
      <c r="K16" s="41" t="str">
        <f>IF(AND(ISNUMBER($G$16),ISNUMBER($H$16)),IF(ABS($H$16-$G$16)&lt;=$J$16,"PASS","FAIL"),"FAIL")</f>
        <v>PASS</v>
      </c>
    </row>
    <row r="17" spans="2:11" ht="16.2" customHeight="1">
      <c r="B17" s="67">
        <v>7</v>
      </c>
      <c r="C17" s="64" t="s">
        <v>367</v>
      </c>
      <c r="D17" s="64"/>
      <c r="E17" s="64"/>
      <c r="F17" s="64"/>
      <c r="G17" s="68">
        <v>4</v>
      </c>
      <c r="H17" s="39">
        <f>$X$51</f>
        <v>4</v>
      </c>
      <c r="I17" s="69">
        <f>IF(AND(ISNUMBER($G$17),ISNUMBER($H$17)),ABS($H$17-$G$17),"")</f>
        <v>0</v>
      </c>
      <c r="J17" s="70">
        <v>1E-09</v>
      </c>
      <c r="K17" s="41" t="str">
        <f>IF(AND(ISNUMBER($G$17),ISNUMBER($H$17)),IF(ABS($H$17-$G$17)&lt;=$J$17,"PASS","FAIL"),"FAIL")</f>
        <v>PASS</v>
      </c>
    </row>
    <row r="18" spans="2:11" ht="16.2" customHeight="1">
      <c r="B18" s="67">
        <v>8</v>
      </c>
      <c r="C18" s="64" t="s">
        <v>368</v>
      </c>
      <c r="D18" s="64"/>
      <c r="E18" s="64"/>
      <c r="F18" s="64"/>
      <c r="G18" s="57">
        <v>3</v>
      </c>
      <c r="H18" s="56">
        <f>$Y$51</f>
        <v>3</v>
      </c>
      <c r="I18" s="69">
        <f>IF(AND(ISNUMBER($G$18),ISNUMBER($H$18)),ABS($H$18-$G$18),"")</f>
        <v>0</v>
      </c>
      <c r="J18" s="70">
        <v>1E-09</v>
      </c>
      <c r="K18" s="41" t="str">
        <f>IF(AND(ISNUMBER($G$18),ISNUMBER($H$18)),IF(ABS($H$18-$G$18)&lt;=$J$18,"PASS","FAIL"),"FAIL")</f>
        <v>PASS</v>
      </c>
    </row>
    <row r="19" spans="2:11" ht="16.2" customHeight="1">
      <c r="B19" s="67">
        <v>9</v>
      </c>
      <c r="C19" s="64" t="s">
        <v>369</v>
      </c>
      <c r="D19" s="64"/>
      <c r="E19" s="64"/>
      <c r="F19" s="64"/>
      <c r="G19" s="68">
        <v>960</v>
      </c>
      <c r="H19" s="39">
        <f>$X$52</f>
        <v>960</v>
      </c>
      <c r="I19" s="69">
        <f>IF(AND(ISNUMBER($G$19),ISNUMBER($H$19)),ABS($H$19-$G$19),"")</f>
        <v>0</v>
      </c>
      <c r="J19" s="70">
        <v>1E-09</v>
      </c>
      <c r="K19" s="41" t="str">
        <f>IF(AND(ISNUMBER($G$19),ISNUMBER($H$19)),IF(ABS($H$19-$G$19)&lt;=$J$19,"PASS","FAIL"),"FAIL")</f>
        <v>PASS</v>
      </c>
    </row>
    <row r="20" spans="2:11" ht="16.2" customHeight="1">
      <c r="B20" s="67">
        <v>10</v>
      </c>
      <c r="C20" s="64" t="s">
        <v>370</v>
      </c>
      <c r="D20" s="64"/>
      <c r="E20" s="64"/>
      <c r="F20" s="64"/>
      <c r="G20" s="57">
        <v>64</v>
      </c>
      <c r="H20" s="56">
        <f>$Y$52</f>
        <v>64</v>
      </c>
      <c r="I20" s="69">
        <f>IF(AND(ISNUMBER($G$20),ISNUMBER($H$20)),ABS($H$20-$G$20),"")</f>
        <v>0</v>
      </c>
      <c r="J20" s="70">
        <v>1E-09</v>
      </c>
      <c r="K20" s="41" t="str">
        <f>IF(AND(ISNUMBER($G$20),ISNUMBER($H$20)),IF(ABS($H$20-$G$20)&lt;=$J$20,"PASS","FAIL"),"FAIL")</f>
        <v>PASS</v>
      </c>
    </row>
    <row r="21" spans="2:11" ht="16.2" customHeight="1">
      <c r="B21" s="67">
        <v>11</v>
      </c>
      <c r="C21" s="64" t="s">
        <v>371</v>
      </c>
      <c r="D21" s="64"/>
      <c r="E21" s="64"/>
      <c r="F21" s="64"/>
      <c r="G21" s="63" t="s">
        <v>372</v>
      </c>
      <c r="H21" s="55" t="str">
        <f>$AA$48</f>
        <v>Within limits</v>
      </c>
      <c r="I21" s="55"/>
      <c r="J21" s="65" t="s">
        <v>373</v>
      </c>
      <c r="K21" s="41" t="str">
        <f>IF($H$21&amp;""=$G$21&amp;"","PASS","FAIL")</f>
        <v>PASS</v>
      </c>
    </row>
    <row r="22" spans="2:11" ht="16.2" customHeight="1">
      <c r="B22" s="67">
        <v>12</v>
      </c>
      <c r="C22" s="64" t="s">
        <v>374</v>
      </c>
      <c r="D22" s="64"/>
      <c r="E22" s="64"/>
      <c r="F22" s="64"/>
      <c r="G22" s="63" t="s">
        <v>375</v>
      </c>
      <c r="H22" s="55" t="str">
        <f>$AA$49</f>
        <v>Out of limits</v>
      </c>
      <c r="I22" s="55"/>
      <c r="J22" s="65" t="s">
        <v>373</v>
      </c>
      <c r="K22" s="41" t="str">
        <f>IF($H$22&amp;""=$G$22&amp;"","PASS","FAIL")</f>
        <v>PASS</v>
      </c>
    </row>
    <row r="23" spans="2:11" ht="16.2" customHeight="1">
      <c r="B23" s="67">
        <v>13</v>
      </c>
      <c r="C23" s="64" t="s">
        <v>376</v>
      </c>
      <c r="D23" s="64"/>
      <c r="E23" s="64"/>
      <c r="F23" s="64"/>
      <c r="G23" s="63" t="s">
        <v>377</v>
      </c>
      <c r="H23" s="55">
        <f>$AA$50</f>
        <v/>
      </c>
      <c r="I23" s="55"/>
      <c r="J23" s="65" t="s">
        <v>373</v>
      </c>
      <c r="K23" s="41" t="str">
        <f>IF($H$23&amp;""=$G$23&amp;"","PASS","FAIL")</f>
        <v>PASS</v>
      </c>
    </row>
    <row r="24" spans="2:11" ht="16.2" customHeight="1">
      <c r="B24" s="67">
        <v>14</v>
      </c>
      <c r="C24" s="64" t="s">
        <v>378</v>
      </c>
      <c r="D24" s="64"/>
      <c r="E24" s="64"/>
      <c r="F24" s="64"/>
      <c r="G24" s="63" t="s">
        <v>140</v>
      </c>
      <c r="H24" s="55" t="str">
        <f>$AA$51</f>
        <v>Check</v>
      </c>
      <c r="I24" s="55"/>
      <c r="J24" s="65" t="s">
        <v>373</v>
      </c>
      <c r="K24" s="41" t="str">
        <f>IF($H$24&amp;""=$G$24&amp;"","PASS","FAIL")</f>
        <v>PASS</v>
      </c>
    </row>
    <row r="25" spans="2:11" ht="16.2" customHeight="1">
      <c r="B25" s="67">
        <v>15</v>
      </c>
      <c r="C25" s="64" t="s">
        <v>379</v>
      </c>
      <c r="D25" s="64"/>
      <c r="E25" s="64"/>
      <c r="F25" s="64"/>
      <c r="G25" s="63" t="s">
        <v>372</v>
      </c>
      <c r="H25" s="55" t="str">
        <f>$AB$48</f>
        <v>Within limits</v>
      </c>
      <c r="I25" s="55"/>
      <c r="J25" s="65" t="s">
        <v>373</v>
      </c>
      <c r="K25" s="41" t="str">
        <f>IF($H$25&amp;""=$G$25&amp;"","PASS","FAIL")</f>
        <v>PASS</v>
      </c>
    </row>
    <row r="26" spans="2:11" ht="16.2" customHeight="1">
      <c r="B26" s="67">
        <v>16</v>
      </c>
      <c r="C26" s="64" t="s">
        <v>380</v>
      </c>
      <c r="D26" s="64"/>
      <c r="E26" s="64"/>
      <c r="F26" s="64"/>
      <c r="G26" s="63" t="s">
        <v>140</v>
      </c>
      <c r="H26" s="55" t="str">
        <f>$AB$49</f>
        <v>Check</v>
      </c>
      <c r="I26" s="55"/>
      <c r="J26" s="65" t="s">
        <v>373</v>
      </c>
      <c r="K26" s="41" t="str">
        <f>IF($H$26&amp;""=$G$26&amp;"","PASS","FAIL")</f>
        <v>PASS</v>
      </c>
    </row>
    <row r="27" spans="2:11" ht="16.2" customHeight="1">
      <c r="B27" s="67">
        <v>17</v>
      </c>
      <c r="C27" s="64" t="s">
        <v>381</v>
      </c>
      <c r="D27" s="64"/>
      <c r="E27" s="64"/>
      <c r="F27" s="64"/>
      <c r="G27" s="63" t="s">
        <v>375</v>
      </c>
      <c r="H27" s="55" t="str">
        <f>$AB$50</f>
        <v>Out of limits</v>
      </c>
      <c r="I27" s="55"/>
      <c r="J27" s="65" t="s">
        <v>373</v>
      </c>
      <c r="K27" s="41" t="str">
        <f>IF($H$27&amp;""=$G$27&amp;"","PASS","FAIL")</f>
        <v>PASS</v>
      </c>
    </row>
    <row r="28" spans="2:11" ht="16.2" customHeight="1">
      <c r="B28" s="67">
        <v>18</v>
      </c>
      <c r="C28" s="64" t="s">
        <v>382</v>
      </c>
      <c r="D28" s="64"/>
      <c r="E28" s="64"/>
      <c r="F28" s="64"/>
      <c r="G28" s="71">
        <v>0.1999999999999993</v>
      </c>
      <c r="H28" s="40">
        <f>$Z$48</f>
        <v>0.199999999999999</v>
      </c>
      <c r="I28" s="69">
        <f>IF(AND(ISNUMBER($G$28),ISNUMBER($H$28)),ABS($H$28-$G$28),"")</f>
        <v>0</v>
      </c>
      <c r="J28" s="70">
        <v>1E-09</v>
      </c>
      <c r="K28" s="41" t="str">
        <f>IF(AND(ISNUMBER($G$28),ISNUMBER($H$28)),IF(ABS($H$28-$G$28)&lt;=$J$28,"PASS","FAIL"),"FAIL")</f>
        <v>PASS</v>
      </c>
    </row>
    <row r="29" spans="2:11" ht="16.2" customHeight="1">
      <c r="B29" s="67">
        <v>19</v>
      </c>
      <c r="C29" s="64" t="s">
        <v>383</v>
      </c>
      <c r="D29" s="64"/>
      <c r="E29" s="64"/>
      <c r="F29" s="64"/>
      <c r="G29" s="63" t="s">
        <v>384</v>
      </c>
      <c r="H29" s="55" t="str">
        <f>$AD$53</f>
        <v>LSL not below USL</v>
      </c>
      <c r="I29" s="55"/>
      <c r="J29" s="65" t="s">
        <v>373</v>
      </c>
      <c r="K29" s="41" t="str">
        <f>IF($H$29&amp;""=$G$29&amp;"","PASS","FAIL")</f>
        <v>PASS</v>
      </c>
    </row>
    <row r="30" spans="2:11" ht="16.2" customHeight="1">
      <c r="B30" s="67">
        <v>20</v>
      </c>
      <c r="C30" s="64" t="s">
        <v>385</v>
      </c>
      <c r="D30" s="64"/>
      <c r="E30" s="64"/>
      <c r="F30" s="64"/>
      <c r="G30" s="57">
        <v>1.9</v>
      </c>
      <c r="H30" s="56">
        <f>SUM(tblVerifyPlan[Inspection (min/shift)])/60</f>
        <v>1.9</v>
      </c>
      <c r="I30" s="69">
        <f>IF(AND(ISNUMBER($G$30),ISNUMBER($H$30)),ABS($H$30-$G$30),"")</f>
        <v>0</v>
      </c>
      <c r="J30" s="70">
        <v>1E-09</v>
      </c>
      <c r="K30" s="41" t="str">
        <f>IF(AND(ISNUMBER($G$30),ISNUMBER($H$30)),IF(ABS($H$30-$G$30)&lt;=$J$30,"PASS","FAIL"),"FAIL")</f>
        <v>PASS</v>
      </c>
    </row>
    <row r="31" spans="2:11" ht="16.2" customHeight="1">
      <c r="B31" s="67">
        <v>21</v>
      </c>
      <c r="C31" s="64" t="s">
        <v>386</v>
      </c>
      <c r="D31" s="64"/>
      <c r="E31" s="64"/>
      <c r="F31" s="64"/>
      <c r="G31" s="72">
        <v>0.3166666666666667</v>
      </c>
      <c r="H31" s="73">
        <f>IF(($E$44)=0,"",(SUM(tblVerifyPlan[Inspection (min/shift)])/60)/($E$44))</f>
        <v>0.316666666666667</v>
      </c>
      <c r="I31" s="69">
        <f>IF(AND(ISNUMBER($G$31),ISNUMBER($H$31)),ABS($H$31-$G$31),"")</f>
        <v>0</v>
      </c>
      <c r="J31" s="70">
        <v>1E-09</v>
      </c>
      <c r="K31" s="41" t="str">
        <f>IF(AND(ISNUMBER($G$31),ISNUMBER($H$31)),IF(ABS($H$31-$G$31)&lt;=$J$31,"PASS","FAIL"),"FAIL")</f>
        <v>PASS</v>
      </c>
    </row>
    <row r="32" spans="2:11" ht="16.2" customHeight="1">
      <c r="B32" s="67">
        <v>22</v>
      </c>
      <c r="C32" s="64" t="s">
        <v>387</v>
      </c>
      <c r="D32" s="64"/>
      <c r="E32" s="64"/>
      <c r="F32" s="64"/>
      <c r="G32" s="54">
        <v>1</v>
      </c>
      <c r="H32" s="42">
        <f>COUNTIFS(tblVerifyPlan[Capability],"Out of limits")</f>
        <v>1</v>
      </c>
      <c r="I32" s="69">
        <f>IF(AND(ISNUMBER($G$32),ISNUMBER($H$32)),ABS($H$32-$G$32),"")</f>
        <v>0</v>
      </c>
      <c r="J32" s="70">
        <v>1E-09</v>
      </c>
      <c r="K32" s="41" t="str">
        <f>IF(AND(ISNUMBER($G$32),ISNUMBER($H$32)),IF(ABS($H$32-$G$32)&lt;=$J$32,"PASS","FAIL"),"FAIL")</f>
        <v>PASS</v>
      </c>
    </row>
    <row r="33" spans="2:30" ht="16.2" customHeight="1">
      <c r="B33" s="67">
        <v>23</v>
      </c>
      <c r="C33" s="64" t="s">
        <v>388</v>
      </c>
      <c r="D33" s="64"/>
      <c r="E33" s="64"/>
      <c r="F33" s="64"/>
      <c r="G33" s="54">
        <v>2</v>
      </c>
      <c r="H33" s="42">
        <f>COUNTIFS(tblVerifyPlan[Gauge],"Out of limits")+COUNTIFS(tblVerifyPlan[Gauge],"Check")</f>
        <v>2</v>
      </c>
      <c r="I33" s="69">
        <f>IF(AND(ISNUMBER($G$33),ISNUMBER($H$33)),ABS($H$33-$G$33),"")</f>
        <v>0</v>
      </c>
      <c r="J33" s="70">
        <v>1E-09</v>
      </c>
      <c r="K33" s="41" t="str">
        <f>IF(AND(ISNUMBER($G$33),ISNUMBER($H$33)),IF(ABS($H$33-$G$33)&lt;=$J$33,"PASS","FAIL"),"FAIL")</f>
        <v>PASS</v>
      </c>
    </row>
    <row r="35" spans="2:30" ht="21" customHeight="1">
      <c r="B35" s="8" t="s">
        <v>389</v>
      </c>
      <c r="C35" s="8"/>
      <c r="D35" s="8"/>
      <c r="E35" s="8"/>
      <c r="F35" s="8"/>
      <c r="G35" s="8"/>
      <c r="H35" s="8"/>
      <c r="I35" s="8"/>
      <c r="J35" s="8"/>
      <c r="K35" s="8"/>
      <c r="L35" s="8"/>
    </row>
    <row r="36" spans="2:30" ht="5" customHeight="1"/>
    <row r="37" spans="2:30">
      <c r="B37" s="21" t="s">
        <v>390</v>
      </c>
      <c r="C37" s="21"/>
      <c r="D37" s="21"/>
      <c r="E37" s="21"/>
      <c r="F37" s="21"/>
      <c r="G37" s="21"/>
      <c r="H37" s="21"/>
      <c r="I37" s="21"/>
      <c r="J37" s="21"/>
      <c r="K37" s="21"/>
      <c r="L37" s="21"/>
    </row>
    <row r="38" spans="2:30">
      <c r="B38" s="33" t="s">
        <v>391</v>
      </c>
      <c r="C38" s="33"/>
      <c r="D38" s="33"/>
      <c r="E38" s="33"/>
      <c r="F38" s="33"/>
    </row>
    <row r="39" spans="2:30">
      <c r="B39" s="27" t="s">
        <v>82</v>
      </c>
      <c r="C39" s="27"/>
      <c r="D39" s="27"/>
      <c r="E39" s="68">
        <v>8</v>
      </c>
      <c r="F39" s="7"/>
    </row>
    <row r="40" spans="2:30">
      <c r="B40" s="27" t="s">
        <v>84</v>
      </c>
      <c r="C40" s="27"/>
      <c r="D40" s="27"/>
      <c r="E40" s="68">
        <v>3</v>
      </c>
      <c r="F40" s="7"/>
    </row>
    <row r="41" spans="2:30">
      <c r="B41" s="27" t="s">
        <v>89</v>
      </c>
      <c r="C41" s="27"/>
      <c r="D41" s="27"/>
      <c r="E41" s="57">
        <v>1.33</v>
      </c>
      <c r="F41" s="7"/>
    </row>
    <row r="42" spans="2:30">
      <c r="B42" s="27" t="s">
        <v>90</v>
      </c>
      <c r="C42" s="27"/>
      <c r="D42" s="27"/>
      <c r="E42" s="74">
        <v>0.1</v>
      </c>
      <c r="F42" s="7"/>
    </row>
    <row r="43" spans="2:30">
      <c r="B43" s="27" t="s">
        <v>91</v>
      </c>
      <c r="C43" s="27"/>
      <c r="D43" s="27"/>
      <c r="E43" s="74">
        <v>0.3</v>
      </c>
      <c r="F43" s="7"/>
    </row>
    <row r="44" spans="2:30">
      <c r="B44" s="27" t="s">
        <v>392</v>
      </c>
      <c r="C44" s="27"/>
      <c r="D44" s="27"/>
      <c r="E44" s="68">
        <v>6</v>
      </c>
      <c r="F44" s="7"/>
    </row>
    <row r="46" spans="2:30">
      <c r="B46" s="33" t="s">
        <v>393</v>
      </c>
      <c r="C46" s="33"/>
      <c r="D46" s="33"/>
      <c r="E46" s="33"/>
      <c r="F46" s="33"/>
      <c r="G46" s="33"/>
      <c r="H46" s="33"/>
      <c r="I46" s="33"/>
      <c r="J46" s="33"/>
      <c r="K46" s="33"/>
      <c r="L46" s="33"/>
    </row>
    <row r="47" spans="2:30" ht="45.5" customHeight="1">
      <c r="B47" s="34" t="s">
        <v>59</v>
      </c>
      <c r="C47" s="34" t="s">
        <v>116</v>
      </c>
      <c r="D47" s="34" t="s">
        <v>117</v>
      </c>
      <c r="E47" s="34" t="s">
        <v>118</v>
      </c>
      <c r="F47" s="34" t="s">
        <v>63</v>
      </c>
      <c r="G47" s="34" t="s">
        <v>119</v>
      </c>
      <c r="H47" s="34" t="s">
        <v>120</v>
      </c>
      <c r="I47" s="34" t="s">
        <v>121</v>
      </c>
      <c r="J47" s="34" t="s">
        <v>122</v>
      </c>
      <c r="K47" s="34" t="s">
        <v>123</v>
      </c>
      <c r="L47" s="34" t="s">
        <v>124</v>
      </c>
      <c r="M47" s="34" t="s">
        <v>125</v>
      </c>
      <c r="N47" s="34" t="s">
        <v>126</v>
      </c>
      <c r="O47" s="34" t="s">
        <v>127</v>
      </c>
      <c r="P47" s="34" t="s">
        <v>128</v>
      </c>
      <c r="Q47" s="34" t="s">
        <v>129</v>
      </c>
      <c r="R47" s="34" t="s">
        <v>130</v>
      </c>
      <c r="S47" s="34" t="s">
        <v>131</v>
      </c>
      <c r="T47" s="34" t="s">
        <v>132</v>
      </c>
      <c r="U47" s="34" t="s">
        <v>61</v>
      </c>
      <c r="V47" s="34" t="s">
        <v>62</v>
      </c>
      <c r="W47" s="34" t="s">
        <v>133</v>
      </c>
      <c r="X47" s="34" t="s">
        <v>134</v>
      </c>
      <c r="Y47" s="34" t="s">
        <v>135</v>
      </c>
      <c r="Z47" s="34" t="s">
        <v>136</v>
      </c>
      <c r="AA47" s="34" t="s">
        <v>137</v>
      </c>
      <c r="AB47" s="34" t="s">
        <v>138</v>
      </c>
      <c r="AC47" s="34" t="s">
        <v>139</v>
      </c>
      <c r="AD47" s="34" t="s">
        <v>140</v>
      </c>
    </row>
    <row r="48" spans="2:30">
      <c r="B48" s="63" t="s">
        <v>394</v>
      </c>
      <c r="C48" s="63" t="s">
        <v>395</v>
      </c>
      <c r="D48" s="63"/>
      <c r="E48" s="63" t="s">
        <v>396</v>
      </c>
      <c r="F48" s="63" t="s">
        <v>114</v>
      </c>
      <c r="G48" s="63"/>
      <c r="H48" s="71">
        <v>9.9</v>
      </c>
      <c r="I48" s="71">
        <v>10.1</v>
      </c>
      <c r="J48" s="63" t="s">
        <v>200</v>
      </c>
      <c r="K48" s="63" t="s">
        <v>397</v>
      </c>
      <c r="L48" s="54">
        <v>5</v>
      </c>
      <c r="M48" s="63" t="s">
        <v>147</v>
      </c>
      <c r="N48" s="68">
        <v>1</v>
      </c>
      <c r="O48" s="68">
        <v>20</v>
      </c>
      <c r="P48" s="63"/>
      <c r="Q48" s="63" t="s">
        <v>398</v>
      </c>
      <c r="R48" s="57">
        <v>1.45</v>
      </c>
      <c r="S48" s="74">
        <v>0.08</v>
      </c>
      <c r="T48" s="63"/>
      <c r="U48" s="68">
        <v>60</v>
      </c>
      <c r="V48" s="68">
        <v>1</v>
      </c>
      <c r="W48" s="39">
        <f>IF(tblVerifyPlan[[#This Row],[Process step]]="","",IF(tblVerifyPlan[[#This Row],[Frequency]]="Per hour",tblVerifyPlan[[#This Row],[Times]]*$E$39,IF(tblVerifyPlan[[#This Row],[Frequency]]="Per shift",tblVerifyPlan[[#This Row],[Times]],IF(tblVerifyPlan[[#This Row],[Frequency]]="Per lot",tblVerifyPlan[[#This Row],[Times]]*$E$40,IF(tblVerifyPlan[[#This Row],[Frequency]]="Per setup",tblVerifyPlan[[#This Row],[Times]]*tblVerifyPlan[[#This Row],[Setups per shift]],"")))))</f>
        <v>8</v>
      </c>
      <c r="X48" s="39">
        <f>IF(tblVerifyPlan[[#This Row],[Process step]]="","",IF(tblVerifyPlan[[#This Row],[Frequency]]="Every part",IF(tblVerifyPlan[[#This Row],[Rate (parts/h)]]="","",tblVerifyPlan[[#This Row],[Rate (parts/h)]]*$E$39),IF(tblVerifyPlan[[#This Row],[Checks (per shift)]]="","",tblVerifyPlan[[#This Row],[Sample size]]*tblVerifyPlan[[#This Row],[Checks (per shift)]])))</f>
        <v>40</v>
      </c>
      <c r="Y48" s="39">
        <f>IF(tblVerifyPlan[[#This Row],[Process step]]="","",IF(tblVerifyPlan[[#This Row],[Parts measured (per shift)]]="","",tblVerifyPlan[[#This Row],[Parts measured (per shift)]]*N(tblVerifyPlan[[#This Row],[Time per part (s)]])/60))</f>
        <v>13.3333333333333</v>
      </c>
      <c r="Z48" s="40">
        <f>IF(tblVerifyPlan[[#This Row],[Process step]]="","",IF(AND(ISNUMBER(tblVerifyPlan[[#This Row],[LSL]]),ISNUMBER(tblVerifyPlan[[#This Row],[USL]])),tblVerifyPlan[[#This Row],[USL]]-tblVerifyPlan[[#This Row],[LSL]],""))</f>
        <v>0.199999999999999</v>
      </c>
      <c r="AA48" s="41" t="str">
        <f>IF(tblVerifyPlan[[#This Row],[Process step]]="","",IF(ISNUMBER(tblVerifyPlan[[#This Row],[Cpk]]),IF(tblVerifyPlan[[#This Row],[Cpk]]&gt;=$E$41,"Within limits","Out of limits"),IF(tblVerifyPlan[[#This Row],[Class]]&lt;&gt;"","Check","")))</f>
        <v>Within limits</v>
      </c>
      <c r="AB48" s="41" t="str">
        <f>IF(tblVerifyPlan[[#This Row],[Process step]]="","",IF(N(tblVerifyPlan[[#This Row],[GRR]])&gt;0,IF(tblVerifyPlan[[#This Row],[GRR]]&lt;=$E$42,"Within limits",IF(tblVerifyPlan[[#This Row],[GRR]]&lt;=$E$43,"Check","Out of limits")),""))</f>
        <v>Within limits</v>
      </c>
      <c r="AC48" s="42">
        <f>IF(tblVerifyPlan[[#This Row],[Process step]]="","",IF(ISNUMBER(tblVerifyPlan[[#This Row],[Cpk]]),SUMPRODUCT(ISNUMBER(tblVerifyPlan[Cpk])*(ROW(tblVerifyPlan[Cpk])&lt;=ROW(tblVerifyPlan[[#This Row],[Cpk]]))),""))</f>
        <v>1</v>
      </c>
      <c r="AD48" s="43" t="str">
        <f>IF(tblVerifyPlan[[#This Row],[Process step]]="","",IF(tblVerifyPlan[[#This Row],[Char. no.]]="","Missing char. no.",IF(tblVerifyPlan[[#This Row],[Evaluation method]]="","Missing evaluation method",IF(tblVerifyPlan[[#This Row],[Sample size]]="","Missing sample size",IF(tblVerifyPlan[[#This Row],[Frequency]]="","Missing frequency",IF(tblVerifyPlan[[#This Row],[Reaction plan]]="","Missing reaction plan",IF(tblVerifyPlan[[#This Row],[Rate (parts/h)]]="","Step not on Setup list",IF(COUNTIFS(tblVerifyPlan[Char. no.],tblVerifyPlan[[#This Row],[Char. no.]])&gt;1,"Duplicate characteristic number",IF(AND(ISNUMBER(tblVerifyPlan[[#This Row],[LSL]]),ISNUMBER(tblVerifyPlan[[#This Row],[USL]]),tblVerifyPlan[[#This Row],[LSL]]&gt;=tblVerifyPlan[[#This Row],[USL]]),"LSL not below USL",IF(AND(tblVerifyPlan[[#This Row],[Frequency]]&lt;&gt;"Every part",N(tblVerifyPlan[[#This Row],[Times]])=0),"Frequency needs Times",IF(AND(tblVerifyPlan[[#This Row],[Product characteristic]]="",tblVerifyPlan[[#This Row],[Process characteristic]]=""),"Missing characteristic","OK")))))))))))</f>
        <v>OK</v>
      </c>
    </row>
    <row r="49" spans="2:30">
      <c r="B49" s="63" t="s">
        <v>394</v>
      </c>
      <c r="C49" s="63" t="s">
        <v>399</v>
      </c>
      <c r="D49" s="63"/>
      <c r="E49" s="63" t="s">
        <v>396</v>
      </c>
      <c r="F49" s="63"/>
      <c r="G49" s="63"/>
      <c r="H49" s="71"/>
      <c r="I49" s="71"/>
      <c r="J49" s="63" t="s">
        <v>200</v>
      </c>
      <c r="K49" s="63" t="s">
        <v>397</v>
      </c>
      <c r="L49" s="54">
        <v>1</v>
      </c>
      <c r="M49" s="63" t="s">
        <v>172</v>
      </c>
      <c r="N49" s="68">
        <v>2</v>
      </c>
      <c r="O49" s="68">
        <v>600</v>
      </c>
      <c r="P49" s="63"/>
      <c r="Q49" s="63" t="s">
        <v>398</v>
      </c>
      <c r="R49" s="57">
        <v>1.2</v>
      </c>
      <c r="S49" s="74">
        <v>0.2</v>
      </c>
      <c r="T49" s="63"/>
      <c r="U49" s="68">
        <v>60</v>
      </c>
      <c r="V49" s="68">
        <v>1</v>
      </c>
      <c r="W49" s="39">
        <f>IF(tblVerifyPlan[[#This Row],[Process step]]="","",IF(tblVerifyPlan[[#This Row],[Frequency]]="Per hour",tblVerifyPlan[[#This Row],[Times]]*$E$39,IF(tblVerifyPlan[[#This Row],[Frequency]]="Per shift",tblVerifyPlan[[#This Row],[Times]],IF(tblVerifyPlan[[#This Row],[Frequency]]="Per lot",tblVerifyPlan[[#This Row],[Times]]*$E$40,IF(tblVerifyPlan[[#This Row],[Frequency]]="Per setup",tblVerifyPlan[[#This Row],[Times]]*tblVerifyPlan[[#This Row],[Setups per shift]],"")))))</f>
        <v>2</v>
      </c>
      <c r="X49" s="39">
        <f>IF(tblVerifyPlan[[#This Row],[Process step]]="","",IF(tblVerifyPlan[[#This Row],[Frequency]]="Every part",IF(tblVerifyPlan[[#This Row],[Rate (parts/h)]]="","",tblVerifyPlan[[#This Row],[Rate (parts/h)]]*$E$39),IF(tblVerifyPlan[[#This Row],[Checks (per shift)]]="","",tblVerifyPlan[[#This Row],[Sample size]]*tblVerifyPlan[[#This Row],[Checks (per shift)]])))</f>
        <v>2</v>
      </c>
      <c r="Y49" s="39">
        <f>IF(tblVerifyPlan[[#This Row],[Process step]]="","",IF(tblVerifyPlan[[#This Row],[Parts measured (per shift)]]="","",tblVerifyPlan[[#This Row],[Parts measured (per shift)]]*N(tblVerifyPlan[[#This Row],[Time per part (s)]])/60))</f>
        <v>20</v>
      </c>
      <c r="Z49" s="40">
        <f>IF(tblVerifyPlan[[#This Row],[Process step]]="","",IF(AND(ISNUMBER(tblVerifyPlan[[#This Row],[LSL]]),ISNUMBER(tblVerifyPlan[[#This Row],[USL]])),tblVerifyPlan[[#This Row],[USL]]-tblVerifyPlan[[#This Row],[LSL]],""))</f>
        <v/>
      </c>
      <c r="AA49" s="41" t="str">
        <f>IF(tblVerifyPlan[[#This Row],[Process step]]="","",IF(ISNUMBER(tblVerifyPlan[[#This Row],[Cpk]]),IF(tblVerifyPlan[[#This Row],[Cpk]]&gt;=$E$41,"Within limits","Out of limits"),IF(tblVerifyPlan[[#This Row],[Class]]&lt;&gt;"","Check","")))</f>
        <v>Out of limits</v>
      </c>
      <c r="AB49" s="41" t="str">
        <f>IF(tblVerifyPlan[[#This Row],[Process step]]="","",IF(N(tblVerifyPlan[[#This Row],[GRR]])&gt;0,IF(tblVerifyPlan[[#This Row],[GRR]]&lt;=$E$42,"Within limits",IF(tblVerifyPlan[[#This Row],[GRR]]&lt;=$E$43,"Check","Out of limits")),""))</f>
        <v>Check</v>
      </c>
      <c r="AC49" s="42">
        <f>IF(tblVerifyPlan[[#This Row],[Process step]]="","",IF(ISNUMBER(tblVerifyPlan[[#This Row],[Cpk]]),SUMPRODUCT(ISNUMBER(tblVerifyPlan[Cpk])*(ROW(tblVerifyPlan[Cpk])&lt;=ROW(tblVerifyPlan[[#This Row],[Cpk]]))),""))</f>
        <v>2</v>
      </c>
      <c r="AD49" s="43" t="str">
        <f>IF(tblVerifyPlan[[#This Row],[Process step]]="","",IF(tblVerifyPlan[[#This Row],[Char. no.]]="","Missing char. no.",IF(tblVerifyPlan[[#This Row],[Evaluation method]]="","Missing evaluation method",IF(tblVerifyPlan[[#This Row],[Sample size]]="","Missing sample size",IF(tblVerifyPlan[[#This Row],[Frequency]]="","Missing frequency",IF(tblVerifyPlan[[#This Row],[Reaction plan]]="","Missing reaction plan",IF(tblVerifyPlan[[#This Row],[Rate (parts/h)]]="","Step not on Setup list",IF(COUNTIFS(tblVerifyPlan[Char. no.],tblVerifyPlan[[#This Row],[Char. no.]])&gt;1,"Duplicate characteristic number",IF(AND(ISNUMBER(tblVerifyPlan[[#This Row],[LSL]]),ISNUMBER(tblVerifyPlan[[#This Row],[USL]]),tblVerifyPlan[[#This Row],[LSL]]&gt;=tblVerifyPlan[[#This Row],[USL]]),"LSL not below USL",IF(AND(tblVerifyPlan[[#This Row],[Frequency]]&lt;&gt;"Every part",N(tblVerifyPlan[[#This Row],[Times]])=0),"Frequency needs Times",IF(AND(tblVerifyPlan[[#This Row],[Product characteristic]]="",tblVerifyPlan[[#This Row],[Process characteristic]]=""),"Missing characteristic","OK")))))))))))</f>
        <v>OK</v>
      </c>
    </row>
    <row r="50" spans="2:30">
      <c r="B50" s="63" t="s">
        <v>400</v>
      </c>
      <c r="C50" s="63" t="s">
        <v>401</v>
      </c>
      <c r="D50" s="63"/>
      <c r="E50" s="63" t="s">
        <v>396</v>
      </c>
      <c r="F50" s="63"/>
      <c r="G50" s="63"/>
      <c r="H50" s="71"/>
      <c r="I50" s="71"/>
      <c r="J50" s="63" t="s">
        <v>200</v>
      </c>
      <c r="K50" s="63" t="s">
        <v>397</v>
      </c>
      <c r="L50" s="54">
        <v>3</v>
      </c>
      <c r="M50" s="63" t="s">
        <v>156</v>
      </c>
      <c r="N50" s="68">
        <v>1</v>
      </c>
      <c r="O50" s="68">
        <v>90</v>
      </c>
      <c r="P50" s="63"/>
      <c r="Q50" s="63" t="s">
        <v>398</v>
      </c>
      <c r="R50" s="57"/>
      <c r="S50" s="74">
        <v>0.35</v>
      </c>
      <c r="T50" s="63"/>
      <c r="U50" s="68">
        <v>60</v>
      </c>
      <c r="V50" s="68">
        <v>2</v>
      </c>
      <c r="W50" s="39">
        <f>IF(tblVerifyPlan[[#This Row],[Process step]]="","",IF(tblVerifyPlan[[#This Row],[Frequency]]="Per hour",tblVerifyPlan[[#This Row],[Times]]*$E$39,IF(tblVerifyPlan[[#This Row],[Frequency]]="Per shift",tblVerifyPlan[[#This Row],[Times]],IF(tblVerifyPlan[[#This Row],[Frequency]]="Per lot",tblVerifyPlan[[#This Row],[Times]]*$E$40,IF(tblVerifyPlan[[#This Row],[Frequency]]="Per setup",tblVerifyPlan[[#This Row],[Times]]*tblVerifyPlan[[#This Row],[Setups per shift]],"")))))</f>
        <v>3</v>
      </c>
      <c r="X50" s="39">
        <f>IF(tblVerifyPlan[[#This Row],[Process step]]="","",IF(tblVerifyPlan[[#This Row],[Frequency]]="Every part",IF(tblVerifyPlan[[#This Row],[Rate (parts/h)]]="","",tblVerifyPlan[[#This Row],[Rate (parts/h)]]*$E$39),IF(tblVerifyPlan[[#This Row],[Checks (per shift)]]="","",tblVerifyPlan[[#This Row],[Sample size]]*tblVerifyPlan[[#This Row],[Checks (per shift)]])))</f>
        <v>9</v>
      </c>
      <c r="Y50" s="39">
        <f>IF(tblVerifyPlan[[#This Row],[Process step]]="","",IF(tblVerifyPlan[[#This Row],[Parts measured (per shift)]]="","",tblVerifyPlan[[#This Row],[Parts measured (per shift)]]*N(tblVerifyPlan[[#This Row],[Time per part (s)]])/60))</f>
        <v>13.5</v>
      </c>
      <c r="Z50" s="40">
        <f>IF(tblVerifyPlan[[#This Row],[Process step]]="","",IF(AND(ISNUMBER(tblVerifyPlan[[#This Row],[LSL]]),ISNUMBER(tblVerifyPlan[[#This Row],[USL]])),tblVerifyPlan[[#This Row],[USL]]-tblVerifyPlan[[#This Row],[LSL]],""))</f>
        <v/>
      </c>
      <c r="AA50" s="41">
        <f>IF(tblVerifyPlan[[#This Row],[Process step]]="","",IF(ISNUMBER(tblVerifyPlan[[#This Row],[Cpk]]),IF(tblVerifyPlan[[#This Row],[Cpk]]&gt;=$E$41,"Within limits","Out of limits"),IF(tblVerifyPlan[[#This Row],[Class]]&lt;&gt;"","Check","")))</f>
        <v/>
      </c>
      <c r="AB50" s="41" t="str">
        <f>IF(tblVerifyPlan[[#This Row],[Process step]]="","",IF(N(tblVerifyPlan[[#This Row],[GRR]])&gt;0,IF(tblVerifyPlan[[#This Row],[GRR]]&lt;=$E$42,"Within limits",IF(tblVerifyPlan[[#This Row],[GRR]]&lt;=$E$43,"Check","Out of limits")),""))</f>
        <v>Out of limits</v>
      </c>
      <c r="AC50" s="42">
        <f>IF(tblVerifyPlan[[#This Row],[Process step]]="","",IF(ISNUMBER(tblVerifyPlan[[#This Row],[Cpk]]),SUMPRODUCT(ISNUMBER(tblVerifyPlan[Cpk])*(ROW(tblVerifyPlan[Cpk])&lt;=ROW(tblVerifyPlan[[#This Row],[Cpk]]))),""))</f>
        <v/>
      </c>
      <c r="AD50" s="43" t="str">
        <f>IF(tblVerifyPlan[[#This Row],[Process step]]="","",IF(tblVerifyPlan[[#This Row],[Char. no.]]="","Missing char. no.",IF(tblVerifyPlan[[#This Row],[Evaluation method]]="","Missing evaluation method",IF(tblVerifyPlan[[#This Row],[Sample size]]="","Missing sample size",IF(tblVerifyPlan[[#This Row],[Frequency]]="","Missing frequency",IF(tblVerifyPlan[[#This Row],[Reaction plan]]="","Missing reaction plan",IF(tblVerifyPlan[[#This Row],[Rate (parts/h)]]="","Step not on Setup list",IF(COUNTIFS(tblVerifyPlan[Char. no.],tblVerifyPlan[[#This Row],[Char. no.]])&gt;1,"Duplicate characteristic number",IF(AND(ISNUMBER(tblVerifyPlan[[#This Row],[LSL]]),ISNUMBER(tblVerifyPlan[[#This Row],[USL]]),tblVerifyPlan[[#This Row],[LSL]]&gt;=tblVerifyPlan[[#This Row],[USL]]),"LSL not below USL",IF(AND(tblVerifyPlan[[#This Row],[Frequency]]&lt;&gt;"Every part",N(tblVerifyPlan[[#This Row],[Times]])=0),"Frequency needs Times",IF(AND(tblVerifyPlan[[#This Row],[Product characteristic]]="",tblVerifyPlan[[#This Row],[Process characteristic]]=""),"Missing characteristic","OK")))))))))))</f>
        <v>OK</v>
      </c>
    </row>
    <row r="51" spans="2:30">
      <c r="B51" s="63" t="s">
        <v>400</v>
      </c>
      <c r="C51" s="63" t="s">
        <v>402</v>
      </c>
      <c r="D51" s="63"/>
      <c r="E51" s="63" t="s">
        <v>396</v>
      </c>
      <c r="F51" s="63" t="s">
        <v>112</v>
      </c>
      <c r="G51" s="63"/>
      <c r="H51" s="71"/>
      <c r="I51" s="71"/>
      <c r="J51" s="63" t="s">
        <v>200</v>
      </c>
      <c r="K51" s="63" t="s">
        <v>397</v>
      </c>
      <c r="L51" s="54">
        <v>2</v>
      </c>
      <c r="M51" s="63" t="s">
        <v>248</v>
      </c>
      <c r="N51" s="68">
        <v>1</v>
      </c>
      <c r="O51" s="68">
        <v>45</v>
      </c>
      <c r="P51" s="63"/>
      <c r="Q51" s="63" t="s">
        <v>398</v>
      </c>
      <c r="R51" s="57"/>
      <c r="S51" s="74"/>
      <c r="T51" s="63"/>
      <c r="U51" s="68">
        <v>60</v>
      </c>
      <c r="V51" s="68">
        <v>2</v>
      </c>
      <c r="W51" s="39">
        <f>IF(tblVerifyPlan[[#This Row],[Process step]]="","",IF(tblVerifyPlan[[#This Row],[Frequency]]="Per hour",tblVerifyPlan[[#This Row],[Times]]*$E$39,IF(tblVerifyPlan[[#This Row],[Frequency]]="Per shift",tblVerifyPlan[[#This Row],[Times]],IF(tblVerifyPlan[[#This Row],[Frequency]]="Per lot",tblVerifyPlan[[#This Row],[Times]]*$E$40,IF(tblVerifyPlan[[#This Row],[Frequency]]="Per setup",tblVerifyPlan[[#This Row],[Times]]*tblVerifyPlan[[#This Row],[Setups per shift]],"")))))</f>
        <v>2</v>
      </c>
      <c r="X51" s="39">
        <f>IF(tblVerifyPlan[[#This Row],[Process step]]="","",IF(tblVerifyPlan[[#This Row],[Frequency]]="Every part",IF(tblVerifyPlan[[#This Row],[Rate (parts/h)]]="","",tblVerifyPlan[[#This Row],[Rate (parts/h)]]*$E$39),IF(tblVerifyPlan[[#This Row],[Checks (per shift)]]="","",tblVerifyPlan[[#This Row],[Sample size]]*tblVerifyPlan[[#This Row],[Checks (per shift)]])))</f>
        <v>4</v>
      </c>
      <c r="Y51" s="39">
        <f>IF(tblVerifyPlan[[#This Row],[Process step]]="","",IF(tblVerifyPlan[[#This Row],[Parts measured (per shift)]]="","",tblVerifyPlan[[#This Row],[Parts measured (per shift)]]*N(tblVerifyPlan[[#This Row],[Time per part (s)]])/60))</f>
        <v>3</v>
      </c>
      <c r="Z51" s="40">
        <f>IF(tblVerifyPlan[[#This Row],[Process step]]="","",IF(AND(ISNUMBER(tblVerifyPlan[[#This Row],[LSL]]),ISNUMBER(tblVerifyPlan[[#This Row],[USL]])),tblVerifyPlan[[#This Row],[USL]]-tblVerifyPlan[[#This Row],[LSL]],""))</f>
        <v/>
      </c>
      <c r="AA51" s="41" t="str">
        <f>IF(tblVerifyPlan[[#This Row],[Process step]]="","",IF(ISNUMBER(tblVerifyPlan[[#This Row],[Cpk]]),IF(tblVerifyPlan[[#This Row],[Cpk]]&gt;=$E$41,"Within limits","Out of limits"),IF(tblVerifyPlan[[#This Row],[Class]]&lt;&gt;"","Check","")))</f>
        <v>Check</v>
      </c>
      <c r="AB51" s="41">
        <f>IF(tblVerifyPlan[[#This Row],[Process step]]="","",IF(N(tblVerifyPlan[[#This Row],[GRR]])&gt;0,IF(tblVerifyPlan[[#This Row],[GRR]]&lt;=$E$42,"Within limits",IF(tblVerifyPlan[[#This Row],[GRR]]&lt;=$E$43,"Check","Out of limits")),""))</f>
        <v/>
      </c>
      <c r="AC51" s="42">
        <f>IF(tblVerifyPlan[[#This Row],[Process step]]="","",IF(ISNUMBER(tblVerifyPlan[[#This Row],[Cpk]]),SUMPRODUCT(ISNUMBER(tblVerifyPlan[Cpk])*(ROW(tblVerifyPlan[Cpk])&lt;=ROW(tblVerifyPlan[[#This Row],[Cpk]]))),""))</f>
        <v/>
      </c>
      <c r="AD51" s="43" t="str">
        <f>IF(tblVerifyPlan[[#This Row],[Process step]]="","",IF(tblVerifyPlan[[#This Row],[Char. no.]]="","Missing char. no.",IF(tblVerifyPlan[[#This Row],[Evaluation method]]="","Missing evaluation method",IF(tblVerifyPlan[[#This Row],[Sample size]]="","Missing sample size",IF(tblVerifyPlan[[#This Row],[Frequency]]="","Missing frequency",IF(tblVerifyPlan[[#This Row],[Reaction plan]]="","Missing reaction plan",IF(tblVerifyPlan[[#This Row],[Rate (parts/h)]]="","Step not on Setup list",IF(COUNTIFS(tblVerifyPlan[Char. no.],tblVerifyPlan[[#This Row],[Char. no.]])&gt;1,"Duplicate characteristic number",IF(AND(ISNUMBER(tblVerifyPlan[[#This Row],[LSL]]),ISNUMBER(tblVerifyPlan[[#This Row],[USL]]),tblVerifyPlan[[#This Row],[LSL]]&gt;=tblVerifyPlan[[#This Row],[USL]]),"LSL not below USL",IF(AND(tblVerifyPlan[[#This Row],[Frequency]]&lt;&gt;"Every part",N(tblVerifyPlan[[#This Row],[Times]])=0),"Frequency needs Times",IF(AND(tblVerifyPlan[[#This Row],[Product characteristic]]="",tblVerifyPlan[[#This Row],[Process characteristic]]=""),"Missing characteristic","OK")))))))))))</f>
        <v>OK</v>
      </c>
    </row>
    <row r="52" spans="2:30">
      <c r="B52" s="63" t="s">
        <v>403</v>
      </c>
      <c r="C52" s="63" t="s">
        <v>404</v>
      </c>
      <c r="D52" s="63"/>
      <c r="E52" s="63" t="s">
        <v>396</v>
      </c>
      <c r="F52" s="63"/>
      <c r="G52" s="63"/>
      <c r="H52" s="71"/>
      <c r="I52" s="71"/>
      <c r="J52" s="63" t="s">
        <v>200</v>
      </c>
      <c r="K52" s="63" t="s">
        <v>397</v>
      </c>
      <c r="L52" s="54">
        <v>1</v>
      </c>
      <c r="M52" s="63" t="s">
        <v>180</v>
      </c>
      <c r="N52" s="68"/>
      <c r="O52" s="68">
        <v>4</v>
      </c>
      <c r="P52" s="63"/>
      <c r="Q52" s="63" t="s">
        <v>398</v>
      </c>
      <c r="R52" s="57"/>
      <c r="S52" s="74"/>
      <c r="T52" s="63"/>
      <c r="U52" s="68">
        <v>120</v>
      </c>
      <c r="V52" s="68">
        <v>0</v>
      </c>
      <c r="W52" s="39">
        <f>IF(tblVerifyPlan[[#This Row],[Process step]]="","",IF(tblVerifyPlan[[#This Row],[Frequency]]="Per hour",tblVerifyPlan[[#This Row],[Times]]*$E$39,IF(tblVerifyPlan[[#This Row],[Frequency]]="Per shift",tblVerifyPlan[[#This Row],[Times]],IF(tblVerifyPlan[[#This Row],[Frequency]]="Per lot",tblVerifyPlan[[#This Row],[Times]]*$E$40,IF(tblVerifyPlan[[#This Row],[Frequency]]="Per setup",tblVerifyPlan[[#This Row],[Times]]*tblVerifyPlan[[#This Row],[Setups per shift]],"")))))</f>
        <v/>
      </c>
      <c r="X52" s="39">
        <f>IF(tblVerifyPlan[[#This Row],[Process step]]="","",IF(tblVerifyPlan[[#This Row],[Frequency]]="Every part",IF(tblVerifyPlan[[#This Row],[Rate (parts/h)]]="","",tblVerifyPlan[[#This Row],[Rate (parts/h)]]*$E$39),IF(tblVerifyPlan[[#This Row],[Checks (per shift)]]="","",tblVerifyPlan[[#This Row],[Sample size]]*tblVerifyPlan[[#This Row],[Checks (per shift)]])))</f>
        <v>960</v>
      </c>
      <c r="Y52" s="39">
        <f>IF(tblVerifyPlan[[#This Row],[Process step]]="","",IF(tblVerifyPlan[[#This Row],[Parts measured (per shift)]]="","",tblVerifyPlan[[#This Row],[Parts measured (per shift)]]*N(tblVerifyPlan[[#This Row],[Time per part (s)]])/60))</f>
        <v>64</v>
      </c>
      <c r="Z52" s="40">
        <f>IF(tblVerifyPlan[[#This Row],[Process step]]="","",IF(AND(ISNUMBER(tblVerifyPlan[[#This Row],[LSL]]),ISNUMBER(tblVerifyPlan[[#This Row],[USL]])),tblVerifyPlan[[#This Row],[USL]]-tblVerifyPlan[[#This Row],[LSL]],""))</f>
        <v/>
      </c>
      <c r="AA52" s="41">
        <f>IF(tblVerifyPlan[[#This Row],[Process step]]="","",IF(ISNUMBER(tblVerifyPlan[[#This Row],[Cpk]]),IF(tblVerifyPlan[[#This Row],[Cpk]]&gt;=$E$41,"Within limits","Out of limits"),IF(tblVerifyPlan[[#This Row],[Class]]&lt;&gt;"","Check","")))</f>
        <v/>
      </c>
      <c r="AB52" s="41">
        <f>IF(tblVerifyPlan[[#This Row],[Process step]]="","",IF(N(tblVerifyPlan[[#This Row],[GRR]])&gt;0,IF(tblVerifyPlan[[#This Row],[GRR]]&lt;=$E$42,"Within limits",IF(tblVerifyPlan[[#This Row],[GRR]]&lt;=$E$43,"Check","Out of limits")),""))</f>
        <v/>
      </c>
      <c r="AC52" s="42">
        <f>IF(tblVerifyPlan[[#This Row],[Process step]]="","",IF(ISNUMBER(tblVerifyPlan[[#This Row],[Cpk]]),SUMPRODUCT(ISNUMBER(tblVerifyPlan[Cpk])*(ROW(tblVerifyPlan[Cpk])&lt;=ROW(tblVerifyPlan[[#This Row],[Cpk]]))),""))</f>
        <v/>
      </c>
      <c r="AD52" s="43" t="str">
        <f>IF(tblVerifyPlan[[#This Row],[Process step]]="","",IF(tblVerifyPlan[[#This Row],[Char. no.]]="","Missing char. no.",IF(tblVerifyPlan[[#This Row],[Evaluation method]]="","Missing evaluation method",IF(tblVerifyPlan[[#This Row],[Sample size]]="","Missing sample size",IF(tblVerifyPlan[[#This Row],[Frequency]]="","Missing frequency",IF(tblVerifyPlan[[#This Row],[Reaction plan]]="","Missing reaction plan",IF(tblVerifyPlan[[#This Row],[Rate (parts/h)]]="","Step not on Setup list",IF(COUNTIFS(tblVerifyPlan[Char. no.],tblVerifyPlan[[#This Row],[Char. no.]])&gt;1,"Duplicate characteristic number",IF(AND(ISNUMBER(tblVerifyPlan[[#This Row],[LSL]]),ISNUMBER(tblVerifyPlan[[#This Row],[USL]]),tblVerifyPlan[[#This Row],[LSL]]&gt;=tblVerifyPlan[[#This Row],[USL]]),"LSL not below USL",IF(AND(tblVerifyPlan[[#This Row],[Frequency]]&lt;&gt;"Every part",N(tblVerifyPlan[[#This Row],[Times]])=0),"Frequency needs Times",IF(AND(tblVerifyPlan[[#This Row],[Product characteristic]]="",tblVerifyPlan[[#This Row],[Process characteristic]]=""),"Missing characteristic","OK")))))))))))</f>
        <v>OK</v>
      </c>
    </row>
    <row r="53" spans="2:30">
      <c r="B53" s="63" t="s">
        <v>403</v>
      </c>
      <c r="C53" s="63" t="s">
        <v>405</v>
      </c>
      <c r="D53" s="63"/>
      <c r="E53" s="63" t="s">
        <v>396</v>
      </c>
      <c r="F53" s="63"/>
      <c r="G53" s="63"/>
      <c r="H53" s="71">
        <v>5</v>
      </c>
      <c r="I53" s="71">
        <v>4</v>
      </c>
      <c r="J53" s="63" t="s">
        <v>200</v>
      </c>
      <c r="K53" s="63" t="s">
        <v>397</v>
      </c>
      <c r="L53" s="54">
        <v>1</v>
      </c>
      <c r="M53" s="63" t="s">
        <v>172</v>
      </c>
      <c r="N53" s="68">
        <v>1</v>
      </c>
      <c r="O53" s="68">
        <v>10</v>
      </c>
      <c r="P53" s="63"/>
      <c r="Q53" s="63" t="s">
        <v>398</v>
      </c>
      <c r="R53" s="57"/>
      <c r="S53" s="74"/>
      <c r="T53" s="63"/>
      <c r="U53" s="68">
        <v>120</v>
      </c>
      <c r="V53" s="68">
        <v>0</v>
      </c>
      <c r="W53" s="39">
        <f>IF(tblVerifyPlan[[#This Row],[Process step]]="","",IF(tblVerifyPlan[[#This Row],[Frequency]]="Per hour",tblVerifyPlan[[#This Row],[Times]]*$E$39,IF(tblVerifyPlan[[#This Row],[Frequency]]="Per shift",tblVerifyPlan[[#This Row],[Times]],IF(tblVerifyPlan[[#This Row],[Frequency]]="Per lot",tblVerifyPlan[[#This Row],[Times]]*$E$40,IF(tblVerifyPlan[[#This Row],[Frequency]]="Per setup",tblVerifyPlan[[#This Row],[Times]]*tblVerifyPlan[[#This Row],[Setups per shift]],"")))))</f>
        <v>1</v>
      </c>
      <c r="X53" s="39">
        <f>IF(tblVerifyPlan[[#This Row],[Process step]]="","",IF(tblVerifyPlan[[#This Row],[Frequency]]="Every part",IF(tblVerifyPlan[[#This Row],[Rate (parts/h)]]="","",tblVerifyPlan[[#This Row],[Rate (parts/h)]]*$E$39),IF(tblVerifyPlan[[#This Row],[Checks (per shift)]]="","",tblVerifyPlan[[#This Row],[Sample size]]*tblVerifyPlan[[#This Row],[Checks (per shift)]])))</f>
        <v>1</v>
      </c>
      <c r="Y53" s="39">
        <f>IF(tblVerifyPlan[[#This Row],[Process step]]="","",IF(tblVerifyPlan[[#This Row],[Parts measured (per shift)]]="","",tblVerifyPlan[[#This Row],[Parts measured (per shift)]]*N(tblVerifyPlan[[#This Row],[Time per part (s)]])/60))</f>
        <v>0.166666666666667</v>
      </c>
      <c r="Z53" s="40">
        <f>IF(tblVerifyPlan[[#This Row],[Process step]]="","",IF(AND(ISNUMBER(tblVerifyPlan[[#This Row],[LSL]]),ISNUMBER(tblVerifyPlan[[#This Row],[USL]])),tblVerifyPlan[[#This Row],[USL]]-tblVerifyPlan[[#This Row],[LSL]],""))</f>
        <v>-1</v>
      </c>
      <c r="AA53" s="41">
        <f>IF(tblVerifyPlan[[#This Row],[Process step]]="","",IF(ISNUMBER(tblVerifyPlan[[#This Row],[Cpk]]),IF(tblVerifyPlan[[#This Row],[Cpk]]&gt;=$E$41,"Within limits","Out of limits"),IF(tblVerifyPlan[[#This Row],[Class]]&lt;&gt;"","Check","")))</f>
        <v/>
      </c>
      <c r="AB53" s="41">
        <f>IF(tblVerifyPlan[[#This Row],[Process step]]="","",IF(N(tblVerifyPlan[[#This Row],[GRR]])&gt;0,IF(tblVerifyPlan[[#This Row],[GRR]]&lt;=$E$42,"Within limits",IF(tblVerifyPlan[[#This Row],[GRR]]&lt;=$E$43,"Check","Out of limits")),""))</f>
        <v/>
      </c>
      <c r="AC53" s="42">
        <f>IF(tblVerifyPlan[[#This Row],[Process step]]="","",IF(ISNUMBER(tblVerifyPlan[[#This Row],[Cpk]]),SUMPRODUCT(ISNUMBER(tblVerifyPlan[Cpk])*(ROW(tblVerifyPlan[Cpk])&lt;=ROW(tblVerifyPlan[[#This Row],[Cpk]]))),""))</f>
        <v/>
      </c>
      <c r="AD53" s="43" t="str">
        <f>IF(tblVerifyPlan[[#This Row],[Process step]]="","",IF(tblVerifyPlan[[#This Row],[Char. no.]]="","Missing char. no.",IF(tblVerifyPlan[[#This Row],[Evaluation method]]="","Missing evaluation method",IF(tblVerifyPlan[[#This Row],[Sample size]]="","Missing sample size",IF(tblVerifyPlan[[#This Row],[Frequency]]="","Missing frequency",IF(tblVerifyPlan[[#This Row],[Reaction plan]]="","Missing reaction plan",IF(tblVerifyPlan[[#This Row],[Rate (parts/h)]]="","Step not on Setup list",IF(COUNTIFS(tblVerifyPlan[Char. no.],tblVerifyPlan[[#This Row],[Char. no.]])&gt;1,"Duplicate characteristic number",IF(AND(ISNUMBER(tblVerifyPlan[[#This Row],[LSL]]),ISNUMBER(tblVerifyPlan[[#This Row],[USL]]),tblVerifyPlan[[#This Row],[LSL]]&gt;=tblVerifyPlan[[#This Row],[USL]]),"LSL not below USL",IF(AND(tblVerifyPlan[[#This Row],[Frequency]]&lt;&gt;"Every part",N(tblVerifyPlan[[#This Row],[Times]])=0),"Frequency needs Times",IF(AND(tblVerifyPlan[[#This Row],[Product characteristic]]="",tblVerifyPlan[[#This Row],[Process characteristic]]=""),"Missing characteristic","OK")))))))))))</f>
        <v>LSL not below USL</v>
      </c>
    </row>
  </sheetData>
  <sheetProtection sheet="1" formatColumns="0" formatRows="0"/>
  <mergeCells count="41">
    <mergeCell ref="A1:AD1"/>
    <mergeCell ref="B2:AC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B35:L35"/>
    <mergeCell ref="B37:L37"/>
    <mergeCell ref="B38:F38"/>
    <mergeCell ref="B39:D39"/>
    <mergeCell ref="B40:D40"/>
    <mergeCell ref="B41:D41"/>
    <mergeCell ref="B42:D42"/>
    <mergeCell ref="B43:D43"/>
    <mergeCell ref="B44:D44"/>
    <mergeCell ref="B46:L46"/>
  </mergeCells>
  <conditionalFormatting sqref="AD48:AD53">
    <cfRule type="expression" dxfId="3" priority="41">
      <formula>$AD48="OK"</formula>
    </cfRule>
    <cfRule type="expression" dxfId="1" priority="42">
      <formula>AND($AD48&lt;&gt;"",$AD48&lt;&gt;"OK")</formula>
    </cfRule>
  </conditionalFormatting>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33">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AD2" r:id="rId1" tooltip="Free manufacturing calculators and templates"/>
  </hyperlinks>
  <printOptions horizontalCentered="1"/>
  <pageMargins left="0.4" right="0.4" top="0.7" bottom="0.65" header="0.3" footer="0.3"/>
  <pageSetup fitToHeight="0" orientation="landscape"/>
  <headerFooter>
    <oddHeader>&amp;L&amp;8MFG Calcs - Control Plan&amp;R&amp;8&amp;A</oddHeader>
    <oddFooter>&amp;L&amp;8mfgcalcs.com - free manufacturing templates&amp;R&amp;8Page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33</vt:i4>
      </vt:variant>
    </vt:vector>
  </HeadingPairs>
  <TitlesOfParts>
    <vt:vector size="39" baseType="lpstr">
      <vt:lpstr>Start Here</vt:lpstr>
      <vt:lpstr>Setup</vt:lpstr>
      <vt:lpstr>Control Plan</vt:lpstr>
      <vt:lpstr>Dashboard</vt:lpstr>
      <vt:lpstr>Method</vt:lpstr>
      <vt:lpstr>Verify</vt:lpstr>
      <vt:lpstr>AvailHours</vt:lpstr>
      <vt:lpstr>Company</vt:lpstr>
      <vt:lpstr>Contact</vt:lpstr>
      <vt:lpstr>GrrMax</vt:lpstr>
      <vt:lpstr>GrrOk</vt:lpstr>
      <vt:lpstr>KpiCapMissing</vt:lpstr>
      <vt:lpstr>KpiCapOut</vt:lpstr>
      <vt:lpstr>KpiChars</vt:lpstr>
      <vt:lpstr>KpiGage</vt:lpstr>
      <vt:lpstr>KpiHours</vt:lpstr>
      <vt:lpstr>KpiMeasured</vt:lpstr>
      <vt:lpstr>KpiSpecial</vt:lpstr>
      <vt:lpstr>KpiUtil</vt:lpstr>
      <vt:lpstr>LotsPerShift</vt:lpstr>
      <vt:lpstr>MinCpk</vt:lpstr>
      <vt:lpstr>NearAt</vt:lpstr>
      <vt:lpstr>PartName</vt:lpstr>
      <vt:lpstr>PartNo</vt:lpstr>
      <vt:lpstr>Phase</vt:lpstr>
      <vt:lpstr>PlanNo</vt:lpstr>
      <vt:lpstr>'Control Plan'!Print_Area</vt:lpstr>
      <vt:lpstr>Dashboard!Print_Area</vt:lpstr>
      <vt:lpstr>Method!Print_Area</vt:lpstr>
      <vt:lpstr>Setup!Print_Area</vt:lpstr>
      <vt:lpstr>'Start Here'!Print_Area</vt:lpstr>
      <vt:lpstr>Verify!Print_Area</vt:lpstr>
      <vt:lpstr>'Control Plan'!Print_Titles</vt:lpstr>
      <vt:lpstr>Method!Print_Titles</vt:lpstr>
      <vt:lpstr>RevDate</vt:lpstr>
      <vt:lpstr>SelfCheck</vt:lpstr>
      <vt:lpstr>SelfCheckSummary</vt:lpstr>
      <vt:lpstr>ShiftHours</vt:lpstr>
      <vt:lpstr>Team</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Control Plan - free Excel template from MFG Calcs</dc:title>
  <dc:subject>List every characteristic you control with its method, sample, frequency and reaction plan, and see whether the plan is capable and can be executed with the inspection time you have.</dc:subject>
  <dc:creator>MFG Calcs</dc:creator>
  <cp:keywords>control plan, APQP, PPAP, special characteristics, reaction plan, Cpk, gage R&amp;R, inspection frequency, IATF 16949</cp:keywords>
  <dc:description>https://www.mfgcalcs.com/templates/control-plan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control-plan</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https://www.mfgcalcs.com/templates/control-plan</vt:lpwstr>
  </property>
  <property fmtid="{D5CDD505-2E9C-101B-9397-08002B2CF9AE}" pid="7" name="Template sheet roles">
    <vt:lpwstr>Start Here=start;Setup=setup;Control Plan=work;Dashboard=dashboard;Method=method;Verify=verify</vt:lpwstr>
  </property>
</Properties>
</file>