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Cost Log" sheetId="3" r:id="rId3"/>
    <sheet name="Monthly Summary" sheetId="4" r:id="rId4"/>
    <sheet name="Dashboard" sheetId="5" r:id="rId5"/>
    <sheet name="Method" sheetId="6" r:id="rId6"/>
    <sheet name="Verify" sheetId="7" r:id="rId7"/>
  </sheets>
  <definedNames>
    <definedName name="Currency">Setup!$C$7</definedName>
    <definedName name="DashFrom">Dashboard!$C$4</definedName>
    <definedName name="DashTo">Dashboard!$G$4</definedName>
    <definedName name="Elements">tblElements[Element]</definedName>
    <definedName name="FFrom">IF(DashFrom="",0,DATE(YEAR(DashFrom),MONTH(DashFrom),1))</definedName>
    <definedName name="FTo">IF(DashTo="",2958465,DATE(YEAR(DashTo),MONTH(DashTo),1))</definedName>
    <definedName name="KpiAppr">Dashboard!$G$30</definedName>
    <definedName name="KpiCOPQ">Dashboard!$B$8</definedName>
    <definedName name="KpiExt">Dashboard!$D$30</definedName>
    <definedName name="KpiInt">Dashboard!$B$30</definedName>
    <definedName name="KpiPerUnit">Dashboard!$G$8</definedName>
    <definedName name="KpiPrev">Dashboard!$J$30</definedName>
    <definedName name="KpiShare">Dashboard!$D$8</definedName>
    <definedName name="KpiTop">Dashboard!$J$8</definedName>
    <definedName name="PlantName">Setup!$C$6</definedName>
    <definedName name="_xlnm.Print_Area" localSheetId="2">'Cost Log'!$A$1:$J$201</definedName>
    <definedName name="_xlnm.Print_Area" localSheetId="4">Dashboard!$A$1:$L$88</definedName>
    <definedName name="_xlnm.Print_Area" localSheetId="5">Method!$A$1:$D$57</definedName>
    <definedName name="_xlnm.Print_Area" localSheetId="3">'Monthly Summary'!$A$1:$P$18</definedName>
    <definedName name="_xlnm.Print_Area" localSheetId="1">Setup!$A$1:$E$31</definedName>
    <definedName name="_xlnm.Print_Area" localSheetId="0">'Start Here'!$A$1:$F$57</definedName>
    <definedName name="_xlnm.Print_Area" localSheetId="6">Verify!$A$1:$P$61</definedName>
    <definedName name="_xlnm.Print_Titles" localSheetId="2">'Cost Log'!$1:$6</definedName>
    <definedName name="_xlnm.Print_Titles" localSheetId="5">Method!$1:$2</definedName>
    <definedName name="_xlnm.Print_Titles" localSheetId="3">'Monthly Summary'!$1:$6</definedName>
    <definedName name="SelfCheck">Verify!$D$4</definedName>
    <definedName name="SelfCheckSummary">Verify!$F$4</definedName>
    <definedName name="TargetCOPQ">Setup!$C$8</definedName>
  </definedNames>
  <calcPr calcId="124519" fullCalcOnLoad="1"/>
</workbook>
</file>

<file path=xl/sharedStrings.xml><?xml version="1.0" encoding="utf-8"?>
<sst xmlns="http://schemas.openxmlformats.org/spreadsheetml/2006/main" count="1063" uniqueCount="288">
  <si>
    <t>Cost of Poor Quality Tracker</t>
  </si>
  <si>
    <t>Read this first: what the workbook does and how to use it.</t>
  </si>
  <si>
    <t>mfgcalcs.com</t>
  </si>
  <si>
    <t>Log quality costs as they post and see the cost of poor quality by month, its share of sales, its cost per unit and where it comes from.</t>
  </si>
  <si>
    <t>For: Quality managers, plant controllers, operations directors and continuous-improvement leads.</t>
  </si>
  <si>
    <t>Version 1.0.0  ·  updated 15 October 2026</t>
  </si>
  <si>
    <t>Quick start</t>
  </si>
  <si>
    <t>1.</t>
  </si>
  <si>
    <t>On Setup, type your company name, currency and COPQ target, then check the cost elements and the category each one belongs to.</t>
  </si>
  <si>
    <t>2.</t>
  </si>
  <si>
    <t>On Cost Log, add one row per quality cost as it posts: date, cost element, amount and a reference (claim, credit note, NCR).</t>
  </si>
  <si>
    <t>3.</t>
  </si>
  <si>
    <t>On Monthly Summary, add one row per month (first day of the month) with net sales and units shipped. The four categories are summed for you.</t>
  </si>
  <si>
    <t>4.</t>
  </si>
  <si>
    <t>Read the Check columns: anything other than OK names the problem in words.</t>
  </si>
  <si>
    <t>5.</t>
  </si>
  <si>
    <t>Open the Dashboard. Use the month filters to look at a quarter or a year.</t>
  </si>
  <si>
    <t>What is in this workbook</t>
  </si>
  <si>
    <t>Start Here</t>
  </si>
  <si>
    <t>Setup</t>
  </si>
  <si>
    <t>Your company, currency, COPQ target, and the cost elements filed into the four quality cost categories.</t>
  </si>
  <si>
    <t>Cost Log</t>
  </si>
  <si>
    <t>One row per quality cost as it posts: element, amount and reference. Category and month are filled in.</t>
  </si>
  <si>
    <t>Monthly Summary</t>
  </si>
  <si>
    <t>One row per month: net sales and units shipped. The four cost categories are summed from the Cost Log.</t>
  </si>
  <si>
    <t>Dashboard</t>
  </si>
  <si>
    <t>Cost of poor quality, its share of sales and where it comes from, for the months you choose.</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</si>
  <si>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</si>
  <si>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</si>
  <si>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</si>
  <si>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</si>
  <si>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</si>
  <si>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</si>
  <si>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</si>
  <si>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</si>
  <si>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</si>
  <si>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</si>
  <si>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</si>
  <si>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</si>
  <si>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</si>
  <si>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</si>
  <si>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</si>
  <si>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</si>
  <si>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</si>
  <si>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</si>
  <si>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</si>
  <si>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</si>
  <si>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Cost of Poor Quality Calculator on mfgcalcs.com</t>
  </si>
  <si>
    <t>Latest version</t>
  </si>
  <si>
    <t>mfgcalcs.com/templates/copq-tracker</t>
  </si>
  <si>
    <t>More free templates</t>
  </si>
  <si>
    <t>mfgcalcs.com/templates</t>
  </si>
  <si>
    <t>Version</t>
  </si>
  <si>
    <t>1.0.0 (updated 15 October 2026)</t>
  </si>
  <si>
    <t>About the example data</t>
  </si>
  <si>
    <t>Every number already in this workbook is example data for Ferndale Valves, a fictional business invented for this template, so the dashboard and charts show something meaningful on day one. It covers twelve months of quality costs and sales (October 2025 to September 2026), generated from a fixed seed; all amounts are invented for the example.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</si>
  <si>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</si>
  <si>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</si>
  <si>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</si>
  <si>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</si>
  <si>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</si>
  <si>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</si>
  <si>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</si>
  <si>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</si>
  <si>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Element</t>
  </si>
  <si>
    <t>Category</t>
  </si>
  <si>
    <t>What to include</t>
  </si>
  <si>
    <t>Company and target</t>
  </si>
  <si>
    <t>Company or site name</t>
  </si>
  <si>
    <t>Ferndale Valves (example)</t>
  </si>
  <si>
    <t>Currency label</t>
  </si>
  <si>
    <t>USD</t>
  </si>
  <si>
    <t>COPQ target (at most, share of net sales)</t>
  </si>
  <si>
    <t>The target is yours to set; nothing in this workbook assumes an industry benchmark. COPQ counts internal and external failure only; prevention and appraisal are the cost of good quality and are shown beside it. 'Near target' means up to 5% above the limit (3.0% to 3.15% against a 3.0% target).</t>
  </si>
  <si>
    <t>Cost elements</t>
  </si>
  <si>
    <t>Each cost element belongs to one category: Prevention (avoiding defects), Appraisal (finding them), Internal failure (defects found before shipment) or External failure (found by the customer). Edit, add or remove rows; the Cost Log dropdown reads this list. Rename with care: log rows that use an old name stop matching (their Check column says so).</t>
  </si>
  <si>
    <t>Cost elements (example list)</t>
  </si>
  <si>
    <t>Quality planning and FMEA</t>
  </si>
  <si>
    <t>Prevention</t>
  </si>
  <si>
    <t>Engineering time on control plans, FMEAs and quality planning</t>
  </si>
  <si>
    <t>Training</t>
  </si>
  <si>
    <t>Quality and skills training: hours at cost plus fees</t>
  </si>
  <si>
    <t>Supplier development</t>
  </si>
  <si>
    <t>Supplier audits, development visits and PPAP work</t>
  </si>
  <si>
    <t>Error-proofing projects</t>
  </si>
  <si>
    <t>Poka-yoke and process improvement project spend</t>
  </si>
  <si>
    <t>Incoming inspection</t>
  </si>
  <si>
    <t>Appraisal</t>
  </si>
  <si>
    <t>Receiving inspection labour and lab tests</t>
  </si>
  <si>
    <t>In-process and final test</t>
  </si>
  <si>
    <t>Inspection and pressure-test labour on the line</t>
  </si>
  <si>
    <t>Calibration and test rigs</t>
  </si>
  <si>
    <t>Gauge calibration, test rig upkeep and depreciation</t>
  </si>
  <si>
    <t>Scrap</t>
  </si>
  <si>
    <t>Internal failure</t>
  </si>
  <si>
    <t>Material and work in scrapped parts, net of recovery</t>
  </si>
  <si>
    <t>Rework and repair</t>
  </si>
  <si>
    <t>Labour and material to repair product before it ships</t>
  </si>
  <si>
    <t>Re-inspection and retest</t>
  </si>
  <si>
    <t>Second inspection or test after rework or a hold</t>
  </si>
  <si>
    <t>Failure analysis</t>
  </si>
  <si>
    <t>Engineering time investigating internal failures</t>
  </si>
  <si>
    <t>Warranty claims</t>
  </si>
  <si>
    <t>External failure</t>
  </si>
  <si>
    <t>Claims paid or credited under warranty</t>
  </si>
  <si>
    <t>Returns and replacements</t>
  </si>
  <si>
    <t>Freight, handling and replacement product for returns</t>
  </si>
  <si>
    <t>Customer credits</t>
  </si>
  <si>
    <t>Credit notes, chargebacks and penalties for quality</t>
  </si>
  <si>
    <t>Field service</t>
  </si>
  <si>
    <t>Technician visits to fix product at customer sites</t>
  </si>
  <si>
    <t>Date</t>
  </si>
  <si>
    <t>Amount</t>
  </si>
  <si>
    <t>Reference</t>
  </si>
  <si>
    <t>Month</t>
  </si>
  <si>
    <t>View date</t>
  </si>
  <si>
    <t>Check</t>
  </si>
  <si>
    <t>Notes</t>
  </si>
  <si>
    <t>Example data for Ferndale Valves (fictional). Replace it with your own: select the example rows, right-click, Delete &gt; Table Rows. Yellow = you type; blue = calculated; Check names any problem.</t>
  </si>
  <si>
    <t>W-2510-01</t>
  </si>
  <si>
    <t>V-40 seal leak</t>
  </si>
  <si>
    <t>W-2510-02</t>
  </si>
  <si>
    <t>W-2510-03</t>
  </si>
  <si>
    <t>W-2510-04</t>
  </si>
  <si>
    <t>GL 6410</t>
  </si>
  <si>
    <t/>
  </si>
  <si>
    <t>GL 6420</t>
  </si>
  <si>
    <t>GL 6430</t>
  </si>
  <si>
    <t>GL 6440</t>
  </si>
  <si>
    <t>Credit for leaking V-40 valves</t>
  </si>
  <si>
    <t>W-2511-01</t>
  </si>
  <si>
    <t>W-2511-02</t>
  </si>
  <si>
    <t>W-2511-03</t>
  </si>
  <si>
    <t>W-2511-04</t>
  </si>
  <si>
    <t>W-2512-01</t>
  </si>
  <si>
    <t>W-2512-02</t>
  </si>
  <si>
    <t>W-2512-03</t>
  </si>
  <si>
    <t>W-2512-04</t>
  </si>
  <si>
    <t>W-2601-01</t>
  </si>
  <si>
    <t>W-2601-02</t>
  </si>
  <si>
    <t>W-2601-03</t>
  </si>
  <si>
    <t>W-2601-04</t>
  </si>
  <si>
    <t>W-2602-01</t>
  </si>
  <si>
    <t>W-2602-02</t>
  </si>
  <si>
    <t>W-2603-01</t>
  </si>
  <si>
    <t>W-2603-02</t>
  </si>
  <si>
    <t>Seal press poka-yoke and vision check</t>
  </si>
  <si>
    <t>W-2604-01</t>
  </si>
  <si>
    <t>W-2604-02</t>
  </si>
  <si>
    <t>W-2605-01</t>
  </si>
  <si>
    <t>W-2606-01</t>
  </si>
  <si>
    <t>W-2607-01</t>
  </si>
  <si>
    <t>W-2608-01</t>
  </si>
  <si>
    <t>W-2609-01</t>
  </si>
  <si>
    <t>Net sales</t>
  </si>
  <si>
    <t>Units shipped</t>
  </si>
  <si>
    <t>COPQ</t>
  </si>
  <si>
    <t>Cost of quality</t>
  </si>
  <si>
    <t>COPQ share of sales</t>
  </si>
  <si>
    <t>Status</t>
  </si>
  <si>
    <t>COPQ per unit shipped</t>
  </si>
  <si>
    <t>Example data for Ferndale Valves (fictional). One row per month; prevention, appraisal and failure costs are summed from the Cost Log rows posted in that month.</t>
  </si>
  <si>
    <t>units</t>
  </si>
  <si>
    <t>Field leaks reported on valve series V-40 (seal compound)</t>
  </si>
  <si>
    <t>Error-proofing on seal assembly in service</t>
  </si>
  <si>
    <t>From month</t>
  </si>
  <si>
    <t>To month</t>
  </si>
  <si>
    <t>COPQ SHARE OF NET SALES</t>
  </si>
  <si>
    <t>LARGEST FAILURE COST</t>
  </si>
  <si>
    <t>Internal + external failure</t>
  </si>
  <si>
    <t>COPQ / units shipped</t>
  </si>
  <si>
    <t>Ranked by cost, see the Pareto</t>
  </si>
  <si>
    <t>Scrap, rework, retest, analysis</t>
  </si>
  <si>
    <t>Warranty, returns, credits, field service</t>
  </si>
  <si>
    <t>Good quality: finding defects</t>
  </si>
  <si>
    <t>Good quality: avoiding defects</t>
  </si>
  <si>
    <t>Cost of quality by category</t>
  </si>
  <si>
    <t>Cost</t>
  </si>
  <si>
    <t>Share of cost of quality</t>
  </si>
  <si>
    <t>Share of net sales</t>
  </si>
  <si>
    <t>%</t>
  </si>
  <si>
    <t>Monthly summary (last 12 months in view)</t>
  </si>
  <si>
    <t>Target</t>
  </si>
  <si>
    <t>COPQ per unit</t>
  </si>
  <si>
    <t>Failure cost by element (Pareto; prevention and appraisal elements are not ranked)</t>
  </si>
  <si>
    <t>Rank</t>
  </si>
  <si>
    <t>Failure cost element</t>
  </si>
  <si>
    <t>Share</t>
  </si>
  <si>
    <t>Cumulative</t>
  </si>
  <si>
    <t>Helper: Failure cost element (list order)</t>
  </si>
  <si>
    <t>Helper: value (-1 = unused slot)</t>
  </si>
  <si>
    <t>Helper: rank, ties by list order</t>
  </si>
  <si>
    <t>Total</t>
  </si>
  <si>
    <t>The Dashboard ranks the 15 cost elements of the Setup list and charts the largest eight failure elements. If you add elements, extend the Pareto block (see Method) or they will not appear here.</t>
  </si>
  <si>
    <t>What this workbook calculates</t>
  </si>
  <si>
    <t>Quality costs fall into four categories (the prevention-appraisal-failure model). Prevention and appraisal are spent to avoid and to find defects: the cost of good quality. Internal failure (defects found before shipment) and external failure (defects the customer finds) are the cost of poor quality (COPQ). Cost of quality is all four. This workbook files every logged cost by its element's category, sums the categories per month, and relates COPQ to net sales and units shipped. Ratios are formed from sums, never by averaging monthly percentages.</t>
  </si>
  <si>
    <t>Calculations</t>
  </si>
  <si>
    <t>Quantity</t>
  </si>
  <si>
    <t>How it is calculated</t>
  </si>
  <si>
    <t>Units</t>
  </si>
  <si>
    <t>Looked up from the Cost elements list on Setup by element.</t>
  </si>
  <si>
    <t>-</t>
  </si>
  <si>
    <t>The first day of the cost's posting month: DATE(YEAR(date), MONTH(date), 1).</t>
  </si>
  <si>
    <t>date</t>
  </si>
  <si>
    <t>Category sums</t>
  </si>
  <si>
    <t>For each Monthly Summary row, SUMIFS of the Cost Log amounts with the same month and category.
Excel: =SUMIFS(tblCosts[Amount], tblCosts[Month], [@Month], tblCosts[Category], "Internal failure")</t>
  </si>
  <si>
    <t>currency</t>
  </si>
  <si>
    <t>Internal failure + external failure.</t>
  </si>
  <si>
    <t>Prevention + appraisal + internal failure + external failure.</t>
  </si>
  <si>
    <t>COPQ share of net sales</t>
  </si>
  <si>
    <t>COPQ / net sales, from sums over the months in view.</t>
  </si>
  <si>
    <t>COPQ / units shipped, from sums.</t>
  </si>
  <si>
    <t>currency/unit</t>
  </si>
  <si>
    <t>On target at or below the COPQ target; Near target up to 5% above it; Above target beyond.</t>
  </si>
  <si>
    <t>Dashboard roll-ups</t>
  </si>
  <si>
    <t>SUMIFS over the Monthly Summary restricted to months whose View date is filled in (inside the month filters).</t>
  </si>
  <si>
    <t>Pareto</t>
  </si>
  <si>
    <t>Cost Log amounts per failure element in view, largest first, with share and cumulative share of failure cost; prevention and appraisal elements are left out. Hidden helper columns AO:AQ hold the unsorted values and ranks.</t>
  </si>
  <si>
    <t>currency, %</t>
  </si>
  <si>
    <t>Assumptions</t>
  </si>
  <si>
    <t>Every quality cost is assigned to exactly one element, and every element to one category.</t>
  </si>
  <si>
    <t>Costs count in the month they post; a claim paid in March for a February shipment counts in March.</t>
  </si>
  <si>
    <t>Amounts are in one currency; recoveries (supplier chargebacks, reversed accruals) are negative amounts.</t>
  </si>
  <si>
    <t>Net sales and units shipped come from the same accounts as the costs.</t>
  </si>
  <si>
    <t>Limitations</t>
  </si>
  <si>
    <t>Lost sales, customer goodwill and management time are real costs of poor quality that rarely appear in the ledger; they are not estimated here.</t>
  </si>
  <si>
    <t>Downtime caused by quality problems counts only if you log it as a cost element; do not count it twice if it is already in rework.</t>
  </si>
  <si>
    <t>The Dashboard shows the last 12 months in view and ranks up to 15 cost elements; a longer list needs the Pareto block extended (a warning appears).</t>
  </si>
  <si>
    <t>Agreement with the live calculator</t>
  </si>
  <si>
    <t>The live Cost of Poor Quality calculator totals one period's failure costs: internal failure = scrap + rework + other internal failure; COPQ = internal + external failure; failure cost per shipped unit = COPQ / units shipped. It keeps routine inspection and prevention spending outside COPQ, and so does this workbook. Here the costs are logged by element and summed per month, prevention and appraisal are tracked alongside, and COPQ is also related to net sales. The reference implementation is checked against the calculator's engine for its default example (8,400 scrap, 5,200 rework, 2,600 other internal, 4,600 external, 18,000 units: COPQ 20,800, 1.16 per unit) on every build.</t>
  </si>
  <si>
    <t>Open the Cost of Poor Quality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</si>
  <si>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</si>
  <si>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</si>
  <si>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Feigenbaum, A. V., Total Quality Control, McGraw-Hill: the prevention, appraisal and failure cost categories.</t>
  </si>
  <si>
    <t>ASQ Quality Costs Committee, Principles of Quality Costs: definitions and examples of each category.</t>
  </si>
  <si>
    <t>Juran's Quality Handbook, chapter on quality and costs: the cost of poor quality.</t>
  </si>
  <si>
    <t>MFG Calcs Cost of Poor Quality calculator (cost-of-poor-quality): the same COPQ definition for one period.</t>
  </si>
  <si>
    <t>Standards are cited by name so you can look them up; no copyrighted standard text or tables are reproduced. Statistical constants used are public.</t>
  </si>
  <si>
    <t>Version history</t>
  </si>
  <si>
    <t>Change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</si>
  <si>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</si>
  <si>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</si>
  <si>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</si>
  <si>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</si>
  <si>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</si>
  <si>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</si>
  <si>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</si>
  <si>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</si>
  <si>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</si>
  <si>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</si>
  <si>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</si>
  <si>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</si>
  <si>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January (calculator example): internal failure</t>
  </si>
  <si>
    <t>January: external failure</t>
  </si>
  <si>
    <t>January: COPQ (calculator: 20,800)</t>
  </si>
  <si>
    <t>January: cost of quality (all four categories)</t>
  </si>
  <si>
    <t>January: COPQ per unit shipped (calculator: 1.16)</t>
  </si>
  <si>
    <t>January: COPQ share of net sales</t>
  </si>
  <si>
    <t>January: status against a 3% target</t>
  </si>
  <si>
    <t>Above target</t>
  </si>
  <si>
    <t>exact</t>
  </si>
  <si>
    <t>February: status (0.25% of sales)</t>
  </si>
  <si>
    <t>On target</t>
  </si>
  <si>
    <t>March row: Check asks for the first day of the month</t>
  </si>
  <si>
    <t>Use the first day of the month</t>
  </si>
  <si>
    <t>Cost row 8: Check reports an unknown element</t>
  </si>
  <si>
    <t>Element not on Setup list</t>
  </si>
  <si>
    <t>Cost row 9: Check reports a month with no summary row</t>
  </si>
  <si>
    <t>No Monthly Summary row for this month</t>
  </si>
  <si>
    <t>All months: COPQ (Dashboard formula)</t>
  </si>
  <si>
    <t>All months: COPQ share of net sales (Dashboard formula)</t>
  </si>
  <si>
    <t>All months: COPQ per unit shipped (Dashboard formula)</t>
  </si>
  <si>
    <t>Fixed test inputs</t>
  </si>
  <si>
    <t>White cells are fixed test inputs; blue cells are the workbook's formulas evaluated on them.</t>
  </si>
  <si>
    <t>Parameters</t>
  </si>
  <si>
    <t>Filter: from (0 = no limit)</t>
  </si>
  <si>
    <t>Filter: to (2958465 = no limit)</t>
  </si>
  <si>
    <t>COPQ target</t>
  </si>
  <si>
    <t>Test cost elements</t>
  </si>
  <si>
    <t>Test</t>
  </si>
  <si>
    <t>Rework</t>
  </si>
  <si>
    <t>Retest</t>
  </si>
  <si>
    <t>Warranty</t>
  </si>
  <si>
    <t>Inspection</t>
  </si>
  <si>
    <t>Test table: Costs</t>
  </si>
  <si>
    <t>T</t>
  </si>
  <si>
    <t>Bogus</t>
  </si>
  <si>
    <t>Test table: Months</t>
  </si>
</sst>
</file>

<file path=xl/styles.xml><?xml version="1.0" encoding="utf-8"?>
<styleSheet xmlns="http://schemas.openxmlformats.org/spreadsheetml/2006/main">
  <numFmts count="9">
    <numFmt numFmtId="164" formatCode="0.0%"/>
    <numFmt numFmtId="165" formatCode="d mmm yyyy"/>
    <numFmt numFmtId="166" formatCode="#,##0.00"/>
    <numFmt numFmtId="167" formatCode="mmm yyyy"/>
    <numFmt numFmtId="168" formatCode="#,##0"/>
    <numFmt numFmtId="169" formatCode="0.00%"/>
    <numFmt numFmtId="170" formatCode="&quot;Target &quot;0.00%"/>
    <numFmt numFmtId="171" formatCode="0.0E+00"/>
    <numFmt numFmtId="172" formatCode="0.0000"/>
  </numFmts>
  <fonts count="25">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8A4A06"/>
      <name val="Calibri"/>
      <family val="2"/>
      <scheme val="minor"/>
    </font>
    <font>
      <i/>
      <sz val="9"/>
      <color rgb="FF6B7280"/>
      <name val="Calibri"/>
      <family val="2"/>
      <scheme val="minor"/>
    </font>
    <font>
      <sz val="9"/>
      <color rgb="FF1B2430"/>
      <name val="Calibri"/>
      <family val="2"/>
      <scheme val="minor"/>
    </font>
    <font>
      <b/>
      <sz val="9"/>
      <color rgb="FF4A5361"/>
      <name val="Calibri"/>
      <family val="2"/>
      <scheme val="minor"/>
    </font>
    <font>
      <b/>
      <sz val="16"/>
      <color rgb="FF14386C"/>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1">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
      <left style="thin">
        <color rgb="FFC7D4EE"/>
      </left>
      <right style="thin">
        <color rgb="FFC7D4EE"/>
      </right>
      <top style="medium">
        <color rgb="FF14386C"/>
      </top>
      <bottom style="thin">
        <color rgb="FFC7D4EE"/>
      </bottom>
      <diagonal/>
    </border>
  </borders>
  <cellStyleXfs count="1">
    <xf numFmtId="0" fontId="0" fillId="0" borderId="0"/>
  </cellStyleXfs>
  <cellXfs count="82">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0" fontId="19" fillId="7" borderId="2" xfId="0" applyFont="1" applyFill="1" applyBorder="1" applyAlignment="1">
      <alignment vertical="center" wrapText="1"/>
    </xf>
    <xf numFmtId="0" fontId="20" fillId="0" borderId="0" xfId="0" applyFont="1" applyAlignment="1">
      <alignment horizontal="center" vertical="center"/>
    </xf>
    <xf numFmtId="165" fontId="10" fillId="3" borderId="2" xfId="0" applyNumberFormat="1" applyFont="1" applyFill="1" applyBorder="1" applyAlignment="1" applyProtection="1">
      <alignment vertical="center"/>
      <protection locked="0"/>
    </xf>
    <xf numFmtId="166" fontId="10" fillId="3" borderId="2" xfId="0" applyNumberFormat="1" applyFont="1" applyFill="1" applyBorder="1" applyAlignment="1" applyProtection="1">
      <alignment vertical="center"/>
      <protection locked="0"/>
    </xf>
    <xf numFmtId="0" fontId="10" fillId="4" borderId="3" xfId="0" applyFont="1" applyFill="1" applyBorder="1" applyAlignment="1">
      <alignment vertical="center"/>
    </xf>
    <xf numFmtId="167" fontId="10" fillId="4" borderId="3" xfId="0" applyNumberFormat="1" applyFont="1" applyFill="1" applyBorder="1" applyAlignment="1">
      <alignment vertical="center"/>
    </xf>
    <xf numFmtId="0" fontId="21" fillId="4" borderId="3" xfId="0" applyFont="1" applyFill="1" applyBorder="1" applyAlignment="1">
      <alignment vertical="center"/>
    </xf>
    <xf numFmtId="0" fontId="10" fillId="3" borderId="2" xfId="0" applyFont="1" applyFill="1" applyBorder="1" applyAlignment="1" applyProtection="1">
      <alignment vertical="top" wrapText="1"/>
      <protection locked="0"/>
    </xf>
    <xf numFmtId="167" fontId="10" fillId="3" borderId="2" xfId="0" applyNumberFormat="1" applyFont="1" applyFill="1" applyBorder="1" applyAlignment="1" applyProtection="1">
      <alignment vertical="center"/>
      <protection locked="0"/>
    </xf>
    <xf numFmtId="168" fontId="10" fillId="3" borderId="2" xfId="0" applyNumberFormat="1" applyFont="1" applyFill="1" applyBorder="1" applyAlignment="1" applyProtection="1">
      <alignment vertical="center"/>
      <protection locked="0"/>
    </xf>
    <xf numFmtId="168" fontId="10" fillId="4" borderId="3" xfId="0" applyNumberFormat="1" applyFont="1" applyFill="1" applyBorder="1" applyAlignment="1">
      <alignment vertical="center"/>
    </xf>
    <xf numFmtId="169"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166" fontId="10" fillId="4" borderId="3" xfId="0" applyNumberFormat="1" applyFont="1" applyFill="1" applyBorder="1" applyAlignment="1">
      <alignment vertical="center"/>
    </xf>
    <xf numFmtId="167" fontId="10" fillId="3" borderId="2" xfId="0" applyNumberFormat="1" applyFont="1" applyFill="1" applyBorder="1" applyAlignment="1" applyProtection="1">
      <alignment horizontal="left" vertical="center"/>
      <protection locked="0"/>
    </xf>
    <xf numFmtId="0" fontId="20" fillId="0" borderId="0" xfId="0" applyFont="1" applyAlignment="1">
      <alignment vertical="center"/>
    </xf>
    <xf numFmtId="0" fontId="22" fillId="9" borderId="6" xfId="0" applyFont="1" applyFill="1" applyBorder="1" applyAlignment="1">
      <alignment vertical="center" wrapText="1"/>
    </xf>
    <xf numFmtId="168" fontId="4" fillId="9" borderId="7" xfId="0" applyNumberFormat="1" applyFont="1" applyFill="1" applyBorder="1" applyAlignment="1">
      <alignment horizontal="left" vertical="center"/>
    </xf>
    <xf numFmtId="169" fontId="4" fillId="9" borderId="7" xfId="0" applyNumberFormat="1" applyFont="1" applyFill="1" applyBorder="1" applyAlignment="1">
      <alignment horizontal="left" vertical="center"/>
    </xf>
    <xf numFmtId="166" fontId="4" fillId="9" borderId="7" xfId="0" applyNumberFormat="1" applyFont="1" applyFill="1" applyBorder="1" applyAlignment="1">
      <alignment horizontal="left" vertical="center"/>
    </xf>
    <xf numFmtId="0" fontId="23" fillId="9" borderId="7" xfId="0" applyFont="1" applyFill="1" applyBorder="1" applyAlignment="1">
      <alignment horizontal="left" vertical="center"/>
    </xf>
    <xf numFmtId="0" fontId="24" fillId="9" borderId="7" xfId="0" applyFont="1" applyFill="1" applyBorder="1" applyAlignment="1">
      <alignment vertical="center"/>
    </xf>
    <xf numFmtId="170" fontId="24" fillId="9" borderId="7" xfId="0" applyNumberFormat="1" applyFont="1" applyFill="1" applyBorder="1" applyAlignment="1">
      <alignment horizontal="left" vertical="center"/>
    </xf>
    <xf numFmtId="0" fontId="22" fillId="9" borderId="8" xfId="0" applyFont="1" applyFill="1" applyBorder="1" applyAlignment="1">
      <alignment vertical="center"/>
    </xf>
    <xf numFmtId="0" fontId="18" fillId="2" borderId="5" xfId="0" applyFont="1" applyFill="1" applyBorder="1" applyAlignment="1">
      <alignment horizontal="left" vertical="center" wrapText="1"/>
    </xf>
    <xf numFmtId="0" fontId="9" fillId="0" borderId="9" xfId="0" applyFont="1" applyBorder="1" applyAlignment="1">
      <alignment vertical="center"/>
    </xf>
    <xf numFmtId="164" fontId="10" fillId="4" borderId="3" xfId="0" applyNumberFormat="1" applyFont="1" applyFill="1" applyBorder="1" applyAlignment="1">
      <alignment vertical="center"/>
    </xf>
    <xf numFmtId="167" fontId="9" fillId="0" borderId="9" xfId="0" applyNumberFormat="1" applyFont="1" applyBorder="1" applyAlignment="1">
      <alignment vertical="center"/>
    </xf>
    <xf numFmtId="169" fontId="10" fillId="0" borderId="9" xfId="0" applyNumberFormat="1" applyFont="1" applyBorder="1" applyAlignment="1">
      <alignment vertical="center"/>
    </xf>
    <xf numFmtId="168" fontId="9" fillId="0" borderId="9" xfId="0" applyNumberFormat="1" applyFont="1" applyBorder="1" applyAlignment="1">
      <alignment horizontal="center" vertical="center"/>
    </xf>
    <xf numFmtId="168" fontId="10" fillId="0" borderId="0" xfId="0" applyNumberFormat="1" applyFont="1" applyAlignment="1">
      <alignment vertical="center"/>
    </xf>
    <xf numFmtId="0" fontId="9" fillId="4" borderId="10" xfId="0" applyFont="1" applyFill="1" applyBorder="1" applyAlignment="1">
      <alignment vertical="center"/>
    </xf>
    <xf numFmtId="168" fontId="9" fillId="4" borderId="10" xfId="0" applyNumberFormat="1" applyFont="1" applyFill="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8" fontId="10" fillId="0" borderId="9" xfId="0" applyNumberFormat="1" applyFont="1" applyBorder="1" applyAlignment="1">
      <alignment vertical="center"/>
    </xf>
    <xf numFmtId="171" fontId="10" fillId="4" borderId="3" xfId="0" applyNumberFormat="1" applyFont="1" applyFill="1" applyBorder="1" applyAlignment="1">
      <alignment vertical="center"/>
    </xf>
    <xf numFmtId="171" fontId="10" fillId="0" borderId="9" xfId="0" applyNumberFormat="1" applyFont="1" applyBorder="1" applyAlignment="1">
      <alignment vertical="center"/>
    </xf>
    <xf numFmtId="172" fontId="10" fillId="0" borderId="9" xfId="0" applyNumberFormat="1" applyFont="1" applyBorder="1" applyAlignment="1">
      <alignment vertical="center"/>
    </xf>
    <xf numFmtId="172" fontId="10" fillId="4" borderId="3" xfId="0" applyNumberFormat="1" applyFont="1" applyFill="1" applyBorder="1" applyAlignment="1">
      <alignment vertical="center"/>
    </xf>
    <xf numFmtId="164" fontId="10" fillId="0" borderId="9" xfId="0" applyNumberFormat="1" applyFont="1" applyBorder="1" applyAlignment="1">
      <alignment vertical="center"/>
    </xf>
    <xf numFmtId="165" fontId="10" fillId="0" borderId="9" xfId="0" applyNumberFormat="1" applyFont="1" applyBorder="1" applyAlignment="1">
      <alignment vertical="center"/>
    </xf>
    <xf numFmtId="166" fontId="10" fillId="0" borderId="9" xfId="0" applyNumberFormat="1" applyFont="1" applyBorder="1" applyAlignment="1">
      <alignment vertical="center"/>
    </xf>
    <xf numFmtId="167"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Cost of quality by month</a:t>
            </a:r>
          </a:p>
        </c:rich>
      </c:tx>
      <c:layout/>
    </c:title>
    <c:plotArea>
      <c:layout/>
      <c:barChart>
        <c:barDir val="col"/>
        <c:grouping val="stacked"/>
        <c:ser>
          <c:idx val="0"/>
          <c:order val="0"/>
          <c:tx>
            <c:v>Prevention</c:v>
          </c:tx>
          <c:spPr>
            <a:solidFill>
              <a:srgbClr val="3B64D8"/>
            </a:solidFill>
            <a:ln w="9525">
              <a:solidFill>
                <a:srgbClr val="FFFFFF"/>
              </a:solidFill>
            </a:ln>
          </c:spPr>
          <c:cat>
            <c:numRef>
              <c:f>Dashboard!$B$54:$B$65</c:f>
              <c:numCache>
                <c:formatCode>General</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Dashboard!$D$54:$D$65</c:f>
              <c:numCache>
                <c:formatCode>General</c:formatCode>
                <c:ptCount val="12"/>
                <c:pt idx="0">
                  <c:v>10720</c:v>
                </c:pt>
                <c:pt idx="1">
                  <c:v>9640</c:v>
                </c:pt>
                <c:pt idx="2">
                  <c:v>9620</c:v>
                </c:pt>
                <c:pt idx="3">
                  <c:v>10840</c:v>
                </c:pt>
                <c:pt idx="4">
                  <c:v>36000</c:v>
                </c:pt>
                <c:pt idx="5">
                  <c:v>50310</c:v>
                </c:pt>
                <c:pt idx="6">
                  <c:v>31770</c:v>
                </c:pt>
                <c:pt idx="7">
                  <c:v>9770</c:v>
                </c:pt>
                <c:pt idx="8">
                  <c:v>11450</c:v>
                </c:pt>
                <c:pt idx="9">
                  <c:v>10100</c:v>
                </c:pt>
                <c:pt idx="10">
                  <c:v>9470</c:v>
                </c:pt>
                <c:pt idx="11">
                  <c:v>10780</c:v>
                </c:pt>
              </c:numCache>
            </c:numRef>
          </c:val>
        </c:ser>
        <c:ser>
          <c:idx val="1"/>
          <c:order val="1"/>
          <c:tx>
            <c:v>Appraisal</c:v>
          </c:tx>
          <c:spPr>
            <a:solidFill>
              <a:srgbClr val="E8702A"/>
            </a:solidFill>
            <a:ln w="9525">
              <a:solidFill>
                <a:srgbClr val="FFFFFF"/>
              </a:solidFill>
            </a:ln>
          </c:spPr>
          <c:cat>
            <c:numRef>
              <c:f>Dashboard!$B$54:$B$65</c:f>
              <c:numCache>
                <c:formatCode>General</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Dashboard!$E$54:$E$65</c:f>
              <c:numCache>
                <c:formatCode>General</c:formatCode>
                <c:ptCount val="12"/>
                <c:pt idx="0">
                  <c:v>23280</c:v>
                </c:pt>
                <c:pt idx="1">
                  <c:v>25070</c:v>
                </c:pt>
                <c:pt idx="2">
                  <c:v>24160</c:v>
                </c:pt>
                <c:pt idx="3">
                  <c:v>25080</c:v>
                </c:pt>
                <c:pt idx="4">
                  <c:v>24060</c:v>
                </c:pt>
                <c:pt idx="5">
                  <c:v>24200</c:v>
                </c:pt>
                <c:pt idx="6">
                  <c:v>24590</c:v>
                </c:pt>
                <c:pt idx="7">
                  <c:v>24420</c:v>
                </c:pt>
                <c:pt idx="8">
                  <c:v>24780</c:v>
                </c:pt>
                <c:pt idx="9">
                  <c:v>25590</c:v>
                </c:pt>
                <c:pt idx="10">
                  <c:v>24700</c:v>
                </c:pt>
                <c:pt idx="11">
                  <c:v>23920</c:v>
                </c:pt>
              </c:numCache>
            </c:numRef>
          </c:val>
        </c:ser>
        <c:ser>
          <c:idx val="2"/>
          <c:order val="2"/>
          <c:tx>
            <c:v>Internal failure</c:v>
          </c:tx>
          <c:spPr>
            <a:solidFill>
              <a:srgbClr val="1BA37A"/>
            </a:solidFill>
            <a:ln w="9525">
              <a:solidFill>
                <a:srgbClr val="FFFFFF"/>
              </a:solidFill>
            </a:ln>
          </c:spPr>
          <c:cat>
            <c:numRef>
              <c:f>Dashboard!$B$54:$B$65</c:f>
              <c:numCache>
                <c:formatCode>General</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Dashboard!$F$54:$F$65</c:f>
              <c:numCache>
                <c:formatCode>General</c:formatCode>
                <c:ptCount val="12"/>
                <c:pt idx="0">
                  <c:v>27160</c:v>
                </c:pt>
                <c:pt idx="1">
                  <c:v>24900</c:v>
                </c:pt>
                <c:pt idx="2">
                  <c:v>26800</c:v>
                </c:pt>
                <c:pt idx="3">
                  <c:v>25260</c:v>
                </c:pt>
                <c:pt idx="4">
                  <c:v>27300</c:v>
                </c:pt>
                <c:pt idx="5">
                  <c:v>24450</c:v>
                </c:pt>
                <c:pt idx="6">
                  <c:v>25590</c:v>
                </c:pt>
                <c:pt idx="7">
                  <c:v>20240</c:v>
                </c:pt>
                <c:pt idx="8">
                  <c:v>21540</c:v>
                </c:pt>
                <c:pt idx="9">
                  <c:v>19770</c:v>
                </c:pt>
                <c:pt idx="10">
                  <c:v>20390</c:v>
                </c:pt>
                <c:pt idx="11">
                  <c:v>22280</c:v>
                </c:pt>
              </c:numCache>
            </c:numRef>
          </c:val>
        </c:ser>
        <c:ser>
          <c:idx val="3"/>
          <c:order val="3"/>
          <c:tx>
            <c:v>External failure</c:v>
          </c:tx>
          <c:spPr>
            <a:solidFill>
              <a:srgbClr val="E0A100"/>
            </a:solidFill>
            <a:ln w="9525">
              <a:solidFill>
                <a:srgbClr val="FFFFFF"/>
              </a:solidFill>
            </a:ln>
          </c:spPr>
          <c:cat>
            <c:numRef>
              <c:f>Dashboard!$B$54:$B$65</c:f>
              <c:numCache>
                <c:formatCode>General</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Dashboard!$G$54:$G$65</c:f>
              <c:numCache>
                <c:formatCode>General</c:formatCode>
                <c:ptCount val="12"/>
                <c:pt idx="0">
                  <c:v>80980</c:v>
                </c:pt>
                <c:pt idx="1">
                  <c:v>87490</c:v>
                </c:pt>
                <c:pt idx="2">
                  <c:v>85200</c:v>
                </c:pt>
                <c:pt idx="3">
                  <c:v>82420</c:v>
                </c:pt>
                <c:pt idx="4">
                  <c:v>22680</c:v>
                </c:pt>
                <c:pt idx="5">
                  <c:v>18810</c:v>
                </c:pt>
                <c:pt idx="6">
                  <c:v>20370</c:v>
                </c:pt>
                <c:pt idx="7">
                  <c:v>8940</c:v>
                </c:pt>
                <c:pt idx="8">
                  <c:v>8900</c:v>
                </c:pt>
                <c:pt idx="9">
                  <c:v>10420</c:v>
                </c:pt>
                <c:pt idx="10">
                  <c:v>7920</c:v>
                </c:pt>
                <c:pt idx="11">
                  <c:v>7900</c:v>
                </c:pt>
              </c:numCache>
            </c:numRef>
          </c:val>
        </c:ser>
        <c:gapWidth val="60"/>
        <c:overlap val="100"/>
        <c:axId val="50010001"/>
        <c:axId val="50010002"/>
      </c:barChart>
      <c:catAx>
        <c:axId val="50010001"/>
        <c:scaling>
          <c:orientation val="minMax"/>
        </c:scaling>
        <c:axPos val="b"/>
        <c:numFmt formatCode="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COPQ as a share of net sales, by month</a:t>
            </a:r>
          </a:p>
        </c:rich>
      </c:tx>
      <c:layout/>
    </c:title>
    <c:plotArea>
      <c:layout/>
      <c:barChart>
        <c:barDir val="col"/>
        <c:grouping val="clustered"/>
        <c:ser>
          <c:idx val="0"/>
          <c:order val="0"/>
          <c:tx>
            <c:v>COPQ share of sales</c:v>
          </c:tx>
          <c:spPr>
            <a:solidFill>
              <a:srgbClr val="3B64D8"/>
            </a:solidFill>
            <a:ln w="9525">
              <a:solidFill>
                <a:srgbClr val="FFFFFF"/>
              </a:solidFill>
            </a:ln>
          </c:spPr>
          <c:cat>
            <c:numRef>
              <c:f>Dashboard!$B$54:$B$65</c:f>
              <c:numCache>
                <c:formatCode>General</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Dashboard!$J$54:$J$65</c:f>
              <c:numCache>
                <c:formatCode>General</c:formatCode>
                <c:ptCount val="12"/>
                <c:pt idx="0">
                  <c:v>0.065658773527626</c:v>
                </c:pt>
                <c:pt idx="1">
                  <c:v>0.0692483056069008</c:v>
                </c:pt>
                <c:pt idx="2">
                  <c:v>0.0665083135391924</c:v>
                </c:pt>
                <c:pt idx="3">
                  <c:v>0.0590027397260274</c:v>
                </c:pt>
                <c:pt idx="4">
                  <c:v>0.0271335504885993</c:v>
                </c:pt>
                <c:pt idx="5">
                  <c:v>0.023574931880109</c:v>
                </c:pt>
                <c:pt idx="6">
                  <c:v>0.0283703703703704</c:v>
                </c:pt>
                <c:pt idx="7">
                  <c:v>0.0153740779768177</c:v>
                </c:pt>
                <c:pt idx="8">
                  <c:v>0.018129839189994</c:v>
                </c:pt>
                <c:pt idx="9">
                  <c:v>0.0160244161358811</c:v>
                </c:pt>
                <c:pt idx="10">
                  <c:v>0.0151877682403433</c:v>
                </c:pt>
                <c:pt idx="11">
                  <c:v>0.0179216152019002</c:v>
                </c:pt>
              </c:numCache>
            </c:numRef>
          </c:val>
        </c:ser>
        <c:gapWidth val="60"/>
        <c:overlap val="-10"/>
        <c:axId val="50020001"/>
        <c:axId val="50020002"/>
      </c:barChart>
      <c:lineChart>
        <c:grouping val="standard"/>
        <c:ser>
          <c:idx val="1"/>
          <c:order val="1"/>
          <c:tx>
            <c:v>Target</c:v>
          </c:tx>
          <c:spPr>
            <a:ln w="19050">
              <a:solidFill>
                <a:srgbClr val="4A5361"/>
              </a:solidFill>
              <a:prstDash val="dash"/>
            </a:ln>
          </c:spPr>
          <c:marker>
            <c:symbol val="none"/>
          </c:marker>
          <c:cat>
            <c:numRef>
              <c:f>Dashboard!$B$54:$B$65</c:f>
              <c:numCache>
                <c:formatCode>General</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Dashboard!$K$54:$K$65</c:f>
              <c:numCache>
                <c:formatCode>General</c:formatCode>
                <c:ptCount val="12"/>
                <c:pt idx="0">
                  <c:v>0.03</c:v>
                </c:pt>
                <c:pt idx="1">
                  <c:v>0.03</c:v>
                </c:pt>
                <c:pt idx="2">
                  <c:v>0.03</c:v>
                </c:pt>
                <c:pt idx="3">
                  <c:v>0.03</c:v>
                </c:pt>
                <c:pt idx="4">
                  <c:v>0.03</c:v>
                </c:pt>
                <c:pt idx="5">
                  <c:v>0.03</c:v>
                </c:pt>
                <c:pt idx="6">
                  <c:v>0.03</c:v>
                </c:pt>
                <c:pt idx="7">
                  <c:v>0.03</c:v>
                </c:pt>
                <c:pt idx="8">
                  <c:v>0.03</c:v>
                </c:pt>
                <c:pt idx="9">
                  <c:v>0.03</c:v>
                </c:pt>
                <c:pt idx="10">
                  <c:v>0.03</c:v>
                </c:pt>
                <c:pt idx="11">
                  <c:v>0.03</c:v>
                </c:pt>
              </c:numCache>
            </c:numRef>
          </c:val>
        </c:ser>
        <c:marker val="1"/>
        <c:axId val="50020001"/>
        <c:axId val="50020002"/>
      </c:lineChart>
      <c:catAx>
        <c:axId val="50020001"/>
        <c:scaling>
          <c:orientation val="minMax"/>
        </c:scaling>
        <c:axPos val="b"/>
        <c:numFmt formatCode="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Failure cost by element, largest eight</a:t>
            </a:r>
          </a:p>
        </c:rich>
      </c:tx>
      <c:layout/>
    </c:title>
    <c:plotArea>
      <c:layout/>
      <c:barChart>
        <c:barDir val="col"/>
        <c:grouping val="clustered"/>
        <c:ser>
          <c:idx val="0"/>
          <c:order val="0"/>
          <c:tx>
            <c:v>Failure cost</c:v>
          </c:tx>
          <c:spPr>
            <a:solidFill>
              <a:srgbClr val="3B64D8"/>
            </a:solidFill>
            <a:ln w="9525">
              <a:solidFill>
                <a:srgbClr val="FFFFFF"/>
              </a:solidFill>
            </a:ln>
          </c:spPr>
          <c:cat>
            <c:strRef>
              <c:f>Dashboard!$C$70:$C$77</c:f>
              <c:strCache>
                <c:ptCount val="8"/>
                <c:pt idx="0">
                  <c:v>Warranty claims</c:v>
                </c:pt>
                <c:pt idx="1">
                  <c:v>Scrap</c:v>
                </c:pt>
                <c:pt idx="2">
                  <c:v>Returns and replacements</c:v>
                </c:pt>
                <c:pt idx="3">
                  <c:v>Rework and repair</c:v>
                </c:pt>
                <c:pt idx="4">
                  <c:v>Customer credits</c:v>
                </c:pt>
                <c:pt idx="5">
                  <c:v>Field service</c:v>
                </c:pt>
                <c:pt idx="6">
                  <c:v>Re-inspection and retest</c:v>
                </c:pt>
                <c:pt idx="7">
                  <c:v>Failure analysis</c:v>
                </c:pt>
              </c:strCache>
            </c:strRef>
          </c:cat>
          <c:val>
            <c:numRef>
              <c:f>Dashboard!$E$70:$E$77</c:f>
              <c:numCache>
                <c:formatCode>General</c:formatCode>
                <c:ptCount val="8"/>
                <c:pt idx="0">
                  <c:v>235290</c:v>
                </c:pt>
                <c:pt idx="1">
                  <c:v>136050</c:v>
                </c:pt>
                <c:pt idx="2">
                  <c:v>101870</c:v>
                </c:pt>
                <c:pt idx="3">
                  <c:v>90200</c:v>
                </c:pt>
                <c:pt idx="4">
                  <c:v>58690</c:v>
                </c:pt>
                <c:pt idx="5">
                  <c:v>46180</c:v>
                </c:pt>
                <c:pt idx="6">
                  <c:v>35350</c:v>
                </c:pt>
                <c:pt idx="7">
                  <c:v>24080</c:v>
                </c:pt>
              </c:numCache>
            </c:numRef>
          </c:val>
        </c:ser>
        <c:gapWidth val="40"/>
        <c:axId val="50030001"/>
        <c:axId val="50030002"/>
      </c:barChart>
      <c:lineChart>
        <c:grouping val="standard"/>
        <c:ser>
          <c:idx val="1"/>
          <c:order val="1"/>
          <c:tx>
            <c:v>Cumulative %</c:v>
          </c:tx>
          <c:spPr>
            <a:ln w="28575">
              <a:solidFill>
                <a:srgbClr val="E8702A"/>
              </a:solidFill>
            </a:ln>
          </c:spPr>
          <c:marker>
            <c:symbol val="circle"/>
            <c:size val="5"/>
            <c:spPr>
              <a:solidFill>
                <a:srgbClr val="E8702A"/>
              </a:solidFill>
              <a:ln>
                <a:solidFill>
                  <a:srgbClr val="E8702A"/>
                </a:solidFill>
              </a:ln>
            </c:spPr>
          </c:marker>
          <c:cat>
            <c:strRef>
              <c:f>Dashboard!$C$70:$C$77</c:f>
              <c:strCache>
                <c:ptCount val="8"/>
                <c:pt idx="0">
                  <c:v>Warranty claims</c:v>
                </c:pt>
                <c:pt idx="1">
                  <c:v>Scrap</c:v>
                </c:pt>
                <c:pt idx="2">
                  <c:v>Returns and replacements</c:v>
                </c:pt>
                <c:pt idx="3">
                  <c:v>Rework and repair</c:v>
                </c:pt>
                <c:pt idx="4">
                  <c:v>Customer credits</c:v>
                </c:pt>
                <c:pt idx="5">
                  <c:v>Field service</c:v>
                </c:pt>
                <c:pt idx="6">
                  <c:v>Re-inspection and retest</c:v>
                </c:pt>
                <c:pt idx="7">
                  <c:v>Failure analysis</c:v>
                </c:pt>
              </c:strCache>
            </c:strRef>
          </c:cat>
          <c:val>
            <c:numRef>
              <c:f>Dashboard!$G$70:$G$77</c:f>
              <c:numCache>
                <c:formatCode>General</c:formatCode>
                <c:ptCount val="8"/>
                <c:pt idx="0">
                  <c:v>0.323329348229377</c:v>
                </c:pt>
                <c:pt idx="1">
                  <c:v>0.51028569072845</c:v>
                </c:pt>
                <c:pt idx="2">
                  <c:v>0.650272773494936</c:v>
                </c:pt>
                <c:pt idx="3">
                  <c:v>0.774223248271977</c:v>
                </c:pt>
                <c:pt idx="4">
                  <c:v>0.854873507303734</c:v>
                </c:pt>
                <c:pt idx="5">
                  <c:v>0.918332852372511</c:v>
                </c:pt>
                <c:pt idx="6">
                  <c:v>0.966909895425376</c:v>
                </c:pt>
                <c:pt idx="7">
                  <c:v>1</c:v>
                </c:pt>
              </c:numCache>
            </c:numRef>
          </c:val>
        </c:ser>
        <c:marker val="1"/>
        <c:axId val="60030001"/>
        <c:axId val="60030002"/>
      </c:lineChart>
      <c:catAx>
        <c:axId val="5003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30002"/>
        <c:crosses val="autoZero"/>
        <c:lblAlgn val="ctr"/>
        <c:lblOffset val="100"/>
      </c:catAx>
      <c:valAx>
        <c:axId val="5003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30001"/>
        <c:crosses val="autoZero"/>
        <c:crossBetween val="between"/>
      </c:valAx>
      <c:valAx>
        <c:axId val="60030002"/>
        <c:scaling>
          <c:orientation val="minMax"/>
          <c:max val="1"/>
          <c:min val="0"/>
        </c:scaling>
        <c:axPos val="r"/>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60030001"/>
        <c:crosses val="max"/>
        <c:crossBetween val="between"/>
        <c:majorUnit val="0.2"/>
      </c:valAx>
      <c:catAx>
        <c:axId val="60030001"/>
        <c:scaling>
          <c:orientation val="minMax"/>
        </c:scaling>
        <c:delete val="1"/>
        <c:axPos val="b"/>
        <c:tickLblPos val="none"/>
        <c:crossAx val="60030002"/>
        <c:crosses val="autoZero"/>
        <c:auto val="1"/>
        <c:lblAlgn val="ctr"/>
        <c:lblOffset val="100"/>
      </c:cat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12</xdr:row>
      <xdr:rowOff>38100</xdr:rowOff>
    </xdr:from>
    <xdr:to>
      <xdr:col>5</xdr:col>
      <xdr:colOff>676275</xdr:colOff>
      <xdr:row>26</xdr:row>
      <xdr:rowOff>152400</xdr:rowOff>
    </xdr:to>
    <xdr:graphicFrame macro="">
      <xdr:nvGraphicFramePr>
        <xdr:cNvPr id="2" name="Chart 1" descr="Stacked column chart of monthly quality costs split into prevention, appraisal, internal failure and external failur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12</xdr:row>
      <xdr:rowOff>38100</xdr:rowOff>
    </xdr:from>
    <xdr:to>
      <xdr:col>11</xdr:col>
      <xdr:colOff>676275</xdr:colOff>
      <xdr:row>26</xdr:row>
      <xdr:rowOff>152400</xdr:rowOff>
    </xdr:to>
    <xdr:graphicFrame macro="">
      <xdr:nvGraphicFramePr>
        <xdr:cNvPr id="3" name="Chart 2" descr="Column chart of the cost of poor quality as a percentage of net sales for each month in view, with the target as a dash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38100</xdr:colOff>
      <xdr:row>34</xdr:row>
      <xdr:rowOff>38100</xdr:rowOff>
    </xdr:from>
    <xdr:to>
      <xdr:col>11</xdr:col>
      <xdr:colOff>676275</xdr:colOff>
      <xdr:row>48</xdr:row>
      <xdr:rowOff>171450</xdr:rowOff>
    </xdr:to>
    <xdr:graphicFrame macro="">
      <xdr:nvGraphicFramePr>
        <xdr:cNvPr id="4" name="Chart 3" descr="Pareto chart of the eight largest failure cost elements, largest first, with the cumulative percentage of failure cost on a secondary axi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ables/table1.xml><?xml version="1.0" encoding="utf-8"?>
<table xmlns="http://schemas.openxmlformats.org/spreadsheetml/2006/main" id="1" name="tblElements" displayName="tblElements" ref="B16:D31" totalsRowShown="0">
  <autoFilter ref="B16:D31"/>
  <tableColumns count="3">
    <tableColumn id="1" name="Element"/>
    <tableColumn id="2" name="Category"/>
    <tableColumn id="3" name="What to include"/>
  </tableColumns>
  <tableStyleInfo name="TableStyleLight1" showFirstColumn="0" showLastColumn="0" showRowStripes="0" showColumnStripes="0"/>
</table>
</file>

<file path=xl/tables/table2.xml><?xml version="1.0" encoding="utf-8"?>
<table xmlns="http://schemas.openxmlformats.org/spreadsheetml/2006/main" id="2" name="tblCosts" displayName="tblCosts" ref="B6:J201" totalsRowShown="0">
  <autoFilter ref="B6:J201"/>
  <tableColumns count="9">
    <tableColumn id="1" name="Date"/>
    <tableColumn id="2" name="Element"/>
    <tableColumn id="3" name="Amount"/>
    <tableColumn id="4" name="Reference"/>
    <tableColumn id="5" name="Category">
      <calculatedColumnFormula>IF(tblCosts[[#This Row],[Date]]="","",IFERROR(INDEX(tblElements[Category],MATCH(tblCosts[[#This Row],[Element]],tblElements[Element],0)),""))</calculatedColumnFormula>
    </tableColumn>
    <tableColumn id="6" name="Month">
      <calculatedColumnFormula>IF(tblCosts[[#This Row],[Date]]="","",DATE(YEAR(tblCosts[[#This Row],[Date]]),MONTH(tblCosts[[#This Row],[Date]]),1))</calculatedColumnFormula>
    </tableColumn>
    <tableColumn id="7" name="View date">
      <calculatedColumnFormula>IF(tblCosts[[#This Row],[Date]]="","",IF(AND(tblCosts[[#This Row],[Month]]&gt;=FFrom,tblCosts[[#This Row],[Month]]&lt;=FTo),tblCosts[[#This Row],[Month]],""))</calculatedColumnFormula>
    </tableColumn>
    <tableColumn id="8" name="Check">
      <calculatedColumnFormula>IF(tblCosts[[#This Row],[Date]]="","",IF(tblCosts[[#This Row],[Element]]="","Missing element",IF(tblCosts[[#This Row],[Amount]]="","Missing amount",IF(tblCosts[[#This Row],[Category]]="","Element not on Setup list",IF(COUNTIF(tblMonths[Month],tblCosts[[#This Row],[Month]])=0,"No Monthly Summary row for this month","OK")))))</calculatedColumnFormula>
    </tableColumn>
    <tableColumn id="9" name="Notes"/>
  </tableColumns>
  <tableStyleInfo name="TableStyleLight1" showFirstColumn="0" showLastColumn="0" showRowStripes="0" showColumnStripes="0"/>
</table>
</file>

<file path=xl/tables/table3.xml><?xml version="1.0" encoding="utf-8"?>
<table xmlns="http://schemas.openxmlformats.org/spreadsheetml/2006/main" id="3" name="tblMonths" displayName="tblMonths" ref="B6:P18" totalsRowShown="0">
  <autoFilter ref="B6:P18"/>
  <tableColumns count="15">
    <tableColumn id="1" name="Month"/>
    <tableColumn id="2" name="Net sales"/>
    <tableColumn id="3" name="Units shipped"/>
    <tableColumn id="4" name="Prevention">
      <calculatedColumnFormula>IF(tblMonths[[#This Row],[Month]]="","",SUMIFS(tblCosts[Amount],tblCosts[Month],tblMonths[[#This Row],[Month]],tblCosts[Category],"Prevention"))</calculatedColumnFormula>
    </tableColumn>
    <tableColumn id="5" name="Appraisal">
      <calculatedColumnFormula>IF(tblMonths[[#This Row],[Month]]="","",SUMIFS(tblCosts[Amount],tblCosts[Month],tblMonths[[#This Row],[Month]],tblCosts[Category],"Appraisal"))</calculatedColumnFormula>
    </tableColumn>
    <tableColumn id="6" name="Internal failure">
      <calculatedColumnFormula>IF(tblMonths[[#This Row],[Month]]="","",SUMIFS(tblCosts[Amount],tblCosts[Month],tblMonths[[#This Row],[Month]],tblCosts[Category],"Internal failure"))</calculatedColumnFormula>
    </tableColumn>
    <tableColumn id="7" name="External failure">
      <calculatedColumnFormula>IF(tblMonths[[#This Row],[Month]]="","",SUMIFS(tblCosts[Amount],tblCosts[Month],tblMonths[[#This Row],[Month]],tblCosts[Category],"External failure"))</calculatedColumnFormula>
    </tableColumn>
    <tableColumn id="8" name="COPQ">
      <calculatedColumnFormula>IF(tblMonths[[#This Row],[Month]]="","",tblMonths[[#This Row],[Internal failure]]+tblMonths[[#This Row],[External failure]])</calculatedColumnFormula>
    </tableColumn>
    <tableColumn id="9" name="Cost of quality">
      <calculatedColumnFormula>IF(tblMonths[[#This Row],[Month]]="","",tblMonths[[#This Row],[Prevention]]+tblMonths[[#This Row],[Appraisal]]+tblMonths[[#This Row],[COPQ]])</calculatedColumnFormula>
    </tableColumn>
    <tableColumn id="10" name="COPQ share of sales">
      <calculatedColumnFormula>IF(tblMonths[[#This Row],[Month]]="","",IF(N(tblMonths[[#This Row],[Net sales]])&gt;0,tblMonths[[#This Row],[COPQ]]/tblMonths[[#This Row],[Net sales]],""))</calculatedColumnFormula>
    </tableColumn>
    <tableColumn id="11" name="Status">
      <calculatedColumnFormula>IF(NOT(ISNUMBER(tblMonths[[#This Row],[COPQ share of sales]])),"",IF(tblMonths[[#This Row],[COPQ share of sales]]&lt;=TargetCOPQ,"On target",IF(tblMonths[[#This Row],[COPQ share of sales]]&lt;=TargetCOPQ*(1+0.05),"Near target","Above target")))</calculatedColumnFormula>
    </tableColumn>
    <tableColumn id="12" name="COPQ per unit shipped">
      <calculatedColumnFormula>IF(tblMonths[[#This Row],[Month]]="","",IF(N(tblMonths[[#This Row],[Units shipped]])&gt;0,tblMonths[[#This Row],[COPQ]]/tblMonths[[#This Row],[Units shipped]],""))</calculatedColumnFormula>
    </tableColumn>
    <tableColumn id="13" name="View date">
      <calculatedColumnFormula>IF(tblMonths[[#This Row],[Month]]="","",IF(AND(tblMonths[[#This Row],[Month]]&gt;=FFrom,tblMonths[[#This Row],[Month]]&lt;=FTo),tblMonths[[#This Row],[Month]],""))</calculatedColumnFormula>
    </tableColumn>
    <tableColumn id="14" name="Check">
      <calculatedColumnFormula>IF(tblMonths[[#This Row],[Month]]="","",IF(tblMonths[[#This Row],[Net sales]]="","Missing net sales",IF(tblMonths[[#This Row],[Units shipped]]="","Missing units shipped",IF(DAY(tblMonths[[#This Row],[Month]])&lt;&gt;1,"Use the first day of the month",IF(COUNTIF(tblMonths[Month],tblMonths[[#This Row],[Month]])&gt;1,"Duplicate month","OK")))))</calculatedColumnFormula>
    </tableColumn>
    <tableColumn id="15" name="Notes"/>
  </tableColumns>
  <tableStyleInfo name="TableStyleLight1" showFirstColumn="0" showLastColumn="0" showRowStripes="0" showColumnStripes="0"/>
</table>
</file>

<file path=xl/tables/table4.xml><?xml version="1.0" encoding="utf-8"?>
<table xmlns="http://schemas.openxmlformats.org/spreadsheetml/2006/main" id="4" name="tblVerifyElements" displayName="tblVerifyElements" ref="B35:D41" totalsRowShown="0">
  <tableColumns count="3">
    <tableColumn id="1" name="Element"/>
    <tableColumn id="2" name="Category"/>
    <tableColumn id="3" name="What to include"/>
  </tableColumns>
  <tableStyleInfo name="TableStyleLight1" showFirstColumn="0" showLastColumn="0" showRowStripes="0" showColumnStripes="0"/>
</table>
</file>

<file path=xl/tables/table5.xml><?xml version="1.0" encoding="utf-8"?>
<table xmlns="http://schemas.openxmlformats.org/spreadsheetml/2006/main" id="5" name="tblVerifyCosts" displayName="tblVerifyCosts" ref="B45:J54" totalsRowShown="0">
  <tableColumns count="9">
    <tableColumn id="1" name="Date"/>
    <tableColumn id="2" name="Element"/>
    <tableColumn id="3" name="Amount"/>
    <tableColumn id="4" name="Reference"/>
    <tableColumn id="5" name="Category"/>
    <tableColumn id="6" name="Month">
      <calculatedColumnFormula>IF(tblVerifyCosts[[#This Row],[Date]]="","",DATE(YEAR(tblVerifyCosts[[#This Row],[Date]]),MONTH(tblVerifyCosts[[#This Row],[Date]]),1))</calculatedColumnFormula>
    </tableColumn>
    <tableColumn id="7" name="View date">
      <calculatedColumnFormula>IF(tblVerifyCosts[[#This Row],[Date]]="","",IF(AND(tblVerifyCosts[[#This Row],[Month]]&gt;=$E$30,tblVerifyCosts[[#This Row],[Month]]&lt;=$E$31),tblVerifyCosts[[#This Row],[Month]],""))</calculatedColumnFormula>
    </tableColumn>
    <tableColumn id="8" name="Check">
      <calculatedColumnFormula>IF(tblVerifyCosts[[#This Row],[Date]]="","",IF(tblVerifyCosts[[#This Row],[Element]]="","Missing element",IF(tblVerifyCosts[[#This Row],[Amount]]="","Missing amount",IF(tblVerifyCosts[[#This Row],[Category]]="","Element not on Setup list",IF(COUNTIF(tblVerifyMonths[Month],tblVerifyCosts[[#This Row],[Month]])=0,"No Monthly Summary row for this month","OK")))))</calculatedColumnFormula>
    </tableColumn>
    <tableColumn id="9" name="Notes"/>
  </tableColumns>
  <tableStyleInfo name="TableStyleLight1" showFirstColumn="0" showLastColumn="0" showRowStripes="0" showColumnStripes="0"/>
</table>
</file>

<file path=xl/tables/table6.xml><?xml version="1.0" encoding="utf-8"?>
<table xmlns="http://schemas.openxmlformats.org/spreadsheetml/2006/main" id="6" name="tblVerifyMonths" displayName="tblVerifyMonths" ref="B58:P61" totalsRowShown="0">
  <tableColumns count="15">
    <tableColumn id="1" name="Month"/>
    <tableColumn id="2" name="Net sales"/>
    <tableColumn id="3" name="Units shipped"/>
    <tableColumn id="4" name="Prevention">
      <calculatedColumnFormula>IF(tblVerifyMonths[[#This Row],[Month]]="","",SUMIFS(tblVerifyCosts[Amount],tblVerifyCosts[Month],tblVerifyMonths[[#This Row],[Month]],tblVerifyCosts[Category],"Prevention"))</calculatedColumnFormula>
    </tableColumn>
    <tableColumn id="5" name="Appraisal">
      <calculatedColumnFormula>IF(tblVerifyMonths[[#This Row],[Month]]="","",SUMIFS(tblVerifyCosts[Amount],tblVerifyCosts[Month],tblVerifyMonths[[#This Row],[Month]],tblVerifyCosts[Category],"Appraisal"))</calculatedColumnFormula>
    </tableColumn>
    <tableColumn id="6" name="Internal failure">
      <calculatedColumnFormula>IF(tblVerifyMonths[[#This Row],[Month]]="","",SUMIFS(tblVerifyCosts[Amount],tblVerifyCosts[Month],tblVerifyMonths[[#This Row],[Month]],tblVerifyCosts[Category],"Internal failure"))</calculatedColumnFormula>
    </tableColumn>
    <tableColumn id="7" name="External failure">
      <calculatedColumnFormula>IF(tblVerifyMonths[[#This Row],[Month]]="","",SUMIFS(tblVerifyCosts[Amount],tblVerifyCosts[Month],tblVerifyMonths[[#This Row],[Month]],tblVerifyCosts[Category],"External failure"))</calculatedColumnFormula>
    </tableColumn>
    <tableColumn id="8" name="COPQ">
      <calculatedColumnFormula>IF(tblVerifyMonths[[#This Row],[Month]]="","",tblVerifyMonths[[#This Row],[Internal failure]]+tblVerifyMonths[[#This Row],[External failure]])</calculatedColumnFormula>
    </tableColumn>
    <tableColumn id="9" name="Cost of quality">
      <calculatedColumnFormula>IF(tblVerifyMonths[[#This Row],[Month]]="","",tblVerifyMonths[[#This Row],[Prevention]]+tblVerifyMonths[[#This Row],[Appraisal]]+tblVerifyMonths[[#This Row],[COPQ]])</calculatedColumnFormula>
    </tableColumn>
    <tableColumn id="10" name="COPQ share of sales">
      <calculatedColumnFormula>IF(tblVerifyMonths[[#This Row],[Month]]="","",IF(N(tblVerifyMonths[[#This Row],[Net sales]])&gt;0,tblVerifyMonths[[#This Row],[COPQ]]/tblVerifyMonths[[#This Row],[Net sales]],""))</calculatedColumnFormula>
    </tableColumn>
    <tableColumn id="11" name="Status">
      <calculatedColumnFormula>IF(NOT(ISNUMBER(tblVerifyMonths[[#This Row],[COPQ share of sales]])),"",IF(tblVerifyMonths[[#This Row],[COPQ share of sales]]&lt;=$E$32,"On target",IF(tblVerifyMonths[[#This Row],[COPQ share of sales]]&lt;=$E$32*(1+0.05),"Near target","Above target")))</calculatedColumnFormula>
    </tableColumn>
    <tableColumn id="12" name="COPQ per unit shipped">
      <calculatedColumnFormula>IF(tblVerifyMonths[[#This Row],[Month]]="","",IF(N(tblVerifyMonths[[#This Row],[Units shipped]])&gt;0,tblVerifyMonths[[#This Row],[COPQ]]/tblVerifyMonths[[#This Row],[Units shipped]],""))</calculatedColumnFormula>
    </tableColumn>
    <tableColumn id="13" name="View date">
      <calculatedColumnFormula>IF(tblVerifyMonths[[#This Row],[Month]]="","",IF(AND(tblVerifyMonths[[#This Row],[Month]]&gt;=$E$30,tblVerifyMonths[[#This Row],[Month]]&lt;=$E$31),tblVerifyMonths[[#This Row],[Month]],""))</calculatedColumnFormula>
    </tableColumn>
    <tableColumn id="14" name="Check">
      <calculatedColumnFormula>IF(tblVerifyMonths[[#This Row],[Month]]="","",IF(tblVerifyMonths[[#This Row],[Net sales]]="","Missing net sales",IF(tblVerifyMonths[[#This Row],[Units shipped]]="","Missing units shipped",IF(DAY(tblVerifyMonths[[#This Row],[Month]])&lt;&gt;1,"Use the first day of the month",IF(COUNTIF(tblVerifyMonths[Month],tblVerifyMonths[[#This Row],[Month]])&gt;1,"Duplicate month","OK")))))</calculatedColumnFormula>
    </tableColumn>
    <tableColumn id="15"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opq-tracker" TargetMode="External"/><Relationship Id="rId2" Type="http://schemas.openxmlformats.org/officeDocument/2006/relationships/hyperlink" Target="https://www.mfgcalcs.com/calculators/quality-inspection-metrology/cost-of-poor-quality?utm_source=mfgcalcs-template&amp;utm_medium=xlsx&amp;utm_campaign=copq-tracker" TargetMode="External"/><Relationship Id="rId3" Type="http://schemas.openxmlformats.org/officeDocument/2006/relationships/hyperlink" Target="https://www.mfgcalcs.com/templates/copq-tracker?utm_source=mfgcalcs-template&amp;utm_medium=xlsx&amp;utm_campaign=copq-tracker" TargetMode="External"/><Relationship Id="rId4" Type="http://schemas.openxmlformats.org/officeDocument/2006/relationships/hyperlink" Target="https://www.mfgcalcs.com/templates?utm_source=mfgcalcs-template&amp;utm_medium=xlsx&amp;utm_campaign=copq-tracker"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opq-tracker" TargetMode="External"/><Relationship Id="rId2"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opq-tracker" TargetMode="External"/><Relationship Id="rId2"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opq-tracker" TargetMode="External"/><Relationship Id="rId2"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opq-tracker" TargetMode="External"/><Relationship Id="rId2"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opq-tracker" TargetMode="External"/><Relationship Id="rId2" Type="http://schemas.openxmlformats.org/officeDocument/2006/relationships/hyperlink" Target="https://www.mfgcalcs.com/calculators/quality-inspection-metrology/cost-of-poor-quality?utm_source=mfgcalcs-template&amp;utm_medium=xlsx&amp;utm_campaign=copq-tracker"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opq-tracker" TargetMode="External"/><Relationship Id="rId2" Type="http://schemas.openxmlformats.org/officeDocument/2006/relationships/table" Target="../tables/table4.xml"/><Relationship Id="rId3" Type="http://schemas.openxmlformats.org/officeDocument/2006/relationships/table" Target="../tables/table5.xml"/><Relationship Id="rId4"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7"/>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29.4" customHeight="1">
      <c r="B14" s="9" t="s">
        <v>11</v>
      </c>
      <c r="C14" s="10" t="s">
        <v>12</v>
      </c>
      <c r="D14" s="10"/>
      <c r="E14" s="10"/>
      <c r="F14" s="10"/>
    </row>
    <row r="15" spans="1:6" ht="16.2" customHeight="1">
      <c r="B15" s="9" t="s">
        <v>13</v>
      </c>
      <c r="C15" s="10" t="s">
        <v>14</v>
      </c>
      <c r="D15" s="10"/>
      <c r="E15" s="10"/>
      <c r="F15" s="10"/>
    </row>
    <row r="16" spans="1:6" ht="16.2"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29.4" customHeight="1">
      <c r="B21" s="11"/>
      <c r="C21" s="12" t="s">
        <v>19</v>
      </c>
      <c r="D21" s="10" t="s">
        <v>20</v>
      </c>
      <c r="E21" s="10"/>
      <c r="F21" s="10"/>
    </row>
    <row r="22" spans="2:6" ht="29.4" customHeight="1">
      <c r="B22" s="11"/>
      <c r="C22" s="12" t="s">
        <v>21</v>
      </c>
      <c r="D22" s="10" t="s">
        <v>22</v>
      </c>
      <c r="E22" s="10"/>
      <c r="F22" s="10"/>
    </row>
    <row r="23" spans="2:6" ht="29.4" customHeight="1">
      <c r="B23" s="11"/>
      <c r="C23" s="12" t="s">
        <v>23</v>
      </c>
      <c r="D23" s="10" t="s">
        <v>24</v>
      </c>
      <c r="E23" s="10"/>
      <c r="F23" s="10"/>
    </row>
    <row r="24" spans="2:6" ht="29.4" customHeight="1">
      <c r="B24" s="11"/>
      <c r="C24" s="12" t="s">
        <v>25</v>
      </c>
      <c r="D24" s="10" t="s">
        <v>26</v>
      </c>
      <c r="E24" s="10"/>
      <c r="F24" s="10"/>
    </row>
    <row r="25" spans="2:6" ht="16.2" customHeight="1">
      <c r="B25" s="11"/>
      <c r="C25" s="12" t="s">
        <v>27</v>
      </c>
      <c r="D25" s="10" t="s">
        <v>28</v>
      </c>
      <c r="E25" s="10"/>
      <c r="F25" s="10"/>
    </row>
    <row r="26" spans="2:6" ht="29.4" customHeight="1">
      <c r="B26" s="11"/>
      <c r="C26" s="12" t="s">
        <v>29</v>
      </c>
      <c r="D26" s="10" t="s">
        <v>30</v>
      </c>
      <c r="E26" s="10"/>
      <c r="F26" s="10"/>
    </row>
    <row r="28" spans="2:6" ht="21" customHeight="1">
      <c r="B28" s="8" t="s">
        <v>31</v>
      </c>
      <c r="C28" s="8"/>
      <c r="D28" s="8"/>
      <c r="E28" s="8"/>
      <c r="F28" s="8"/>
    </row>
    <row r="29" spans="2:6" ht="5" customHeight="1"/>
    <row r="30" spans="2:6" ht="29.4" customHeight="1">
      <c r="C30" s="13" t="s">
        <v>32</v>
      </c>
      <c r="D30" s="14" t="s">
        <v>33</v>
      </c>
      <c r="E30" s="14"/>
      <c r="F30" s="14"/>
    </row>
    <row r="31" spans="2:6" ht="29.4" customHeight="1">
      <c r="C31" s="15" t="s">
        <v>34</v>
      </c>
      <c r="D31" s="14" t="s">
        <v>35</v>
      </c>
      <c r="E31" s="14"/>
      <c r="F31" s="14"/>
    </row>
    <row r="32" spans="2:6" ht="16.2" customHeight="1">
      <c r="C32" s="16" t="s">
        <v>36</v>
      </c>
      <c r="D32" s="14" t="s">
        <v>37</v>
      </c>
      <c r="E32" s="14"/>
      <c r="F32" s="14"/>
    </row>
    <row r="33" spans="2:6" ht="18" customHeight="1">
      <c r="C33" s="17" t="s">
        <v>38</v>
      </c>
      <c r="D33" s="18" t="s">
        <v>39</v>
      </c>
      <c r="E33" s="19" t="s">
        <v>40</v>
      </c>
      <c r="F33" s="20" t="s">
        <v>41</v>
      </c>
    </row>
    <row r="34" spans="2:6" ht="26.76" customHeight="1">
      <c r="C34" s="21" t="s">
        <v>42</v>
      </c>
      <c r="D34" s="21"/>
      <c r="E34" s="21"/>
      <c r="F34" s="21"/>
    </row>
    <row r="36" spans="2:6" ht="21" customHeight="1">
      <c r="B36" s="8" t="s">
        <v>43</v>
      </c>
      <c r="C36" s="8"/>
      <c r="D36" s="8"/>
      <c r="E36" s="8"/>
      <c r="F36" s="8"/>
    </row>
    <row r="37" spans="2:6" ht="5" customHeight="1"/>
    <row r="38" spans="2:6" ht="26" customHeight="1">
      <c r="C38" s="17" t="s">
        <v>44</v>
      </c>
      <c r="D38" s="22" t="str">
        <f>SelfCheck</f>
        <v>PASS</v>
      </c>
      <c r="E38" s="23" t="str">
        <f>SelfCheckSummary</f>
        <v>14 of 14 checks pass</v>
      </c>
      <c r="F38" s="23"/>
    </row>
    <row r="39" spans="2:6" ht="26.76" customHeight="1">
      <c r="C39" s="21" t="s">
        <v>45</v>
      </c>
      <c r="D39" s="21"/>
      <c r="E39" s="21"/>
      <c r="F39" s="21"/>
    </row>
    <row r="40" spans="2:6">
      <c r="C40" s="17" t="s">
        <v>46</v>
      </c>
      <c r="D40" s="24" t="s">
        <v>47</v>
      </c>
      <c r="E40" s="24"/>
      <c r="F40" s="24"/>
    </row>
    <row r="41" spans="2:6">
      <c r="C41" s="17" t="s">
        <v>48</v>
      </c>
      <c r="D41" s="24" t="s">
        <v>49</v>
      </c>
      <c r="E41" s="24"/>
      <c r="F41" s="24"/>
    </row>
    <row r="42" spans="2:6">
      <c r="C42" s="17" t="s">
        <v>50</v>
      </c>
      <c r="D42" s="24" t="s">
        <v>51</v>
      </c>
      <c r="E42" s="24"/>
      <c r="F42" s="24"/>
    </row>
    <row r="43" spans="2:6">
      <c r="C43" s="17" t="s">
        <v>52</v>
      </c>
      <c r="D43" s="11" t="s">
        <v>53</v>
      </c>
      <c r="E43" s="11"/>
      <c r="F43" s="11"/>
    </row>
    <row r="45" spans="2:6" ht="21" customHeight="1">
      <c r="B45" s="8" t="s">
        <v>54</v>
      </c>
      <c r="C45" s="8"/>
      <c r="D45" s="8"/>
      <c r="E45" s="8"/>
      <c r="F45" s="8"/>
    </row>
    <row r="46" spans="2:6" ht="5" customHeight="1"/>
    <row r="47" spans="2:6" ht="75" customHeight="1">
      <c r="B47" s="25" t="s">
        <v>55</v>
      </c>
      <c r="C47" s="25"/>
      <c r="D47" s="25"/>
      <c r="E47" s="25"/>
      <c r="F47" s="25"/>
    </row>
    <row r="49" spans="2:6" ht="21" customHeight="1">
      <c r="B49" s="8" t="s">
        <v>56</v>
      </c>
      <c r="C49" s="8"/>
      <c r="D49" s="8"/>
      <c r="E49" s="8"/>
      <c r="F49" s="8"/>
    </row>
    <row r="50" spans="2:6" ht="5" customHeight="1"/>
    <row r="51" spans="2:6" ht="29.4" customHeight="1">
      <c r="B51" s="26" t="s">
        <v>57</v>
      </c>
      <c r="C51" s="10" t="s">
        <v>58</v>
      </c>
      <c r="D51" s="10"/>
      <c r="E51" s="10"/>
      <c r="F51" s="10"/>
    </row>
    <row r="52" spans="2:6" ht="16.2" customHeight="1">
      <c r="B52" s="26" t="s">
        <v>57</v>
      </c>
      <c r="C52" s="10" t="s">
        <v>59</v>
      </c>
      <c r="D52" s="10"/>
      <c r="E52" s="10"/>
      <c r="F52" s="10"/>
    </row>
    <row r="53" spans="2:6" ht="29.4" customHeight="1">
      <c r="B53" s="26" t="s">
        <v>57</v>
      </c>
      <c r="C53" s="10" t="s">
        <v>60</v>
      </c>
      <c r="D53" s="10"/>
      <c r="E53" s="10"/>
      <c r="F53" s="10"/>
    </row>
    <row r="54" spans="2:6" ht="16.2" customHeight="1">
      <c r="B54" s="26" t="s">
        <v>57</v>
      </c>
      <c r="C54" s="10" t="s">
        <v>61</v>
      </c>
      <c r="D54" s="10"/>
      <c r="E54" s="10"/>
      <c r="F54" s="10"/>
    </row>
    <row r="56" spans="2:6" ht="16.2" customHeight="1">
      <c r="B56" s="17" t="s">
        <v>62</v>
      </c>
      <c r="C56" s="17"/>
      <c r="D56" s="17"/>
      <c r="E56" s="17"/>
      <c r="F56" s="17"/>
    </row>
    <row r="57" spans="2:6" ht="26.76" customHeight="1">
      <c r="B57" s="21" t="s">
        <v>63</v>
      </c>
      <c r="C57" s="21"/>
      <c r="D57" s="21"/>
      <c r="E57" s="21"/>
      <c r="F57" s="21"/>
    </row>
  </sheetData>
  <sheetProtection sheet="1" formatColumns="0" formatRows="0"/>
  <mergeCells count="41">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D26:F26"/>
    <mergeCell ref="B28:F28"/>
    <mergeCell ref="D30:F30"/>
    <mergeCell ref="D31:F31"/>
    <mergeCell ref="D32:F32"/>
    <mergeCell ref="C34:F34"/>
    <mergeCell ref="B36:F36"/>
    <mergeCell ref="E38:F38"/>
    <mergeCell ref="C39:F39"/>
    <mergeCell ref="D40:F40"/>
    <mergeCell ref="D41:F41"/>
    <mergeCell ref="D42:F42"/>
    <mergeCell ref="D43:F43"/>
    <mergeCell ref="B45:F45"/>
    <mergeCell ref="B47:F47"/>
    <mergeCell ref="B49:F49"/>
    <mergeCell ref="C51:F51"/>
    <mergeCell ref="C52:F52"/>
    <mergeCell ref="C53:F53"/>
    <mergeCell ref="C54:F54"/>
    <mergeCell ref="B56:F56"/>
    <mergeCell ref="B57:F57"/>
  </mergeCells>
  <conditionalFormatting sqref="D38">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Cost Log'!A1" tooltip="Go to Cost Log" display="Cost Log"/>
    <hyperlink ref="C23" location="'Monthly Summary'!A1" tooltip="Go to Monthly Summary" display="Monthly Summary"/>
    <hyperlink ref="C24" location="Dashboard!A1" tooltip="Go to Dashboard" display="Dashboard"/>
    <hyperlink ref="C25" location="Method!A1" tooltip="Go to Method" display="Method"/>
    <hyperlink ref="C26" location="Verify!A1" tooltip="Go to Verify" display="Verify"/>
    <hyperlink ref="D40" r:id="rId2"/>
    <hyperlink ref="D41" r:id="rId3"/>
    <hyperlink ref="D42" r:id="rId4"/>
  </hyperlinks>
  <printOptions horizontalCentered="1"/>
  <pageMargins left="0.4" right="0.4" top="0.7" bottom="0.65" header="0.3" footer="0.3"/>
  <pageSetup fitToHeight="0" orientation="portrait"/>
  <headerFooter>
    <oddHeader>&amp;L&amp;8MFG Calcs - Cost of Poor Quality Tracker&amp;R&amp;8&amp;A</oddHeader>
    <oddFooter>&amp;L&amp;8mfgcalcs.com - free manufacturing templates&amp;R&amp;8Page &amp;P of &amp;N</oddFooter>
  </headerFooter>
  <rowBreaks count="1" manualBreakCount="1">
    <brk id="27"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31"/>
  <sheetViews>
    <sheetView showGridLines="0" workbookViewId="0"/>
  </sheetViews>
  <sheetFormatPr defaultRowHeight="15"/>
  <cols>
    <col min="1" max="1" width="2.7109375" customWidth="1"/>
    <col min="2" max="2" width="28.7109375" customWidth="1"/>
    <col min="3" max="3" width="18.7109375" customWidth="1"/>
    <col min="4" max="4" width="46.7109375" customWidth="1"/>
  </cols>
  <sheetData>
    <row r="1" spans="1:5" ht="30" customHeight="1">
      <c r="A1" s="1" t="s">
        <v>0</v>
      </c>
      <c r="B1" s="1"/>
      <c r="C1" s="1"/>
      <c r="D1" s="1"/>
      <c r="E1" s="1"/>
    </row>
    <row r="2" spans="1:5" ht="32.4" customHeight="1">
      <c r="B2" s="2" t="s">
        <v>20</v>
      </c>
      <c r="C2" s="2"/>
      <c r="D2" s="3" t="s">
        <v>2</v>
      </c>
      <c r="E2" s="3"/>
    </row>
    <row r="3" spans="1:5" ht="6" customHeight="1"/>
    <row r="4" spans="1:5" ht="21" customHeight="1">
      <c r="B4" s="8" t="s">
        <v>67</v>
      </c>
      <c r="C4" s="8"/>
      <c r="D4" s="8"/>
    </row>
    <row r="5" spans="1:5" ht="5" customHeight="1"/>
    <row r="6" spans="1:5">
      <c r="B6" s="27" t="s">
        <v>68</v>
      </c>
      <c r="C6" s="28" t="s">
        <v>69</v>
      </c>
      <c r="D6" s="28"/>
    </row>
    <row r="7" spans="1:5">
      <c r="B7" s="27" t="s">
        <v>70</v>
      </c>
      <c r="C7" s="28" t="s">
        <v>71</v>
      </c>
      <c r="D7" s="28"/>
    </row>
    <row r="8" spans="1:5">
      <c r="B8" s="27" t="s">
        <v>72</v>
      </c>
      <c r="C8" s="29">
        <v>0.03</v>
      </c>
      <c r="D8" s="7"/>
    </row>
    <row r="10" spans="1:5" ht="48.6" customHeight="1">
      <c r="B10" s="25" t="s">
        <v>73</v>
      </c>
      <c r="C10" s="25"/>
      <c r="D10" s="25"/>
    </row>
    <row r="12" spans="1:5" ht="21" customHeight="1">
      <c r="B12" s="8" t="s">
        <v>74</v>
      </c>
      <c r="C12" s="8"/>
      <c r="D12" s="8"/>
    </row>
    <row r="13" spans="1:5" ht="5" customHeight="1"/>
    <row r="14" spans="1:5" ht="38.64" customHeight="1">
      <c r="B14" s="21" t="s">
        <v>75</v>
      </c>
      <c r="C14" s="21"/>
      <c r="D14" s="21"/>
    </row>
    <row r="15" spans="1:5">
      <c r="B15" s="30" t="s">
        <v>76</v>
      </c>
      <c r="C15" s="30"/>
      <c r="D15" s="30"/>
    </row>
    <row r="16" spans="1:5" ht="20" customHeight="1">
      <c r="B16" s="31" t="s">
        <v>64</v>
      </c>
      <c r="C16" s="31" t="s">
        <v>65</v>
      </c>
      <c r="D16" s="31" t="s">
        <v>66</v>
      </c>
    </row>
    <row r="17" spans="2:4">
      <c r="B17" s="28" t="s">
        <v>77</v>
      </c>
      <c r="C17" s="28" t="s">
        <v>78</v>
      </c>
      <c r="D17" s="28" t="s">
        <v>79</v>
      </c>
    </row>
    <row r="18" spans="2:4">
      <c r="B18" s="28" t="s">
        <v>80</v>
      </c>
      <c r="C18" s="28" t="s">
        <v>78</v>
      </c>
      <c r="D18" s="28" t="s">
        <v>81</v>
      </c>
    </row>
    <row r="19" spans="2:4">
      <c r="B19" s="28" t="s">
        <v>82</v>
      </c>
      <c r="C19" s="28" t="s">
        <v>78</v>
      </c>
      <c r="D19" s="28" t="s">
        <v>83</v>
      </c>
    </row>
    <row r="20" spans="2:4">
      <c r="B20" s="28" t="s">
        <v>84</v>
      </c>
      <c r="C20" s="28" t="s">
        <v>78</v>
      </c>
      <c r="D20" s="28" t="s">
        <v>85</v>
      </c>
    </row>
    <row r="21" spans="2:4">
      <c r="B21" s="28" t="s">
        <v>86</v>
      </c>
      <c r="C21" s="28" t="s">
        <v>87</v>
      </c>
      <c r="D21" s="28" t="s">
        <v>88</v>
      </c>
    </row>
    <row r="22" spans="2:4">
      <c r="B22" s="28" t="s">
        <v>89</v>
      </c>
      <c r="C22" s="28" t="s">
        <v>87</v>
      </c>
      <c r="D22" s="28" t="s">
        <v>90</v>
      </c>
    </row>
    <row r="23" spans="2:4">
      <c r="B23" s="28" t="s">
        <v>91</v>
      </c>
      <c r="C23" s="28" t="s">
        <v>87</v>
      </c>
      <c r="D23" s="28" t="s">
        <v>92</v>
      </c>
    </row>
    <row r="24" spans="2:4">
      <c r="B24" s="28" t="s">
        <v>93</v>
      </c>
      <c r="C24" s="28" t="s">
        <v>94</v>
      </c>
      <c r="D24" s="28" t="s">
        <v>95</v>
      </c>
    </row>
    <row r="25" spans="2:4">
      <c r="B25" s="28" t="s">
        <v>96</v>
      </c>
      <c r="C25" s="28" t="s">
        <v>94</v>
      </c>
      <c r="D25" s="28" t="s">
        <v>97</v>
      </c>
    </row>
    <row r="26" spans="2:4">
      <c r="B26" s="28" t="s">
        <v>98</v>
      </c>
      <c r="C26" s="28" t="s">
        <v>94</v>
      </c>
      <c r="D26" s="28" t="s">
        <v>99</v>
      </c>
    </row>
    <row r="27" spans="2:4">
      <c r="B27" s="28" t="s">
        <v>100</v>
      </c>
      <c r="C27" s="28" t="s">
        <v>94</v>
      </c>
      <c r="D27" s="28" t="s">
        <v>101</v>
      </c>
    </row>
    <row r="28" spans="2:4">
      <c r="B28" s="28" t="s">
        <v>102</v>
      </c>
      <c r="C28" s="28" t="s">
        <v>103</v>
      </c>
      <c r="D28" s="28" t="s">
        <v>104</v>
      </c>
    </row>
    <row r="29" spans="2:4">
      <c r="B29" s="28" t="s">
        <v>105</v>
      </c>
      <c r="C29" s="28" t="s">
        <v>103</v>
      </c>
      <c r="D29" s="28" t="s">
        <v>106</v>
      </c>
    </row>
    <row r="30" spans="2:4">
      <c r="B30" s="28" t="s">
        <v>107</v>
      </c>
      <c r="C30" s="28" t="s">
        <v>103</v>
      </c>
      <c r="D30" s="28" t="s">
        <v>108</v>
      </c>
    </row>
    <row r="31" spans="2:4">
      <c r="B31" s="28" t="s">
        <v>109</v>
      </c>
      <c r="C31" s="28" t="s">
        <v>103</v>
      </c>
      <c r="D31" s="28" t="s">
        <v>110</v>
      </c>
    </row>
  </sheetData>
  <mergeCells count="10">
    <mergeCell ref="A1:E1"/>
    <mergeCell ref="B2:C2"/>
    <mergeCell ref="D2:E2"/>
    <mergeCell ref="B4:D4"/>
    <mergeCell ref="C6:D6"/>
    <mergeCell ref="C7:D7"/>
    <mergeCell ref="B10:D10"/>
    <mergeCell ref="B12:D12"/>
    <mergeCell ref="B14:D14"/>
    <mergeCell ref="B15:D15"/>
  </mergeCells>
  <dataValidations count="6">
    <dataValidation type="textLength" allowBlank="1" showInputMessage="1" showErrorMessage="1" errorTitle="Check this entry" error="Text up to 80 characters." promptTitle="Company or site name" prompt="Shown on the Dashboard header. Text up to 80 characters." sqref="C6">
      <formula1>0</formula1>
      <formula2>80</formula2>
    </dataValidation>
    <dataValidation type="textLength" allowBlank="1" showInputMessage="1" showErrorMessage="1" errorTitle="Check this entry" error="Text up to 12 characters." promptTitle="Currency label" prompt="Text shown next to money values, e.g. USD, INR, GBP, EUR, MXN. No exchange rate is applied. Text up to 12 characters." sqref="C7">
      <formula1>0</formula1>
      <formula2>12</formula2>
    </dataValidation>
    <dataValidation type="decimal" allowBlank="1" showInputMessage="1" showErrorMessage="1" errorTitle="Check this entry" error="Enter a percentage from 0% to 100% (type 85% or 0.85)." promptTitle="COPQ target (at most, share o..." prompt="Your own limit for the cost of poor quality as a share of net sales. Lower is better. Enter a percentage from 0% to 100% (type 85% or 0.85)." sqref="C8">
      <formula1>0</formula1>
      <formula2>1</formula2>
    </dataValidation>
    <dataValidation type="textLength" allowBlank="1" showInputMessage="1" showErrorMessage="1" errorTitle="Check this entry" error="Text up to 40 characters." promptTitle="Element" prompt="Text up to 40 characters." sqref="B17:B131">
      <formula1>0</formula1>
      <formula2>40</formula2>
    </dataValidation>
    <dataValidation type="list" allowBlank="1" showInputMessage="1" showErrorMessage="1" errorTitle="Check this entry" error="Pick one of: Prevention, Appraisal, Internal failure, External failure." promptTitle="Category" prompt="Prevention, Appraisal, Internal failure or External failure. Pick one of: Prevention, Appraisal, Internal failure, External failure." sqref="C17:C131">
      <formula1>"Prevention,Appraisal,Internal failure,External failure"</formula1>
    </dataValidation>
    <dataValidation type="textLength" allowBlank="1" showInputMessage="1" showErrorMessage="1" errorTitle="Check this entry" error="Text up to 160 characters." promptTitle="What to include" prompt="Text up to 160 characters." sqref="D17:D131">
      <formula1>0</formula1>
      <formula2>160</formula2>
    </dataValidation>
  </dataValidations>
  <hyperlinks>
    <hyperlink ref="D2" r:id="rId1" tooltip="Free manufacturing calculators and templates"/>
  </hyperlinks>
  <pageMargins left="0.4" right="0.4" top="0.7" bottom="0.65" header="0.3" footer="0.3"/>
  <pageSetup fitToHeight="0" orientation="portrait"/>
  <headerFooter>
    <oddHeader>&amp;L&amp;8MFG Calcs - Cost of Poor Quality Tracker&amp;R&amp;8&amp;A</oddHeader>
    <oddFooter>&amp;L&amp;8mfgcalcs.com - free manufacturing templates&amp;R&amp;8Page &amp;P of &amp;N</oddFooter>
  </headerFooter>
  <tableParts count="1">
    <tablePart r:id="rId2"/>
  </tableParts>
</worksheet>
</file>

<file path=xl/worksheets/sheet3.xml><?xml version="1.0" encoding="utf-8"?>
<worksheet xmlns="http://schemas.openxmlformats.org/spreadsheetml/2006/main" xmlns:r="http://schemas.openxmlformats.org/officeDocument/2006/relationships">
  <sheetPr>
    <tabColor rgb="FF3B64D8"/>
    <pageSetUpPr fitToPage="1"/>
  </sheetPr>
  <dimension ref="A1:J201"/>
  <sheetViews>
    <sheetView workbookViewId="0">
      <pane xSplit="3" ySplit="6" topLeftCell="D7" activePane="bottomRight" state="frozen"/>
      <selection pane="topRight" activeCell="D1" sqref="D1"/>
      <selection pane="bottomLeft" activeCell="A7" sqref="A7"/>
      <selection pane="bottomRight"/>
    </sheetView>
  </sheetViews>
  <sheetFormatPr defaultRowHeight="15"/>
  <cols>
    <col min="1" max="1" width="2.7109375" customWidth="1"/>
    <col min="2" max="2" width="12.28515625" customWidth="1"/>
    <col min="3" max="3" width="24.7109375" customWidth="1"/>
    <col min="4" max="4" width="11.7109375" customWidth="1"/>
    <col min="5" max="5" width="12.7109375" customWidth="1"/>
    <col min="6" max="6" width="15.7109375" customWidth="1"/>
    <col min="7" max="8" width="10.7109375" customWidth="1"/>
    <col min="9" max="10" width="32.7109375" customWidth="1"/>
  </cols>
  <sheetData>
    <row r="1" spans="1:10" ht="30" customHeight="1">
      <c r="A1" s="1" t="s">
        <v>0</v>
      </c>
      <c r="B1" s="1"/>
      <c r="C1" s="1"/>
      <c r="D1" s="1"/>
      <c r="E1" s="1"/>
      <c r="F1" s="1"/>
      <c r="G1" s="1"/>
      <c r="H1" s="1"/>
      <c r="I1" s="1"/>
      <c r="J1" s="1"/>
    </row>
    <row r="2" spans="1:10" ht="21" customHeight="1">
      <c r="B2" s="2" t="s">
        <v>22</v>
      </c>
      <c r="C2" s="2"/>
      <c r="D2" s="2"/>
      <c r="E2" s="2"/>
      <c r="F2" s="2"/>
      <c r="G2" s="2"/>
      <c r="H2" s="2"/>
      <c r="I2" s="2"/>
      <c r="J2" s="3" t="s">
        <v>2</v>
      </c>
    </row>
    <row r="3" spans="1:10" ht="6" customHeight="1"/>
    <row r="4" spans="1:10" ht="29.76" customHeight="1">
      <c r="B4" s="32" t="s">
        <v>118</v>
      </c>
      <c r="C4" s="32"/>
      <c r="D4" s="32"/>
      <c r="E4" s="32"/>
      <c r="F4" s="32"/>
      <c r="G4" s="32"/>
      <c r="H4" s="32"/>
      <c r="I4" s="32"/>
      <c r="J4" s="32"/>
    </row>
    <row r="5" spans="1:10" ht="14" customHeight="1">
      <c r="B5" s="33"/>
      <c r="C5" s="33"/>
      <c r="D5" s="33" t="str">
        <f>Currency</f>
        <v>USD</v>
      </c>
      <c r="E5" s="33"/>
      <c r="F5" s="33"/>
      <c r="G5" s="33"/>
      <c r="H5" s="33"/>
      <c r="I5" s="33"/>
      <c r="J5" s="33"/>
    </row>
    <row r="6" spans="1:10" ht="20" customHeight="1">
      <c r="B6" s="31" t="s">
        <v>111</v>
      </c>
      <c r="C6" s="31" t="s">
        <v>64</v>
      </c>
      <c r="D6" s="31" t="s">
        <v>112</v>
      </c>
      <c r="E6" s="31" t="s">
        <v>113</v>
      </c>
      <c r="F6" s="31" t="s">
        <v>65</v>
      </c>
      <c r="G6" s="31" t="s">
        <v>114</v>
      </c>
      <c r="H6" s="31" t="s">
        <v>115</v>
      </c>
      <c r="I6" s="31" t="s">
        <v>116</v>
      </c>
      <c r="J6" s="31" t="s">
        <v>117</v>
      </c>
    </row>
    <row r="7" spans="1:10">
      <c r="B7" s="34">
        <v>45938</v>
      </c>
      <c r="C7" s="28" t="s">
        <v>102</v>
      </c>
      <c r="D7" s="35">
        <v>11700</v>
      </c>
      <c r="E7" s="28" t="s">
        <v>119</v>
      </c>
      <c r="F7" s="36" t="str">
        <f>IF(tblCosts[[#This Row],[Date]]="","",IFERROR(INDEX(tblElements[Category],MATCH(tblCosts[[#This Row],[Element]],tblElements[Element],0)),""))</f>
        <v>External failure</v>
      </c>
      <c r="G7" s="37">
        <f>IF(tblCosts[[#This Row],[Date]]="","",DATE(YEAR(tblCosts[[#This Row],[Date]]),MONTH(tblCosts[[#This Row],[Date]]),1))</f>
        <v>45931</v>
      </c>
      <c r="H7" s="37">
        <f>IF(tblCosts[[#This Row],[Date]]="","",IF(AND(tblCosts[[#This Row],[Month]]&gt;=FFrom,tblCosts[[#This Row],[Month]]&lt;=FTo),tblCosts[[#This Row],[Month]],""))</f>
        <v>45931</v>
      </c>
      <c r="I7" s="38" t="str">
        <f>IF(tblCosts[[#This Row],[Date]]="","",IF(tblCosts[[#This Row],[Element]]="","Missing element",IF(tblCosts[[#This Row],[Amount]]="","Missing amount",IF(tblCosts[[#This Row],[Category]]="","Element not on Setup list",IF(COUNTIF(tblMonths[Month],tblCosts[[#This Row],[Month]])=0,"No Monthly Summary row for this month","OK")))))</f>
        <v>OK</v>
      </c>
      <c r="J7" s="39" t="s">
        <v>120</v>
      </c>
    </row>
    <row r="8" spans="1:10">
      <c r="B8" s="34">
        <v>45946</v>
      </c>
      <c r="C8" s="28" t="s">
        <v>102</v>
      </c>
      <c r="D8" s="35">
        <v>9750</v>
      </c>
      <c r="E8" s="28" t="s">
        <v>121</v>
      </c>
      <c r="F8" s="36" t="str">
        <f>IF(tblCosts[[#This Row],[Date]]="","",IFERROR(INDEX(tblElements[Category],MATCH(tblCosts[[#This Row],[Element]],tblElements[Element],0)),""))</f>
        <v>External failure</v>
      </c>
      <c r="G8" s="37">
        <f>IF(tblCosts[[#This Row],[Date]]="","",DATE(YEAR(tblCosts[[#This Row],[Date]]),MONTH(tblCosts[[#This Row],[Date]]),1))</f>
        <v>45931</v>
      </c>
      <c r="H8" s="37">
        <f>IF(tblCosts[[#This Row],[Date]]="","",IF(AND(tblCosts[[#This Row],[Month]]&gt;=FFrom,tblCosts[[#This Row],[Month]]&lt;=FTo),tblCosts[[#This Row],[Month]],""))</f>
        <v>45931</v>
      </c>
      <c r="I8" s="38" t="str">
        <f>IF(tblCosts[[#This Row],[Date]]="","",IF(tblCosts[[#This Row],[Element]]="","Missing element",IF(tblCosts[[#This Row],[Amount]]="","Missing amount",IF(tblCosts[[#This Row],[Category]]="","Element not on Setup list",IF(COUNTIF(tblMonths[Month],tblCosts[[#This Row],[Month]])=0,"No Monthly Summary row for this month","OK")))))</f>
        <v>OK</v>
      </c>
      <c r="J8" s="39" t="s">
        <v>120</v>
      </c>
    </row>
    <row r="9" spans="1:10">
      <c r="B9" s="34">
        <v>45952</v>
      </c>
      <c r="C9" s="28" t="s">
        <v>102</v>
      </c>
      <c r="D9" s="35">
        <v>12310</v>
      </c>
      <c r="E9" s="28" t="s">
        <v>122</v>
      </c>
      <c r="F9" s="36" t="str">
        <f>IF(tblCosts[[#This Row],[Date]]="","",IFERROR(INDEX(tblElements[Category],MATCH(tblCosts[[#This Row],[Element]],tblElements[Element],0)),""))</f>
        <v>External failure</v>
      </c>
      <c r="G9" s="37">
        <f>IF(tblCosts[[#This Row],[Date]]="","",DATE(YEAR(tblCosts[[#This Row],[Date]]),MONTH(tblCosts[[#This Row],[Date]]),1))</f>
        <v>45931</v>
      </c>
      <c r="H9" s="37">
        <f>IF(tblCosts[[#This Row],[Date]]="","",IF(AND(tblCosts[[#This Row],[Month]]&gt;=FFrom,tblCosts[[#This Row],[Month]]&lt;=FTo),tblCosts[[#This Row],[Month]],""))</f>
        <v>45931</v>
      </c>
      <c r="I9" s="38" t="str">
        <f>IF(tblCosts[[#This Row],[Date]]="","",IF(tblCosts[[#This Row],[Element]]="","Missing element",IF(tblCosts[[#This Row],[Amount]]="","Missing amount",IF(tblCosts[[#This Row],[Category]]="","Element not on Setup list",IF(COUNTIF(tblMonths[Month],tblCosts[[#This Row],[Month]])=0,"No Monthly Summary row for this month","OK")))))</f>
        <v>OK</v>
      </c>
      <c r="J9" s="39" t="s">
        <v>120</v>
      </c>
    </row>
    <row r="10" spans="1:10">
      <c r="B10" s="34">
        <v>45958</v>
      </c>
      <c r="C10" s="28" t="s">
        <v>102</v>
      </c>
      <c r="D10" s="35">
        <v>10800</v>
      </c>
      <c r="E10" s="28" t="s">
        <v>123</v>
      </c>
      <c r="F10" s="36" t="str">
        <f>IF(tblCosts[[#This Row],[Date]]="","",IFERROR(INDEX(tblElements[Category],MATCH(tblCosts[[#This Row],[Element]],tblElements[Element],0)),""))</f>
        <v>External failure</v>
      </c>
      <c r="G10" s="37">
        <f>IF(tblCosts[[#This Row],[Date]]="","",DATE(YEAR(tblCosts[[#This Row],[Date]]),MONTH(tblCosts[[#This Row],[Date]]),1))</f>
        <v>45931</v>
      </c>
      <c r="H10" s="37">
        <f>IF(tblCosts[[#This Row],[Date]]="","",IF(AND(tblCosts[[#This Row],[Month]]&gt;=FFrom,tblCosts[[#This Row],[Month]]&lt;=FTo),tblCosts[[#This Row],[Month]],""))</f>
        <v>45931</v>
      </c>
      <c r="I10" s="38" t="str">
        <f>IF(tblCosts[[#This Row],[Date]]="","",IF(tblCosts[[#This Row],[Element]]="","Missing element",IF(tblCosts[[#This Row],[Amount]]="","Missing amount",IF(tblCosts[[#This Row],[Category]]="","Element not on Setup list",IF(COUNTIF(tblMonths[Month],tblCosts[[#This Row],[Month]])=0,"No Monthly Summary row for this month","OK")))))</f>
        <v>OK</v>
      </c>
      <c r="J10" s="39" t="s">
        <v>120</v>
      </c>
    </row>
    <row r="11" spans="1:10">
      <c r="B11" s="34">
        <v>45961</v>
      </c>
      <c r="C11" s="28" t="s">
        <v>77</v>
      </c>
      <c r="D11" s="35">
        <v>4430</v>
      </c>
      <c r="E11" s="28" t="s">
        <v>124</v>
      </c>
      <c r="F11" s="36" t="str">
        <f>IF(tblCosts[[#This Row],[Date]]="","",IFERROR(INDEX(tblElements[Category],MATCH(tblCosts[[#This Row],[Element]],tblElements[Element],0)),""))</f>
        <v>Prevention</v>
      </c>
      <c r="G11" s="37">
        <f>IF(tblCosts[[#This Row],[Date]]="","",DATE(YEAR(tblCosts[[#This Row],[Date]]),MONTH(tblCosts[[#This Row],[Date]]),1))</f>
        <v>45931</v>
      </c>
      <c r="H11" s="37">
        <f>IF(tblCosts[[#This Row],[Date]]="","",IF(AND(tblCosts[[#This Row],[Month]]&gt;=FFrom,tblCosts[[#This Row],[Month]]&lt;=FTo),tblCosts[[#This Row],[Month]],""))</f>
        <v>45931</v>
      </c>
      <c r="I11" s="38" t="str">
        <f>IF(tblCosts[[#This Row],[Date]]="","",IF(tblCosts[[#This Row],[Element]]="","Missing element",IF(tblCosts[[#This Row],[Amount]]="","Missing amount",IF(tblCosts[[#This Row],[Category]]="","Element not on Setup list",IF(COUNTIF(tblMonths[Month],tblCosts[[#This Row],[Month]])=0,"No Monthly Summary row for this month","OK")))))</f>
        <v>OK</v>
      </c>
      <c r="J11" s="39" t="s">
        <v>125</v>
      </c>
    </row>
    <row r="12" spans="1:10">
      <c r="B12" s="34">
        <v>45961</v>
      </c>
      <c r="C12" s="28" t="s">
        <v>80</v>
      </c>
      <c r="D12" s="35">
        <v>2280</v>
      </c>
      <c r="E12" s="28" t="s">
        <v>124</v>
      </c>
      <c r="F12" s="36" t="str">
        <f>IF(tblCosts[[#This Row],[Date]]="","",IFERROR(INDEX(tblElements[Category],MATCH(tblCosts[[#This Row],[Element]],tblElements[Element],0)),""))</f>
        <v>Prevention</v>
      </c>
      <c r="G12" s="37">
        <f>IF(tblCosts[[#This Row],[Date]]="","",DATE(YEAR(tblCosts[[#This Row],[Date]]),MONTH(tblCosts[[#This Row],[Date]]),1))</f>
        <v>45931</v>
      </c>
      <c r="H12" s="37">
        <f>IF(tblCosts[[#This Row],[Date]]="","",IF(AND(tblCosts[[#This Row],[Month]]&gt;=FFrom,tblCosts[[#This Row],[Month]]&lt;=FTo),tblCosts[[#This Row],[Month]],""))</f>
        <v>45931</v>
      </c>
      <c r="I12" s="38" t="str">
        <f>IF(tblCosts[[#This Row],[Date]]="","",IF(tblCosts[[#This Row],[Element]]="","Missing element",IF(tblCosts[[#This Row],[Amount]]="","Missing amount",IF(tblCosts[[#This Row],[Category]]="","Element not on Setup list",IF(COUNTIF(tblMonths[Month],tblCosts[[#This Row],[Month]])=0,"No Monthly Summary row for this month","OK")))))</f>
        <v>OK</v>
      </c>
      <c r="J12" s="39" t="s">
        <v>125</v>
      </c>
    </row>
    <row r="13" spans="1:10">
      <c r="B13" s="34">
        <v>45961</v>
      </c>
      <c r="C13" s="28" t="s">
        <v>82</v>
      </c>
      <c r="D13" s="35">
        <v>2160</v>
      </c>
      <c r="E13" s="28" t="s">
        <v>124</v>
      </c>
      <c r="F13" s="36" t="str">
        <f>IF(tblCosts[[#This Row],[Date]]="","",IFERROR(INDEX(tblElements[Category],MATCH(tblCosts[[#This Row],[Element]],tblElements[Element],0)),""))</f>
        <v>Prevention</v>
      </c>
      <c r="G13" s="37">
        <f>IF(tblCosts[[#This Row],[Date]]="","",DATE(YEAR(tblCosts[[#This Row],[Date]]),MONTH(tblCosts[[#This Row],[Date]]),1))</f>
        <v>45931</v>
      </c>
      <c r="H13" s="37">
        <f>IF(tblCosts[[#This Row],[Date]]="","",IF(AND(tblCosts[[#This Row],[Month]]&gt;=FFrom,tblCosts[[#This Row],[Month]]&lt;=FTo),tblCosts[[#This Row],[Month]],""))</f>
        <v>45931</v>
      </c>
      <c r="I13" s="38" t="str">
        <f>IF(tblCosts[[#This Row],[Date]]="","",IF(tblCosts[[#This Row],[Element]]="","Missing element",IF(tblCosts[[#This Row],[Amount]]="","Missing amount",IF(tblCosts[[#This Row],[Category]]="","Element not on Setup list",IF(COUNTIF(tblMonths[Month],tblCosts[[#This Row],[Month]])=0,"No Monthly Summary row for this month","OK")))))</f>
        <v>OK</v>
      </c>
      <c r="J13" s="39" t="s">
        <v>125</v>
      </c>
    </row>
    <row r="14" spans="1:10">
      <c r="B14" s="34">
        <v>45961</v>
      </c>
      <c r="C14" s="28" t="s">
        <v>84</v>
      </c>
      <c r="D14" s="35">
        <v>1850</v>
      </c>
      <c r="E14" s="28" t="s">
        <v>124</v>
      </c>
      <c r="F14" s="36" t="str">
        <f>IF(tblCosts[[#This Row],[Date]]="","",IFERROR(INDEX(tblElements[Category],MATCH(tblCosts[[#This Row],[Element]],tblElements[Element],0)),""))</f>
        <v>Prevention</v>
      </c>
      <c r="G14" s="37">
        <f>IF(tblCosts[[#This Row],[Date]]="","",DATE(YEAR(tblCosts[[#This Row],[Date]]),MONTH(tblCosts[[#This Row],[Date]]),1))</f>
        <v>45931</v>
      </c>
      <c r="H14" s="37">
        <f>IF(tblCosts[[#This Row],[Date]]="","",IF(AND(tblCosts[[#This Row],[Month]]&gt;=FFrom,tblCosts[[#This Row],[Month]]&lt;=FTo),tblCosts[[#This Row],[Month]],""))</f>
        <v>45931</v>
      </c>
      <c r="I14" s="38" t="str">
        <f>IF(tblCosts[[#This Row],[Date]]="","",IF(tblCosts[[#This Row],[Element]]="","Missing element",IF(tblCosts[[#This Row],[Amount]]="","Missing amount",IF(tblCosts[[#This Row],[Category]]="","Element not on Setup list",IF(COUNTIF(tblMonths[Month],tblCosts[[#This Row],[Month]])=0,"No Monthly Summary row for this month","OK")))))</f>
        <v>OK</v>
      </c>
      <c r="J14" s="39" t="s">
        <v>125</v>
      </c>
    </row>
    <row r="15" spans="1:10">
      <c r="B15" s="34">
        <v>45961</v>
      </c>
      <c r="C15" s="28" t="s">
        <v>86</v>
      </c>
      <c r="D15" s="35">
        <v>6470</v>
      </c>
      <c r="E15" s="28" t="s">
        <v>126</v>
      </c>
      <c r="F15" s="36" t="str">
        <f>IF(tblCosts[[#This Row],[Date]]="","",IFERROR(INDEX(tblElements[Category],MATCH(tblCosts[[#This Row],[Element]],tblElements[Element],0)),""))</f>
        <v>Appraisal</v>
      </c>
      <c r="G15" s="37">
        <f>IF(tblCosts[[#This Row],[Date]]="","",DATE(YEAR(tblCosts[[#This Row],[Date]]),MONTH(tblCosts[[#This Row],[Date]]),1))</f>
        <v>45931</v>
      </c>
      <c r="H15" s="37">
        <f>IF(tblCosts[[#This Row],[Date]]="","",IF(AND(tblCosts[[#This Row],[Month]]&gt;=FFrom,tblCosts[[#This Row],[Month]]&lt;=FTo),tblCosts[[#This Row],[Month]],""))</f>
        <v>45931</v>
      </c>
      <c r="I15" s="38" t="str">
        <f>IF(tblCosts[[#This Row],[Date]]="","",IF(tblCosts[[#This Row],[Element]]="","Missing element",IF(tblCosts[[#This Row],[Amount]]="","Missing amount",IF(tblCosts[[#This Row],[Category]]="","Element not on Setup list",IF(COUNTIF(tblMonths[Month],tblCosts[[#This Row],[Month]])=0,"No Monthly Summary row for this month","OK")))))</f>
        <v>OK</v>
      </c>
      <c r="J15" s="39" t="s">
        <v>125</v>
      </c>
    </row>
    <row r="16" spans="1:10">
      <c r="B16" s="34">
        <v>45961</v>
      </c>
      <c r="C16" s="28" t="s">
        <v>89</v>
      </c>
      <c r="D16" s="35">
        <v>14300</v>
      </c>
      <c r="E16" s="28" t="s">
        <v>126</v>
      </c>
      <c r="F16" s="36" t="str">
        <f>IF(tblCosts[[#This Row],[Date]]="","",IFERROR(INDEX(tblElements[Category],MATCH(tblCosts[[#This Row],[Element]],tblElements[Element],0)),""))</f>
        <v>Appraisal</v>
      </c>
      <c r="G16" s="37">
        <f>IF(tblCosts[[#This Row],[Date]]="","",DATE(YEAR(tblCosts[[#This Row],[Date]]),MONTH(tblCosts[[#This Row],[Date]]),1))</f>
        <v>45931</v>
      </c>
      <c r="H16" s="37">
        <f>IF(tblCosts[[#This Row],[Date]]="","",IF(AND(tblCosts[[#This Row],[Month]]&gt;=FFrom,tblCosts[[#This Row],[Month]]&lt;=FTo),tblCosts[[#This Row],[Month]],""))</f>
        <v>45931</v>
      </c>
      <c r="I16" s="38" t="str">
        <f>IF(tblCosts[[#This Row],[Date]]="","",IF(tblCosts[[#This Row],[Element]]="","Missing element",IF(tblCosts[[#This Row],[Amount]]="","Missing amount",IF(tblCosts[[#This Row],[Category]]="","Element not on Setup list",IF(COUNTIF(tblMonths[Month],tblCosts[[#This Row],[Month]])=0,"No Monthly Summary row for this month","OK")))))</f>
        <v>OK</v>
      </c>
      <c r="J16" s="39" t="s">
        <v>125</v>
      </c>
    </row>
    <row r="17" spans="2:10">
      <c r="B17" s="34">
        <v>45961</v>
      </c>
      <c r="C17" s="28" t="s">
        <v>91</v>
      </c>
      <c r="D17" s="35">
        <v>2510</v>
      </c>
      <c r="E17" s="28" t="s">
        <v>126</v>
      </c>
      <c r="F17" s="36" t="str">
        <f>IF(tblCosts[[#This Row],[Date]]="","",IFERROR(INDEX(tblElements[Category],MATCH(tblCosts[[#This Row],[Element]],tblElements[Element],0)),""))</f>
        <v>Appraisal</v>
      </c>
      <c r="G17" s="37">
        <f>IF(tblCosts[[#This Row],[Date]]="","",DATE(YEAR(tblCosts[[#This Row],[Date]]),MONTH(tblCosts[[#This Row],[Date]]),1))</f>
        <v>45931</v>
      </c>
      <c r="H17" s="37">
        <f>IF(tblCosts[[#This Row],[Date]]="","",IF(AND(tblCosts[[#This Row],[Month]]&gt;=FFrom,tblCosts[[#This Row],[Month]]&lt;=FTo),tblCosts[[#This Row],[Month]],""))</f>
        <v>45931</v>
      </c>
      <c r="I17" s="38" t="str">
        <f>IF(tblCosts[[#This Row],[Date]]="","",IF(tblCosts[[#This Row],[Element]]="","Missing element",IF(tblCosts[[#This Row],[Amount]]="","Missing amount",IF(tblCosts[[#This Row],[Category]]="","Element not on Setup list",IF(COUNTIF(tblMonths[Month],tblCosts[[#This Row],[Month]])=0,"No Monthly Summary row for this month","OK")))))</f>
        <v>OK</v>
      </c>
      <c r="J17" s="39" t="s">
        <v>125</v>
      </c>
    </row>
    <row r="18" spans="2:10">
      <c r="B18" s="34">
        <v>45961</v>
      </c>
      <c r="C18" s="28" t="s">
        <v>93</v>
      </c>
      <c r="D18" s="35">
        <v>12840</v>
      </c>
      <c r="E18" s="28" t="s">
        <v>127</v>
      </c>
      <c r="F18" s="36" t="str">
        <f>IF(tblCosts[[#This Row],[Date]]="","",IFERROR(INDEX(tblElements[Category],MATCH(tblCosts[[#This Row],[Element]],tblElements[Element],0)),""))</f>
        <v>Internal failure</v>
      </c>
      <c r="G18" s="37">
        <f>IF(tblCosts[[#This Row],[Date]]="","",DATE(YEAR(tblCosts[[#This Row],[Date]]),MONTH(tblCosts[[#This Row],[Date]]),1))</f>
        <v>45931</v>
      </c>
      <c r="H18" s="37">
        <f>IF(tblCosts[[#This Row],[Date]]="","",IF(AND(tblCosts[[#This Row],[Month]]&gt;=FFrom,tblCosts[[#This Row],[Month]]&lt;=FTo),tblCosts[[#This Row],[Month]],""))</f>
        <v>45931</v>
      </c>
      <c r="I18" s="38" t="str">
        <f>IF(tblCosts[[#This Row],[Date]]="","",IF(tblCosts[[#This Row],[Element]]="","Missing element",IF(tblCosts[[#This Row],[Amount]]="","Missing amount",IF(tblCosts[[#This Row],[Category]]="","Element not on Setup list",IF(COUNTIF(tblMonths[Month],tblCosts[[#This Row],[Month]])=0,"No Monthly Summary row for this month","OK")))))</f>
        <v>OK</v>
      </c>
      <c r="J18" s="39" t="s">
        <v>125</v>
      </c>
    </row>
    <row r="19" spans="2:10">
      <c r="B19" s="34">
        <v>45961</v>
      </c>
      <c r="C19" s="28" t="s">
        <v>96</v>
      </c>
      <c r="D19" s="35">
        <v>9790</v>
      </c>
      <c r="E19" s="28" t="s">
        <v>127</v>
      </c>
      <c r="F19" s="36" t="str">
        <f>IF(tblCosts[[#This Row],[Date]]="","",IFERROR(INDEX(tblElements[Category],MATCH(tblCosts[[#This Row],[Element]],tblElements[Element],0)),""))</f>
        <v>Internal failure</v>
      </c>
      <c r="G19" s="37">
        <f>IF(tblCosts[[#This Row],[Date]]="","",DATE(YEAR(tblCosts[[#This Row],[Date]]),MONTH(tblCosts[[#This Row],[Date]]),1))</f>
        <v>45931</v>
      </c>
      <c r="H19" s="37">
        <f>IF(tblCosts[[#This Row],[Date]]="","",IF(AND(tblCosts[[#This Row],[Month]]&gt;=FFrom,tblCosts[[#This Row],[Month]]&lt;=FTo),tblCosts[[#This Row],[Month]],""))</f>
        <v>45931</v>
      </c>
      <c r="I19" s="38" t="str">
        <f>IF(tblCosts[[#This Row],[Date]]="","",IF(tblCosts[[#This Row],[Element]]="","Missing element",IF(tblCosts[[#This Row],[Amount]]="","Missing amount",IF(tblCosts[[#This Row],[Category]]="","Element not on Setup list",IF(COUNTIF(tblMonths[Month],tblCosts[[#This Row],[Month]])=0,"No Monthly Summary row for this month","OK")))))</f>
        <v>OK</v>
      </c>
      <c r="J19" s="39" t="s">
        <v>125</v>
      </c>
    </row>
    <row r="20" spans="2:10">
      <c r="B20" s="34">
        <v>45961</v>
      </c>
      <c r="C20" s="28" t="s">
        <v>98</v>
      </c>
      <c r="D20" s="35">
        <v>2490</v>
      </c>
      <c r="E20" s="28" t="s">
        <v>127</v>
      </c>
      <c r="F20" s="36" t="str">
        <f>IF(tblCosts[[#This Row],[Date]]="","",IFERROR(INDEX(tblElements[Category],MATCH(tblCosts[[#This Row],[Element]],tblElements[Element],0)),""))</f>
        <v>Internal failure</v>
      </c>
      <c r="G20" s="37">
        <f>IF(tblCosts[[#This Row],[Date]]="","",DATE(YEAR(tblCosts[[#This Row],[Date]]),MONTH(tblCosts[[#This Row],[Date]]),1))</f>
        <v>45931</v>
      </c>
      <c r="H20" s="37">
        <f>IF(tblCosts[[#This Row],[Date]]="","",IF(AND(tblCosts[[#This Row],[Month]]&gt;=FFrom,tblCosts[[#This Row],[Month]]&lt;=FTo),tblCosts[[#This Row],[Month]],""))</f>
        <v>45931</v>
      </c>
      <c r="I20" s="38" t="str">
        <f>IF(tblCosts[[#This Row],[Date]]="","",IF(tblCosts[[#This Row],[Element]]="","Missing element",IF(tblCosts[[#This Row],[Amount]]="","Missing amount",IF(tblCosts[[#This Row],[Category]]="","Element not on Setup list",IF(COUNTIF(tblMonths[Month],tblCosts[[#This Row],[Month]])=0,"No Monthly Summary row for this month","OK")))))</f>
        <v>OK</v>
      </c>
      <c r="J20" s="39" t="s">
        <v>125</v>
      </c>
    </row>
    <row r="21" spans="2:10">
      <c r="B21" s="34">
        <v>45961</v>
      </c>
      <c r="C21" s="28" t="s">
        <v>100</v>
      </c>
      <c r="D21" s="35">
        <v>2040</v>
      </c>
      <c r="E21" s="28" t="s">
        <v>127</v>
      </c>
      <c r="F21" s="36" t="str">
        <f>IF(tblCosts[[#This Row],[Date]]="","",IFERROR(INDEX(tblElements[Category],MATCH(tblCosts[[#This Row],[Element]],tblElements[Element],0)),""))</f>
        <v>Internal failure</v>
      </c>
      <c r="G21" s="37">
        <f>IF(tblCosts[[#This Row],[Date]]="","",DATE(YEAR(tblCosts[[#This Row],[Date]]),MONTH(tblCosts[[#This Row],[Date]]),1))</f>
        <v>45931</v>
      </c>
      <c r="H21" s="37">
        <f>IF(tblCosts[[#This Row],[Date]]="","",IF(AND(tblCosts[[#This Row],[Month]]&gt;=FFrom,tblCosts[[#This Row],[Month]]&lt;=FTo),tblCosts[[#This Row],[Month]],""))</f>
        <v>45931</v>
      </c>
      <c r="I21" s="38" t="str">
        <f>IF(tblCosts[[#This Row],[Date]]="","",IF(tblCosts[[#This Row],[Element]]="","Missing element",IF(tblCosts[[#This Row],[Amount]]="","Missing amount",IF(tblCosts[[#This Row],[Category]]="","Element not on Setup list",IF(COUNTIF(tblMonths[Month],tblCosts[[#This Row],[Month]])=0,"No Monthly Summary row for this month","OK")))))</f>
        <v>OK</v>
      </c>
      <c r="J21" s="39" t="s">
        <v>125</v>
      </c>
    </row>
    <row r="22" spans="2:10">
      <c r="B22" s="34">
        <v>45961</v>
      </c>
      <c r="C22" s="28" t="s">
        <v>105</v>
      </c>
      <c r="D22" s="35">
        <v>12840</v>
      </c>
      <c r="E22" s="28" t="s">
        <v>128</v>
      </c>
      <c r="F22" s="36" t="str">
        <f>IF(tblCosts[[#This Row],[Date]]="","",IFERROR(INDEX(tblElements[Category],MATCH(tblCosts[[#This Row],[Element]],tblElements[Element],0)),""))</f>
        <v>External failure</v>
      </c>
      <c r="G22" s="37">
        <f>IF(tblCosts[[#This Row],[Date]]="","",DATE(YEAR(tblCosts[[#This Row],[Date]]),MONTH(tblCosts[[#This Row],[Date]]),1))</f>
        <v>45931</v>
      </c>
      <c r="H22" s="37">
        <f>IF(tblCosts[[#This Row],[Date]]="","",IF(AND(tblCosts[[#This Row],[Month]]&gt;=FFrom,tblCosts[[#This Row],[Month]]&lt;=FTo),tblCosts[[#This Row],[Month]],""))</f>
        <v>45931</v>
      </c>
      <c r="I22" s="38" t="str">
        <f>IF(tblCosts[[#This Row],[Date]]="","",IF(tblCosts[[#This Row],[Element]]="","Missing element",IF(tblCosts[[#This Row],[Amount]]="","Missing amount",IF(tblCosts[[#This Row],[Category]]="","Element not on Setup list",IF(COUNTIF(tblMonths[Month],tblCosts[[#This Row],[Month]])=0,"No Monthly Summary row for this month","OK")))))</f>
        <v>OK</v>
      </c>
      <c r="J22" s="39" t="s">
        <v>125</v>
      </c>
    </row>
    <row r="23" spans="2:10">
      <c r="B23" s="34">
        <v>45961</v>
      </c>
      <c r="C23" s="28" t="s">
        <v>107</v>
      </c>
      <c r="D23" s="35">
        <v>12730</v>
      </c>
      <c r="E23" s="28" t="s">
        <v>128</v>
      </c>
      <c r="F23" s="36" t="str">
        <f>IF(tblCosts[[#This Row],[Date]]="","",IFERROR(INDEX(tblElements[Category],MATCH(tblCosts[[#This Row],[Element]],tblElements[Element],0)),""))</f>
        <v>External failure</v>
      </c>
      <c r="G23" s="37">
        <f>IF(tblCosts[[#This Row],[Date]]="","",DATE(YEAR(tblCosts[[#This Row],[Date]]),MONTH(tblCosts[[#This Row],[Date]]),1))</f>
        <v>45931</v>
      </c>
      <c r="H23" s="37">
        <f>IF(tblCosts[[#This Row],[Date]]="","",IF(AND(tblCosts[[#This Row],[Month]]&gt;=FFrom,tblCosts[[#This Row],[Month]]&lt;=FTo),tblCosts[[#This Row],[Month]],""))</f>
        <v>45931</v>
      </c>
      <c r="I23" s="38" t="str">
        <f>IF(tblCosts[[#This Row],[Date]]="","",IF(tblCosts[[#This Row],[Element]]="","Missing element",IF(tblCosts[[#This Row],[Amount]]="","Missing amount",IF(tblCosts[[#This Row],[Category]]="","Element not on Setup list",IF(COUNTIF(tblMonths[Month],tblCosts[[#This Row],[Month]])=0,"No Monthly Summary row for this month","OK")))))</f>
        <v>OK</v>
      </c>
      <c r="J23" s="39" t="s">
        <v>129</v>
      </c>
    </row>
    <row r="24" spans="2:10">
      <c r="B24" s="34">
        <v>45961</v>
      </c>
      <c r="C24" s="28" t="s">
        <v>109</v>
      </c>
      <c r="D24" s="35">
        <v>10850</v>
      </c>
      <c r="E24" s="28" t="s">
        <v>128</v>
      </c>
      <c r="F24" s="36" t="str">
        <f>IF(tblCosts[[#This Row],[Date]]="","",IFERROR(INDEX(tblElements[Category],MATCH(tblCosts[[#This Row],[Element]],tblElements[Element],0)),""))</f>
        <v>External failure</v>
      </c>
      <c r="G24" s="37">
        <f>IF(tblCosts[[#This Row],[Date]]="","",DATE(YEAR(tblCosts[[#This Row],[Date]]),MONTH(tblCosts[[#This Row],[Date]]),1))</f>
        <v>45931</v>
      </c>
      <c r="H24" s="37">
        <f>IF(tblCosts[[#This Row],[Date]]="","",IF(AND(tblCosts[[#This Row],[Month]]&gt;=FFrom,tblCosts[[#This Row],[Month]]&lt;=FTo),tblCosts[[#This Row],[Month]],""))</f>
        <v>45931</v>
      </c>
      <c r="I24" s="38" t="str">
        <f>IF(tblCosts[[#This Row],[Date]]="","",IF(tblCosts[[#This Row],[Element]]="","Missing element",IF(tblCosts[[#This Row],[Amount]]="","Missing amount",IF(tblCosts[[#This Row],[Category]]="","Element not on Setup list",IF(COUNTIF(tblMonths[Month],tblCosts[[#This Row],[Month]])=0,"No Monthly Summary row for this month","OK")))))</f>
        <v>OK</v>
      </c>
      <c r="J24" s="39" t="s">
        <v>125</v>
      </c>
    </row>
    <row r="25" spans="2:10">
      <c r="B25" s="34">
        <v>45967</v>
      </c>
      <c r="C25" s="28" t="s">
        <v>102</v>
      </c>
      <c r="D25" s="35">
        <v>9940</v>
      </c>
      <c r="E25" s="28" t="s">
        <v>130</v>
      </c>
      <c r="F25" s="36" t="str">
        <f>IF(tblCosts[[#This Row],[Date]]="","",IFERROR(INDEX(tblElements[Category],MATCH(tblCosts[[#This Row],[Element]],tblElements[Element],0)),""))</f>
        <v>External failure</v>
      </c>
      <c r="G25" s="37">
        <f>IF(tblCosts[[#This Row],[Date]]="","",DATE(YEAR(tblCosts[[#This Row],[Date]]),MONTH(tblCosts[[#This Row],[Date]]),1))</f>
        <v>45962</v>
      </c>
      <c r="H25" s="37">
        <f>IF(tblCosts[[#This Row],[Date]]="","",IF(AND(tblCosts[[#This Row],[Month]]&gt;=FFrom,tblCosts[[#This Row],[Month]]&lt;=FTo),tblCosts[[#This Row],[Month]],""))</f>
        <v>45962</v>
      </c>
      <c r="I25" s="38" t="str">
        <f>IF(tblCosts[[#This Row],[Date]]="","",IF(tblCosts[[#This Row],[Element]]="","Missing element",IF(tblCosts[[#This Row],[Amount]]="","Missing amount",IF(tblCosts[[#This Row],[Category]]="","Element not on Setup list",IF(COUNTIF(tblMonths[Month],tblCosts[[#This Row],[Month]])=0,"No Monthly Summary row for this month","OK")))))</f>
        <v>OK</v>
      </c>
      <c r="J25" s="39" t="s">
        <v>120</v>
      </c>
    </row>
    <row r="26" spans="2:10">
      <c r="B26" s="34">
        <v>45978</v>
      </c>
      <c r="C26" s="28" t="s">
        <v>102</v>
      </c>
      <c r="D26" s="35">
        <v>10740</v>
      </c>
      <c r="E26" s="28" t="s">
        <v>131</v>
      </c>
      <c r="F26" s="36" t="str">
        <f>IF(tblCosts[[#This Row],[Date]]="","",IFERROR(INDEX(tblElements[Category],MATCH(tblCosts[[#This Row],[Element]],tblElements[Element],0)),""))</f>
        <v>External failure</v>
      </c>
      <c r="G26" s="37">
        <f>IF(tblCosts[[#This Row],[Date]]="","",DATE(YEAR(tblCosts[[#This Row],[Date]]),MONTH(tblCosts[[#This Row],[Date]]),1))</f>
        <v>45962</v>
      </c>
      <c r="H26" s="37">
        <f>IF(tblCosts[[#This Row],[Date]]="","",IF(AND(tblCosts[[#This Row],[Month]]&gt;=FFrom,tblCosts[[#This Row],[Month]]&lt;=FTo),tblCosts[[#This Row],[Month]],""))</f>
        <v>45962</v>
      </c>
      <c r="I26" s="38" t="str">
        <f>IF(tblCosts[[#This Row],[Date]]="","",IF(tblCosts[[#This Row],[Element]]="","Missing element",IF(tblCosts[[#This Row],[Amount]]="","Missing amount",IF(tblCosts[[#This Row],[Category]]="","Element not on Setup list",IF(COUNTIF(tblMonths[Month],tblCosts[[#This Row],[Month]])=0,"No Monthly Summary row for this month","OK")))))</f>
        <v>OK</v>
      </c>
      <c r="J26" s="39" t="s">
        <v>120</v>
      </c>
    </row>
    <row r="27" spans="2:10">
      <c r="B27" s="34">
        <v>45985</v>
      </c>
      <c r="C27" s="28" t="s">
        <v>102</v>
      </c>
      <c r="D27" s="35">
        <v>11700</v>
      </c>
      <c r="E27" s="28" t="s">
        <v>132</v>
      </c>
      <c r="F27" s="36" t="str">
        <f>IF(tblCosts[[#This Row],[Date]]="","",IFERROR(INDEX(tblElements[Category],MATCH(tblCosts[[#This Row],[Element]],tblElements[Element],0)),""))</f>
        <v>External failure</v>
      </c>
      <c r="G27" s="37">
        <f>IF(tblCosts[[#This Row],[Date]]="","",DATE(YEAR(tblCosts[[#This Row],[Date]]),MONTH(tblCosts[[#This Row],[Date]]),1))</f>
        <v>45962</v>
      </c>
      <c r="H27" s="37">
        <f>IF(tblCosts[[#This Row],[Date]]="","",IF(AND(tblCosts[[#This Row],[Month]]&gt;=FFrom,tblCosts[[#This Row],[Month]]&lt;=FTo),tblCosts[[#This Row],[Month]],""))</f>
        <v>45962</v>
      </c>
      <c r="I27" s="38" t="str">
        <f>IF(tblCosts[[#This Row],[Date]]="","",IF(tblCosts[[#This Row],[Element]]="","Missing element",IF(tblCosts[[#This Row],[Amount]]="","Missing amount",IF(tblCosts[[#This Row],[Category]]="","Element not on Setup list",IF(COUNTIF(tblMonths[Month],tblCosts[[#This Row],[Month]])=0,"No Monthly Summary row for this month","OK")))))</f>
        <v>OK</v>
      </c>
      <c r="J27" s="39" t="s">
        <v>120</v>
      </c>
    </row>
    <row r="28" spans="2:10">
      <c r="B28" s="34">
        <v>45989</v>
      </c>
      <c r="C28" s="28" t="s">
        <v>77</v>
      </c>
      <c r="D28" s="35">
        <v>4070</v>
      </c>
      <c r="E28" s="28" t="s">
        <v>124</v>
      </c>
      <c r="F28" s="36" t="str">
        <f>IF(tblCosts[[#This Row],[Date]]="","",IFERROR(INDEX(tblElements[Category],MATCH(tblCosts[[#This Row],[Element]],tblElements[Element],0)),""))</f>
        <v>Prevention</v>
      </c>
      <c r="G28" s="37">
        <f>IF(tblCosts[[#This Row],[Date]]="","",DATE(YEAR(tblCosts[[#This Row],[Date]]),MONTH(tblCosts[[#This Row],[Date]]),1))</f>
        <v>45962</v>
      </c>
      <c r="H28" s="37">
        <f>IF(tblCosts[[#This Row],[Date]]="","",IF(AND(tblCosts[[#This Row],[Month]]&gt;=FFrom,tblCosts[[#This Row],[Month]]&lt;=FTo),tblCosts[[#This Row],[Month]],""))</f>
        <v>45962</v>
      </c>
      <c r="I28" s="38" t="str">
        <f>IF(tblCosts[[#This Row],[Date]]="","",IF(tblCosts[[#This Row],[Element]]="","Missing element",IF(tblCosts[[#This Row],[Amount]]="","Missing amount",IF(tblCosts[[#This Row],[Category]]="","Element not on Setup list",IF(COUNTIF(tblMonths[Month],tblCosts[[#This Row],[Month]])=0,"No Monthly Summary row for this month","OK")))))</f>
        <v>OK</v>
      </c>
      <c r="J28" s="39" t="s">
        <v>125</v>
      </c>
    </row>
    <row r="29" spans="2:10">
      <c r="B29" s="34">
        <v>45989</v>
      </c>
      <c r="C29" s="28" t="s">
        <v>80</v>
      </c>
      <c r="D29" s="35">
        <v>2170</v>
      </c>
      <c r="E29" s="28" t="s">
        <v>124</v>
      </c>
      <c r="F29" s="36" t="str">
        <f>IF(tblCosts[[#This Row],[Date]]="","",IFERROR(INDEX(tblElements[Category],MATCH(tblCosts[[#This Row],[Element]],tblElements[Element],0)),""))</f>
        <v>Prevention</v>
      </c>
      <c r="G29" s="37">
        <f>IF(tblCosts[[#This Row],[Date]]="","",DATE(YEAR(tblCosts[[#This Row],[Date]]),MONTH(tblCosts[[#This Row],[Date]]),1))</f>
        <v>45962</v>
      </c>
      <c r="H29" s="37">
        <f>IF(tblCosts[[#This Row],[Date]]="","",IF(AND(tblCosts[[#This Row],[Month]]&gt;=FFrom,tblCosts[[#This Row],[Month]]&lt;=FTo),tblCosts[[#This Row],[Month]],""))</f>
        <v>45962</v>
      </c>
      <c r="I29" s="38" t="str">
        <f>IF(tblCosts[[#This Row],[Date]]="","",IF(tblCosts[[#This Row],[Element]]="","Missing element",IF(tblCosts[[#This Row],[Amount]]="","Missing amount",IF(tblCosts[[#This Row],[Category]]="","Element not on Setup list",IF(COUNTIF(tblMonths[Month],tblCosts[[#This Row],[Month]])=0,"No Monthly Summary row for this month","OK")))))</f>
        <v>OK</v>
      </c>
      <c r="J29" s="39" t="s">
        <v>125</v>
      </c>
    </row>
    <row r="30" spans="2:10">
      <c r="B30" s="34">
        <v>45989</v>
      </c>
      <c r="C30" s="28" t="s">
        <v>82</v>
      </c>
      <c r="D30" s="35">
        <v>2480</v>
      </c>
      <c r="E30" s="28" t="s">
        <v>124</v>
      </c>
      <c r="F30" s="36" t="str">
        <f>IF(tblCosts[[#This Row],[Date]]="","",IFERROR(INDEX(tblElements[Category],MATCH(tblCosts[[#This Row],[Element]],tblElements[Element],0)),""))</f>
        <v>Prevention</v>
      </c>
      <c r="G30" s="37">
        <f>IF(tblCosts[[#This Row],[Date]]="","",DATE(YEAR(tblCosts[[#This Row],[Date]]),MONTH(tblCosts[[#This Row],[Date]]),1))</f>
        <v>45962</v>
      </c>
      <c r="H30" s="37">
        <f>IF(tblCosts[[#This Row],[Date]]="","",IF(AND(tblCosts[[#This Row],[Month]]&gt;=FFrom,tblCosts[[#This Row],[Month]]&lt;=FTo),tblCosts[[#This Row],[Month]],""))</f>
        <v>45962</v>
      </c>
      <c r="I30" s="38" t="str">
        <f>IF(tblCosts[[#This Row],[Date]]="","",IF(tblCosts[[#This Row],[Element]]="","Missing element",IF(tblCosts[[#This Row],[Amount]]="","Missing amount",IF(tblCosts[[#This Row],[Category]]="","Element not on Setup list",IF(COUNTIF(tblMonths[Month],tblCosts[[#This Row],[Month]])=0,"No Monthly Summary row for this month","OK")))))</f>
        <v>OK</v>
      </c>
      <c r="J30" s="39" t="s">
        <v>125</v>
      </c>
    </row>
    <row r="31" spans="2:10">
      <c r="B31" s="34">
        <v>45989</v>
      </c>
      <c r="C31" s="28" t="s">
        <v>84</v>
      </c>
      <c r="D31" s="35">
        <v>920</v>
      </c>
      <c r="E31" s="28" t="s">
        <v>124</v>
      </c>
      <c r="F31" s="36" t="str">
        <f>IF(tblCosts[[#This Row],[Date]]="","",IFERROR(INDEX(tblElements[Category],MATCH(tblCosts[[#This Row],[Element]],tblElements[Element],0)),""))</f>
        <v>Prevention</v>
      </c>
      <c r="G31" s="37">
        <f>IF(tblCosts[[#This Row],[Date]]="","",DATE(YEAR(tblCosts[[#This Row],[Date]]),MONTH(tblCosts[[#This Row],[Date]]),1))</f>
        <v>45962</v>
      </c>
      <c r="H31" s="37">
        <f>IF(tblCosts[[#This Row],[Date]]="","",IF(AND(tblCosts[[#This Row],[Month]]&gt;=FFrom,tblCosts[[#This Row],[Month]]&lt;=FTo),tblCosts[[#This Row],[Month]],""))</f>
        <v>45962</v>
      </c>
      <c r="I31" s="38" t="str">
        <f>IF(tblCosts[[#This Row],[Date]]="","",IF(tblCosts[[#This Row],[Element]]="","Missing element",IF(tblCosts[[#This Row],[Amount]]="","Missing amount",IF(tblCosts[[#This Row],[Category]]="","Element not on Setup list",IF(COUNTIF(tblMonths[Month],tblCosts[[#This Row],[Month]])=0,"No Monthly Summary row for this month","OK")))))</f>
        <v>OK</v>
      </c>
      <c r="J31" s="39" t="s">
        <v>125</v>
      </c>
    </row>
    <row r="32" spans="2:10">
      <c r="B32" s="34">
        <v>45989</v>
      </c>
      <c r="C32" s="28" t="s">
        <v>86</v>
      </c>
      <c r="D32" s="35">
        <v>6720</v>
      </c>
      <c r="E32" s="28" t="s">
        <v>126</v>
      </c>
      <c r="F32" s="36" t="str">
        <f>IF(tblCosts[[#This Row],[Date]]="","",IFERROR(INDEX(tblElements[Category],MATCH(tblCosts[[#This Row],[Element]],tblElements[Element],0)),""))</f>
        <v>Appraisal</v>
      </c>
      <c r="G32" s="37">
        <f>IF(tblCosts[[#This Row],[Date]]="","",DATE(YEAR(tblCosts[[#This Row],[Date]]),MONTH(tblCosts[[#This Row],[Date]]),1))</f>
        <v>45962</v>
      </c>
      <c r="H32" s="37">
        <f>IF(tblCosts[[#This Row],[Date]]="","",IF(AND(tblCosts[[#This Row],[Month]]&gt;=FFrom,tblCosts[[#This Row],[Month]]&lt;=FTo),tblCosts[[#This Row],[Month]],""))</f>
        <v>45962</v>
      </c>
      <c r="I32" s="38" t="str">
        <f>IF(tblCosts[[#This Row],[Date]]="","",IF(tblCosts[[#This Row],[Element]]="","Missing element",IF(tblCosts[[#This Row],[Amount]]="","Missing amount",IF(tblCosts[[#This Row],[Category]]="","Element not on Setup list",IF(COUNTIF(tblMonths[Month],tblCosts[[#This Row],[Month]])=0,"No Monthly Summary row for this month","OK")))))</f>
        <v>OK</v>
      </c>
      <c r="J32" s="39" t="s">
        <v>125</v>
      </c>
    </row>
    <row r="33" spans="2:10">
      <c r="B33" s="34">
        <v>45989</v>
      </c>
      <c r="C33" s="28" t="s">
        <v>89</v>
      </c>
      <c r="D33" s="35">
        <v>14780</v>
      </c>
      <c r="E33" s="28" t="s">
        <v>126</v>
      </c>
      <c r="F33" s="36" t="str">
        <f>IF(tblCosts[[#This Row],[Date]]="","",IFERROR(INDEX(tblElements[Category],MATCH(tblCosts[[#This Row],[Element]],tblElements[Element],0)),""))</f>
        <v>Appraisal</v>
      </c>
      <c r="G33" s="37">
        <f>IF(tblCosts[[#This Row],[Date]]="","",DATE(YEAR(tblCosts[[#This Row],[Date]]),MONTH(tblCosts[[#This Row],[Date]]),1))</f>
        <v>45962</v>
      </c>
      <c r="H33" s="37">
        <f>IF(tblCosts[[#This Row],[Date]]="","",IF(AND(tblCosts[[#This Row],[Month]]&gt;=FFrom,tblCosts[[#This Row],[Month]]&lt;=FTo),tblCosts[[#This Row],[Month]],""))</f>
        <v>45962</v>
      </c>
      <c r="I33" s="38" t="str">
        <f>IF(tblCosts[[#This Row],[Date]]="","",IF(tblCosts[[#This Row],[Element]]="","Missing element",IF(tblCosts[[#This Row],[Amount]]="","Missing amount",IF(tblCosts[[#This Row],[Category]]="","Element not on Setup list",IF(COUNTIF(tblMonths[Month],tblCosts[[#This Row],[Month]])=0,"No Monthly Summary row for this month","OK")))))</f>
        <v>OK</v>
      </c>
      <c r="J33" s="39" t="s">
        <v>125</v>
      </c>
    </row>
    <row r="34" spans="2:10">
      <c r="B34" s="34">
        <v>45989</v>
      </c>
      <c r="C34" s="28" t="s">
        <v>91</v>
      </c>
      <c r="D34" s="35">
        <v>3570</v>
      </c>
      <c r="E34" s="28" t="s">
        <v>126</v>
      </c>
      <c r="F34" s="36" t="str">
        <f>IF(tblCosts[[#This Row],[Date]]="","",IFERROR(INDEX(tblElements[Category],MATCH(tblCosts[[#This Row],[Element]],tblElements[Element],0)),""))</f>
        <v>Appraisal</v>
      </c>
      <c r="G34" s="37">
        <f>IF(tblCosts[[#This Row],[Date]]="","",DATE(YEAR(tblCosts[[#This Row],[Date]]),MONTH(tblCosts[[#This Row],[Date]]),1))</f>
        <v>45962</v>
      </c>
      <c r="H34" s="37">
        <f>IF(tblCosts[[#This Row],[Date]]="","",IF(AND(tblCosts[[#This Row],[Month]]&gt;=FFrom,tblCosts[[#This Row],[Month]]&lt;=FTo),tblCosts[[#This Row],[Month]],""))</f>
        <v>45962</v>
      </c>
      <c r="I34" s="38" t="str">
        <f>IF(tblCosts[[#This Row],[Date]]="","",IF(tblCosts[[#This Row],[Element]]="","Missing element",IF(tblCosts[[#This Row],[Amount]]="","Missing amount",IF(tblCosts[[#This Row],[Category]]="","Element not on Setup list",IF(COUNTIF(tblMonths[Month],tblCosts[[#This Row],[Month]])=0,"No Monthly Summary row for this month","OK")))))</f>
        <v>OK</v>
      </c>
      <c r="J34" s="39" t="s">
        <v>125</v>
      </c>
    </row>
    <row r="35" spans="2:10">
      <c r="B35" s="34">
        <v>45989</v>
      </c>
      <c r="C35" s="28" t="s">
        <v>93</v>
      </c>
      <c r="D35" s="35">
        <v>10990</v>
      </c>
      <c r="E35" s="28" t="s">
        <v>127</v>
      </c>
      <c r="F35" s="36" t="str">
        <f>IF(tblCosts[[#This Row],[Date]]="","",IFERROR(INDEX(tblElements[Category],MATCH(tblCosts[[#This Row],[Element]],tblElements[Element],0)),""))</f>
        <v>Internal failure</v>
      </c>
      <c r="G35" s="37">
        <f>IF(tblCosts[[#This Row],[Date]]="","",DATE(YEAR(tblCosts[[#This Row],[Date]]),MONTH(tblCosts[[#This Row],[Date]]),1))</f>
        <v>45962</v>
      </c>
      <c r="H35" s="37">
        <f>IF(tblCosts[[#This Row],[Date]]="","",IF(AND(tblCosts[[#This Row],[Month]]&gt;=FFrom,tblCosts[[#This Row],[Month]]&lt;=FTo),tblCosts[[#This Row],[Month]],""))</f>
        <v>45962</v>
      </c>
      <c r="I35" s="38" t="str">
        <f>IF(tblCosts[[#This Row],[Date]]="","",IF(tblCosts[[#This Row],[Element]]="","Missing element",IF(tblCosts[[#This Row],[Amount]]="","Missing amount",IF(tblCosts[[#This Row],[Category]]="","Element not on Setup list",IF(COUNTIF(tblMonths[Month],tblCosts[[#This Row],[Month]])=0,"No Monthly Summary row for this month","OK")))))</f>
        <v>OK</v>
      </c>
      <c r="J35" s="39" t="s">
        <v>125</v>
      </c>
    </row>
    <row r="36" spans="2:10">
      <c r="B36" s="34">
        <v>45989</v>
      </c>
      <c r="C36" s="28" t="s">
        <v>96</v>
      </c>
      <c r="D36" s="35">
        <v>8290</v>
      </c>
      <c r="E36" s="28" t="s">
        <v>127</v>
      </c>
      <c r="F36" s="36" t="str">
        <f>IF(tblCosts[[#This Row],[Date]]="","",IFERROR(INDEX(tblElements[Category],MATCH(tblCosts[[#This Row],[Element]],tblElements[Element],0)),""))</f>
        <v>Internal failure</v>
      </c>
      <c r="G36" s="37">
        <f>IF(tblCosts[[#This Row],[Date]]="","",DATE(YEAR(tblCosts[[#This Row],[Date]]),MONTH(tblCosts[[#This Row],[Date]]),1))</f>
        <v>45962</v>
      </c>
      <c r="H36" s="37">
        <f>IF(tblCosts[[#This Row],[Date]]="","",IF(AND(tblCosts[[#This Row],[Month]]&gt;=FFrom,tblCosts[[#This Row],[Month]]&lt;=FTo),tblCosts[[#This Row],[Month]],""))</f>
        <v>45962</v>
      </c>
      <c r="I36" s="38" t="str">
        <f>IF(tblCosts[[#This Row],[Date]]="","",IF(tblCosts[[#This Row],[Element]]="","Missing element",IF(tblCosts[[#This Row],[Amount]]="","Missing amount",IF(tblCosts[[#This Row],[Category]]="","Element not on Setup list",IF(COUNTIF(tblMonths[Month],tblCosts[[#This Row],[Month]])=0,"No Monthly Summary row for this month","OK")))))</f>
        <v>OK</v>
      </c>
      <c r="J36" s="39" t="s">
        <v>125</v>
      </c>
    </row>
    <row r="37" spans="2:10">
      <c r="B37" s="34">
        <v>45989</v>
      </c>
      <c r="C37" s="28" t="s">
        <v>98</v>
      </c>
      <c r="D37" s="35">
        <v>3340</v>
      </c>
      <c r="E37" s="28" t="s">
        <v>127</v>
      </c>
      <c r="F37" s="36" t="str">
        <f>IF(tblCosts[[#This Row],[Date]]="","",IFERROR(INDEX(tblElements[Category],MATCH(tblCosts[[#This Row],[Element]],tblElements[Element],0)),""))</f>
        <v>Internal failure</v>
      </c>
      <c r="G37" s="37">
        <f>IF(tblCosts[[#This Row],[Date]]="","",DATE(YEAR(tblCosts[[#This Row],[Date]]),MONTH(tblCosts[[#This Row],[Date]]),1))</f>
        <v>45962</v>
      </c>
      <c r="H37" s="37">
        <f>IF(tblCosts[[#This Row],[Date]]="","",IF(AND(tblCosts[[#This Row],[Month]]&gt;=FFrom,tblCosts[[#This Row],[Month]]&lt;=FTo),tblCosts[[#This Row],[Month]],""))</f>
        <v>45962</v>
      </c>
      <c r="I37" s="38" t="str">
        <f>IF(tblCosts[[#This Row],[Date]]="","",IF(tblCosts[[#This Row],[Element]]="","Missing element",IF(tblCosts[[#This Row],[Amount]]="","Missing amount",IF(tblCosts[[#This Row],[Category]]="","Element not on Setup list",IF(COUNTIF(tblMonths[Month],tblCosts[[#This Row],[Month]])=0,"No Monthly Summary row for this month","OK")))))</f>
        <v>OK</v>
      </c>
      <c r="J37" s="39" t="s">
        <v>125</v>
      </c>
    </row>
    <row r="38" spans="2:10">
      <c r="B38" s="34">
        <v>45989</v>
      </c>
      <c r="C38" s="28" t="s">
        <v>100</v>
      </c>
      <c r="D38" s="35">
        <v>2280</v>
      </c>
      <c r="E38" s="28" t="s">
        <v>127</v>
      </c>
      <c r="F38" s="36" t="str">
        <f>IF(tblCosts[[#This Row],[Date]]="","",IFERROR(INDEX(tblElements[Category],MATCH(tblCosts[[#This Row],[Element]],tblElements[Element],0)),""))</f>
        <v>Internal failure</v>
      </c>
      <c r="G38" s="37">
        <f>IF(tblCosts[[#This Row],[Date]]="","",DATE(YEAR(tblCosts[[#This Row],[Date]]),MONTH(tblCosts[[#This Row],[Date]]),1))</f>
        <v>45962</v>
      </c>
      <c r="H38" s="37">
        <f>IF(tblCosts[[#This Row],[Date]]="","",IF(AND(tblCosts[[#This Row],[Month]]&gt;=FFrom,tblCosts[[#This Row],[Month]]&lt;=FTo),tblCosts[[#This Row],[Month]],""))</f>
        <v>45962</v>
      </c>
      <c r="I38" s="38" t="str">
        <f>IF(tblCosts[[#This Row],[Date]]="","",IF(tblCosts[[#This Row],[Element]]="","Missing element",IF(tblCosts[[#This Row],[Amount]]="","Missing amount",IF(tblCosts[[#This Row],[Category]]="","Element not on Setup list",IF(COUNTIF(tblMonths[Month],tblCosts[[#This Row],[Month]])=0,"No Monthly Summary row for this month","OK")))))</f>
        <v>OK</v>
      </c>
      <c r="J38" s="39" t="s">
        <v>125</v>
      </c>
    </row>
    <row r="39" spans="2:10">
      <c r="B39" s="34">
        <v>45989</v>
      </c>
      <c r="C39" s="28" t="s">
        <v>102</v>
      </c>
      <c r="D39" s="35">
        <v>10600</v>
      </c>
      <c r="E39" s="28" t="s">
        <v>133</v>
      </c>
      <c r="F39" s="36" t="str">
        <f>IF(tblCosts[[#This Row],[Date]]="","",IFERROR(INDEX(tblElements[Category],MATCH(tblCosts[[#This Row],[Element]],tblElements[Element],0)),""))</f>
        <v>External failure</v>
      </c>
      <c r="G39" s="37">
        <f>IF(tblCosts[[#This Row],[Date]]="","",DATE(YEAR(tblCosts[[#This Row],[Date]]),MONTH(tblCosts[[#This Row],[Date]]),1))</f>
        <v>45962</v>
      </c>
      <c r="H39" s="37">
        <f>IF(tblCosts[[#This Row],[Date]]="","",IF(AND(tblCosts[[#This Row],[Month]]&gt;=FFrom,tblCosts[[#This Row],[Month]]&lt;=FTo),tblCosts[[#This Row],[Month]],""))</f>
        <v>45962</v>
      </c>
      <c r="I39" s="38" t="str">
        <f>IF(tblCosts[[#This Row],[Date]]="","",IF(tblCosts[[#This Row],[Element]]="","Missing element",IF(tblCosts[[#This Row],[Amount]]="","Missing amount",IF(tblCosts[[#This Row],[Category]]="","Element not on Setup list",IF(COUNTIF(tblMonths[Month],tblCosts[[#This Row],[Month]])=0,"No Monthly Summary row for this month","OK")))))</f>
        <v>OK</v>
      </c>
      <c r="J39" s="39" t="s">
        <v>120</v>
      </c>
    </row>
    <row r="40" spans="2:10">
      <c r="B40" s="34">
        <v>45989</v>
      </c>
      <c r="C40" s="28" t="s">
        <v>105</v>
      </c>
      <c r="D40" s="35">
        <v>23510</v>
      </c>
      <c r="E40" s="28" t="s">
        <v>128</v>
      </c>
      <c r="F40" s="36" t="str">
        <f>IF(tblCosts[[#This Row],[Date]]="","",IFERROR(INDEX(tblElements[Category],MATCH(tblCosts[[#This Row],[Element]],tblElements[Element],0)),""))</f>
        <v>External failure</v>
      </c>
      <c r="G40" s="37">
        <f>IF(tblCosts[[#This Row],[Date]]="","",DATE(YEAR(tblCosts[[#This Row],[Date]]),MONTH(tblCosts[[#This Row],[Date]]),1))</f>
        <v>45962</v>
      </c>
      <c r="H40" s="37">
        <f>IF(tblCosts[[#This Row],[Date]]="","",IF(AND(tblCosts[[#This Row],[Month]]&gt;=FFrom,tblCosts[[#This Row],[Month]]&lt;=FTo),tblCosts[[#This Row],[Month]],""))</f>
        <v>45962</v>
      </c>
      <c r="I40" s="38" t="str">
        <f>IF(tblCosts[[#This Row],[Date]]="","",IF(tblCosts[[#This Row],[Element]]="","Missing element",IF(tblCosts[[#This Row],[Amount]]="","Missing amount",IF(tblCosts[[#This Row],[Category]]="","Element not on Setup list",IF(COUNTIF(tblMonths[Month],tblCosts[[#This Row],[Month]])=0,"No Monthly Summary row for this month","OK")))))</f>
        <v>OK</v>
      </c>
      <c r="J40" s="39" t="s">
        <v>125</v>
      </c>
    </row>
    <row r="41" spans="2:10">
      <c r="B41" s="34">
        <v>45989</v>
      </c>
      <c r="C41" s="28" t="s">
        <v>107</v>
      </c>
      <c r="D41" s="35">
        <v>14270</v>
      </c>
      <c r="E41" s="28" t="s">
        <v>128</v>
      </c>
      <c r="F41" s="36" t="str">
        <f>IF(tblCosts[[#This Row],[Date]]="","",IFERROR(INDEX(tblElements[Category],MATCH(tblCosts[[#This Row],[Element]],tblElements[Element],0)),""))</f>
        <v>External failure</v>
      </c>
      <c r="G41" s="37">
        <f>IF(tblCosts[[#This Row],[Date]]="","",DATE(YEAR(tblCosts[[#This Row],[Date]]),MONTH(tblCosts[[#This Row],[Date]]),1))</f>
        <v>45962</v>
      </c>
      <c r="H41" s="37">
        <f>IF(tblCosts[[#This Row],[Date]]="","",IF(AND(tblCosts[[#This Row],[Month]]&gt;=FFrom,tblCosts[[#This Row],[Month]]&lt;=FTo),tblCosts[[#This Row],[Month]],""))</f>
        <v>45962</v>
      </c>
      <c r="I41" s="38" t="str">
        <f>IF(tblCosts[[#This Row],[Date]]="","",IF(tblCosts[[#This Row],[Element]]="","Missing element",IF(tblCosts[[#This Row],[Amount]]="","Missing amount",IF(tblCosts[[#This Row],[Category]]="","Element not on Setup list",IF(COUNTIF(tblMonths[Month],tblCosts[[#This Row],[Month]])=0,"No Monthly Summary row for this month","OK")))))</f>
        <v>OK</v>
      </c>
      <c r="J41" s="39" t="s">
        <v>129</v>
      </c>
    </row>
    <row r="42" spans="2:10">
      <c r="B42" s="34">
        <v>45989</v>
      </c>
      <c r="C42" s="28" t="s">
        <v>109</v>
      </c>
      <c r="D42" s="35">
        <v>6730</v>
      </c>
      <c r="E42" s="28" t="s">
        <v>128</v>
      </c>
      <c r="F42" s="36" t="str">
        <f>IF(tblCosts[[#This Row],[Date]]="","",IFERROR(INDEX(tblElements[Category],MATCH(tblCosts[[#This Row],[Element]],tblElements[Element],0)),""))</f>
        <v>External failure</v>
      </c>
      <c r="G42" s="37">
        <f>IF(tblCosts[[#This Row],[Date]]="","",DATE(YEAR(tblCosts[[#This Row],[Date]]),MONTH(tblCosts[[#This Row],[Date]]),1))</f>
        <v>45962</v>
      </c>
      <c r="H42" s="37">
        <f>IF(tblCosts[[#This Row],[Date]]="","",IF(AND(tblCosts[[#This Row],[Month]]&gt;=FFrom,tblCosts[[#This Row],[Month]]&lt;=FTo),tblCosts[[#This Row],[Month]],""))</f>
        <v>45962</v>
      </c>
      <c r="I42" s="38" t="str">
        <f>IF(tblCosts[[#This Row],[Date]]="","",IF(tblCosts[[#This Row],[Element]]="","Missing element",IF(tblCosts[[#This Row],[Amount]]="","Missing amount",IF(tblCosts[[#This Row],[Category]]="","Element not on Setup list",IF(COUNTIF(tblMonths[Month],tblCosts[[#This Row],[Month]])=0,"No Monthly Summary row for this month","OK")))))</f>
        <v>OK</v>
      </c>
      <c r="J42" s="39" t="s">
        <v>125</v>
      </c>
    </row>
    <row r="43" spans="2:10">
      <c r="B43" s="34">
        <v>46000</v>
      </c>
      <c r="C43" s="28" t="s">
        <v>102</v>
      </c>
      <c r="D43" s="35">
        <v>12480</v>
      </c>
      <c r="E43" s="28" t="s">
        <v>134</v>
      </c>
      <c r="F43" s="36" t="str">
        <f>IF(tblCosts[[#This Row],[Date]]="","",IFERROR(INDEX(tblElements[Category],MATCH(tblCosts[[#This Row],[Element]],tblElements[Element],0)),""))</f>
        <v>External failure</v>
      </c>
      <c r="G43" s="37">
        <f>IF(tblCosts[[#This Row],[Date]]="","",DATE(YEAR(tblCosts[[#This Row],[Date]]),MONTH(tblCosts[[#This Row],[Date]]),1))</f>
        <v>45992</v>
      </c>
      <c r="H43" s="37">
        <f>IF(tblCosts[[#This Row],[Date]]="","",IF(AND(tblCosts[[#This Row],[Month]]&gt;=FFrom,tblCosts[[#This Row],[Month]]&lt;=FTo),tblCosts[[#This Row],[Month]],""))</f>
        <v>45992</v>
      </c>
      <c r="I43" s="38" t="str">
        <f>IF(tblCosts[[#This Row],[Date]]="","",IF(tblCosts[[#This Row],[Element]]="","Missing element",IF(tblCosts[[#This Row],[Amount]]="","Missing amount",IF(tblCosts[[#This Row],[Category]]="","Element not on Setup list",IF(COUNTIF(tblMonths[Month],tblCosts[[#This Row],[Month]])=0,"No Monthly Summary row for this month","OK")))))</f>
        <v>OK</v>
      </c>
      <c r="J43" s="39" t="s">
        <v>120</v>
      </c>
    </row>
    <row r="44" spans="2:10">
      <c r="B44" s="34">
        <v>46006</v>
      </c>
      <c r="C44" s="28" t="s">
        <v>102</v>
      </c>
      <c r="D44" s="35">
        <v>10130</v>
      </c>
      <c r="E44" s="28" t="s">
        <v>135</v>
      </c>
      <c r="F44" s="36" t="str">
        <f>IF(tblCosts[[#This Row],[Date]]="","",IFERROR(INDEX(tblElements[Category],MATCH(tblCosts[[#This Row],[Element]],tblElements[Element],0)),""))</f>
        <v>External failure</v>
      </c>
      <c r="G44" s="37">
        <f>IF(tblCosts[[#This Row],[Date]]="","",DATE(YEAR(tblCosts[[#This Row],[Date]]),MONTH(tblCosts[[#This Row],[Date]]),1))</f>
        <v>45992</v>
      </c>
      <c r="H44" s="37">
        <f>IF(tblCosts[[#This Row],[Date]]="","",IF(AND(tblCosts[[#This Row],[Month]]&gt;=FFrom,tblCosts[[#This Row],[Month]]&lt;=FTo),tblCosts[[#This Row],[Month]],""))</f>
        <v>45992</v>
      </c>
      <c r="I44" s="38" t="str">
        <f>IF(tblCosts[[#This Row],[Date]]="","",IF(tblCosts[[#This Row],[Element]]="","Missing element",IF(tblCosts[[#This Row],[Amount]]="","Missing amount",IF(tblCosts[[#This Row],[Category]]="","Element not on Setup list",IF(COUNTIF(tblMonths[Month],tblCosts[[#This Row],[Month]])=0,"No Monthly Summary row for this month","OK")))))</f>
        <v>OK</v>
      </c>
      <c r="J44" s="39" t="s">
        <v>120</v>
      </c>
    </row>
    <row r="45" spans="2:10">
      <c r="B45" s="34">
        <v>46013</v>
      </c>
      <c r="C45" s="28" t="s">
        <v>102</v>
      </c>
      <c r="D45" s="35">
        <v>13020</v>
      </c>
      <c r="E45" s="28" t="s">
        <v>136</v>
      </c>
      <c r="F45" s="36" t="str">
        <f>IF(tblCosts[[#This Row],[Date]]="","",IFERROR(INDEX(tblElements[Category],MATCH(tblCosts[[#This Row],[Element]],tblElements[Element],0)),""))</f>
        <v>External failure</v>
      </c>
      <c r="G45" s="37">
        <f>IF(tblCosts[[#This Row],[Date]]="","",DATE(YEAR(tblCosts[[#This Row],[Date]]),MONTH(tblCosts[[#This Row],[Date]]),1))</f>
        <v>45992</v>
      </c>
      <c r="H45" s="37">
        <f>IF(tblCosts[[#This Row],[Date]]="","",IF(AND(tblCosts[[#This Row],[Month]]&gt;=FFrom,tblCosts[[#This Row],[Month]]&lt;=FTo),tblCosts[[#This Row],[Month]],""))</f>
        <v>45992</v>
      </c>
      <c r="I45" s="38" t="str">
        <f>IF(tblCosts[[#This Row],[Date]]="","",IF(tblCosts[[#This Row],[Element]]="","Missing element",IF(tblCosts[[#This Row],[Amount]]="","Missing amount",IF(tblCosts[[#This Row],[Category]]="","Element not on Setup list",IF(COUNTIF(tblMonths[Month],tblCosts[[#This Row],[Month]])=0,"No Monthly Summary row for this month","OK")))))</f>
        <v>OK</v>
      </c>
      <c r="J45" s="39" t="s">
        <v>120</v>
      </c>
    </row>
    <row r="46" spans="2:10">
      <c r="B46" s="34">
        <v>46020</v>
      </c>
      <c r="C46" s="28" t="s">
        <v>102</v>
      </c>
      <c r="D46" s="35">
        <v>11840</v>
      </c>
      <c r="E46" s="28" t="s">
        <v>137</v>
      </c>
      <c r="F46" s="36" t="str">
        <f>IF(tblCosts[[#This Row],[Date]]="","",IFERROR(INDEX(tblElements[Category],MATCH(tblCosts[[#This Row],[Element]],tblElements[Element],0)),""))</f>
        <v>External failure</v>
      </c>
      <c r="G46" s="37">
        <f>IF(tblCosts[[#This Row],[Date]]="","",DATE(YEAR(tblCosts[[#This Row],[Date]]),MONTH(tblCosts[[#This Row],[Date]]),1))</f>
        <v>45992</v>
      </c>
      <c r="H46" s="37">
        <f>IF(tblCosts[[#This Row],[Date]]="","",IF(AND(tblCosts[[#This Row],[Month]]&gt;=FFrom,tblCosts[[#This Row],[Month]]&lt;=FTo),tblCosts[[#This Row],[Month]],""))</f>
        <v>45992</v>
      </c>
      <c r="I46" s="38" t="str">
        <f>IF(tblCosts[[#This Row],[Date]]="","",IF(tblCosts[[#This Row],[Element]]="","Missing element",IF(tblCosts[[#This Row],[Amount]]="","Missing amount",IF(tblCosts[[#This Row],[Category]]="","Element not on Setup list",IF(COUNTIF(tblMonths[Month],tblCosts[[#This Row],[Month]])=0,"No Monthly Summary row for this month","OK")))))</f>
        <v>OK</v>
      </c>
      <c r="J46" s="39" t="s">
        <v>120</v>
      </c>
    </row>
    <row r="47" spans="2:10">
      <c r="B47" s="34">
        <v>46022</v>
      </c>
      <c r="C47" s="28" t="s">
        <v>77</v>
      </c>
      <c r="D47" s="35">
        <v>4460</v>
      </c>
      <c r="E47" s="28" t="s">
        <v>124</v>
      </c>
      <c r="F47" s="36" t="str">
        <f>IF(tblCosts[[#This Row],[Date]]="","",IFERROR(INDEX(tblElements[Category],MATCH(tblCosts[[#This Row],[Element]],tblElements[Element],0)),""))</f>
        <v>Prevention</v>
      </c>
      <c r="G47" s="37">
        <f>IF(tblCosts[[#This Row],[Date]]="","",DATE(YEAR(tblCosts[[#This Row],[Date]]),MONTH(tblCosts[[#This Row],[Date]]),1))</f>
        <v>45992</v>
      </c>
      <c r="H47" s="37">
        <f>IF(tblCosts[[#This Row],[Date]]="","",IF(AND(tblCosts[[#This Row],[Month]]&gt;=FFrom,tblCosts[[#This Row],[Month]]&lt;=FTo),tblCosts[[#This Row],[Month]],""))</f>
        <v>45992</v>
      </c>
      <c r="I47" s="38" t="str">
        <f>IF(tblCosts[[#This Row],[Date]]="","",IF(tblCosts[[#This Row],[Element]]="","Missing element",IF(tblCosts[[#This Row],[Amount]]="","Missing amount",IF(tblCosts[[#This Row],[Category]]="","Element not on Setup list",IF(COUNTIF(tblMonths[Month],tblCosts[[#This Row],[Month]])=0,"No Monthly Summary row for this month","OK")))))</f>
        <v>OK</v>
      </c>
      <c r="J47" s="39" t="s">
        <v>125</v>
      </c>
    </row>
    <row r="48" spans="2:10">
      <c r="B48" s="34">
        <v>46022</v>
      </c>
      <c r="C48" s="28" t="s">
        <v>80</v>
      </c>
      <c r="D48" s="35">
        <v>2250</v>
      </c>
      <c r="E48" s="28" t="s">
        <v>124</v>
      </c>
      <c r="F48" s="36" t="str">
        <f>IF(tblCosts[[#This Row],[Date]]="","",IFERROR(INDEX(tblElements[Category],MATCH(tblCosts[[#This Row],[Element]],tblElements[Element],0)),""))</f>
        <v>Prevention</v>
      </c>
      <c r="G48" s="37">
        <f>IF(tblCosts[[#This Row],[Date]]="","",DATE(YEAR(tblCosts[[#This Row],[Date]]),MONTH(tblCosts[[#This Row],[Date]]),1))</f>
        <v>45992</v>
      </c>
      <c r="H48" s="37">
        <f>IF(tblCosts[[#This Row],[Date]]="","",IF(AND(tblCosts[[#This Row],[Month]]&gt;=FFrom,tblCosts[[#This Row],[Month]]&lt;=FTo),tblCosts[[#This Row],[Month]],""))</f>
        <v>45992</v>
      </c>
      <c r="I48" s="38" t="str">
        <f>IF(tblCosts[[#This Row],[Date]]="","",IF(tblCosts[[#This Row],[Element]]="","Missing element",IF(tblCosts[[#This Row],[Amount]]="","Missing amount",IF(tblCosts[[#This Row],[Category]]="","Element not on Setup list",IF(COUNTIF(tblMonths[Month],tblCosts[[#This Row],[Month]])=0,"No Monthly Summary row for this month","OK")))))</f>
        <v>OK</v>
      </c>
      <c r="J48" s="39" t="s">
        <v>125</v>
      </c>
    </row>
    <row r="49" spans="2:10">
      <c r="B49" s="34">
        <v>46022</v>
      </c>
      <c r="C49" s="28" t="s">
        <v>82</v>
      </c>
      <c r="D49" s="35">
        <v>1920</v>
      </c>
      <c r="E49" s="28" t="s">
        <v>124</v>
      </c>
      <c r="F49" s="36" t="str">
        <f>IF(tblCosts[[#This Row],[Date]]="","",IFERROR(INDEX(tblElements[Category],MATCH(tblCosts[[#This Row],[Element]],tblElements[Element],0)),""))</f>
        <v>Prevention</v>
      </c>
      <c r="G49" s="37">
        <f>IF(tblCosts[[#This Row],[Date]]="","",DATE(YEAR(tblCosts[[#This Row],[Date]]),MONTH(tblCosts[[#This Row],[Date]]),1))</f>
        <v>45992</v>
      </c>
      <c r="H49" s="37">
        <f>IF(tblCosts[[#This Row],[Date]]="","",IF(AND(tblCosts[[#This Row],[Month]]&gt;=FFrom,tblCosts[[#This Row],[Month]]&lt;=FTo),tblCosts[[#This Row],[Month]],""))</f>
        <v>45992</v>
      </c>
      <c r="I49" s="38" t="str">
        <f>IF(tblCosts[[#This Row],[Date]]="","",IF(tblCosts[[#This Row],[Element]]="","Missing element",IF(tblCosts[[#This Row],[Amount]]="","Missing amount",IF(tblCosts[[#This Row],[Category]]="","Element not on Setup list",IF(COUNTIF(tblMonths[Month],tblCosts[[#This Row],[Month]])=0,"No Monthly Summary row for this month","OK")))))</f>
        <v>OK</v>
      </c>
      <c r="J49" s="39" t="s">
        <v>125</v>
      </c>
    </row>
    <row r="50" spans="2:10">
      <c r="B50" s="34">
        <v>46022</v>
      </c>
      <c r="C50" s="28" t="s">
        <v>84</v>
      </c>
      <c r="D50" s="35">
        <v>990</v>
      </c>
      <c r="E50" s="28" t="s">
        <v>124</v>
      </c>
      <c r="F50" s="36" t="str">
        <f>IF(tblCosts[[#This Row],[Date]]="","",IFERROR(INDEX(tblElements[Category],MATCH(tblCosts[[#This Row],[Element]],tblElements[Element],0)),""))</f>
        <v>Prevention</v>
      </c>
      <c r="G50" s="37">
        <f>IF(tblCosts[[#This Row],[Date]]="","",DATE(YEAR(tblCosts[[#This Row],[Date]]),MONTH(tblCosts[[#This Row],[Date]]),1))</f>
        <v>45992</v>
      </c>
      <c r="H50" s="37">
        <f>IF(tblCosts[[#This Row],[Date]]="","",IF(AND(tblCosts[[#This Row],[Month]]&gt;=FFrom,tblCosts[[#This Row],[Month]]&lt;=FTo),tblCosts[[#This Row],[Month]],""))</f>
        <v>45992</v>
      </c>
      <c r="I50" s="38" t="str">
        <f>IF(tblCosts[[#This Row],[Date]]="","",IF(tblCosts[[#This Row],[Element]]="","Missing element",IF(tblCosts[[#This Row],[Amount]]="","Missing amount",IF(tblCosts[[#This Row],[Category]]="","Element not on Setup list",IF(COUNTIF(tblMonths[Month],tblCosts[[#This Row],[Month]])=0,"No Monthly Summary row for this month","OK")))))</f>
        <v>OK</v>
      </c>
      <c r="J50" s="39" t="s">
        <v>125</v>
      </c>
    </row>
    <row r="51" spans="2:10">
      <c r="B51" s="34">
        <v>46022</v>
      </c>
      <c r="C51" s="28" t="s">
        <v>86</v>
      </c>
      <c r="D51" s="35">
        <v>6860</v>
      </c>
      <c r="E51" s="28" t="s">
        <v>126</v>
      </c>
      <c r="F51" s="36" t="str">
        <f>IF(tblCosts[[#This Row],[Date]]="","",IFERROR(INDEX(tblElements[Category],MATCH(tblCosts[[#This Row],[Element]],tblElements[Element],0)),""))</f>
        <v>Appraisal</v>
      </c>
      <c r="G51" s="37">
        <f>IF(tblCosts[[#This Row],[Date]]="","",DATE(YEAR(tblCosts[[#This Row],[Date]]),MONTH(tblCosts[[#This Row],[Date]]),1))</f>
        <v>45992</v>
      </c>
      <c r="H51" s="37">
        <f>IF(tblCosts[[#This Row],[Date]]="","",IF(AND(tblCosts[[#This Row],[Month]]&gt;=FFrom,tblCosts[[#This Row],[Month]]&lt;=FTo),tblCosts[[#This Row],[Month]],""))</f>
        <v>45992</v>
      </c>
      <c r="I51" s="38" t="str">
        <f>IF(tblCosts[[#This Row],[Date]]="","",IF(tblCosts[[#This Row],[Element]]="","Missing element",IF(tblCosts[[#This Row],[Amount]]="","Missing amount",IF(tblCosts[[#This Row],[Category]]="","Element not on Setup list",IF(COUNTIF(tblMonths[Month],tblCosts[[#This Row],[Month]])=0,"No Monthly Summary row for this month","OK")))))</f>
        <v>OK</v>
      </c>
      <c r="J51" s="39" t="s">
        <v>125</v>
      </c>
    </row>
    <row r="52" spans="2:10">
      <c r="B52" s="34">
        <v>46022</v>
      </c>
      <c r="C52" s="28" t="s">
        <v>89</v>
      </c>
      <c r="D52" s="35">
        <v>13730</v>
      </c>
      <c r="E52" s="28" t="s">
        <v>126</v>
      </c>
      <c r="F52" s="36" t="str">
        <f>IF(tblCosts[[#This Row],[Date]]="","",IFERROR(INDEX(tblElements[Category],MATCH(tblCosts[[#This Row],[Element]],tblElements[Element],0)),""))</f>
        <v>Appraisal</v>
      </c>
      <c r="G52" s="37">
        <f>IF(tblCosts[[#This Row],[Date]]="","",DATE(YEAR(tblCosts[[#This Row],[Date]]),MONTH(tblCosts[[#This Row],[Date]]),1))</f>
        <v>45992</v>
      </c>
      <c r="H52" s="37">
        <f>IF(tblCosts[[#This Row],[Date]]="","",IF(AND(tblCosts[[#This Row],[Month]]&gt;=FFrom,tblCosts[[#This Row],[Month]]&lt;=FTo),tblCosts[[#This Row],[Month]],""))</f>
        <v>45992</v>
      </c>
      <c r="I52" s="38" t="str">
        <f>IF(tblCosts[[#This Row],[Date]]="","",IF(tblCosts[[#This Row],[Element]]="","Missing element",IF(tblCosts[[#This Row],[Amount]]="","Missing amount",IF(tblCosts[[#This Row],[Category]]="","Element not on Setup list",IF(COUNTIF(tblMonths[Month],tblCosts[[#This Row],[Month]])=0,"No Monthly Summary row for this month","OK")))))</f>
        <v>OK</v>
      </c>
      <c r="J52" s="39" t="s">
        <v>125</v>
      </c>
    </row>
    <row r="53" spans="2:10">
      <c r="B53" s="34">
        <v>46022</v>
      </c>
      <c r="C53" s="28" t="s">
        <v>91</v>
      </c>
      <c r="D53" s="35">
        <v>3570</v>
      </c>
      <c r="E53" s="28" t="s">
        <v>126</v>
      </c>
      <c r="F53" s="36" t="str">
        <f>IF(tblCosts[[#This Row],[Date]]="","",IFERROR(INDEX(tblElements[Category],MATCH(tblCosts[[#This Row],[Element]],tblElements[Element],0)),""))</f>
        <v>Appraisal</v>
      </c>
      <c r="G53" s="37">
        <f>IF(tblCosts[[#This Row],[Date]]="","",DATE(YEAR(tblCosts[[#This Row],[Date]]),MONTH(tblCosts[[#This Row],[Date]]),1))</f>
        <v>45992</v>
      </c>
      <c r="H53" s="37">
        <f>IF(tblCosts[[#This Row],[Date]]="","",IF(AND(tblCosts[[#This Row],[Month]]&gt;=FFrom,tblCosts[[#This Row],[Month]]&lt;=FTo),tblCosts[[#This Row],[Month]],""))</f>
        <v>45992</v>
      </c>
      <c r="I53" s="38" t="str">
        <f>IF(tblCosts[[#This Row],[Date]]="","",IF(tblCosts[[#This Row],[Element]]="","Missing element",IF(tblCosts[[#This Row],[Amount]]="","Missing amount",IF(tblCosts[[#This Row],[Category]]="","Element not on Setup list",IF(COUNTIF(tblMonths[Month],tblCosts[[#This Row],[Month]])=0,"No Monthly Summary row for this month","OK")))))</f>
        <v>OK</v>
      </c>
      <c r="J53" s="39" t="s">
        <v>125</v>
      </c>
    </row>
    <row r="54" spans="2:10">
      <c r="B54" s="34">
        <v>46022</v>
      </c>
      <c r="C54" s="28" t="s">
        <v>93</v>
      </c>
      <c r="D54" s="35">
        <v>13360</v>
      </c>
      <c r="E54" s="28" t="s">
        <v>127</v>
      </c>
      <c r="F54" s="36" t="str">
        <f>IF(tblCosts[[#This Row],[Date]]="","",IFERROR(INDEX(tblElements[Category],MATCH(tblCosts[[#This Row],[Element]],tblElements[Element],0)),""))</f>
        <v>Internal failure</v>
      </c>
      <c r="G54" s="37">
        <f>IF(tblCosts[[#This Row],[Date]]="","",DATE(YEAR(tblCosts[[#This Row],[Date]]),MONTH(tblCosts[[#This Row],[Date]]),1))</f>
        <v>45992</v>
      </c>
      <c r="H54" s="37">
        <f>IF(tblCosts[[#This Row],[Date]]="","",IF(AND(tblCosts[[#This Row],[Month]]&gt;=FFrom,tblCosts[[#This Row],[Month]]&lt;=FTo),tblCosts[[#This Row],[Month]],""))</f>
        <v>45992</v>
      </c>
      <c r="I54" s="38" t="str">
        <f>IF(tblCosts[[#This Row],[Date]]="","",IF(tblCosts[[#This Row],[Element]]="","Missing element",IF(tblCosts[[#This Row],[Amount]]="","Missing amount",IF(tblCosts[[#This Row],[Category]]="","Element not on Setup list",IF(COUNTIF(tblMonths[Month],tblCosts[[#This Row],[Month]])=0,"No Monthly Summary row for this month","OK")))))</f>
        <v>OK</v>
      </c>
      <c r="J54" s="39" t="s">
        <v>125</v>
      </c>
    </row>
    <row r="55" spans="2:10">
      <c r="B55" s="34">
        <v>46022</v>
      </c>
      <c r="C55" s="28" t="s">
        <v>96</v>
      </c>
      <c r="D55" s="35">
        <v>8530</v>
      </c>
      <c r="E55" s="28" t="s">
        <v>127</v>
      </c>
      <c r="F55" s="36" t="str">
        <f>IF(tblCosts[[#This Row],[Date]]="","",IFERROR(INDEX(tblElements[Category],MATCH(tblCosts[[#This Row],[Element]],tblElements[Element],0)),""))</f>
        <v>Internal failure</v>
      </c>
      <c r="G55" s="37">
        <f>IF(tblCosts[[#This Row],[Date]]="","",DATE(YEAR(tblCosts[[#This Row],[Date]]),MONTH(tblCosts[[#This Row],[Date]]),1))</f>
        <v>45992</v>
      </c>
      <c r="H55" s="37">
        <f>IF(tblCosts[[#This Row],[Date]]="","",IF(AND(tblCosts[[#This Row],[Month]]&gt;=FFrom,tblCosts[[#This Row],[Month]]&lt;=FTo),tblCosts[[#This Row],[Month]],""))</f>
        <v>45992</v>
      </c>
      <c r="I55" s="38" t="str">
        <f>IF(tblCosts[[#This Row],[Date]]="","",IF(tblCosts[[#This Row],[Element]]="","Missing element",IF(tblCosts[[#This Row],[Amount]]="","Missing amount",IF(tblCosts[[#This Row],[Category]]="","Element not on Setup list",IF(COUNTIF(tblMonths[Month],tblCosts[[#This Row],[Month]])=0,"No Monthly Summary row for this month","OK")))))</f>
        <v>OK</v>
      </c>
      <c r="J55" s="39" t="s">
        <v>125</v>
      </c>
    </row>
    <row r="56" spans="2:10">
      <c r="B56" s="34">
        <v>46022</v>
      </c>
      <c r="C56" s="28" t="s">
        <v>98</v>
      </c>
      <c r="D56" s="35">
        <v>3340</v>
      </c>
      <c r="E56" s="28" t="s">
        <v>127</v>
      </c>
      <c r="F56" s="36" t="str">
        <f>IF(tblCosts[[#This Row],[Date]]="","",IFERROR(INDEX(tblElements[Category],MATCH(tblCosts[[#This Row],[Element]],tblElements[Element],0)),""))</f>
        <v>Internal failure</v>
      </c>
      <c r="G56" s="37">
        <f>IF(tblCosts[[#This Row],[Date]]="","",DATE(YEAR(tblCosts[[#This Row],[Date]]),MONTH(tblCosts[[#This Row],[Date]]),1))</f>
        <v>45992</v>
      </c>
      <c r="H56" s="37">
        <f>IF(tblCosts[[#This Row],[Date]]="","",IF(AND(tblCosts[[#This Row],[Month]]&gt;=FFrom,tblCosts[[#This Row],[Month]]&lt;=FTo),tblCosts[[#This Row],[Month]],""))</f>
        <v>45992</v>
      </c>
      <c r="I56" s="38" t="str">
        <f>IF(tblCosts[[#This Row],[Date]]="","",IF(tblCosts[[#This Row],[Element]]="","Missing element",IF(tblCosts[[#This Row],[Amount]]="","Missing amount",IF(tblCosts[[#This Row],[Category]]="","Element not on Setup list",IF(COUNTIF(tblMonths[Month],tblCosts[[#This Row],[Month]])=0,"No Monthly Summary row for this month","OK")))))</f>
        <v>OK</v>
      </c>
      <c r="J56" s="39" t="s">
        <v>125</v>
      </c>
    </row>
    <row r="57" spans="2:10">
      <c r="B57" s="34">
        <v>46022</v>
      </c>
      <c r="C57" s="28" t="s">
        <v>100</v>
      </c>
      <c r="D57" s="35">
        <v>1570</v>
      </c>
      <c r="E57" s="28" t="s">
        <v>127</v>
      </c>
      <c r="F57" s="36" t="str">
        <f>IF(tblCosts[[#This Row],[Date]]="","",IFERROR(INDEX(tblElements[Category],MATCH(tblCosts[[#This Row],[Element]],tblElements[Element],0)),""))</f>
        <v>Internal failure</v>
      </c>
      <c r="G57" s="37">
        <f>IF(tblCosts[[#This Row],[Date]]="","",DATE(YEAR(tblCosts[[#This Row],[Date]]),MONTH(tblCosts[[#This Row],[Date]]),1))</f>
        <v>45992</v>
      </c>
      <c r="H57" s="37">
        <f>IF(tblCosts[[#This Row],[Date]]="","",IF(AND(tblCosts[[#This Row],[Month]]&gt;=FFrom,tblCosts[[#This Row],[Month]]&lt;=FTo),tblCosts[[#This Row],[Month]],""))</f>
        <v>45992</v>
      </c>
      <c r="I57" s="38" t="str">
        <f>IF(tblCosts[[#This Row],[Date]]="","",IF(tblCosts[[#This Row],[Element]]="","Missing element",IF(tblCosts[[#This Row],[Amount]]="","Missing amount",IF(tblCosts[[#This Row],[Category]]="","Element not on Setup list",IF(COUNTIF(tblMonths[Month],tblCosts[[#This Row],[Month]])=0,"No Monthly Summary row for this month","OK")))))</f>
        <v>OK</v>
      </c>
      <c r="J57" s="39" t="s">
        <v>125</v>
      </c>
    </row>
    <row r="58" spans="2:10">
      <c r="B58" s="34">
        <v>46022</v>
      </c>
      <c r="C58" s="28" t="s">
        <v>105</v>
      </c>
      <c r="D58" s="35">
        <v>22080</v>
      </c>
      <c r="E58" s="28" t="s">
        <v>128</v>
      </c>
      <c r="F58" s="36" t="str">
        <f>IF(tblCosts[[#This Row],[Date]]="","",IFERROR(INDEX(tblElements[Category],MATCH(tblCosts[[#This Row],[Element]],tblElements[Element],0)),""))</f>
        <v>External failure</v>
      </c>
      <c r="G58" s="37">
        <f>IF(tblCosts[[#This Row],[Date]]="","",DATE(YEAR(tblCosts[[#This Row],[Date]]),MONTH(tblCosts[[#This Row],[Date]]),1))</f>
        <v>45992</v>
      </c>
      <c r="H58" s="37">
        <f>IF(tblCosts[[#This Row],[Date]]="","",IF(AND(tblCosts[[#This Row],[Month]]&gt;=FFrom,tblCosts[[#This Row],[Month]]&lt;=FTo),tblCosts[[#This Row],[Month]],""))</f>
        <v>45992</v>
      </c>
      <c r="I58" s="38" t="str">
        <f>IF(tblCosts[[#This Row],[Date]]="","",IF(tblCosts[[#This Row],[Element]]="","Missing element",IF(tblCosts[[#This Row],[Amount]]="","Missing amount",IF(tblCosts[[#This Row],[Category]]="","Element not on Setup list",IF(COUNTIF(tblMonths[Month],tblCosts[[#This Row],[Month]])=0,"No Monthly Summary row for this month","OK")))))</f>
        <v>OK</v>
      </c>
      <c r="J58" s="39" t="s">
        <v>125</v>
      </c>
    </row>
    <row r="59" spans="2:10">
      <c r="B59" s="34">
        <v>46022</v>
      </c>
      <c r="C59" s="28" t="s">
        <v>107</v>
      </c>
      <c r="D59" s="35">
        <v>9970</v>
      </c>
      <c r="E59" s="28" t="s">
        <v>128</v>
      </c>
      <c r="F59" s="36" t="str">
        <f>IF(tblCosts[[#This Row],[Date]]="","",IFERROR(INDEX(tblElements[Category],MATCH(tblCosts[[#This Row],[Element]],tblElements[Element],0)),""))</f>
        <v>External failure</v>
      </c>
      <c r="G59" s="37">
        <f>IF(tblCosts[[#This Row],[Date]]="","",DATE(YEAR(tblCosts[[#This Row],[Date]]),MONTH(tblCosts[[#This Row],[Date]]),1))</f>
        <v>45992</v>
      </c>
      <c r="H59" s="37">
        <f>IF(tblCosts[[#This Row],[Date]]="","",IF(AND(tblCosts[[#This Row],[Month]]&gt;=FFrom,tblCosts[[#This Row],[Month]]&lt;=FTo),tblCosts[[#This Row],[Month]],""))</f>
        <v>45992</v>
      </c>
      <c r="I59" s="38" t="str">
        <f>IF(tblCosts[[#This Row],[Date]]="","",IF(tblCosts[[#This Row],[Element]]="","Missing element",IF(tblCosts[[#This Row],[Amount]]="","Missing amount",IF(tblCosts[[#This Row],[Category]]="","Element not on Setup list",IF(COUNTIF(tblMonths[Month],tblCosts[[#This Row],[Month]])=0,"No Monthly Summary row for this month","OK")))))</f>
        <v>OK</v>
      </c>
      <c r="J59" s="39" t="s">
        <v>129</v>
      </c>
    </row>
    <row r="60" spans="2:10">
      <c r="B60" s="34">
        <v>46022</v>
      </c>
      <c r="C60" s="28" t="s">
        <v>109</v>
      </c>
      <c r="D60" s="35">
        <v>5680</v>
      </c>
      <c r="E60" s="28" t="s">
        <v>128</v>
      </c>
      <c r="F60" s="36" t="str">
        <f>IF(tblCosts[[#This Row],[Date]]="","",IFERROR(INDEX(tblElements[Category],MATCH(tblCosts[[#This Row],[Element]],tblElements[Element],0)),""))</f>
        <v>External failure</v>
      </c>
      <c r="G60" s="37">
        <f>IF(tblCosts[[#This Row],[Date]]="","",DATE(YEAR(tblCosts[[#This Row],[Date]]),MONTH(tblCosts[[#This Row],[Date]]),1))</f>
        <v>45992</v>
      </c>
      <c r="H60" s="37">
        <f>IF(tblCosts[[#This Row],[Date]]="","",IF(AND(tblCosts[[#This Row],[Month]]&gt;=FFrom,tblCosts[[#This Row],[Month]]&lt;=FTo),tblCosts[[#This Row],[Month]],""))</f>
        <v>45992</v>
      </c>
      <c r="I60" s="38" t="str">
        <f>IF(tblCosts[[#This Row],[Date]]="","",IF(tblCosts[[#This Row],[Element]]="","Missing element",IF(tblCosts[[#This Row],[Amount]]="","Missing amount",IF(tblCosts[[#This Row],[Category]]="","Element not on Setup list",IF(COUNTIF(tblMonths[Month],tblCosts[[#This Row],[Month]])=0,"No Monthly Summary row for this month","OK")))))</f>
        <v>OK</v>
      </c>
      <c r="J60" s="39" t="s">
        <v>125</v>
      </c>
    </row>
    <row r="61" spans="2:10">
      <c r="B61" s="34">
        <v>46029</v>
      </c>
      <c r="C61" s="28" t="s">
        <v>102</v>
      </c>
      <c r="D61" s="35">
        <v>11930</v>
      </c>
      <c r="E61" s="28" t="s">
        <v>138</v>
      </c>
      <c r="F61" s="36" t="str">
        <f>IF(tblCosts[[#This Row],[Date]]="","",IFERROR(INDEX(tblElements[Category],MATCH(tblCosts[[#This Row],[Element]],tblElements[Element],0)),""))</f>
        <v>External failure</v>
      </c>
      <c r="G61" s="37">
        <f>IF(tblCosts[[#This Row],[Date]]="","",DATE(YEAR(tblCosts[[#This Row],[Date]]),MONTH(tblCosts[[#This Row],[Date]]),1))</f>
        <v>46023</v>
      </c>
      <c r="H61" s="37">
        <f>IF(tblCosts[[#This Row],[Date]]="","",IF(AND(tblCosts[[#This Row],[Month]]&gt;=FFrom,tblCosts[[#This Row],[Month]]&lt;=FTo),tblCosts[[#This Row],[Month]],""))</f>
        <v>46023</v>
      </c>
      <c r="I61" s="38" t="str">
        <f>IF(tblCosts[[#This Row],[Date]]="","",IF(tblCosts[[#This Row],[Element]]="","Missing element",IF(tblCosts[[#This Row],[Amount]]="","Missing amount",IF(tblCosts[[#This Row],[Category]]="","Element not on Setup list",IF(COUNTIF(tblMonths[Month],tblCosts[[#This Row],[Month]])=0,"No Monthly Summary row for this month","OK")))))</f>
        <v>OK</v>
      </c>
      <c r="J61" s="39" t="s">
        <v>120</v>
      </c>
    </row>
    <row r="62" spans="2:10">
      <c r="B62" s="34">
        <v>46037</v>
      </c>
      <c r="C62" s="28" t="s">
        <v>102</v>
      </c>
      <c r="D62" s="35">
        <v>11460</v>
      </c>
      <c r="E62" s="28" t="s">
        <v>139</v>
      </c>
      <c r="F62" s="36" t="str">
        <f>IF(tblCosts[[#This Row],[Date]]="","",IFERROR(INDEX(tblElements[Category],MATCH(tblCosts[[#This Row],[Element]],tblElements[Element],0)),""))</f>
        <v>External failure</v>
      </c>
      <c r="G62" s="37">
        <f>IF(tblCosts[[#This Row],[Date]]="","",DATE(YEAR(tblCosts[[#This Row],[Date]]),MONTH(tblCosts[[#This Row],[Date]]),1))</f>
        <v>46023</v>
      </c>
      <c r="H62" s="37">
        <f>IF(tblCosts[[#This Row],[Date]]="","",IF(AND(tblCosts[[#This Row],[Month]]&gt;=FFrom,tblCosts[[#This Row],[Month]]&lt;=FTo),tblCosts[[#This Row],[Month]],""))</f>
        <v>46023</v>
      </c>
      <c r="I62" s="38" t="str">
        <f>IF(tblCosts[[#This Row],[Date]]="","",IF(tblCosts[[#This Row],[Element]]="","Missing element",IF(tblCosts[[#This Row],[Amount]]="","Missing amount",IF(tblCosts[[#This Row],[Category]]="","Element not on Setup list",IF(COUNTIF(tblMonths[Month],tblCosts[[#This Row],[Month]])=0,"No Monthly Summary row for this month","OK")))))</f>
        <v>OK</v>
      </c>
      <c r="J62" s="39" t="s">
        <v>120</v>
      </c>
    </row>
    <row r="63" spans="2:10">
      <c r="B63" s="34">
        <v>46045</v>
      </c>
      <c r="C63" s="28" t="s">
        <v>102</v>
      </c>
      <c r="D63" s="35">
        <v>13750</v>
      </c>
      <c r="E63" s="28" t="s">
        <v>140</v>
      </c>
      <c r="F63" s="36" t="str">
        <f>IF(tblCosts[[#This Row],[Date]]="","",IFERROR(INDEX(tblElements[Category],MATCH(tblCosts[[#This Row],[Element]],tblElements[Element],0)),""))</f>
        <v>External failure</v>
      </c>
      <c r="G63" s="37">
        <f>IF(tblCosts[[#This Row],[Date]]="","",DATE(YEAR(tblCosts[[#This Row],[Date]]),MONTH(tblCosts[[#This Row],[Date]]),1))</f>
        <v>46023</v>
      </c>
      <c r="H63" s="37">
        <f>IF(tblCosts[[#This Row],[Date]]="","",IF(AND(tblCosts[[#This Row],[Month]]&gt;=FFrom,tblCosts[[#This Row],[Month]]&lt;=FTo),tblCosts[[#This Row],[Month]],""))</f>
        <v>46023</v>
      </c>
      <c r="I63" s="38" t="str">
        <f>IF(tblCosts[[#This Row],[Date]]="","",IF(tblCosts[[#This Row],[Element]]="","Missing element",IF(tblCosts[[#This Row],[Amount]]="","Missing amount",IF(tblCosts[[#This Row],[Category]]="","Element not on Setup list",IF(COUNTIF(tblMonths[Month],tblCosts[[#This Row],[Month]])=0,"No Monthly Summary row for this month","OK")))))</f>
        <v>OK</v>
      </c>
      <c r="J63" s="39" t="s">
        <v>120</v>
      </c>
    </row>
    <row r="64" spans="2:10">
      <c r="B64" s="34">
        <v>46052</v>
      </c>
      <c r="C64" s="28" t="s">
        <v>77</v>
      </c>
      <c r="D64" s="35">
        <v>4510</v>
      </c>
      <c r="E64" s="28" t="s">
        <v>124</v>
      </c>
      <c r="F64" s="36" t="str">
        <f>IF(tblCosts[[#This Row],[Date]]="","",IFERROR(INDEX(tblElements[Category],MATCH(tblCosts[[#This Row],[Element]],tblElements[Element],0)),""))</f>
        <v>Prevention</v>
      </c>
      <c r="G64" s="37">
        <f>IF(tblCosts[[#This Row],[Date]]="","",DATE(YEAR(tblCosts[[#This Row],[Date]]),MONTH(tblCosts[[#This Row],[Date]]),1))</f>
        <v>46023</v>
      </c>
      <c r="H64" s="37">
        <f>IF(tblCosts[[#This Row],[Date]]="","",IF(AND(tblCosts[[#This Row],[Month]]&gt;=FFrom,tblCosts[[#This Row],[Month]]&lt;=FTo),tblCosts[[#This Row],[Month]],""))</f>
        <v>46023</v>
      </c>
      <c r="I64" s="38" t="str">
        <f>IF(tblCosts[[#This Row],[Date]]="","",IF(tblCosts[[#This Row],[Element]]="","Missing element",IF(tblCosts[[#This Row],[Amount]]="","Missing amount",IF(tblCosts[[#This Row],[Category]]="","Element not on Setup list",IF(COUNTIF(tblMonths[Month],tblCosts[[#This Row],[Month]])=0,"No Monthly Summary row for this month","OK")))))</f>
        <v>OK</v>
      </c>
      <c r="J64" s="39" t="s">
        <v>125</v>
      </c>
    </row>
    <row r="65" spans="2:10">
      <c r="B65" s="34">
        <v>46052</v>
      </c>
      <c r="C65" s="28" t="s">
        <v>80</v>
      </c>
      <c r="D65" s="35">
        <v>2840</v>
      </c>
      <c r="E65" s="28" t="s">
        <v>124</v>
      </c>
      <c r="F65" s="36" t="str">
        <f>IF(tblCosts[[#This Row],[Date]]="","",IFERROR(INDEX(tblElements[Category],MATCH(tblCosts[[#This Row],[Element]],tblElements[Element],0)),""))</f>
        <v>Prevention</v>
      </c>
      <c r="G65" s="37">
        <f>IF(tblCosts[[#This Row],[Date]]="","",DATE(YEAR(tblCosts[[#This Row],[Date]]),MONTH(tblCosts[[#This Row],[Date]]),1))</f>
        <v>46023</v>
      </c>
      <c r="H65" s="37">
        <f>IF(tblCosts[[#This Row],[Date]]="","",IF(AND(tblCosts[[#This Row],[Month]]&gt;=FFrom,tblCosts[[#This Row],[Month]]&lt;=FTo),tblCosts[[#This Row],[Month]],""))</f>
        <v>46023</v>
      </c>
      <c r="I65" s="38" t="str">
        <f>IF(tblCosts[[#This Row],[Date]]="","",IF(tblCosts[[#This Row],[Element]]="","Missing element",IF(tblCosts[[#This Row],[Amount]]="","Missing amount",IF(tblCosts[[#This Row],[Category]]="","Element not on Setup list",IF(COUNTIF(tblMonths[Month],tblCosts[[#This Row],[Month]])=0,"No Monthly Summary row for this month","OK")))))</f>
        <v>OK</v>
      </c>
      <c r="J65" s="39" t="s">
        <v>125</v>
      </c>
    </row>
    <row r="66" spans="2:10">
      <c r="B66" s="34">
        <v>46052</v>
      </c>
      <c r="C66" s="28" t="s">
        <v>82</v>
      </c>
      <c r="D66" s="35">
        <v>1910</v>
      </c>
      <c r="E66" s="28" t="s">
        <v>124</v>
      </c>
      <c r="F66" s="36" t="str">
        <f>IF(tblCosts[[#This Row],[Date]]="","",IFERROR(INDEX(tblElements[Category],MATCH(tblCosts[[#This Row],[Element]],tblElements[Element],0)),""))</f>
        <v>Prevention</v>
      </c>
      <c r="G66" s="37">
        <f>IF(tblCosts[[#This Row],[Date]]="","",DATE(YEAR(tblCosts[[#This Row],[Date]]),MONTH(tblCosts[[#This Row],[Date]]),1))</f>
        <v>46023</v>
      </c>
      <c r="H66" s="37">
        <f>IF(tblCosts[[#This Row],[Date]]="","",IF(AND(tblCosts[[#This Row],[Month]]&gt;=FFrom,tblCosts[[#This Row],[Month]]&lt;=FTo),tblCosts[[#This Row],[Month]],""))</f>
        <v>46023</v>
      </c>
      <c r="I66" s="38" t="str">
        <f>IF(tblCosts[[#This Row],[Date]]="","",IF(tblCosts[[#This Row],[Element]]="","Missing element",IF(tblCosts[[#This Row],[Amount]]="","Missing amount",IF(tblCosts[[#This Row],[Category]]="","Element not on Setup list",IF(COUNTIF(tblMonths[Month],tblCosts[[#This Row],[Month]])=0,"No Monthly Summary row for this month","OK")))))</f>
        <v>OK</v>
      </c>
      <c r="J66" s="39" t="s">
        <v>125</v>
      </c>
    </row>
    <row r="67" spans="2:10">
      <c r="B67" s="34">
        <v>46052</v>
      </c>
      <c r="C67" s="28" t="s">
        <v>84</v>
      </c>
      <c r="D67" s="35">
        <v>1580</v>
      </c>
      <c r="E67" s="28" t="s">
        <v>124</v>
      </c>
      <c r="F67" s="36" t="str">
        <f>IF(tblCosts[[#This Row],[Date]]="","",IFERROR(INDEX(tblElements[Category],MATCH(tblCosts[[#This Row],[Element]],tblElements[Element],0)),""))</f>
        <v>Prevention</v>
      </c>
      <c r="G67" s="37">
        <f>IF(tblCosts[[#This Row],[Date]]="","",DATE(YEAR(tblCosts[[#This Row],[Date]]),MONTH(tblCosts[[#This Row],[Date]]),1))</f>
        <v>46023</v>
      </c>
      <c r="H67" s="37">
        <f>IF(tblCosts[[#This Row],[Date]]="","",IF(AND(tblCosts[[#This Row],[Month]]&gt;=FFrom,tblCosts[[#This Row],[Month]]&lt;=FTo),tblCosts[[#This Row],[Month]],""))</f>
        <v>46023</v>
      </c>
      <c r="I67" s="38" t="str">
        <f>IF(tblCosts[[#This Row],[Date]]="","",IF(tblCosts[[#This Row],[Element]]="","Missing element",IF(tblCosts[[#This Row],[Amount]]="","Missing amount",IF(tblCosts[[#This Row],[Category]]="","Element not on Setup list",IF(COUNTIF(tblMonths[Month],tblCosts[[#This Row],[Month]])=0,"No Monthly Summary row for this month","OK")))))</f>
        <v>OK</v>
      </c>
      <c r="J67" s="39" t="s">
        <v>125</v>
      </c>
    </row>
    <row r="68" spans="2:10">
      <c r="B68" s="34">
        <v>46052</v>
      </c>
      <c r="C68" s="28" t="s">
        <v>86</v>
      </c>
      <c r="D68" s="35">
        <v>7120</v>
      </c>
      <c r="E68" s="28" t="s">
        <v>126</v>
      </c>
      <c r="F68" s="36" t="str">
        <f>IF(tblCosts[[#This Row],[Date]]="","",IFERROR(INDEX(tblElements[Category],MATCH(tblCosts[[#This Row],[Element]],tblElements[Element],0)),""))</f>
        <v>Appraisal</v>
      </c>
      <c r="G68" s="37">
        <f>IF(tblCosts[[#This Row],[Date]]="","",DATE(YEAR(tblCosts[[#This Row],[Date]]),MONTH(tblCosts[[#This Row],[Date]]),1))</f>
        <v>46023</v>
      </c>
      <c r="H68" s="37">
        <f>IF(tblCosts[[#This Row],[Date]]="","",IF(AND(tblCosts[[#This Row],[Month]]&gt;=FFrom,tblCosts[[#This Row],[Month]]&lt;=FTo),tblCosts[[#This Row],[Month]],""))</f>
        <v>46023</v>
      </c>
      <c r="I68" s="38" t="str">
        <f>IF(tblCosts[[#This Row],[Date]]="","",IF(tblCosts[[#This Row],[Element]]="","Missing element",IF(tblCosts[[#This Row],[Amount]]="","Missing amount",IF(tblCosts[[#This Row],[Category]]="","Element not on Setup list",IF(COUNTIF(tblMonths[Month],tblCosts[[#This Row],[Month]])=0,"No Monthly Summary row for this month","OK")))))</f>
        <v>OK</v>
      </c>
      <c r="J68" s="39" t="s">
        <v>125</v>
      </c>
    </row>
    <row r="69" spans="2:10">
      <c r="B69" s="34">
        <v>46052</v>
      </c>
      <c r="C69" s="28" t="s">
        <v>89</v>
      </c>
      <c r="D69" s="35">
        <v>15230</v>
      </c>
      <c r="E69" s="28" t="s">
        <v>126</v>
      </c>
      <c r="F69" s="36" t="str">
        <f>IF(tblCosts[[#This Row],[Date]]="","",IFERROR(INDEX(tblElements[Category],MATCH(tblCosts[[#This Row],[Element]],tblElements[Element],0)),""))</f>
        <v>Appraisal</v>
      </c>
      <c r="G69" s="37">
        <f>IF(tblCosts[[#This Row],[Date]]="","",DATE(YEAR(tblCosts[[#This Row],[Date]]),MONTH(tblCosts[[#This Row],[Date]]),1))</f>
        <v>46023</v>
      </c>
      <c r="H69" s="37">
        <f>IF(tblCosts[[#This Row],[Date]]="","",IF(AND(tblCosts[[#This Row],[Month]]&gt;=FFrom,tblCosts[[#This Row],[Month]]&lt;=FTo),tblCosts[[#This Row],[Month]],""))</f>
        <v>46023</v>
      </c>
      <c r="I69" s="38" t="str">
        <f>IF(tblCosts[[#This Row],[Date]]="","",IF(tblCosts[[#This Row],[Element]]="","Missing element",IF(tblCosts[[#This Row],[Amount]]="","Missing amount",IF(tblCosts[[#This Row],[Category]]="","Element not on Setup list",IF(COUNTIF(tblMonths[Month],tblCosts[[#This Row],[Month]])=0,"No Monthly Summary row for this month","OK")))))</f>
        <v>OK</v>
      </c>
      <c r="J69" s="39" t="s">
        <v>125</v>
      </c>
    </row>
    <row r="70" spans="2:10">
      <c r="B70" s="34">
        <v>46052</v>
      </c>
      <c r="C70" s="28" t="s">
        <v>91</v>
      </c>
      <c r="D70" s="35">
        <v>2730</v>
      </c>
      <c r="E70" s="28" t="s">
        <v>126</v>
      </c>
      <c r="F70" s="36" t="str">
        <f>IF(tblCosts[[#This Row],[Date]]="","",IFERROR(INDEX(tblElements[Category],MATCH(tblCosts[[#This Row],[Element]],tblElements[Element],0)),""))</f>
        <v>Appraisal</v>
      </c>
      <c r="G70" s="37">
        <f>IF(tblCosts[[#This Row],[Date]]="","",DATE(YEAR(tblCosts[[#This Row],[Date]]),MONTH(tblCosts[[#This Row],[Date]]),1))</f>
        <v>46023</v>
      </c>
      <c r="H70" s="37">
        <f>IF(tblCosts[[#This Row],[Date]]="","",IF(AND(tblCosts[[#This Row],[Month]]&gt;=FFrom,tblCosts[[#This Row],[Month]]&lt;=FTo),tblCosts[[#This Row],[Month]],""))</f>
        <v>46023</v>
      </c>
      <c r="I70" s="38" t="str">
        <f>IF(tblCosts[[#This Row],[Date]]="","",IF(tblCosts[[#This Row],[Element]]="","Missing element",IF(tblCosts[[#This Row],[Amount]]="","Missing amount",IF(tblCosts[[#This Row],[Category]]="","Element not on Setup list",IF(COUNTIF(tblMonths[Month],tblCosts[[#This Row],[Month]])=0,"No Monthly Summary row for this month","OK")))))</f>
        <v>OK</v>
      </c>
      <c r="J70" s="39" t="s">
        <v>125</v>
      </c>
    </row>
    <row r="71" spans="2:10">
      <c r="B71" s="34">
        <v>46052</v>
      </c>
      <c r="C71" s="28" t="s">
        <v>93</v>
      </c>
      <c r="D71" s="35">
        <v>12910</v>
      </c>
      <c r="E71" s="28" t="s">
        <v>127</v>
      </c>
      <c r="F71" s="36" t="str">
        <f>IF(tblCosts[[#This Row],[Date]]="","",IFERROR(INDEX(tblElements[Category],MATCH(tblCosts[[#This Row],[Element]],tblElements[Element],0)),""))</f>
        <v>Internal failure</v>
      </c>
      <c r="G71" s="37">
        <f>IF(tblCosts[[#This Row],[Date]]="","",DATE(YEAR(tblCosts[[#This Row],[Date]]),MONTH(tblCosts[[#This Row],[Date]]),1))</f>
        <v>46023</v>
      </c>
      <c r="H71" s="37">
        <f>IF(tblCosts[[#This Row],[Date]]="","",IF(AND(tblCosts[[#This Row],[Month]]&gt;=FFrom,tblCosts[[#This Row],[Month]]&lt;=FTo),tblCosts[[#This Row],[Month]],""))</f>
        <v>46023</v>
      </c>
      <c r="I71" s="38" t="str">
        <f>IF(tblCosts[[#This Row],[Date]]="","",IF(tblCosts[[#This Row],[Element]]="","Missing element",IF(tblCosts[[#This Row],[Amount]]="","Missing amount",IF(tblCosts[[#This Row],[Category]]="","Element not on Setup list",IF(COUNTIF(tblMonths[Month],tblCosts[[#This Row],[Month]])=0,"No Monthly Summary row for this month","OK")))))</f>
        <v>OK</v>
      </c>
      <c r="J71" s="39" t="s">
        <v>125</v>
      </c>
    </row>
    <row r="72" spans="2:10">
      <c r="B72" s="34">
        <v>46052</v>
      </c>
      <c r="C72" s="28" t="s">
        <v>96</v>
      </c>
      <c r="D72" s="35">
        <v>8260</v>
      </c>
      <c r="E72" s="28" t="s">
        <v>127</v>
      </c>
      <c r="F72" s="36" t="str">
        <f>IF(tblCosts[[#This Row],[Date]]="","",IFERROR(INDEX(tblElements[Category],MATCH(tblCosts[[#This Row],[Element]],tblElements[Element],0)),""))</f>
        <v>Internal failure</v>
      </c>
      <c r="G72" s="37">
        <f>IF(tblCosts[[#This Row],[Date]]="","",DATE(YEAR(tblCosts[[#This Row],[Date]]),MONTH(tblCosts[[#This Row],[Date]]),1))</f>
        <v>46023</v>
      </c>
      <c r="H72" s="37">
        <f>IF(tblCosts[[#This Row],[Date]]="","",IF(AND(tblCosts[[#This Row],[Month]]&gt;=FFrom,tblCosts[[#This Row],[Month]]&lt;=FTo),tblCosts[[#This Row],[Month]],""))</f>
        <v>46023</v>
      </c>
      <c r="I72" s="38" t="str">
        <f>IF(tblCosts[[#This Row],[Date]]="","",IF(tblCosts[[#This Row],[Element]]="","Missing element",IF(tblCosts[[#This Row],[Amount]]="","Missing amount",IF(tblCosts[[#This Row],[Category]]="","Element not on Setup list",IF(COUNTIF(tblMonths[Month],tblCosts[[#This Row],[Month]])=0,"No Monthly Summary row for this month","OK")))))</f>
        <v>OK</v>
      </c>
      <c r="J72" s="39" t="s">
        <v>125</v>
      </c>
    </row>
    <row r="73" spans="2:10">
      <c r="B73" s="34">
        <v>46052</v>
      </c>
      <c r="C73" s="28" t="s">
        <v>98</v>
      </c>
      <c r="D73" s="35">
        <v>2540</v>
      </c>
      <c r="E73" s="28" t="s">
        <v>127</v>
      </c>
      <c r="F73" s="36" t="str">
        <f>IF(tblCosts[[#This Row],[Date]]="","",IFERROR(INDEX(tblElements[Category],MATCH(tblCosts[[#This Row],[Element]],tblElements[Element],0)),""))</f>
        <v>Internal failure</v>
      </c>
      <c r="G73" s="37">
        <f>IF(tblCosts[[#This Row],[Date]]="","",DATE(YEAR(tblCosts[[#This Row],[Date]]),MONTH(tblCosts[[#This Row],[Date]]),1))</f>
        <v>46023</v>
      </c>
      <c r="H73" s="37">
        <f>IF(tblCosts[[#This Row],[Date]]="","",IF(AND(tblCosts[[#This Row],[Month]]&gt;=FFrom,tblCosts[[#This Row],[Month]]&lt;=FTo),tblCosts[[#This Row],[Month]],""))</f>
        <v>46023</v>
      </c>
      <c r="I73" s="38" t="str">
        <f>IF(tblCosts[[#This Row],[Date]]="","",IF(tblCosts[[#This Row],[Element]]="","Missing element",IF(tblCosts[[#This Row],[Amount]]="","Missing amount",IF(tblCosts[[#This Row],[Category]]="","Element not on Setup list",IF(COUNTIF(tblMonths[Month],tblCosts[[#This Row],[Month]])=0,"No Monthly Summary row for this month","OK")))))</f>
        <v>OK</v>
      </c>
      <c r="J73" s="39" t="s">
        <v>125</v>
      </c>
    </row>
    <row r="74" spans="2:10">
      <c r="B74" s="34">
        <v>46052</v>
      </c>
      <c r="C74" s="28" t="s">
        <v>100</v>
      </c>
      <c r="D74" s="35">
        <v>1550</v>
      </c>
      <c r="E74" s="28" t="s">
        <v>127</v>
      </c>
      <c r="F74" s="36" t="str">
        <f>IF(tblCosts[[#This Row],[Date]]="","",IFERROR(INDEX(tblElements[Category],MATCH(tblCosts[[#This Row],[Element]],tblElements[Element],0)),""))</f>
        <v>Internal failure</v>
      </c>
      <c r="G74" s="37">
        <f>IF(tblCosts[[#This Row],[Date]]="","",DATE(YEAR(tblCosts[[#This Row],[Date]]),MONTH(tblCosts[[#This Row],[Date]]),1))</f>
        <v>46023</v>
      </c>
      <c r="H74" s="37">
        <f>IF(tblCosts[[#This Row],[Date]]="","",IF(AND(tblCosts[[#This Row],[Month]]&gt;=FFrom,tblCosts[[#This Row],[Month]]&lt;=FTo),tblCosts[[#This Row],[Month]],""))</f>
        <v>46023</v>
      </c>
      <c r="I74" s="38" t="str">
        <f>IF(tblCosts[[#This Row],[Date]]="","",IF(tblCosts[[#This Row],[Element]]="","Missing element",IF(tblCosts[[#This Row],[Amount]]="","Missing amount",IF(tblCosts[[#This Row],[Category]]="","Element not on Setup list",IF(COUNTIF(tblMonths[Month],tblCosts[[#This Row],[Month]])=0,"No Monthly Summary row for this month","OK")))))</f>
        <v>OK</v>
      </c>
      <c r="J74" s="39" t="s">
        <v>125</v>
      </c>
    </row>
    <row r="75" spans="2:10">
      <c r="B75" s="34">
        <v>46052</v>
      </c>
      <c r="C75" s="28" t="s">
        <v>102</v>
      </c>
      <c r="D75" s="35">
        <v>13750</v>
      </c>
      <c r="E75" s="28" t="s">
        <v>141</v>
      </c>
      <c r="F75" s="36" t="str">
        <f>IF(tblCosts[[#This Row],[Date]]="","",IFERROR(INDEX(tblElements[Category],MATCH(tblCosts[[#This Row],[Element]],tblElements[Element],0)),""))</f>
        <v>External failure</v>
      </c>
      <c r="G75" s="37">
        <f>IF(tblCosts[[#This Row],[Date]]="","",DATE(YEAR(tblCosts[[#This Row],[Date]]),MONTH(tblCosts[[#This Row],[Date]]),1))</f>
        <v>46023</v>
      </c>
      <c r="H75" s="37">
        <f>IF(tblCosts[[#This Row],[Date]]="","",IF(AND(tblCosts[[#This Row],[Month]]&gt;=FFrom,tblCosts[[#This Row],[Month]]&lt;=FTo),tblCosts[[#This Row],[Month]],""))</f>
        <v>46023</v>
      </c>
      <c r="I75" s="38" t="str">
        <f>IF(tblCosts[[#This Row],[Date]]="","",IF(tblCosts[[#This Row],[Element]]="","Missing element",IF(tblCosts[[#This Row],[Amount]]="","Missing amount",IF(tblCosts[[#This Row],[Category]]="","Element not on Setup list",IF(COUNTIF(tblMonths[Month],tblCosts[[#This Row],[Month]])=0,"No Monthly Summary row for this month","OK")))))</f>
        <v>OK</v>
      </c>
      <c r="J75" s="39" t="s">
        <v>120</v>
      </c>
    </row>
    <row r="76" spans="2:10">
      <c r="B76" s="34">
        <v>46052</v>
      </c>
      <c r="C76" s="28" t="s">
        <v>105</v>
      </c>
      <c r="D76" s="35">
        <v>14430</v>
      </c>
      <c r="E76" s="28" t="s">
        <v>128</v>
      </c>
      <c r="F76" s="36" t="str">
        <f>IF(tblCosts[[#This Row],[Date]]="","",IFERROR(INDEX(tblElements[Category],MATCH(tblCosts[[#This Row],[Element]],tblElements[Element],0)),""))</f>
        <v>External failure</v>
      </c>
      <c r="G76" s="37">
        <f>IF(tblCosts[[#This Row],[Date]]="","",DATE(YEAR(tblCosts[[#This Row],[Date]]),MONTH(tblCosts[[#This Row],[Date]]),1))</f>
        <v>46023</v>
      </c>
      <c r="H76" s="37">
        <f>IF(tblCosts[[#This Row],[Date]]="","",IF(AND(tblCosts[[#This Row],[Month]]&gt;=FFrom,tblCosts[[#This Row],[Month]]&lt;=FTo),tblCosts[[#This Row],[Month]],""))</f>
        <v>46023</v>
      </c>
      <c r="I76" s="38" t="str">
        <f>IF(tblCosts[[#This Row],[Date]]="","",IF(tblCosts[[#This Row],[Element]]="","Missing element",IF(tblCosts[[#This Row],[Amount]]="","Missing amount",IF(tblCosts[[#This Row],[Category]]="","Element not on Setup list",IF(COUNTIF(tblMonths[Month],tblCosts[[#This Row],[Month]])=0,"No Monthly Summary row for this month","OK")))))</f>
        <v>OK</v>
      </c>
      <c r="J76" s="39" t="s">
        <v>125</v>
      </c>
    </row>
    <row r="77" spans="2:10">
      <c r="B77" s="34">
        <v>46052</v>
      </c>
      <c r="C77" s="28" t="s">
        <v>107</v>
      </c>
      <c r="D77" s="35">
        <v>7580</v>
      </c>
      <c r="E77" s="28" t="s">
        <v>128</v>
      </c>
      <c r="F77" s="36" t="str">
        <f>IF(tblCosts[[#This Row],[Date]]="","",IFERROR(INDEX(tblElements[Category],MATCH(tblCosts[[#This Row],[Element]],tblElements[Element],0)),""))</f>
        <v>External failure</v>
      </c>
      <c r="G77" s="37">
        <f>IF(tblCosts[[#This Row],[Date]]="","",DATE(YEAR(tblCosts[[#This Row],[Date]]),MONTH(tblCosts[[#This Row],[Date]]),1))</f>
        <v>46023</v>
      </c>
      <c r="H77" s="37">
        <f>IF(tblCosts[[#This Row],[Date]]="","",IF(AND(tblCosts[[#This Row],[Month]]&gt;=FFrom,tblCosts[[#This Row],[Month]]&lt;=FTo),tblCosts[[#This Row],[Month]],""))</f>
        <v>46023</v>
      </c>
      <c r="I77" s="38" t="str">
        <f>IF(tblCosts[[#This Row],[Date]]="","",IF(tblCosts[[#This Row],[Element]]="","Missing element",IF(tblCosts[[#This Row],[Amount]]="","Missing amount",IF(tblCosts[[#This Row],[Category]]="","Element not on Setup list",IF(COUNTIF(tblMonths[Month],tblCosts[[#This Row],[Month]])=0,"No Monthly Summary row for this month","OK")))))</f>
        <v>OK</v>
      </c>
      <c r="J77" s="39" t="s">
        <v>129</v>
      </c>
    </row>
    <row r="78" spans="2:10">
      <c r="B78" s="34">
        <v>46052</v>
      </c>
      <c r="C78" s="28" t="s">
        <v>109</v>
      </c>
      <c r="D78" s="35">
        <v>9520</v>
      </c>
      <c r="E78" s="28" t="s">
        <v>128</v>
      </c>
      <c r="F78" s="36" t="str">
        <f>IF(tblCosts[[#This Row],[Date]]="","",IFERROR(INDEX(tblElements[Category],MATCH(tblCosts[[#This Row],[Element]],tblElements[Element],0)),""))</f>
        <v>External failure</v>
      </c>
      <c r="G78" s="37">
        <f>IF(tblCosts[[#This Row],[Date]]="","",DATE(YEAR(tblCosts[[#This Row],[Date]]),MONTH(tblCosts[[#This Row],[Date]]),1))</f>
        <v>46023</v>
      </c>
      <c r="H78" s="37">
        <f>IF(tblCosts[[#This Row],[Date]]="","",IF(AND(tblCosts[[#This Row],[Month]]&gt;=FFrom,tblCosts[[#This Row],[Month]]&lt;=FTo),tblCosts[[#This Row],[Month]],""))</f>
        <v>46023</v>
      </c>
      <c r="I78" s="38" t="str">
        <f>IF(tblCosts[[#This Row],[Date]]="","",IF(tblCosts[[#This Row],[Element]]="","Missing element",IF(tblCosts[[#This Row],[Amount]]="","Missing amount",IF(tblCosts[[#This Row],[Category]]="","Element not on Setup list",IF(COUNTIF(tblMonths[Month],tblCosts[[#This Row],[Month]])=0,"No Monthly Summary row for this month","OK")))))</f>
        <v>OK</v>
      </c>
      <c r="J78" s="39" t="s">
        <v>125</v>
      </c>
    </row>
    <row r="79" spans="2:10">
      <c r="B79" s="34">
        <v>46062</v>
      </c>
      <c r="C79" s="28" t="s">
        <v>102</v>
      </c>
      <c r="D79" s="35">
        <v>6840</v>
      </c>
      <c r="E79" s="28" t="s">
        <v>142</v>
      </c>
      <c r="F79" s="36" t="str">
        <f>IF(tblCosts[[#This Row],[Date]]="","",IFERROR(INDEX(tblElements[Category],MATCH(tblCosts[[#This Row],[Element]],tblElements[Element],0)),""))</f>
        <v>External failure</v>
      </c>
      <c r="G79" s="37">
        <f>IF(tblCosts[[#This Row],[Date]]="","",DATE(YEAR(tblCosts[[#This Row],[Date]]),MONTH(tblCosts[[#This Row],[Date]]),1))</f>
        <v>46054</v>
      </c>
      <c r="H79" s="37">
        <f>IF(tblCosts[[#This Row],[Date]]="","",IF(AND(tblCosts[[#This Row],[Month]]&gt;=FFrom,tblCosts[[#This Row],[Month]]&lt;=FTo),tblCosts[[#This Row],[Month]],""))</f>
        <v>46054</v>
      </c>
      <c r="I79" s="38" t="str">
        <f>IF(tblCosts[[#This Row],[Date]]="","",IF(tblCosts[[#This Row],[Element]]="","Missing element",IF(tblCosts[[#This Row],[Amount]]="","Missing amount",IF(tblCosts[[#This Row],[Category]]="","Element not on Setup list",IF(COUNTIF(tblMonths[Month],tblCosts[[#This Row],[Month]])=0,"No Monthly Summary row for this month","OK")))))</f>
        <v>OK</v>
      </c>
      <c r="J79" s="39" t="s">
        <v>125</v>
      </c>
    </row>
    <row r="80" spans="2:10">
      <c r="B80" s="34">
        <v>46069</v>
      </c>
      <c r="C80" s="28" t="s">
        <v>102</v>
      </c>
      <c r="D80" s="35">
        <v>6980</v>
      </c>
      <c r="E80" s="28" t="s">
        <v>143</v>
      </c>
      <c r="F80" s="36" t="str">
        <f>IF(tblCosts[[#This Row],[Date]]="","",IFERROR(INDEX(tblElements[Category],MATCH(tblCosts[[#This Row],[Element]],tblElements[Element],0)),""))</f>
        <v>External failure</v>
      </c>
      <c r="G80" s="37">
        <f>IF(tblCosts[[#This Row],[Date]]="","",DATE(YEAR(tblCosts[[#This Row],[Date]]),MONTH(tblCosts[[#This Row],[Date]]),1))</f>
        <v>46054</v>
      </c>
      <c r="H80" s="37">
        <f>IF(tblCosts[[#This Row],[Date]]="","",IF(AND(tblCosts[[#This Row],[Month]]&gt;=FFrom,tblCosts[[#This Row],[Month]]&lt;=FTo),tblCosts[[#This Row],[Month]],""))</f>
        <v>46054</v>
      </c>
      <c r="I80" s="38" t="str">
        <f>IF(tblCosts[[#This Row],[Date]]="","",IF(tblCosts[[#This Row],[Element]]="","Missing element",IF(tblCosts[[#This Row],[Amount]]="","Missing amount",IF(tblCosts[[#This Row],[Category]]="","Element not on Setup list",IF(COUNTIF(tblMonths[Month],tblCosts[[#This Row],[Month]])=0,"No Monthly Summary row for this month","OK")))))</f>
        <v>OK</v>
      </c>
      <c r="J80" s="39" t="s">
        <v>125</v>
      </c>
    </row>
    <row r="81" spans="2:10">
      <c r="B81" s="34">
        <v>46080</v>
      </c>
      <c r="C81" s="28" t="s">
        <v>77</v>
      </c>
      <c r="D81" s="35">
        <v>13640</v>
      </c>
      <c r="E81" s="28" t="s">
        <v>124</v>
      </c>
      <c r="F81" s="36" t="str">
        <f>IF(tblCosts[[#This Row],[Date]]="","",IFERROR(INDEX(tblElements[Category],MATCH(tblCosts[[#This Row],[Element]],tblElements[Element],0)),""))</f>
        <v>Prevention</v>
      </c>
      <c r="G81" s="37">
        <f>IF(tblCosts[[#This Row],[Date]]="","",DATE(YEAR(tblCosts[[#This Row],[Date]]),MONTH(tblCosts[[#This Row],[Date]]),1))</f>
        <v>46054</v>
      </c>
      <c r="H81" s="37">
        <f>IF(tblCosts[[#This Row],[Date]]="","",IF(AND(tblCosts[[#This Row],[Month]]&gt;=FFrom,tblCosts[[#This Row],[Month]]&lt;=FTo),tblCosts[[#This Row],[Month]],""))</f>
        <v>46054</v>
      </c>
      <c r="I81" s="38" t="str">
        <f>IF(tblCosts[[#This Row],[Date]]="","",IF(tblCosts[[#This Row],[Element]]="","Missing element",IF(tblCosts[[#This Row],[Amount]]="","Missing amount",IF(tblCosts[[#This Row],[Category]]="","Element not on Setup list",IF(COUNTIF(tblMonths[Month],tblCosts[[#This Row],[Month]])=0,"No Monthly Summary row for this month","OK")))))</f>
        <v>OK</v>
      </c>
      <c r="J81" s="39" t="s">
        <v>125</v>
      </c>
    </row>
    <row r="82" spans="2:10">
      <c r="B82" s="34">
        <v>46080</v>
      </c>
      <c r="C82" s="28" t="s">
        <v>80</v>
      </c>
      <c r="D82" s="35">
        <v>7150</v>
      </c>
      <c r="E82" s="28" t="s">
        <v>124</v>
      </c>
      <c r="F82" s="36" t="str">
        <f>IF(tblCosts[[#This Row],[Date]]="","",IFERROR(INDEX(tblElements[Category],MATCH(tblCosts[[#This Row],[Element]],tblElements[Element],0)),""))</f>
        <v>Prevention</v>
      </c>
      <c r="G82" s="37">
        <f>IF(tblCosts[[#This Row],[Date]]="","",DATE(YEAR(tblCosts[[#This Row],[Date]]),MONTH(tblCosts[[#This Row],[Date]]),1))</f>
        <v>46054</v>
      </c>
      <c r="H82" s="37">
        <f>IF(tblCosts[[#This Row],[Date]]="","",IF(AND(tblCosts[[#This Row],[Month]]&gt;=FFrom,tblCosts[[#This Row],[Month]]&lt;=FTo),tblCosts[[#This Row],[Month]],""))</f>
        <v>46054</v>
      </c>
      <c r="I82" s="38" t="str">
        <f>IF(tblCosts[[#This Row],[Date]]="","",IF(tblCosts[[#This Row],[Element]]="","Missing element",IF(tblCosts[[#This Row],[Amount]]="","Missing amount",IF(tblCosts[[#This Row],[Category]]="","Element not on Setup list",IF(COUNTIF(tblMonths[Month],tblCosts[[#This Row],[Month]])=0,"No Monthly Summary row for this month","OK")))))</f>
        <v>OK</v>
      </c>
      <c r="J82" s="39" t="s">
        <v>125</v>
      </c>
    </row>
    <row r="83" spans="2:10">
      <c r="B83" s="34">
        <v>46080</v>
      </c>
      <c r="C83" s="28" t="s">
        <v>82</v>
      </c>
      <c r="D83" s="35">
        <v>14080</v>
      </c>
      <c r="E83" s="28" t="s">
        <v>124</v>
      </c>
      <c r="F83" s="36" t="str">
        <f>IF(tblCosts[[#This Row],[Date]]="","",IFERROR(INDEX(tblElements[Category],MATCH(tblCosts[[#This Row],[Element]],tblElements[Element],0)),""))</f>
        <v>Prevention</v>
      </c>
      <c r="G83" s="37">
        <f>IF(tblCosts[[#This Row],[Date]]="","",DATE(YEAR(tblCosts[[#This Row],[Date]]),MONTH(tblCosts[[#This Row],[Date]]),1))</f>
        <v>46054</v>
      </c>
      <c r="H83" s="37">
        <f>IF(tblCosts[[#This Row],[Date]]="","",IF(AND(tblCosts[[#This Row],[Month]]&gt;=FFrom,tblCosts[[#This Row],[Month]]&lt;=FTo),tblCosts[[#This Row],[Month]],""))</f>
        <v>46054</v>
      </c>
      <c r="I83" s="38" t="str">
        <f>IF(tblCosts[[#This Row],[Date]]="","",IF(tblCosts[[#This Row],[Element]]="","Missing element",IF(tblCosts[[#This Row],[Amount]]="","Missing amount",IF(tblCosts[[#This Row],[Category]]="","Element not on Setup list",IF(COUNTIF(tblMonths[Month],tblCosts[[#This Row],[Month]])=0,"No Monthly Summary row for this month","OK")))))</f>
        <v>OK</v>
      </c>
      <c r="J83" s="39" t="s">
        <v>125</v>
      </c>
    </row>
    <row r="84" spans="2:10">
      <c r="B84" s="34">
        <v>46080</v>
      </c>
      <c r="C84" s="28" t="s">
        <v>84</v>
      </c>
      <c r="D84" s="35">
        <v>1130</v>
      </c>
      <c r="E84" s="28" t="s">
        <v>124</v>
      </c>
      <c r="F84" s="36" t="str">
        <f>IF(tblCosts[[#This Row],[Date]]="","",IFERROR(INDEX(tblElements[Category],MATCH(tblCosts[[#This Row],[Element]],tblElements[Element],0)),""))</f>
        <v>Prevention</v>
      </c>
      <c r="G84" s="37">
        <f>IF(tblCosts[[#This Row],[Date]]="","",DATE(YEAR(tblCosts[[#This Row],[Date]]),MONTH(tblCosts[[#This Row],[Date]]),1))</f>
        <v>46054</v>
      </c>
      <c r="H84" s="37">
        <f>IF(tblCosts[[#This Row],[Date]]="","",IF(AND(tblCosts[[#This Row],[Month]]&gt;=FFrom,tblCosts[[#This Row],[Month]]&lt;=FTo),tblCosts[[#This Row],[Month]],""))</f>
        <v>46054</v>
      </c>
      <c r="I84" s="38" t="str">
        <f>IF(tblCosts[[#This Row],[Date]]="","",IF(tblCosts[[#This Row],[Element]]="","Missing element",IF(tblCosts[[#This Row],[Amount]]="","Missing amount",IF(tblCosts[[#This Row],[Category]]="","Element not on Setup list",IF(COUNTIF(tblMonths[Month],tblCosts[[#This Row],[Month]])=0,"No Monthly Summary row for this month","OK")))))</f>
        <v>OK</v>
      </c>
      <c r="J84" s="39" t="s">
        <v>125</v>
      </c>
    </row>
    <row r="85" spans="2:10">
      <c r="B85" s="34">
        <v>46080</v>
      </c>
      <c r="C85" s="28" t="s">
        <v>86</v>
      </c>
      <c r="D85" s="35">
        <v>6760</v>
      </c>
      <c r="E85" s="28" t="s">
        <v>126</v>
      </c>
      <c r="F85" s="36" t="str">
        <f>IF(tblCosts[[#This Row],[Date]]="","",IFERROR(INDEX(tblElements[Category],MATCH(tblCosts[[#This Row],[Element]],tblElements[Element],0)),""))</f>
        <v>Appraisal</v>
      </c>
      <c r="G85" s="37">
        <f>IF(tblCosts[[#This Row],[Date]]="","",DATE(YEAR(tblCosts[[#This Row],[Date]]),MONTH(tblCosts[[#This Row],[Date]]),1))</f>
        <v>46054</v>
      </c>
      <c r="H85" s="37">
        <f>IF(tblCosts[[#This Row],[Date]]="","",IF(AND(tblCosts[[#This Row],[Month]]&gt;=FFrom,tblCosts[[#This Row],[Month]]&lt;=FTo),tblCosts[[#This Row],[Month]],""))</f>
        <v>46054</v>
      </c>
      <c r="I85" s="38" t="str">
        <f>IF(tblCosts[[#This Row],[Date]]="","",IF(tblCosts[[#This Row],[Element]]="","Missing element",IF(tblCosts[[#This Row],[Amount]]="","Missing amount",IF(tblCosts[[#This Row],[Category]]="","Element not on Setup list",IF(COUNTIF(tblMonths[Month],tblCosts[[#This Row],[Month]])=0,"No Monthly Summary row for this month","OK")))))</f>
        <v>OK</v>
      </c>
      <c r="J85" s="39" t="s">
        <v>125</v>
      </c>
    </row>
    <row r="86" spans="2:10">
      <c r="B86" s="34">
        <v>46080</v>
      </c>
      <c r="C86" s="28" t="s">
        <v>89</v>
      </c>
      <c r="D86" s="35">
        <v>14160</v>
      </c>
      <c r="E86" s="28" t="s">
        <v>126</v>
      </c>
      <c r="F86" s="36" t="str">
        <f>IF(tblCosts[[#This Row],[Date]]="","",IFERROR(INDEX(tblElements[Category],MATCH(tblCosts[[#This Row],[Element]],tblElements[Element],0)),""))</f>
        <v>Appraisal</v>
      </c>
      <c r="G86" s="37">
        <f>IF(tblCosts[[#This Row],[Date]]="","",DATE(YEAR(tblCosts[[#This Row],[Date]]),MONTH(tblCosts[[#This Row],[Date]]),1))</f>
        <v>46054</v>
      </c>
      <c r="H86" s="37">
        <f>IF(tblCosts[[#This Row],[Date]]="","",IF(AND(tblCosts[[#This Row],[Month]]&gt;=FFrom,tblCosts[[#This Row],[Month]]&lt;=FTo),tblCosts[[#This Row],[Month]],""))</f>
        <v>46054</v>
      </c>
      <c r="I86" s="38" t="str">
        <f>IF(tblCosts[[#This Row],[Date]]="","",IF(tblCosts[[#This Row],[Element]]="","Missing element",IF(tblCosts[[#This Row],[Amount]]="","Missing amount",IF(tblCosts[[#This Row],[Category]]="","Element not on Setup list",IF(COUNTIF(tblMonths[Month],tblCosts[[#This Row],[Month]])=0,"No Monthly Summary row for this month","OK")))))</f>
        <v>OK</v>
      </c>
      <c r="J86" s="39" t="s">
        <v>125</v>
      </c>
    </row>
    <row r="87" spans="2:10">
      <c r="B87" s="34">
        <v>46080</v>
      </c>
      <c r="C87" s="28" t="s">
        <v>91</v>
      </c>
      <c r="D87" s="35">
        <v>3140</v>
      </c>
      <c r="E87" s="28" t="s">
        <v>126</v>
      </c>
      <c r="F87" s="36" t="str">
        <f>IF(tblCosts[[#This Row],[Date]]="","",IFERROR(INDEX(tblElements[Category],MATCH(tblCosts[[#This Row],[Element]],tblElements[Element],0)),""))</f>
        <v>Appraisal</v>
      </c>
      <c r="G87" s="37">
        <f>IF(tblCosts[[#This Row],[Date]]="","",DATE(YEAR(tblCosts[[#This Row],[Date]]),MONTH(tblCosts[[#This Row],[Date]]),1))</f>
        <v>46054</v>
      </c>
      <c r="H87" s="37">
        <f>IF(tblCosts[[#This Row],[Date]]="","",IF(AND(tblCosts[[#This Row],[Month]]&gt;=FFrom,tblCosts[[#This Row],[Month]]&lt;=FTo),tblCosts[[#This Row],[Month]],""))</f>
        <v>46054</v>
      </c>
      <c r="I87" s="38" t="str">
        <f>IF(tblCosts[[#This Row],[Date]]="","",IF(tblCosts[[#This Row],[Element]]="","Missing element",IF(tblCosts[[#This Row],[Amount]]="","Missing amount",IF(tblCosts[[#This Row],[Category]]="","Element not on Setup list",IF(COUNTIF(tblMonths[Month],tblCosts[[#This Row],[Month]])=0,"No Monthly Summary row for this month","OK")))))</f>
        <v>OK</v>
      </c>
      <c r="J87" s="39" t="s">
        <v>125</v>
      </c>
    </row>
    <row r="88" spans="2:10">
      <c r="B88" s="34">
        <v>46080</v>
      </c>
      <c r="C88" s="28" t="s">
        <v>93</v>
      </c>
      <c r="D88" s="35">
        <v>14000</v>
      </c>
      <c r="E88" s="28" t="s">
        <v>127</v>
      </c>
      <c r="F88" s="36" t="str">
        <f>IF(tblCosts[[#This Row],[Date]]="","",IFERROR(INDEX(tblElements[Category],MATCH(tblCosts[[#This Row],[Element]],tblElements[Element],0)),""))</f>
        <v>Internal failure</v>
      </c>
      <c r="G88" s="37">
        <f>IF(tblCosts[[#This Row],[Date]]="","",DATE(YEAR(tblCosts[[#This Row],[Date]]),MONTH(tblCosts[[#This Row],[Date]]),1))</f>
        <v>46054</v>
      </c>
      <c r="H88" s="37">
        <f>IF(tblCosts[[#This Row],[Date]]="","",IF(AND(tblCosts[[#This Row],[Month]]&gt;=FFrom,tblCosts[[#This Row],[Month]]&lt;=FTo),tblCosts[[#This Row],[Month]],""))</f>
        <v>46054</v>
      </c>
      <c r="I88" s="38" t="str">
        <f>IF(tblCosts[[#This Row],[Date]]="","",IF(tblCosts[[#This Row],[Element]]="","Missing element",IF(tblCosts[[#This Row],[Amount]]="","Missing amount",IF(tblCosts[[#This Row],[Category]]="","Element not on Setup list",IF(COUNTIF(tblMonths[Month],tblCosts[[#This Row],[Month]])=0,"No Monthly Summary row for this month","OK")))))</f>
        <v>OK</v>
      </c>
      <c r="J88" s="39" t="s">
        <v>125</v>
      </c>
    </row>
    <row r="89" spans="2:10">
      <c r="B89" s="34">
        <v>46080</v>
      </c>
      <c r="C89" s="28" t="s">
        <v>96</v>
      </c>
      <c r="D89" s="35">
        <v>8670</v>
      </c>
      <c r="E89" s="28" t="s">
        <v>127</v>
      </c>
      <c r="F89" s="36" t="str">
        <f>IF(tblCosts[[#This Row],[Date]]="","",IFERROR(INDEX(tblElements[Category],MATCH(tblCosts[[#This Row],[Element]],tblElements[Element],0)),""))</f>
        <v>Internal failure</v>
      </c>
      <c r="G89" s="37">
        <f>IF(tblCosts[[#This Row],[Date]]="","",DATE(YEAR(tblCosts[[#This Row],[Date]]),MONTH(tblCosts[[#This Row],[Date]]),1))</f>
        <v>46054</v>
      </c>
      <c r="H89" s="37">
        <f>IF(tblCosts[[#This Row],[Date]]="","",IF(AND(tblCosts[[#This Row],[Month]]&gt;=FFrom,tblCosts[[#This Row],[Month]]&lt;=FTo),tblCosts[[#This Row],[Month]],""))</f>
        <v>46054</v>
      </c>
      <c r="I89" s="38" t="str">
        <f>IF(tblCosts[[#This Row],[Date]]="","",IF(tblCosts[[#This Row],[Element]]="","Missing element",IF(tblCosts[[#This Row],[Amount]]="","Missing amount",IF(tblCosts[[#This Row],[Category]]="","Element not on Setup list",IF(COUNTIF(tblMonths[Month],tblCosts[[#This Row],[Month]])=0,"No Monthly Summary row for this month","OK")))))</f>
        <v>OK</v>
      </c>
      <c r="J89" s="39" t="s">
        <v>125</v>
      </c>
    </row>
    <row r="90" spans="2:10">
      <c r="B90" s="34">
        <v>46080</v>
      </c>
      <c r="C90" s="28" t="s">
        <v>98</v>
      </c>
      <c r="D90" s="35">
        <v>2790</v>
      </c>
      <c r="E90" s="28" t="s">
        <v>127</v>
      </c>
      <c r="F90" s="36" t="str">
        <f>IF(tblCosts[[#This Row],[Date]]="","",IFERROR(INDEX(tblElements[Category],MATCH(tblCosts[[#This Row],[Element]],tblElements[Element],0)),""))</f>
        <v>Internal failure</v>
      </c>
      <c r="G90" s="37">
        <f>IF(tblCosts[[#This Row],[Date]]="","",DATE(YEAR(tblCosts[[#This Row],[Date]]),MONTH(tblCosts[[#This Row],[Date]]),1))</f>
        <v>46054</v>
      </c>
      <c r="H90" s="37">
        <f>IF(tblCosts[[#This Row],[Date]]="","",IF(AND(tblCosts[[#This Row],[Month]]&gt;=FFrom,tblCosts[[#This Row],[Month]]&lt;=FTo),tblCosts[[#This Row],[Month]],""))</f>
        <v>46054</v>
      </c>
      <c r="I90" s="38" t="str">
        <f>IF(tblCosts[[#This Row],[Date]]="","",IF(tblCosts[[#This Row],[Element]]="","Missing element",IF(tblCosts[[#This Row],[Amount]]="","Missing amount",IF(tblCosts[[#This Row],[Category]]="","Element not on Setup list",IF(COUNTIF(tblMonths[Month],tblCosts[[#This Row],[Month]])=0,"No Monthly Summary row for this month","OK")))))</f>
        <v>OK</v>
      </c>
      <c r="J90" s="39" t="s">
        <v>125</v>
      </c>
    </row>
    <row r="91" spans="2:10">
      <c r="B91" s="34">
        <v>46080</v>
      </c>
      <c r="C91" s="28" t="s">
        <v>100</v>
      </c>
      <c r="D91" s="35">
        <v>1840</v>
      </c>
      <c r="E91" s="28" t="s">
        <v>127</v>
      </c>
      <c r="F91" s="36" t="str">
        <f>IF(tblCosts[[#This Row],[Date]]="","",IFERROR(INDEX(tblElements[Category],MATCH(tblCosts[[#This Row],[Element]],tblElements[Element],0)),""))</f>
        <v>Internal failure</v>
      </c>
      <c r="G91" s="37">
        <f>IF(tblCosts[[#This Row],[Date]]="","",DATE(YEAR(tblCosts[[#This Row],[Date]]),MONTH(tblCosts[[#This Row],[Date]]),1))</f>
        <v>46054</v>
      </c>
      <c r="H91" s="37">
        <f>IF(tblCosts[[#This Row],[Date]]="","",IF(AND(tblCosts[[#This Row],[Month]]&gt;=FFrom,tblCosts[[#This Row],[Month]]&lt;=FTo),tblCosts[[#This Row],[Month]],""))</f>
        <v>46054</v>
      </c>
      <c r="I91" s="38" t="str">
        <f>IF(tblCosts[[#This Row],[Date]]="","",IF(tblCosts[[#This Row],[Element]]="","Missing element",IF(tblCosts[[#This Row],[Amount]]="","Missing amount",IF(tblCosts[[#This Row],[Category]]="","Element not on Setup list",IF(COUNTIF(tblMonths[Month],tblCosts[[#This Row],[Month]])=0,"No Monthly Summary row for this month","OK")))))</f>
        <v>OK</v>
      </c>
      <c r="J91" s="39" t="s">
        <v>125</v>
      </c>
    </row>
    <row r="92" spans="2:10">
      <c r="B92" s="34">
        <v>46080</v>
      </c>
      <c r="C92" s="28" t="s">
        <v>105</v>
      </c>
      <c r="D92" s="35">
        <v>3980</v>
      </c>
      <c r="E92" s="28" t="s">
        <v>128</v>
      </c>
      <c r="F92" s="36" t="str">
        <f>IF(tblCosts[[#This Row],[Date]]="","",IFERROR(INDEX(tblElements[Category],MATCH(tblCosts[[#This Row],[Element]],tblElements[Element],0)),""))</f>
        <v>External failure</v>
      </c>
      <c r="G92" s="37">
        <f>IF(tblCosts[[#This Row],[Date]]="","",DATE(YEAR(tblCosts[[#This Row],[Date]]),MONTH(tblCosts[[#This Row],[Date]]),1))</f>
        <v>46054</v>
      </c>
      <c r="H92" s="37">
        <f>IF(tblCosts[[#This Row],[Date]]="","",IF(AND(tblCosts[[#This Row],[Month]]&gt;=FFrom,tblCosts[[#This Row],[Month]]&lt;=FTo),tblCosts[[#This Row],[Month]],""))</f>
        <v>46054</v>
      </c>
      <c r="I92" s="38" t="str">
        <f>IF(tblCosts[[#This Row],[Date]]="","",IF(tblCosts[[#This Row],[Element]]="","Missing element",IF(tblCosts[[#This Row],[Amount]]="","Missing amount",IF(tblCosts[[#This Row],[Category]]="","Element not on Setup list",IF(COUNTIF(tblMonths[Month],tblCosts[[#This Row],[Month]])=0,"No Monthly Summary row for this month","OK")))))</f>
        <v>OK</v>
      </c>
      <c r="J92" s="39" t="s">
        <v>125</v>
      </c>
    </row>
    <row r="93" spans="2:10">
      <c r="B93" s="34">
        <v>46080</v>
      </c>
      <c r="C93" s="28" t="s">
        <v>107</v>
      </c>
      <c r="D93" s="35">
        <v>2900</v>
      </c>
      <c r="E93" s="28" t="s">
        <v>128</v>
      </c>
      <c r="F93" s="36" t="str">
        <f>IF(tblCosts[[#This Row],[Date]]="","",IFERROR(INDEX(tblElements[Category],MATCH(tblCosts[[#This Row],[Element]],tblElements[Element],0)),""))</f>
        <v>External failure</v>
      </c>
      <c r="G93" s="37">
        <f>IF(tblCosts[[#This Row],[Date]]="","",DATE(YEAR(tblCosts[[#This Row],[Date]]),MONTH(tblCosts[[#This Row],[Date]]),1))</f>
        <v>46054</v>
      </c>
      <c r="H93" s="37">
        <f>IF(tblCosts[[#This Row],[Date]]="","",IF(AND(tblCosts[[#This Row],[Month]]&gt;=FFrom,tblCosts[[#This Row],[Month]]&lt;=FTo),tblCosts[[#This Row],[Month]],""))</f>
        <v>46054</v>
      </c>
      <c r="I93" s="38" t="str">
        <f>IF(tblCosts[[#This Row],[Date]]="","",IF(tblCosts[[#This Row],[Element]]="","Missing element",IF(tblCosts[[#This Row],[Amount]]="","Missing amount",IF(tblCosts[[#This Row],[Category]]="","Element not on Setup list",IF(COUNTIF(tblMonths[Month],tblCosts[[#This Row],[Month]])=0,"No Monthly Summary row for this month","OK")))))</f>
        <v>OK</v>
      </c>
      <c r="J93" s="39" t="s">
        <v>125</v>
      </c>
    </row>
    <row r="94" spans="2:10">
      <c r="B94" s="34">
        <v>46080</v>
      </c>
      <c r="C94" s="28" t="s">
        <v>109</v>
      </c>
      <c r="D94" s="35">
        <v>1980</v>
      </c>
      <c r="E94" s="28" t="s">
        <v>128</v>
      </c>
      <c r="F94" s="36" t="str">
        <f>IF(tblCosts[[#This Row],[Date]]="","",IFERROR(INDEX(tblElements[Category],MATCH(tblCosts[[#This Row],[Element]],tblElements[Element],0)),""))</f>
        <v>External failure</v>
      </c>
      <c r="G94" s="37">
        <f>IF(tblCosts[[#This Row],[Date]]="","",DATE(YEAR(tblCosts[[#This Row],[Date]]),MONTH(tblCosts[[#This Row],[Date]]),1))</f>
        <v>46054</v>
      </c>
      <c r="H94" s="37">
        <f>IF(tblCosts[[#This Row],[Date]]="","",IF(AND(tblCosts[[#This Row],[Month]]&gt;=FFrom,tblCosts[[#This Row],[Month]]&lt;=FTo),tblCosts[[#This Row],[Month]],""))</f>
        <v>46054</v>
      </c>
      <c r="I94" s="38" t="str">
        <f>IF(tblCosts[[#This Row],[Date]]="","",IF(tblCosts[[#This Row],[Element]]="","Missing element",IF(tblCosts[[#This Row],[Amount]]="","Missing amount",IF(tblCosts[[#This Row],[Category]]="","Element not on Setup list",IF(COUNTIF(tblMonths[Month],tblCosts[[#This Row],[Month]])=0,"No Monthly Summary row for this month","OK")))))</f>
        <v>OK</v>
      </c>
      <c r="J94" s="39" t="s">
        <v>125</v>
      </c>
    </row>
    <row r="95" spans="2:10">
      <c r="B95" s="34">
        <v>46087</v>
      </c>
      <c r="C95" s="28" t="s">
        <v>102</v>
      </c>
      <c r="D95" s="35">
        <v>4880</v>
      </c>
      <c r="E95" s="28" t="s">
        <v>144</v>
      </c>
      <c r="F95" s="36" t="str">
        <f>IF(tblCosts[[#This Row],[Date]]="","",IFERROR(INDEX(tblElements[Category],MATCH(tblCosts[[#This Row],[Element]],tblElements[Element],0)),""))</f>
        <v>External failure</v>
      </c>
      <c r="G95" s="37">
        <f>IF(tblCosts[[#This Row],[Date]]="","",DATE(YEAR(tblCosts[[#This Row],[Date]]),MONTH(tblCosts[[#This Row],[Date]]),1))</f>
        <v>46082</v>
      </c>
      <c r="H95" s="37">
        <f>IF(tblCosts[[#This Row],[Date]]="","",IF(AND(tblCosts[[#This Row],[Month]]&gt;=FFrom,tblCosts[[#This Row],[Month]]&lt;=FTo),tblCosts[[#This Row],[Month]],""))</f>
        <v>46082</v>
      </c>
      <c r="I95" s="38" t="str">
        <f>IF(tblCosts[[#This Row],[Date]]="","",IF(tblCosts[[#This Row],[Element]]="","Missing element",IF(tblCosts[[#This Row],[Amount]]="","Missing amount",IF(tblCosts[[#This Row],[Category]]="","Element not on Setup list",IF(COUNTIF(tblMonths[Month],tblCosts[[#This Row],[Month]])=0,"No Monthly Summary row for this month","OK")))))</f>
        <v>OK</v>
      </c>
      <c r="J95" s="39" t="s">
        <v>125</v>
      </c>
    </row>
    <row r="96" spans="2:10">
      <c r="B96" s="34">
        <v>46097</v>
      </c>
      <c r="C96" s="28" t="s">
        <v>102</v>
      </c>
      <c r="D96" s="35">
        <v>4030</v>
      </c>
      <c r="E96" s="28" t="s">
        <v>145</v>
      </c>
      <c r="F96" s="36" t="str">
        <f>IF(tblCosts[[#This Row],[Date]]="","",IFERROR(INDEX(tblElements[Category],MATCH(tblCosts[[#This Row],[Element]],tblElements[Element],0)),""))</f>
        <v>External failure</v>
      </c>
      <c r="G96" s="37">
        <f>IF(tblCosts[[#This Row],[Date]]="","",DATE(YEAR(tblCosts[[#This Row],[Date]]),MONTH(tblCosts[[#This Row],[Date]]),1))</f>
        <v>46082</v>
      </c>
      <c r="H96" s="37">
        <f>IF(tblCosts[[#This Row],[Date]]="","",IF(AND(tblCosts[[#This Row],[Month]]&gt;=FFrom,tblCosts[[#This Row],[Month]]&lt;=FTo),tblCosts[[#This Row],[Month]],""))</f>
        <v>46082</v>
      </c>
      <c r="I96" s="38" t="str">
        <f>IF(tblCosts[[#This Row],[Date]]="","",IF(tblCosts[[#This Row],[Element]]="","Missing element",IF(tblCosts[[#This Row],[Amount]]="","Missing amount",IF(tblCosts[[#This Row],[Category]]="","Element not on Setup list",IF(COUNTIF(tblMonths[Month],tblCosts[[#This Row],[Month]])=0,"No Monthly Summary row for this month","OK")))))</f>
        <v>OK</v>
      </c>
      <c r="J96" s="39" t="s">
        <v>125</v>
      </c>
    </row>
    <row r="97" spans="2:10">
      <c r="B97" s="34">
        <v>46112</v>
      </c>
      <c r="C97" s="28" t="s">
        <v>77</v>
      </c>
      <c r="D97" s="35">
        <v>4490</v>
      </c>
      <c r="E97" s="28" t="s">
        <v>124</v>
      </c>
      <c r="F97" s="36" t="str">
        <f>IF(tblCosts[[#This Row],[Date]]="","",IFERROR(INDEX(tblElements[Category],MATCH(tblCosts[[#This Row],[Element]],tblElements[Element],0)),""))</f>
        <v>Prevention</v>
      </c>
      <c r="G97" s="37">
        <f>IF(tblCosts[[#This Row],[Date]]="","",DATE(YEAR(tblCosts[[#This Row],[Date]]),MONTH(tblCosts[[#This Row],[Date]]),1))</f>
        <v>46082</v>
      </c>
      <c r="H97" s="37">
        <f>IF(tblCosts[[#This Row],[Date]]="","",IF(AND(tblCosts[[#This Row],[Month]]&gt;=FFrom,tblCosts[[#This Row],[Month]]&lt;=FTo),tblCosts[[#This Row],[Month]],""))</f>
        <v>46082</v>
      </c>
      <c r="I97" s="38" t="str">
        <f>IF(tblCosts[[#This Row],[Date]]="","",IF(tblCosts[[#This Row],[Element]]="","Missing element",IF(tblCosts[[#This Row],[Amount]]="","Missing amount",IF(tblCosts[[#This Row],[Category]]="","Element not on Setup list",IF(COUNTIF(tblMonths[Month],tblCosts[[#This Row],[Month]])=0,"No Monthly Summary row for this month","OK")))))</f>
        <v>OK</v>
      </c>
      <c r="J97" s="39" t="s">
        <v>125</v>
      </c>
    </row>
    <row r="98" spans="2:10">
      <c r="B98" s="34">
        <v>46112</v>
      </c>
      <c r="C98" s="28" t="s">
        <v>80</v>
      </c>
      <c r="D98" s="35">
        <v>8630</v>
      </c>
      <c r="E98" s="28" t="s">
        <v>124</v>
      </c>
      <c r="F98" s="36" t="str">
        <f>IF(tblCosts[[#This Row],[Date]]="","",IFERROR(INDEX(tblElements[Category],MATCH(tblCosts[[#This Row],[Element]],tblElements[Element],0)),""))</f>
        <v>Prevention</v>
      </c>
      <c r="G98" s="37">
        <f>IF(tblCosts[[#This Row],[Date]]="","",DATE(YEAR(tblCosts[[#This Row],[Date]]),MONTH(tblCosts[[#This Row],[Date]]),1))</f>
        <v>46082</v>
      </c>
      <c r="H98" s="37">
        <f>IF(tblCosts[[#This Row],[Date]]="","",IF(AND(tblCosts[[#This Row],[Month]]&gt;=FFrom,tblCosts[[#This Row],[Month]]&lt;=FTo),tblCosts[[#This Row],[Month]],""))</f>
        <v>46082</v>
      </c>
      <c r="I98" s="38" t="str">
        <f>IF(tblCosts[[#This Row],[Date]]="","",IF(tblCosts[[#This Row],[Element]]="","Missing element",IF(tblCosts[[#This Row],[Amount]]="","Missing amount",IF(tblCosts[[#This Row],[Category]]="","Element not on Setup list",IF(COUNTIF(tblMonths[Month],tblCosts[[#This Row],[Month]])=0,"No Monthly Summary row for this month","OK")))))</f>
        <v>OK</v>
      </c>
      <c r="J98" s="39" t="s">
        <v>125</v>
      </c>
    </row>
    <row r="99" spans="2:10">
      <c r="B99" s="34">
        <v>46112</v>
      </c>
      <c r="C99" s="28" t="s">
        <v>82</v>
      </c>
      <c r="D99" s="35">
        <v>10430</v>
      </c>
      <c r="E99" s="28" t="s">
        <v>124</v>
      </c>
      <c r="F99" s="36" t="str">
        <f>IF(tblCosts[[#This Row],[Date]]="","",IFERROR(INDEX(tblElements[Category],MATCH(tblCosts[[#This Row],[Element]],tblElements[Element],0)),""))</f>
        <v>Prevention</v>
      </c>
      <c r="G99" s="37">
        <f>IF(tblCosts[[#This Row],[Date]]="","",DATE(YEAR(tblCosts[[#This Row],[Date]]),MONTH(tblCosts[[#This Row],[Date]]),1))</f>
        <v>46082</v>
      </c>
      <c r="H99" s="37">
        <f>IF(tblCosts[[#This Row],[Date]]="","",IF(AND(tblCosts[[#This Row],[Month]]&gt;=FFrom,tblCosts[[#This Row],[Month]]&lt;=FTo),tblCosts[[#This Row],[Month]],""))</f>
        <v>46082</v>
      </c>
      <c r="I99" s="38" t="str">
        <f>IF(tblCosts[[#This Row],[Date]]="","",IF(tblCosts[[#This Row],[Element]]="","Missing element",IF(tblCosts[[#This Row],[Amount]]="","Missing amount",IF(tblCosts[[#This Row],[Category]]="","Element not on Setup list",IF(COUNTIF(tblMonths[Month],tblCosts[[#This Row],[Month]])=0,"No Monthly Summary row for this month","OK")))))</f>
        <v>OK</v>
      </c>
      <c r="J99" s="39" t="s">
        <v>125</v>
      </c>
    </row>
    <row r="100" spans="2:10">
      <c r="B100" s="34">
        <v>46112</v>
      </c>
      <c r="C100" s="28" t="s">
        <v>84</v>
      </c>
      <c r="D100" s="35">
        <v>26760</v>
      </c>
      <c r="E100" s="28" t="s">
        <v>124</v>
      </c>
      <c r="F100" s="36" t="str">
        <f>IF(tblCosts[[#This Row],[Date]]="","",IFERROR(INDEX(tblElements[Category],MATCH(tblCosts[[#This Row],[Element]],tblElements[Element],0)),""))</f>
        <v>Prevention</v>
      </c>
      <c r="G100" s="37">
        <f>IF(tblCosts[[#This Row],[Date]]="","",DATE(YEAR(tblCosts[[#This Row],[Date]]),MONTH(tblCosts[[#This Row],[Date]]),1))</f>
        <v>46082</v>
      </c>
      <c r="H100" s="37">
        <f>IF(tblCosts[[#This Row],[Date]]="","",IF(AND(tblCosts[[#This Row],[Month]]&gt;=FFrom,tblCosts[[#This Row],[Month]]&lt;=FTo),tblCosts[[#This Row],[Month]],""))</f>
        <v>46082</v>
      </c>
      <c r="I100" s="38" t="str">
        <f>IF(tblCosts[[#This Row],[Date]]="","",IF(tblCosts[[#This Row],[Element]]="","Missing element",IF(tblCosts[[#This Row],[Amount]]="","Missing amount",IF(tblCosts[[#This Row],[Category]]="","Element not on Setup list",IF(COUNTIF(tblMonths[Month],tblCosts[[#This Row],[Month]])=0,"No Monthly Summary row for this month","OK")))))</f>
        <v>OK</v>
      </c>
      <c r="J100" s="39" t="s">
        <v>146</v>
      </c>
    </row>
    <row r="101" spans="2:10">
      <c r="B101" s="34">
        <v>46112</v>
      </c>
      <c r="C101" s="28" t="s">
        <v>86</v>
      </c>
      <c r="D101" s="35">
        <v>6670</v>
      </c>
      <c r="E101" s="28" t="s">
        <v>126</v>
      </c>
      <c r="F101" s="36" t="str">
        <f>IF(tblCosts[[#This Row],[Date]]="","",IFERROR(INDEX(tblElements[Category],MATCH(tblCosts[[#This Row],[Element]],tblElements[Element],0)),""))</f>
        <v>Appraisal</v>
      </c>
      <c r="G101" s="37">
        <f>IF(tblCosts[[#This Row],[Date]]="","",DATE(YEAR(tblCosts[[#This Row],[Date]]),MONTH(tblCosts[[#This Row],[Date]]),1))</f>
        <v>46082</v>
      </c>
      <c r="H101" s="37">
        <f>IF(tblCosts[[#This Row],[Date]]="","",IF(AND(tblCosts[[#This Row],[Month]]&gt;=FFrom,tblCosts[[#This Row],[Month]]&lt;=FTo),tblCosts[[#This Row],[Month]],""))</f>
        <v>46082</v>
      </c>
      <c r="I101" s="38" t="str">
        <f>IF(tblCosts[[#This Row],[Date]]="","",IF(tblCosts[[#This Row],[Element]]="","Missing element",IF(tblCosts[[#This Row],[Amount]]="","Missing amount",IF(tblCosts[[#This Row],[Category]]="","Element not on Setup list",IF(COUNTIF(tblMonths[Month],tblCosts[[#This Row],[Month]])=0,"No Monthly Summary row for this month","OK")))))</f>
        <v>OK</v>
      </c>
      <c r="J101" s="39" t="s">
        <v>125</v>
      </c>
    </row>
    <row r="102" spans="2:10">
      <c r="B102" s="34">
        <v>46112</v>
      </c>
      <c r="C102" s="28" t="s">
        <v>89</v>
      </c>
      <c r="D102" s="35">
        <v>14440</v>
      </c>
      <c r="E102" s="28" t="s">
        <v>126</v>
      </c>
      <c r="F102" s="36" t="str">
        <f>IF(tblCosts[[#This Row],[Date]]="","",IFERROR(INDEX(tblElements[Category],MATCH(tblCosts[[#This Row],[Element]],tblElements[Element],0)),""))</f>
        <v>Appraisal</v>
      </c>
      <c r="G102" s="37">
        <f>IF(tblCosts[[#This Row],[Date]]="","",DATE(YEAR(tblCosts[[#This Row],[Date]]),MONTH(tblCosts[[#This Row],[Date]]),1))</f>
        <v>46082</v>
      </c>
      <c r="H102" s="37">
        <f>IF(tblCosts[[#This Row],[Date]]="","",IF(AND(tblCosts[[#This Row],[Month]]&gt;=FFrom,tblCosts[[#This Row],[Month]]&lt;=FTo),tblCosts[[#This Row],[Month]],""))</f>
        <v>46082</v>
      </c>
      <c r="I102" s="38" t="str">
        <f>IF(tblCosts[[#This Row],[Date]]="","",IF(tblCosts[[#This Row],[Element]]="","Missing element",IF(tblCosts[[#This Row],[Amount]]="","Missing amount",IF(tblCosts[[#This Row],[Category]]="","Element not on Setup list",IF(COUNTIF(tblMonths[Month],tblCosts[[#This Row],[Month]])=0,"No Monthly Summary row for this month","OK")))))</f>
        <v>OK</v>
      </c>
      <c r="J102" s="39" t="s">
        <v>125</v>
      </c>
    </row>
    <row r="103" spans="2:10">
      <c r="B103" s="34">
        <v>46112</v>
      </c>
      <c r="C103" s="28" t="s">
        <v>91</v>
      </c>
      <c r="D103" s="35">
        <v>3090</v>
      </c>
      <c r="E103" s="28" t="s">
        <v>126</v>
      </c>
      <c r="F103" s="36" t="str">
        <f>IF(tblCosts[[#This Row],[Date]]="","",IFERROR(INDEX(tblElements[Category],MATCH(tblCosts[[#This Row],[Element]],tblElements[Element],0)),""))</f>
        <v>Appraisal</v>
      </c>
      <c r="G103" s="37">
        <f>IF(tblCosts[[#This Row],[Date]]="","",DATE(YEAR(tblCosts[[#This Row],[Date]]),MONTH(tblCosts[[#This Row],[Date]]),1))</f>
        <v>46082</v>
      </c>
      <c r="H103" s="37">
        <f>IF(tblCosts[[#This Row],[Date]]="","",IF(AND(tblCosts[[#This Row],[Month]]&gt;=FFrom,tblCosts[[#This Row],[Month]]&lt;=FTo),tblCosts[[#This Row],[Month]],""))</f>
        <v>46082</v>
      </c>
      <c r="I103" s="38" t="str">
        <f>IF(tblCosts[[#This Row],[Date]]="","",IF(tblCosts[[#This Row],[Element]]="","Missing element",IF(tblCosts[[#This Row],[Amount]]="","Missing amount",IF(tblCosts[[#This Row],[Category]]="","Element not on Setup list",IF(COUNTIF(tblMonths[Month],tblCosts[[#This Row],[Month]])=0,"No Monthly Summary row for this month","OK")))))</f>
        <v>OK</v>
      </c>
      <c r="J103" s="39" t="s">
        <v>125</v>
      </c>
    </row>
    <row r="104" spans="2:10">
      <c r="B104" s="34">
        <v>46112</v>
      </c>
      <c r="C104" s="28" t="s">
        <v>93</v>
      </c>
      <c r="D104" s="35">
        <v>11610</v>
      </c>
      <c r="E104" s="28" t="s">
        <v>127</v>
      </c>
      <c r="F104" s="36" t="str">
        <f>IF(tblCosts[[#This Row],[Date]]="","",IFERROR(INDEX(tblElements[Category],MATCH(tblCosts[[#This Row],[Element]],tblElements[Element],0)),""))</f>
        <v>Internal failure</v>
      </c>
      <c r="G104" s="37">
        <f>IF(tblCosts[[#This Row],[Date]]="","",DATE(YEAR(tblCosts[[#This Row],[Date]]),MONTH(tblCosts[[#This Row],[Date]]),1))</f>
        <v>46082</v>
      </c>
      <c r="H104" s="37">
        <f>IF(tblCosts[[#This Row],[Date]]="","",IF(AND(tblCosts[[#This Row],[Month]]&gt;=FFrom,tblCosts[[#This Row],[Month]]&lt;=FTo),tblCosts[[#This Row],[Month]],""))</f>
        <v>46082</v>
      </c>
      <c r="I104" s="38" t="str">
        <f>IF(tblCosts[[#This Row],[Date]]="","",IF(tblCosts[[#This Row],[Element]]="","Missing element",IF(tblCosts[[#This Row],[Amount]]="","Missing amount",IF(tblCosts[[#This Row],[Category]]="","Element not on Setup list",IF(COUNTIF(tblMonths[Month],tblCosts[[#This Row],[Month]])=0,"No Monthly Summary row for this month","OK")))))</f>
        <v>OK</v>
      </c>
      <c r="J104" s="39" t="s">
        <v>125</v>
      </c>
    </row>
    <row r="105" spans="2:10">
      <c r="B105" s="34">
        <v>46112</v>
      </c>
      <c r="C105" s="28" t="s">
        <v>96</v>
      </c>
      <c r="D105" s="35">
        <v>8050</v>
      </c>
      <c r="E105" s="28" t="s">
        <v>127</v>
      </c>
      <c r="F105" s="36" t="str">
        <f>IF(tblCosts[[#This Row],[Date]]="","",IFERROR(INDEX(tblElements[Category],MATCH(tblCosts[[#This Row],[Element]],tblElements[Element],0)),""))</f>
        <v>Internal failure</v>
      </c>
      <c r="G105" s="37">
        <f>IF(tblCosts[[#This Row],[Date]]="","",DATE(YEAR(tblCosts[[#This Row],[Date]]),MONTH(tblCosts[[#This Row],[Date]]),1))</f>
        <v>46082</v>
      </c>
      <c r="H105" s="37">
        <f>IF(tblCosts[[#This Row],[Date]]="","",IF(AND(tblCosts[[#This Row],[Month]]&gt;=FFrom,tblCosts[[#This Row],[Month]]&lt;=FTo),tblCosts[[#This Row],[Month]],""))</f>
        <v>46082</v>
      </c>
      <c r="I105" s="38" t="str">
        <f>IF(tblCosts[[#This Row],[Date]]="","",IF(tblCosts[[#This Row],[Element]]="","Missing element",IF(tblCosts[[#This Row],[Amount]]="","Missing amount",IF(tblCosts[[#This Row],[Category]]="","Element not on Setup list",IF(COUNTIF(tblMonths[Month],tblCosts[[#This Row],[Month]])=0,"No Monthly Summary row for this month","OK")))))</f>
        <v>OK</v>
      </c>
      <c r="J105" s="39" t="s">
        <v>125</v>
      </c>
    </row>
    <row r="106" spans="2:10">
      <c r="B106" s="34">
        <v>46112</v>
      </c>
      <c r="C106" s="28" t="s">
        <v>98</v>
      </c>
      <c r="D106" s="35">
        <v>2850</v>
      </c>
      <c r="E106" s="28" t="s">
        <v>127</v>
      </c>
      <c r="F106" s="36" t="str">
        <f>IF(tblCosts[[#This Row],[Date]]="","",IFERROR(INDEX(tblElements[Category],MATCH(tblCosts[[#This Row],[Element]],tblElements[Element],0)),""))</f>
        <v>Internal failure</v>
      </c>
      <c r="G106" s="37">
        <f>IF(tblCosts[[#This Row],[Date]]="","",DATE(YEAR(tblCosts[[#This Row],[Date]]),MONTH(tblCosts[[#This Row],[Date]]),1))</f>
        <v>46082</v>
      </c>
      <c r="H106" s="37">
        <f>IF(tblCosts[[#This Row],[Date]]="","",IF(AND(tblCosts[[#This Row],[Month]]&gt;=FFrom,tblCosts[[#This Row],[Month]]&lt;=FTo),tblCosts[[#This Row],[Month]],""))</f>
        <v>46082</v>
      </c>
      <c r="I106" s="38" t="str">
        <f>IF(tblCosts[[#This Row],[Date]]="","",IF(tblCosts[[#This Row],[Element]]="","Missing element",IF(tblCosts[[#This Row],[Amount]]="","Missing amount",IF(tblCosts[[#This Row],[Category]]="","Element not on Setup list",IF(COUNTIF(tblMonths[Month],tblCosts[[#This Row],[Month]])=0,"No Monthly Summary row for this month","OK")))))</f>
        <v>OK</v>
      </c>
      <c r="J106" s="39" t="s">
        <v>125</v>
      </c>
    </row>
    <row r="107" spans="2:10">
      <c r="B107" s="34">
        <v>46112</v>
      </c>
      <c r="C107" s="28" t="s">
        <v>100</v>
      </c>
      <c r="D107" s="35">
        <v>1940</v>
      </c>
      <c r="E107" s="28" t="s">
        <v>127</v>
      </c>
      <c r="F107" s="36" t="str">
        <f>IF(tblCosts[[#This Row],[Date]]="","",IFERROR(INDEX(tblElements[Category],MATCH(tblCosts[[#This Row],[Element]],tblElements[Element],0)),""))</f>
        <v>Internal failure</v>
      </c>
      <c r="G107" s="37">
        <f>IF(tblCosts[[#This Row],[Date]]="","",DATE(YEAR(tblCosts[[#This Row],[Date]]),MONTH(tblCosts[[#This Row],[Date]]),1))</f>
        <v>46082</v>
      </c>
      <c r="H107" s="37">
        <f>IF(tblCosts[[#This Row],[Date]]="","",IF(AND(tblCosts[[#This Row],[Month]]&gt;=FFrom,tblCosts[[#This Row],[Month]]&lt;=FTo),tblCosts[[#This Row],[Month]],""))</f>
        <v>46082</v>
      </c>
      <c r="I107" s="38" t="str">
        <f>IF(tblCosts[[#This Row],[Date]]="","",IF(tblCosts[[#This Row],[Element]]="","Missing element",IF(tblCosts[[#This Row],[Amount]]="","Missing amount",IF(tblCosts[[#This Row],[Category]]="","Element not on Setup list",IF(COUNTIF(tblMonths[Month],tblCosts[[#This Row],[Month]])=0,"No Monthly Summary row for this month","OK")))))</f>
        <v>OK</v>
      </c>
      <c r="J107" s="39" t="s">
        <v>125</v>
      </c>
    </row>
    <row r="108" spans="2:10">
      <c r="B108" s="34">
        <v>46112</v>
      </c>
      <c r="C108" s="28" t="s">
        <v>105</v>
      </c>
      <c r="D108" s="35">
        <v>5800</v>
      </c>
      <c r="E108" s="28" t="s">
        <v>128</v>
      </c>
      <c r="F108" s="36" t="str">
        <f>IF(tblCosts[[#This Row],[Date]]="","",IFERROR(INDEX(tblElements[Category],MATCH(tblCosts[[#This Row],[Element]],tblElements[Element],0)),""))</f>
        <v>External failure</v>
      </c>
      <c r="G108" s="37">
        <f>IF(tblCosts[[#This Row],[Date]]="","",DATE(YEAR(tblCosts[[#This Row],[Date]]),MONTH(tblCosts[[#This Row],[Date]]),1))</f>
        <v>46082</v>
      </c>
      <c r="H108" s="37">
        <f>IF(tblCosts[[#This Row],[Date]]="","",IF(AND(tblCosts[[#This Row],[Month]]&gt;=FFrom,tblCosts[[#This Row],[Month]]&lt;=FTo),tblCosts[[#This Row],[Month]],""))</f>
        <v>46082</v>
      </c>
      <c r="I108" s="38" t="str">
        <f>IF(tblCosts[[#This Row],[Date]]="","",IF(tblCosts[[#This Row],[Element]]="","Missing element",IF(tblCosts[[#This Row],[Amount]]="","Missing amount",IF(tblCosts[[#This Row],[Category]]="","Element not on Setup list",IF(COUNTIF(tblMonths[Month],tblCosts[[#This Row],[Month]])=0,"No Monthly Summary row for this month","OK")))))</f>
        <v>OK</v>
      </c>
      <c r="J108" s="39" t="s">
        <v>125</v>
      </c>
    </row>
    <row r="109" spans="2:10">
      <c r="B109" s="34">
        <v>46112</v>
      </c>
      <c r="C109" s="28" t="s">
        <v>107</v>
      </c>
      <c r="D109" s="35">
        <v>1620</v>
      </c>
      <c r="E109" s="28" t="s">
        <v>128</v>
      </c>
      <c r="F109" s="36" t="str">
        <f>IF(tblCosts[[#This Row],[Date]]="","",IFERROR(INDEX(tblElements[Category],MATCH(tblCosts[[#This Row],[Element]],tblElements[Element],0)),""))</f>
        <v>External failure</v>
      </c>
      <c r="G109" s="37">
        <f>IF(tblCosts[[#This Row],[Date]]="","",DATE(YEAR(tblCosts[[#This Row],[Date]]),MONTH(tblCosts[[#This Row],[Date]]),1))</f>
        <v>46082</v>
      </c>
      <c r="H109" s="37">
        <f>IF(tblCosts[[#This Row],[Date]]="","",IF(AND(tblCosts[[#This Row],[Month]]&gt;=FFrom,tblCosts[[#This Row],[Month]]&lt;=FTo),tblCosts[[#This Row],[Month]],""))</f>
        <v>46082</v>
      </c>
      <c r="I109" s="38" t="str">
        <f>IF(tblCosts[[#This Row],[Date]]="","",IF(tblCosts[[#This Row],[Element]]="","Missing element",IF(tblCosts[[#This Row],[Amount]]="","Missing amount",IF(tblCosts[[#This Row],[Category]]="","Element not on Setup list",IF(COUNTIF(tblMonths[Month],tblCosts[[#This Row],[Month]])=0,"No Monthly Summary row for this month","OK")))))</f>
        <v>OK</v>
      </c>
      <c r="J109" s="39" t="s">
        <v>125</v>
      </c>
    </row>
    <row r="110" spans="2:10">
      <c r="B110" s="34">
        <v>46112</v>
      </c>
      <c r="C110" s="28" t="s">
        <v>109</v>
      </c>
      <c r="D110" s="35">
        <v>2480</v>
      </c>
      <c r="E110" s="28" t="s">
        <v>128</v>
      </c>
      <c r="F110" s="36" t="str">
        <f>IF(tblCosts[[#This Row],[Date]]="","",IFERROR(INDEX(tblElements[Category],MATCH(tblCosts[[#This Row],[Element]],tblElements[Element],0)),""))</f>
        <v>External failure</v>
      </c>
      <c r="G110" s="37">
        <f>IF(tblCosts[[#This Row],[Date]]="","",DATE(YEAR(tblCosts[[#This Row],[Date]]),MONTH(tblCosts[[#This Row],[Date]]),1))</f>
        <v>46082</v>
      </c>
      <c r="H110" s="37">
        <f>IF(tblCosts[[#This Row],[Date]]="","",IF(AND(tblCosts[[#This Row],[Month]]&gt;=FFrom,tblCosts[[#This Row],[Month]]&lt;=FTo),tblCosts[[#This Row],[Month]],""))</f>
        <v>46082</v>
      </c>
      <c r="I110" s="38" t="str">
        <f>IF(tblCosts[[#This Row],[Date]]="","",IF(tblCosts[[#This Row],[Element]]="","Missing element",IF(tblCosts[[#This Row],[Amount]]="","Missing amount",IF(tblCosts[[#This Row],[Category]]="","Element not on Setup list",IF(COUNTIF(tblMonths[Month],tblCosts[[#This Row],[Month]])=0,"No Monthly Summary row for this month","OK")))))</f>
        <v>OK</v>
      </c>
      <c r="J110" s="39" t="s">
        <v>125</v>
      </c>
    </row>
    <row r="111" spans="2:10">
      <c r="B111" s="34">
        <v>46119</v>
      </c>
      <c r="C111" s="28" t="s">
        <v>102</v>
      </c>
      <c r="D111" s="35">
        <v>6250</v>
      </c>
      <c r="E111" s="28" t="s">
        <v>147</v>
      </c>
      <c r="F111" s="36" t="str">
        <f>IF(tblCosts[[#This Row],[Date]]="","",IFERROR(INDEX(tblElements[Category],MATCH(tblCosts[[#This Row],[Element]],tblElements[Element],0)),""))</f>
        <v>External failure</v>
      </c>
      <c r="G111" s="37">
        <f>IF(tblCosts[[#This Row],[Date]]="","",DATE(YEAR(tblCosts[[#This Row],[Date]]),MONTH(tblCosts[[#This Row],[Date]]),1))</f>
        <v>46113</v>
      </c>
      <c r="H111" s="37">
        <f>IF(tblCosts[[#This Row],[Date]]="","",IF(AND(tblCosts[[#This Row],[Month]]&gt;=FFrom,tblCosts[[#This Row],[Month]]&lt;=FTo),tblCosts[[#This Row],[Month]],""))</f>
        <v>46113</v>
      </c>
      <c r="I111" s="38" t="str">
        <f>IF(tblCosts[[#This Row],[Date]]="","",IF(tblCosts[[#This Row],[Element]]="","Missing element",IF(tblCosts[[#This Row],[Amount]]="","Missing amount",IF(tblCosts[[#This Row],[Category]]="","Element not on Setup list",IF(COUNTIF(tblMonths[Month],tblCosts[[#This Row],[Month]])=0,"No Monthly Summary row for this month","OK")))))</f>
        <v>OK</v>
      </c>
      <c r="J111" s="39" t="s">
        <v>125</v>
      </c>
    </row>
    <row r="112" spans="2:10">
      <c r="B112" s="34">
        <v>46127</v>
      </c>
      <c r="C112" s="28" t="s">
        <v>102</v>
      </c>
      <c r="D112" s="35">
        <v>4460</v>
      </c>
      <c r="E112" s="28" t="s">
        <v>148</v>
      </c>
      <c r="F112" s="36" t="str">
        <f>IF(tblCosts[[#This Row],[Date]]="","",IFERROR(INDEX(tblElements[Category],MATCH(tblCosts[[#This Row],[Element]],tblElements[Element],0)),""))</f>
        <v>External failure</v>
      </c>
      <c r="G112" s="37">
        <f>IF(tblCosts[[#This Row],[Date]]="","",DATE(YEAR(tblCosts[[#This Row],[Date]]),MONTH(tblCosts[[#This Row],[Date]]),1))</f>
        <v>46113</v>
      </c>
      <c r="H112" s="37">
        <f>IF(tblCosts[[#This Row],[Date]]="","",IF(AND(tblCosts[[#This Row],[Month]]&gt;=FFrom,tblCosts[[#This Row],[Month]]&lt;=FTo),tblCosts[[#This Row],[Month]],""))</f>
        <v>46113</v>
      </c>
      <c r="I112" s="38" t="str">
        <f>IF(tblCosts[[#This Row],[Date]]="","",IF(tblCosts[[#This Row],[Element]]="","Missing element",IF(tblCosts[[#This Row],[Amount]]="","Missing amount",IF(tblCosts[[#This Row],[Category]]="","Element not on Setup list",IF(COUNTIF(tblMonths[Month],tblCosts[[#This Row],[Month]])=0,"No Monthly Summary row for this month","OK")))))</f>
        <v>OK</v>
      </c>
      <c r="J112" s="39" t="s">
        <v>125</v>
      </c>
    </row>
    <row r="113" spans="2:10">
      <c r="B113" s="34">
        <v>46142</v>
      </c>
      <c r="C113" s="28" t="s">
        <v>77</v>
      </c>
      <c r="D113" s="35">
        <v>7570</v>
      </c>
      <c r="E113" s="28" t="s">
        <v>124</v>
      </c>
      <c r="F113" s="36" t="str">
        <f>IF(tblCosts[[#This Row],[Date]]="","",IFERROR(INDEX(tblElements[Category],MATCH(tblCosts[[#This Row],[Element]],tblElements[Element],0)),""))</f>
        <v>Prevention</v>
      </c>
      <c r="G113" s="37">
        <f>IF(tblCosts[[#This Row],[Date]]="","",DATE(YEAR(tblCosts[[#This Row],[Date]]),MONTH(tblCosts[[#This Row],[Date]]),1))</f>
        <v>46113</v>
      </c>
      <c r="H113" s="37">
        <f>IF(tblCosts[[#This Row],[Date]]="","",IF(AND(tblCosts[[#This Row],[Month]]&gt;=FFrom,tblCosts[[#This Row],[Month]]&lt;=FTo),tblCosts[[#This Row],[Month]],""))</f>
        <v>46113</v>
      </c>
      <c r="I113" s="38" t="str">
        <f>IF(tblCosts[[#This Row],[Date]]="","",IF(tblCosts[[#This Row],[Element]]="","Missing element",IF(tblCosts[[#This Row],[Amount]]="","Missing amount",IF(tblCosts[[#This Row],[Category]]="","Element not on Setup list",IF(COUNTIF(tblMonths[Month],tblCosts[[#This Row],[Month]])=0,"No Monthly Summary row for this month","OK")))))</f>
        <v>OK</v>
      </c>
      <c r="J113" s="39" t="s">
        <v>125</v>
      </c>
    </row>
    <row r="114" spans="2:10">
      <c r="B114" s="34">
        <v>46142</v>
      </c>
      <c r="C114" s="28" t="s">
        <v>80</v>
      </c>
      <c r="D114" s="35">
        <v>2540</v>
      </c>
      <c r="E114" s="28" t="s">
        <v>124</v>
      </c>
      <c r="F114" s="36" t="str">
        <f>IF(tblCosts[[#This Row],[Date]]="","",IFERROR(INDEX(tblElements[Category],MATCH(tblCosts[[#This Row],[Element]],tblElements[Element],0)),""))</f>
        <v>Prevention</v>
      </c>
      <c r="G114" s="37">
        <f>IF(tblCosts[[#This Row],[Date]]="","",DATE(YEAR(tblCosts[[#This Row],[Date]]),MONTH(tblCosts[[#This Row],[Date]]),1))</f>
        <v>46113</v>
      </c>
      <c r="H114" s="37">
        <f>IF(tblCosts[[#This Row],[Date]]="","",IF(AND(tblCosts[[#This Row],[Month]]&gt;=FFrom,tblCosts[[#This Row],[Month]]&lt;=FTo),tblCosts[[#This Row],[Month]],""))</f>
        <v>46113</v>
      </c>
      <c r="I114" s="38" t="str">
        <f>IF(tblCosts[[#This Row],[Date]]="","",IF(tblCosts[[#This Row],[Element]]="","Missing element",IF(tblCosts[[#This Row],[Amount]]="","Missing amount",IF(tblCosts[[#This Row],[Category]]="","Element not on Setup list",IF(COUNTIF(tblMonths[Month],tblCosts[[#This Row],[Month]])=0,"No Monthly Summary row for this month","OK")))))</f>
        <v>OK</v>
      </c>
      <c r="J114" s="39" t="s">
        <v>125</v>
      </c>
    </row>
    <row r="115" spans="2:10">
      <c r="B115" s="34">
        <v>46142</v>
      </c>
      <c r="C115" s="28" t="s">
        <v>82</v>
      </c>
      <c r="D115" s="35">
        <v>2540</v>
      </c>
      <c r="E115" s="28" t="s">
        <v>124</v>
      </c>
      <c r="F115" s="36" t="str">
        <f>IF(tblCosts[[#This Row],[Date]]="","",IFERROR(INDEX(tblElements[Category],MATCH(tblCosts[[#This Row],[Element]],tblElements[Element],0)),""))</f>
        <v>Prevention</v>
      </c>
      <c r="G115" s="37">
        <f>IF(tblCosts[[#This Row],[Date]]="","",DATE(YEAR(tblCosts[[#This Row],[Date]]),MONTH(tblCosts[[#This Row],[Date]]),1))</f>
        <v>46113</v>
      </c>
      <c r="H115" s="37">
        <f>IF(tblCosts[[#This Row],[Date]]="","",IF(AND(tblCosts[[#This Row],[Month]]&gt;=FFrom,tblCosts[[#This Row],[Month]]&lt;=FTo),tblCosts[[#This Row],[Month]],""))</f>
        <v>46113</v>
      </c>
      <c r="I115" s="38" t="str">
        <f>IF(tblCosts[[#This Row],[Date]]="","",IF(tblCosts[[#This Row],[Element]]="","Missing element",IF(tblCosts[[#This Row],[Amount]]="","Missing amount",IF(tblCosts[[#This Row],[Category]]="","Element not on Setup list",IF(COUNTIF(tblMonths[Month],tblCosts[[#This Row],[Month]])=0,"No Monthly Summary row for this month","OK")))))</f>
        <v>OK</v>
      </c>
      <c r="J115" s="39" t="s">
        <v>125</v>
      </c>
    </row>
    <row r="116" spans="2:10">
      <c r="B116" s="34">
        <v>46142</v>
      </c>
      <c r="C116" s="28" t="s">
        <v>84</v>
      </c>
      <c r="D116" s="35">
        <v>19120</v>
      </c>
      <c r="E116" s="28" t="s">
        <v>124</v>
      </c>
      <c r="F116" s="36" t="str">
        <f>IF(tblCosts[[#This Row],[Date]]="","",IFERROR(INDEX(tblElements[Category],MATCH(tblCosts[[#This Row],[Element]],tblElements[Element],0)),""))</f>
        <v>Prevention</v>
      </c>
      <c r="G116" s="37">
        <f>IF(tblCosts[[#This Row],[Date]]="","",DATE(YEAR(tblCosts[[#This Row],[Date]]),MONTH(tblCosts[[#This Row],[Date]]),1))</f>
        <v>46113</v>
      </c>
      <c r="H116" s="37">
        <f>IF(tblCosts[[#This Row],[Date]]="","",IF(AND(tblCosts[[#This Row],[Month]]&gt;=FFrom,tblCosts[[#This Row],[Month]]&lt;=FTo),tblCosts[[#This Row],[Month]],""))</f>
        <v>46113</v>
      </c>
      <c r="I116" s="38" t="str">
        <f>IF(tblCosts[[#This Row],[Date]]="","",IF(tblCosts[[#This Row],[Element]]="","Missing element",IF(tblCosts[[#This Row],[Amount]]="","Missing amount",IF(tblCosts[[#This Row],[Category]]="","Element not on Setup list",IF(COUNTIF(tblMonths[Month],tblCosts[[#This Row],[Month]])=0,"No Monthly Summary row for this month","OK")))))</f>
        <v>OK</v>
      </c>
      <c r="J116" s="39" t="s">
        <v>146</v>
      </c>
    </row>
    <row r="117" spans="2:10">
      <c r="B117" s="34">
        <v>46142</v>
      </c>
      <c r="C117" s="28" t="s">
        <v>86</v>
      </c>
      <c r="D117" s="35">
        <v>6530</v>
      </c>
      <c r="E117" s="28" t="s">
        <v>126</v>
      </c>
      <c r="F117" s="36" t="str">
        <f>IF(tblCosts[[#This Row],[Date]]="","",IFERROR(INDEX(tblElements[Category],MATCH(tblCosts[[#This Row],[Element]],tblElements[Element],0)),""))</f>
        <v>Appraisal</v>
      </c>
      <c r="G117" s="37">
        <f>IF(tblCosts[[#This Row],[Date]]="","",DATE(YEAR(tblCosts[[#This Row],[Date]]),MONTH(tblCosts[[#This Row],[Date]]),1))</f>
        <v>46113</v>
      </c>
      <c r="H117" s="37">
        <f>IF(tblCosts[[#This Row],[Date]]="","",IF(AND(tblCosts[[#This Row],[Month]]&gt;=FFrom,tblCosts[[#This Row],[Month]]&lt;=FTo),tblCosts[[#This Row],[Month]],""))</f>
        <v>46113</v>
      </c>
      <c r="I117" s="38" t="str">
        <f>IF(tblCosts[[#This Row],[Date]]="","",IF(tblCosts[[#This Row],[Element]]="","Missing element",IF(tblCosts[[#This Row],[Amount]]="","Missing amount",IF(tblCosts[[#This Row],[Category]]="","Element not on Setup list",IF(COUNTIF(tblMonths[Month],tblCosts[[#This Row],[Month]])=0,"No Monthly Summary row for this month","OK")))))</f>
        <v>OK</v>
      </c>
      <c r="J117" s="39" t="s">
        <v>125</v>
      </c>
    </row>
    <row r="118" spans="2:10">
      <c r="B118" s="34">
        <v>46142</v>
      </c>
      <c r="C118" s="28" t="s">
        <v>89</v>
      </c>
      <c r="D118" s="35">
        <v>14460</v>
      </c>
      <c r="E118" s="28" t="s">
        <v>126</v>
      </c>
      <c r="F118" s="36" t="str">
        <f>IF(tblCosts[[#This Row],[Date]]="","",IFERROR(INDEX(tblElements[Category],MATCH(tblCosts[[#This Row],[Element]],tblElements[Element],0)),""))</f>
        <v>Appraisal</v>
      </c>
      <c r="G118" s="37">
        <f>IF(tblCosts[[#This Row],[Date]]="","",DATE(YEAR(tblCosts[[#This Row],[Date]]),MONTH(tblCosts[[#This Row],[Date]]),1))</f>
        <v>46113</v>
      </c>
      <c r="H118" s="37">
        <f>IF(tblCosts[[#This Row],[Date]]="","",IF(AND(tblCosts[[#This Row],[Month]]&gt;=FFrom,tblCosts[[#This Row],[Month]]&lt;=FTo),tblCosts[[#This Row],[Month]],""))</f>
        <v>46113</v>
      </c>
      <c r="I118" s="38" t="str">
        <f>IF(tblCosts[[#This Row],[Date]]="","",IF(tblCosts[[#This Row],[Element]]="","Missing element",IF(tblCosts[[#This Row],[Amount]]="","Missing amount",IF(tblCosts[[#This Row],[Category]]="","Element not on Setup list",IF(COUNTIF(tblMonths[Month],tblCosts[[#This Row],[Month]])=0,"No Monthly Summary row for this month","OK")))))</f>
        <v>OK</v>
      </c>
      <c r="J118" s="39" t="s">
        <v>125</v>
      </c>
    </row>
    <row r="119" spans="2:10">
      <c r="B119" s="34">
        <v>46142</v>
      </c>
      <c r="C119" s="28" t="s">
        <v>91</v>
      </c>
      <c r="D119" s="35">
        <v>3600</v>
      </c>
      <c r="E119" s="28" t="s">
        <v>126</v>
      </c>
      <c r="F119" s="36" t="str">
        <f>IF(tblCosts[[#This Row],[Date]]="","",IFERROR(INDEX(tblElements[Category],MATCH(tblCosts[[#This Row],[Element]],tblElements[Element],0)),""))</f>
        <v>Appraisal</v>
      </c>
      <c r="G119" s="37">
        <f>IF(tblCosts[[#This Row],[Date]]="","",DATE(YEAR(tblCosts[[#This Row],[Date]]),MONTH(tblCosts[[#This Row],[Date]]),1))</f>
        <v>46113</v>
      </c>
      <c r="H119" s="37">
        <f>IF(tblCosts[[#This Row],[Date]]="","",IF(AND(tblCosts[[#This Row],[Month]]&gt;=FFrom,tblCosts[[#This Row],[Month]]&lt;=FTo),tblCosts[[#This Row],[Month]],""))</f>
        <v>46113</v>
      </c>
      <c r="I119" s="38" t="str">
        <f>IF(tblCosts[[#This Row],[Date]]="","",IF(tblCosts[[#This Row],[Element]]="","Missing element",IF(tblCosts[[#This Row],[Amount]]="","Missing amount",IF(tblCosts[[#This Row],[Category]]="","Element not on Setup list",IF(COUNTIF(tblMonths[Month],tblCosts[[#This Row],[Month]])=0,"No Monthly Summary row for this month","OK")))))</f>
        <v>OK</v>
      </c>
      <c r="J119" s="39" t="s">
        <v>125</v>
      </c>
    </row>
    <row r="120" spans="2:10">
      <c r="B120" s="34">
        <v>46142</v>
      </c>
      <c r="C120" s="28" t="s">
        <v>93</v>
      </c>
      <c r="D120" s="35">
        <v>13630</v>
      </c>
      <c r="E120" s="28" t="s">
        <v>127</v>
      </c>
      <c r="F120" s="36" t="str">
        <f>IF(tblCosts[[#This Row],[Date]]="","",IFERROR(INDEX(tblElements[Category],MATCH(tblCosts[[#This Row],[Element]],tblElements[Element],0)),""))</f>
        <v>Internal failure</v>
      </c>
      <c r="G120" s="37">
        <f>IF(tblCosts[[#This Row],[Date]]="","",DATE(YEAR(tblCosts[[#This Row],[Date]]),MONTH(tblCosts[[#This Row],[Date]]),1))</f>
        <v>46113</v>
      </c>
      <c r="H120" s="37">
        <f>IF(tblCosts[[#This Row],[Date]]="","",IF(AND(tblCosts[[#This Row],[Month]]&gt;=FFrom,tblCosts[[#This Row],[Month]]&lt;=FTo),tblCosts[[#This Row],[Month]],""))</f>
        <v>46113</v>
      </c>
      <c r="I120" s="38" t="str">
        <f>IF(tblCosts[[#This Row],[Date]]="","",IF(tblCosts[[#This Row],[Element]]="","Missing element",IF(tblCosts[[#This Row],[Amount]]="","Missing amount",IF(tblCosts[[#This Row],[Category]]="","Element not on Setup list",IF(COUNTIF(tblMonths[Month],tblCosts[[#This Row],[Month]])=0,"No Monthly Summary row for this month","OK")))))</f>
        <v>OK</v>
      </c>
      <c r="J120" s="39" t="s">
        <v>125</v>
      </c>
    </row>
    <row r="121" spans="2:10">
      <c r="B121" s="34">
        <v>46142</v>
      </c>
      <c r="C121" s="28" t="s">
        <v>96</v>
      </c>
      <c r="D121" s="35">
        <v>7540</v>
      </c>
      <c r="E121" s="28" t="s">
        <v>127</v>
      </c>
      <c r="F121" s="36" t="str">
        <f>IF(tblCosts[[#This Row],[Date]]="","",IFERROR(INDEX(tblElements[Category],MATCH(tblCosts[[#This Row],[Element]],tblElements[Element],0)),""))</f>
        <v>Internal failure</v>
      </c>
      <c r="G121" s="37">
        <f>IF(tblCosts[[#This Row],[Date]]="","",DATE(YEAR(tblCosts[[#This Row],[Date]]),MONTH(tblCosts[[#This Row],[Date]]),1))</f>
        <v>46113</v>
      </c>
      <c r="H121" s="37">
        <f>IF(tblCosts[[#This Row],[Date]]="","",IF(AND(tblCosts[[#This Row],[Month]]&gt;=FFrom,tblCosts[[#This Row],[Month]]&lt;=FTo),tblCosts[[#This Row],[Month]],""))</f>
        <v>46113</v>
      </c>
      <c r="I121" s="38" t="str">
        <f>IF(tblCosts[[#This Row],[Date]]="","",IF(tblCosts[[#This Row],[Element]]="","Missing element",IF(tblCosts[[#This Row],[Amount]]="","Missing amount",IF(tblCosts[[#This Row],[Category]]="","Element not on Setup list",IF(COUNTIF(tblMonths[Month],tblCosts[[#This Row],[Month]])=0,"No Monthly Summary row for this month","OK")))))</f>
        <v>OK</v>
      </c>
      <c r="J121" s="39" t="s">
        <v>125</v>
      </c>
    </row>
    <row r="122" spans="2:10">
      <c r="B122" s="34">
        <v>46142</v>
      </c>
      <c r="C122" s="28" t="s">
        <v>98</v>
      </c>
      <c r="D122" s="35">
        <v>2790</v>
      </c>
      <c r="E122" s="28" t="s">
        <v>127</v>
      </c>
      <c r="F122" s="36" t="str">
        <f>IF(tblCosts[[#This Row],[Date]]="","",IFERROR(INDEX(tblElements[Category],MATCH(tblCosts[[#This Row],[Element]],tblElements[Element],0)),""))</f>
        <v>Internal failure</v>
      </c>
      <c r="G122" s="37">
        <f>IF(tblCosts[[#This Row],[Date]]="","",DATE(YEAR(tblCosts[[#This Row],[Date]]),MONTH(tblCosts[[#This Row],[Date]]),1))</f>
        <v>46113</v>
      </c>
      <c r="H122" s="37">
        <f>IF(tblCosts[[#This Row],[Date]]="","",IF(AND(tblCosts[[#This Row],[Month]]&gt;=FFrom,tblCosts[[#This Row],[Month]]&lt;=FTo),tblCosts[[#This Row],[Month]],""))</f>
        <v>46113</v>
      </c>
      <c r="I122" s="38" t="str">
        <f>IF(tblCosts[[#This Row],[Date]]="","",IF(tblCosts[[#This Row],[Element]]="","Missing element",IF(tblCosts[[#This Row],[Amount]]="","Missing amount",IF(tblCosts[[#This Row],[Category]]="","Element not on Setup list",IF(COUNTIF(tblMonths[Month],tblCosts[[#This Row],[Month]])=0,"No Monthly Summary row for this month","OK")))))</f>
        <v>OK</v>
      </c>
      <c r="J122" s="39" t="s">
        <v>125</v>
      </c>
    </row>
    <row r="123" spans="2:10">
      <c r="B123" s="34">
        <v>46142</v>
      </c>
      <c r="C123" s="28" t="s">
        <v>100</v>
      </c>
      <c r="D123" s="35">
        <v>1630</v>
      </c>
      <c r="E123" s="28" t="s">
        <v>127</v>
      </c>
      <c r="F123" s="36" t="str">
        <f>IF(tblCosts[[#This Row],[Date]]="","",IFERROR(INDEX(tblElements[Category],MATCH(tblCosts[[#This Row],[Element]],tblElements[Element],0)),""))</f>
        <v>Internal failure</v>
      </c>
      <c r="G123" s="37">
        <f>IF(tblCosts[[#This Row],[Date]]="","",DATE(YEAR(tblCosts[[#This Row],[Date]]),MONTH(tblCosts[[#This Row],[Date]]),1))</f>
        <v>46113</v>
      </c>
      <c r="H123" s="37">
        <f>IF(tblCosts[[#This Row],[Date]]="","",IF(AND(tblCosts[[#This Row],[Month]]&gt;=FFrom,tblCosts[[#This Row],[Month]]&lt;=FTo),tblCosts[[#This Row],[Month]],""))</f>
        <v>46113</v>
      </c>
      <c r="I123" s="38" t="str">
        <f>IF(tblCosts[[#This Row],[Date]]="","",IF(tblCosts[[#This Row],[Element]]="","Missing element",IF(tblCosts[[#This Row],[Amount]]="","Missing amount",IF(tblCosts[[#This Row],[Category]]="","Element not on Setup list",IF(COUNTIF(tblMonths[Month],tblCosts[[#This Row],[Month]])=0,"No Monthly Summary row for this month","OK")))))</f>
        <v>OK</v>
      </c>
      <c r="J123" s="39" t="s">
        <v>125</v>
      </c>
    </row>
    <row r="124" spans="2:10">
      <c r="B124" s="34">
        <v>46142</v>
      </c>
      <c r="C124" s="28" t="s">
        <v>105</v>
      </c>
      <c r="D124" s="35">
        <v>4720</v>
      </c>
      <c r="E124" s="28" t="s">
        <v>128</v>
      </c>
      <c r="F124" s="36" t="str">
        <f>IF(tblCosts[[#This Row],[Date]]="","",IFERROR(INDEX(tblElements[Category],MATCH(tblCosts[[#This Row],[Element]],tblElements[Element],0)),""))</f>
        <v>External failure</v>
      </c>
      <c r="G124" s="37">
        <f>IF(tblCosts[[#This Row],[Date]]="","",DATE(YEAR(tblCosts[[#This Row],[Date]]),MONTH(tblCosts[[#This Row],[Date]]),1))</f>
        <v>46113</v>
      </c>
      <c r="H124" s="37">
        <f>IF(tblCosts[[#This Row],[Date]]="","",IF(AND(tblCosts[[#This Row],[Month]]&gt;=FFrom,tblCosts[[#This Row],[Month]]&lt;=FTo),tblCosts[[#This Row],[Month]],""))</f>
        <v>46113</v>
      </c>
      <c r="I124" s="38" t="str">
        <f>IF(tblCosts[[#This Row],[Date]]="","",IF(tblCosts[[#This Row],[Element]]="","Missing element",IF(tblCosts[[#This Row],[Amount]]="","Missing amount",IF(tblCosts[[#This Row],[Category]]="","Element not on Setup list",IF(COUNTIF(tblMonths[Month],tblCosts[[#This Row],[Month]])=0,"No Monthly Summary row for this month","OK")))))</f>
        <v>OK</v>
      </c>
      <c r="J124" s="39" t="s">
        <v>125</v>
      </c>
    </row>
    <row r="125" spans="2:10">
      <c r="B125" s="34">
        <v>46142</v>
      </c>
      <c r="C125" s="28" t="s">
        <v>107</v>
      </c>
      <c r="D125" s="35">
        <v>2490</v>
      </c>
      <c r="E125" s="28" t="s">
        <v>128</v>
      </c>
      <c r="F125" s="36" t="str">
        <f>IF(tblCosts[[#This Row],[Date]]="","",IFERROR(INDEX(tblElements[Category],MATCH(tblCosts[[#This Row],[Element]],tblElements[Element],0)),""))</f>
        <v>External failure</v>
      </c>
      <c r="G125" s="37">
        <f>IF(tblCosts[[#This Row],[Date]]="","",DATE(YEAR(tblCosts[[#This Row],[Date]]),MONTH(tblCosts[[#This Row],[Date]]),1))</f>
        <v>46113</v>
      </c>
      <c r="H125" s="37">
        <f>IF(tblCosts[[#This Row],[Date]]="","",IF(AND(tblCosts[[#This Row],[Month]]&gt;=FFrom,tblCosts[[#This Row],[Month]]&lt;=FTo),tblCosts[[#This Row],[Month]],""))</f>
        <v>46113</v>
      </c>
      <c r="I125" s="38" t="str">
        <f>IF(tblCosts[[#This Row],[Date]]="","",IF(tblCosts[[#This Row],[Element]]="","Missing element",IF(tblCosts[[#This Row],[Amount]]="","Missing amount",IF(tblCosts[[#This Row],[Category]]="","Element not on Setup list",IF(COUNTIF(tblMonths[Month],tblCosts[[#This Row],[Month]])=0,"No Monthly Summary row for this month","OK")))))</f>
        <v>OK</v>
      </c>
      <c r="J125" s="39" t="s">
        <v>125</v>
      </c>
    </row>
    <row r="126" spans="2:10">
      <c r="B126" s="34">
        <v>46142</v>
      </c>
      <c r="C126" s="28" t="s">
        <v>109</v>
      </c>
      <c r="D126" s="35">
        <v>2450</v>
      </c>
      <c r="E126" s="28" t="s">
        <v>128</v>
      </c>
      <c r="F126" s="36" t="str">
        <f>IF(tblCosts[[#This Row],[Date]]="","",IFERROR(INDEX(tblElements[Category],MATCH(tblCosts[[#This Row],[Element]],tblElements[Element],0)),""))</f>
        <v>External failure</v>
      </c>
      <c r="G126" s="37">
        <f>IF(tblCosts[[#This Row],[Date]]="","",DATE(YEAR(tblCosts[[#This Row],[Date]]),MONTH(tblCosts[[#This Row],[Date]]),1))</f>
        <v>46113</v>
      </c>
      <c r="H126" s="37">
        <f>IF(tblCosts[[#This Row],[Date]]="","",IF(AND(tblCosts[[#This Row],[Month]]&gt;=FFrom,tblCosts[[#This Row],[Month]]&lt;=FTo),tblCosts[[#This Row],[Month]],""))</f>
        <v>46113</v>
      </c>
      <c r="I126" s="38" t="str">
        <f>IF(tblCosts[[#This Row],[Date]]="","",IF(tblCosts[[#This Row],[Element]]="","Missing element",IF(tblCosts[[#This Row],[Amount]]="","Missing amount",IF(tblCosts[[#This Row],[Category]]="","Element not on Setup list",IF(COUNTIF(tblMonths[Month],tblCosts[[#This Row],[Month]])=0,"No Monthly Summary row for this month","OK")))))</f>
        <v>OK</v>
      </c>
      <c r="J126" s="39" t="s">
        <v>125</v>
      </c>
    </row>
    <row r="127" spans="2:10">
      <c r="B127" s="34">
        <v>46150</v>
      </c>
      <c r="C127" s="28" t="s">
        <v>102</v>
      </c>
      <c r="D127" s="35">
        <v>3260</v>
      </c>
      <c r="E127" s="28" t="s">
        <v>149</v>
      </c>
      <c r="F127" s="36" t="str">
        <f>IF(tblCosts[[#This Row],[Date]]="","",IFERROR(INDEX(tblElements[Category],MATCH(tblCosts[[#This Row],[Element]],tblElements[Element],0)),""))</f>
        <v>External failure</v>
      </c>
      <c r="G127" s="37">
        <f>IF(tblCosts[[#This Row],[Date]]="","",DATE(YEAR(tblCosts[[#This Row],[Date]]),MONTH(tblCosts[[#This Row],[Date]]),1))</f>
        <v>46143</v>
      </c>
      <c r="H127" s="37">
        <f>IF(tblCosts[[#This Row],[Date]]="","",IF(AND(tblCosts[[#This Row],[Month]]&gt;=FFrom,tblCosts[[#This Row],[Month]]&lt;=FTo),tblCosts[[#This Row],[Month]],""))</f>
        <v>46143</v>
      </c>
      <c r="I127" s="38" t="str">
        <f>IF(tblCosts[[#This Row],[Date]]="","",IF(tblCosts[[#This Row],[Element]]="","Missing element",IF(tblCosts[[#This Row],[Amount]]="","Missing amount",IF(tblCosts[[#This Row],[Category]]="","Element not on Setup list",IF(COUNTIF(tblMonths[Month],tblCosts[[#This Row],[Month]])=0,"No Monthly Summary row for this month","OK")))))</f>
        <v>OK</v>
      </c>
      <c r="J127" s="39" t="s">
        <v>125</v>
      </c>
    </row>
    <row r="128" spans="2:10">
      <c r="B128" s="34">
        <v>46171</v>
      </c>
      <c r="C128" s="28" t="s">
        <v>77</v>
      </c>
      <c r="D128" s="35">
        <v>3670</v>
      </c>
      <c r="E128" s="28" t="s">
        <v>124</v>
      </c>
      <c r="F128" s="36" t="str">
        <f>IF(tblCosts[[#This Row],[Date]]="","",IFERROR(INDEX(tblElements[Category],MATCH(tblCosts[[#This Row],[Element]],tblElements[Element],0)),""))</f>
        <v>Prevention</v>
      </c>
      <c r="G128" s="37">
        <f>IF(tblCosts[[#This Row],[Date]]="","",DATE(YEAR(tblCosts[[#This Row],[Date]]),MONTH(tblCosts[[#This Row],[Date]]),1))</f>
        <v>46143</v>
      </c>
      <c r="H128" s="37">
        <f>IF(tblCosts[[#This Row],[Date]]="","",IF(AND(tblCosts[[#This Row],[Month]]&gt;=FFrom,tblCosts[[#This Row],[Month]]&lt;=FTo),tblCosts[[#This Row],[Month]],""))</f>
        <v>46143</v>
      </c>
      <c r="I128" s="38" t="str">
        <f>IF(tblCosts[[#This Row],[Date]]="","",IF(tblCosts[[#This Row],[Element]]="","Missing element",IF(tblCosts[[#This Row],[Amount]]="","Missing amount",IF(tblCosts[[#This Row],[Category]]="","Element not on Setup list",IF(COUNTIF(tblMonths[Month],tblCosts[[#This Row],[Month]])=0,"No Monthly Summary row for this month","OK")))))</f>
        <v>OK</v>
      </c>
      <c r="J128" s="39" t="s">
        <v>125</v>
      </c>
    </row>
    <row r="129" spans="2:10">
      <c r="B129" s="34">
        <v>46171</v>
      </c>
      <c r="C129" s="28" t="s">
        <v>80</v>
      </c>
      <c r="D129" s="35">
        <v>2530</v>
      </c>
      <c r="E129" s="28" t="s">
        <v>124</v>
      </c>
      <c r="F129" s="36" t="str">
        <f>IF(tblCosts[[#This Row],[Date]]="","",IFERROR(INDEX(tblElements[Category],MATCH(tblCosts[[#This Row],[Element]],tblElements[Element],0)),""))</f>
        <v>Prevention</v>
      </c>
      <c r="G129" s="37">
        <f>IF(tblCosts[[#This Row],[Date]]="","",DATE(YEAR(tblCosts[[#This Row],[Date]]),MONTH(tblCosts[[#This Row],[Date]]),1))</f>
        <v>46143</v>
      </c>
      <c r="H129" s="37">
        <f>IF(tblCosts[[#This Row],[Date]]="","",IF(AND(tblCosts[[#This Row],[Month]]&gt;=FFrom,tblCosts[[#This Row],[Month]]&lt;=FTo),tblCosts[[#This Row],[Month]],""))</f>
        <v>46143</v>
      </c>
      <c r="I129" s="38" t="str">
        <f>IF(tblCosts[[#This Row],[Date]]="","",IF(tblCosts[[#This Row],[Element]]="","Missing element",IF(tblCosts[[#This Row],[Amount]]="","Missing amount",IF(tblCosts[[#This Row],[Category]]="","Element not on Setup list",IF(COUNTIF(tblMonths[Month],tblCosts[[#This Row],[Month]])=0,"No Monthly Summary row for this month","OK")))))</f>
        <v>OK</v>
      </c>
      <c r="J129" s="39" t="s">
        <v>125</v>
      </c>
    </row>
    <row r="130" spans="2:10">
      <c r="B130" s="34">
        <v>46171</v>
      </c>
      <c r="C130" s="28" t="s">
        <v>82</v>
      </c>
      <c r="D130" s="35">
        <v>1910</v>
      </c>
      <c r="E130" s="28" t="s">
        <v>124</v>
      </c>
      <c r="F130" s="36" t="str">
        <f>IF(tblCosts[[#This Row],[Date]]="","",IFERROR(INDEX(tblElements[Category],MATCH(tblCosts[[#This Row],[Element]],tblElements[Element],0)),""))</f>
        <v>Prevention</v>
      </c>
      <c r="G130" s="37">
        <f>IF(tblCosts[[#This Row],[Date]]="","",DATE(YEAR(tblCosts[[#This Row],[Date]]),MONTH(tblCosts[[#This Row],[Date]]),1))</f>
        <v>46143</v>
      </c>
      <c r="H130" s="37">
        <f>IF(tblCosts[[#This Row],[Date]]="","",IF(AND(tblCosts[[#This Row],[Month]]&gt;=FFrom,tblCosts[[#This Row],[Month]]&lt;=FTo),tblCosts[[#This Row],[Month]],""))</f>
        <v>46143</v>
      </c>
      <c r="I130" s="38" t="str">
        <f>IF(tblCosts[[#This Row],[Date]]="","",IF(tblCosts[[#This Row],[Element]]="","Missing element",IF(tblCosts[[#This Row],[Amount]]="","Missing amount",IF(tblCosts[[#This Row],[Category]]="","Element not on Setup list",IF(COUNTIF(tblMonths[Month],tblCosts[[#This Row],[Month]])=0,"No Monthly Summary row for this month","OK")))))</f>
        <v>OK</v>
      </c>
      <c r="J130" s="39" t="s">
        <v>125</v>
      </c>
    </row>
    <row r="131" spans="2:10">
      <c r="B131" s="34">
        <v>46171</v>
      </c>
      <c r="C131" s="28" t="s">
        <v>84</v>
      </c>
      <c r="D131" s="35">
        <v>1660</v>
      </c>
      <c r="E131" s="28" t="s">
        <v>124</v>
      </c>
      <c r="F131" s="36" t="str">
        <f>IF(tblCosts[[#This Row],[Date]]="","",IFERROR(INDEX(tblElements[Category],MATCH(tblCosts[[#This Row],[Element]],tblElements[Element],0)),""))</f>
        <v>Prevention</v>
      </c>
      <c r="G131" s="37">
        <f>IF(tblCosts[[#This Row],[Date]]="","",DATE(YEAR(tblCosts[[#This Row],[Date]]),MONTH(tblCosts[[#This Row],[Date]]),1))</f>
        <v>46143</v>
      </c>
      <c r="H131" s="37">
        <f>IF(tblCosts[[#This Row],[Date]]="","",IF(AND(tblCosts[[#This Row],[Month]]&gt;=FFrom,tblCosts[[#This Row],[Month]]&lt;=FTo),tblCosts[[#This Row],[Month]],""))</f>
        <v>46143</v>
      </c>
      <c r="I131" s="38" t="str">
        <f>IF(tblCosts[[#This Row],[Date]]="","",IF(tblCosts[[#This Row],[Element]]="","Missing element",IF(tblCosts[[#This Row],[Amount]]="","Missing amount",IF(tblCosts[[#This Row],[Category]]="","Element not on Setup list",IF(COUNTIF(tblMonths[Month],tblCosts[[#This Row],[Month]])=0,"No Monthly Summary row for this month","OK")))))</f>
        <v>OK</v>
      </c>
      <c r="J131" s="39" t="s">
        <v>125</v>
      </c>
    </row>
    <row r="132" spans="2:10">
      <c r="B132" s="34">
        <v>46171</v>
      </c>
      <c r="C132" s="28" t="s">
        <v>86</v>
      </c>
      <c r="D132" s="35">
        <v>7150</v>
      </c>
      <c r="E132" s="28" t="s">
        <v>126</v>
      </c>
      <c r="F132" s="36" t="str">
        <f>IF(tblCosts[[#This Row],[Date]]="","",IFERROR(INDEX(tblElements[Category],MATCH(tblCosts[[#This Row],[Element]],tblElements[Element],0)),""))</f>
        <v>Appraisal</v>
      </c>
      <c r="G132" s="37">
        <f>IF(tblCosts[[#This Row],[Date]]="","",DATE(YEAR(tblCosts[[#This Row],[Date]]),MONTH(tblCosts[[#This Row],[Date]]),1))</f>
        <v>46143</v>
      </c>
      <c r="H132" s="37">
        <f>IF(tblCosts[[#This Row],[Date]]="","",IF(AND(tblCosts[[#This Row],[Month]]&gt;=FFrom,tblCosts[[#This Row],[Month]]&lt;=FTo),tblCosts[[#This Row],[Month]],""))</f>
        <v>46143</v>
      </c>
      <c r="I132" s="38" t="str">
        <f>IF(tblCosts[[#This Row],[Date]]="","",IF(tblCosts[[#This Row],[Element]]="","Missing element",IF(tblCosts[[#This Row],[Amount]]="","Missing amount",IF(tblCosts[[#This Row],[Category]]="","Element not on Setup list",IF(COUNTIF(tblMonths[Month],tblCosts[[#This Row],[Month]])=0,"No Monthly Summary row for this month","OK")))))</f>
        <v>OK</v>
      </c>
      <c r="J132" s="39" t="s">
        <v>125</v>
      </c>
    </row>
    <row r="133" spans="2:10">
      <c r="B133" s="34">
        <v>46171</v>
      </c>
      <c r="C133" s="28" t="s">
        <v>89</v>
      </c>
      <c r="D133" s="35">
        <v>14240</v>
      </c>
      <c r="E133" s="28" t="s">
        <v>126</v>
      </c>
      <c r="F133" s="36" t="str">
        <f>IF(tblCosts[[#This Row],[Date]]="","",IFERROR(INDEX(tblElements[Category],MATCH(tblCosts[[#This Row],[Element]],tblElements[Element],0)),""))</f>
        <v>Appraisal</v>
      </c>
      <c r="G133" s="37">
        <f>IF(tblCosts[[#This Row],[Date]]="","",DATE(YEAR(tblCosts[[#This Row],[Date]]),MONTH(tblCosts[[#This Row],[Date]]),1))</f>
        <v>46143</v>
      </c>
      <c r="H133" s="37">
        <f>IF(tblCosts[[#This Row],[Date]]="","",IF(AND(tblCosts[[#This Row],[Month]]&gt;=FFrom,tblCosts[[#This Row],[Month]]&lt;=FTo),tblCosts[[#This Row],[Month]],""))</f>
        <v>46143</v>
      </c>
      <c r="I133" s="38" t="str">
        <f>IF(tblCosts[[#This Row],[Date]]="","",IF(tblCosts[[#This Row],[Element]]="","Missing element",IF(tblCosts[[#This Row],[Amount]]="","Missing amount",IF(tblCosts[[#This Row],[Category]]="","Element not on Setup list",IF(COUNTIF(tblMonths[Month],tblCosts[[#This Row],[Month]])=0,"No Monthly Summary row for this month","OK")))))</f>
        <v>OK</v>
      </c>
      <c r="J133" s="39" t="s">
        <v>125</v>
      </c>
    </row>
    <row r="134" spans="2:10">
      <c r="B134" s="34">
        <v>46171</v>
      </c>
      <c r="C134" s="28" t="s">
        <v>91</v>
      </c>
      <c r="D134" s="35">
        <v>3030</v>
      </c>
      <c r="E134" s="28" t="s">
        <v>126</v>
      </c>
      <c r="F134" s="36" t="str">
        <f>IF(tblCosts[[#This Row],[Date]]="","",IFERROR(INDEX(tblElements[Category],MATCH(tblCosts[[#This Row],[Element]],tblElements[Element],0)),""))</f>
        <v>Appraisal</v>
      </c>
      <c r="G134" s="37">
        <f>IF(tblCosts[[#This Row],[Date]]="","",DATE(YEAR(tblCosts[[#This Row],[Date]]),MONTH(tblCosts[[#This Row],[Date]]),1))</f>
        <v>46143</v>
      </c>
      <c r="H134" s="37">
        <f>IF(tblCosts[[#This Row],[Date]]="","",IF(AND(tblCosts[[#This Row],[Month]]&gt;=FFrom,tblCosts[[#This Row],[Month]]&lt;=FTo),tblCosts[[#This Row],[Month]],""))</f>
        <v>46143</v>
      </c>
      <c r="I134" s="38" t="str">
        <f>IF(tblCosts[[#This Row],[Date]]="","",IF(tblCosts[[#This Row],[Element]]="","Missing element",IF(tblCosts[[#This Row],[Amount]]="","Missing amount",IF(tblCosts[[#This Row],[Category]]="","Element not on Setup list",IF(COUNTIF(tblMonths[Month],tblCosts[[#This Row],[Month]])=0,"No Monthly Summary row for this month","OK")))))</f>
        <v>OK</v>
      </c>
      <c r="J134" s="39" t="s">
        <v>125</v>
      </c>
    </row>
    <row r="135" spans="2:10">
      <c r="B135" s="34">
        <v>46171</v>
      </c>
      <c r="C135" s="28" t="s">
        <v>93</v>
      </c>
      <c r="D135" s="35">
        <v>9160</v>
      </c>
      <c r="E135" s="28" t="s">
        <v>127</v>
      </c>
      <c r="F135" s="36" t="str">
        <f>IF(tblCosts[[#This Row],[Date]]="","",IFERROR(INDEX(tblElements[Category],MATCH(tblCosts[[#This Row],[Element]],tblElements[Element],0)),""))</f>
        <v>Internal failure</v>
      </c>
      <c r="G135" s="37">
        <f>IF(tblCosts[[#This Row],[Date]]="","",DATE(YEAR(tblCosts[[#This Row],[Date]]),MONTH(tblCosts[[#This Row],[Date]]),1))</f>
        <v>46143</v>
      </c>
      <c r="H135" s="37">
        <f>IF(tblCosts[[#This Row],[Date]]="","",IF(AND(tblCosts[[#This Row],[Month]]&gt;=FFrom,tblCosts[[#This Row],[Month]]&lt;=FTo),tblCosts[[#This Row],[Month]],""))</f>
        <v>46143</v>
      </c>
      <c r="I135" s="38" t="str">
        <f>IF(tblCosts[[#This Row],[Date]]="","",IF(tblCosts[[#This Row],[Element]]="","Missing element",IF(tblCosts[[#This Row],[Amount]]="","Missing amount",IF(tblCosts[[#This Row],[Category]]="","Element not on Setup list",IF(COUNTIF(tblMonths[Month],tblCosts[[#This Row],[Month]])=0,"No Monthly Summary row for this month","OK")))))</f>
        <v>OK</v>
      </c>
      <c r="J135" s="39" t="s">
        <v>125</v>
      </c>
    </row>
    <row r="136" spans="2:10">
      <c r="B136" s="34">
        <v>46171</v>
      </c>
      <c r="C136" s="28" t="s">
        <v>96</v>
      </c>
      <c r="D136" s="35">
        <v>5850</v>
      </c>
      <c r="E136" s="28" t="s">
        <v>127</v>
      </c>
      <c r="F136" s="36" t="str">
        <f>IF(tblCosts[[#This Row],[Date]]="","",IFERROR(INDEX(tblElements[Category],MATCH(tblCosts[[#This Row],[Element]],tblElements[Element],0)),""))</f>
        <v>Internal failure</v>
      </c>
      <c r="G136" s="37">
        <f>IF(tblCosts[[#This Row],[Date]]="","",DATE(YEAR(tblCosts[[#This Row],[Date]]),MONTH(tblCosts[[#This Row],[Date]]),1))</f>
        <v>46143</v>
      </c>
      <c r="H136" s="37">
        <f>IF(tblCosts[[#This Row],[Date]]="","",IF(AND(tblCosts[[#This Row],[Month]]&gt;=FFrom,tblCosts[[#This Row],[Month]]&lt;=FTo),tblCosts[[#This Row],[Month]],""))</f>
        <v>46143</v>
      </c>
      <c r="I136" s="38" t="str">
        <f>IF(tblCosts[[#This Row],[Date]]="","",IF(tblCosts[[#This Row],[Element]]="","Missing element",IF(tblCosts[[#This Row],[Amount]]="","Missing amount",IF(tblCosts[[#This Row],[Category]]="","Element not on Setup list",IF(COUNTIF(tblMonths[Month],tblCosts[[#This Row],[Month]])=0,"No Monthly Summary row for this month","OK")))))</f>
        <v>OK</v>
      </c>
      <c r="J136" s="39" t="s">
        <v>125</v>
      </c>
    </row>
    <row r="137" spans="2:10">
      <c r="B137" s="34">
        <v>46171</v>
      </c>
      <c r="C137" s="28" t="s">
        <v>98</v>
      </c>
      <c r="D137" s="35">
        <v>2940</v>
      </c>
      <c r="E137" s="28" t="s">
        <v>127</v>
      </c>
      <c r="F137" s="36" t="str">
        <f>IF(tblCosts[[#This Row],[Date]]="","",IFERROR(INDEX(tblElements[Category],MATCH(tblCosts[[#This Row],[Element]],tblElements[Element],0)),""))</f>
        <v>Internal failure</v>
      </c>
      <c r="G137" s="37">
        <f>IF(tblCosts[[#This Row],[Date]]="","",DATE(YEAR(tblCosts[[#This Row],[Date]]),MONTH(tblCosts[[#This Row],[Date]]),1))</f>
        <v>46143</v>
      </c>
      <c r="H137" s="37">
        <f>IF(tblCosts[[#This Row],[Date]]="","",IF(AND(tblCosts[[#This Row],[Month]]&gt;=FFrom,tblCosts[[#This Row],[Month]]&lt;=FTo),tblCosts[[#This Row],[Month]],""))</f>
        <v>46143</v>
      </c>
      <c r="I137" s="38" t="str">
        <f>IF(tblCosts[[#This Row],[Date]]="","",IF(tblCosts[[#This Row],[Element]]="","Missing element",IF(tblCosts[[#This Row],[Amount]]="","Missing amount",IF(tblCosts[[#This Row],[Category]]="","Element not on Setup list",IF(COUNTIF(tblMonths[Month],tblCosts[[#This Row],[Month]])=0,"No Monthly Summary row for this month","OK")))))</f>
        <v>OK</v>
      </c>
      <c r="J137" s="39" t="s">
        <v>125</v>
      </c>
    </row>
    <row r="138" spans="2:10">
      <c r="B138" s="34">
        <v>46171</v>
      </c>
      <c r="C138" s="28" t="s">
        <v>100</v>
      </c>
      <c r="D138" s="35">
        <v>2290</v>
      </c>
      <c r="E138" s="28" t="s">
        <v>127</v>
      </c>
      <c r="F138" s="36" t="str">
        <f>IF(tblCosts[[#This Row],[Date]]="","",IFERROR(INDEX(tblElements[Category],MATCH(tblCosts[[#This Row],[Element]],tblElements[Element],0)),""))</f>
        <v>Internal failure</v>
      </c>
      <c r="G138" s="37">
        <f>IF(tblCosts[[#This Row],[Date]]="","",DATE(YEAR(tblCosts[[#This Row],[Date]]),MONTH(tblCosts[[#This Row],[Date]]),1))</f>
        <v>46143</v>
      </c>
      <c r="H138" s="37">
        <f>IF(tblCosts[[#This Row],[Date]]="","",IF(AND(tblCosts[[#This Row],[Month]]&gt;=FFrom,tblCosts[[#This Row],[Month]]&lt;=FTo),tblCosts[[#This Row],[Month]],""))</f>
        <v>46143</v>
      </c>
      <c r="I138" s="38" t="str">
        <f>IF(tblCosts[[#This Row],[Date]]="","",IF(tblCosts[[#This Row],[Element]]="","Missing element",IF(tblCosts[[#This Row],[Amount]]="","Missing amount",IF(tblCosts[[#This Row],[Category]]="","Element not on Setup list",IF(COUNTIF(tblMonths[Month],tblCosts[[#This Row],[Month]])=0,"No Monthly Summary row for this month","OK")))))</f>
        <v>OK</v>
      </c>
      <c r="J138" s="39" t="s">
        <v>125</v>
      </c>
    </row>
    <row r="139" spans="2:10">
      <c r="B139" s="34">
        <v>46171</v>
      </c>
      <c r="C139" s="28" t="s">
        <v>105</v>
      </c>
      <c r="D139" s="35">
        <v>3020</v>
      </c>
      <c r="E139" s="28" t="s">
        <v>128</v>
      </c>
      <c r="F139" s="36" t="str">
        <f>IF(tblCosts[[#This Row],[Date]]="","",IFERROR(INDEX(tblElements[Category],MATCH(tblCosts[[#This Row],[Element]],tblElements[Element],0)),""))</f>
        <v>External failure</v>
      </c>
      <c r="G139" s="37">
        <f>IF(tblCosts[[#This Row],[Date]]="","",DATE(YEAR(tblCosts[[#This Row],[Date]]),MONTH(tblCosts[[#This Row],[Date]]),1))</f>
        <v>46143</v>
      </c>
      <c r="H139" s="37">
        <f>IF(tblCosts[[#This Row],[Date]]="","",IF(AND(tblCosts[[#This Row],[Month]]&gt;=FFrom,tblCosts[[#This Row],[Month]]&lt;=FTo),tblCosts[[#This Row],[Month]],""))</f>
        <v>46143</v>
      </c>
      <c r="I139" s="38" t="str">
        <f>IF(tblCosts[[#This Row],[Date]]="","",IF(tblCosts[[#This Row],[Element]]="","Missing element",IF(tblCosts[[#This Row],[Amount]]="","Missing amount",IF(tblCosts[[#This Row],[Category]]="","Element not on Setup list",IF(COUNTIF(tblMonths[Month],tblCosts[[#This Row],[Month]])=0,"No Monthly Summary row for this month","OK")))))</f>
        <v>OK</v>
      </c>
      <c r="J139" s="39" t="s">
        <v>125</v>
      </c>
    </row>
    <row r="140" spans="2:10">
      <c r="B140" s="34">
        <v>46171</v>
      </c>
      <c r="C140" s="28" t="s">
        <v>107</v>
      </c>
      <c r="D140" s="35">
        <v>1170</v>
      </c>
      <c r="E140" s="28" t="s">
        <v>128</v>
      </c>
      <c r="F140" s="36" t="str">
        <f>IF(tblCosts[[#This Row],[Date]]="","",IFERROR(INDEX(tblElements[Category],MATCH(tblCosts[[#This Row],[Element]],tblElements[Element],0)),""))</f>
        <v>External failure</v>
      </c>
      <c r="G140" s="37">
        <f>IF(tblCosts[[#This Row],[Date]]="","",DATE(YEAR(tblCosts[[#This Row],[Date]]),MONTH(tblCosts[[#This Row],[Date]]),1))</f>
        <v>46143</v>
      </c>
      <c r="H140" s="37">
        <f>IF(tblCosts[[#This Row],[Date]]="","",IF(AND(tblCosts[[#This Row],[Month]]&gt;=FFrom,tblCosts[[#This Row],[Month]]&lt;=FTo),tblCosts[[#This Row],[Month]],""))</f>
        <v>46143</v>
      </c>
      <c r="I140" s="38" t="str">
        <f>IF(tblCosts[[#This Row],[Date]]="","",IF(tblCosts[[#This Row],[Element]]="","Missing element",IF(tblCosts[[#This Row],[Amount]]="","Missing amount",IF(tblCosts[[#This Row],[Category]]="","Element not on Setup list",IF(COUNTIF(tblMonths[Month],tblCosts[[#This Row],[Month]])=0,"No Monthly Summary row for this month","OK")))))</f>
        <v>OK</v>
      </c>
      <c r="J140" s="39" t="s">
        <v>125</v>
      </c>
    </row>
    <row r="141" spans="2:10">
      <c r="B141" s="34">
        <v>46171</v>
      </c>
      <c r="C141" s="28" t="s">
        <v>109</v>
      </c>
      <c r="D141" s="35">
        <v>1490</v>
      </c>
      <c r="E141" s="28" t="s">
        <v>128</v>
      </c>
      <c r="F141" s="36" t="str">
        <f>IF(tblCosts[[#This Row],[Date]]="","",IFERROR(INDEX(tblElements[Category],MATCH(tblCosts[[#This Row],[Element]],tblElements[Element],0)),""))</f>
        <v>External failure</v>
      </c>
      <c r="G141" s="37">
        <f>IF(tblCosts[[#This Row],[Date]]="","",DATE(YEAR(tblCosts[[#This Row],[Date]]),MONTH(tblCosts[[#This Row],[Date]]),1))</f>
        <v>46143</v>
      </c>
      <c r="H141" s="37">
        <f>IF(tblCosts[[#This Row],[Date]]="","",IF(AND(tblCosts[[#This Row],[Month]]&gt;=FFrom,tblCosts[[#This Row],[Month]]&lt;=FTo),tblCosts[[#This Row],[Month]],""))</f>
        <v>46143</v>
      </c>
      <c r="I141" s="38" t="str">
        <f>IF(tblCosts[[#This Row],[Date]]="","",IF(tblCosts[[#This Row],[Element]]="","Missing element",IF(tblCosts[[#This Row],[Amount]]="","Missing amount",IF(tblCosts[[#This Row],[Category]]="","Element not on Setup list",IF(COUNTIF(tblMonths[Month],tblCosts[[#This Row],[Month]])=0,"No Monthly Summary row for this month","OK")))))</f>
        <v>OK</v>
      </c>
      <c r="J141" s="39" t="s">
        <v>125</v>
      </c>
    </row>
    <row r="142" spans="2:10">
      <c r="B142" s="34">
        <v>46181</v>
      </c>
      <c r="C142" s="28" t="s">
        <v>102</v>
      </c>
      <c r="D142" s="35">
        <v>2520</v>
      </c>
      <c r="E142" s="28" t="s">
        <v>150</v>
      </c>
      <c r="F142" s="36" t="str">
        <f>IF(tblCosts[[#This Row],[Date]]="","",IFERROR(INDEX(tblElements[Category],MATCH(tblCosts[[#This Row],[Element]],tblElements[Element],0)),""))</f>
        <v>External failure</v>
      </c>
      <c r="G142" s="37">
        <f>IF(tblCosts[[#This Row],[Date]]="","",DATE(YEAR(tblCosts[[#This Row],[Date]]),MONTH(tblCosts[[#This Row],[Date]]),1))</f>
        <v>46174</v>
      </c>
      <c r="H142" s="37">
        <f>IF(tblCosts[[#This Row],[Date]]="","",IF(AND(tblCosts[[#This Row],[Month]]&gt;=FFrom,tblCosts[[#This Row],[Month]]&lt;=FTo),tblCosts[[#This Row],[Month]],""))</f>
        <v>46174</v>
      </c>
      <c r="I142" s="38" t="str">
        <f>IF(tblCosts[[#This Row],[Date]]="","",IF(tblCosts[[#This Row],[Element]]="","Missing element",IF(tblCosts[[#This Row],[Amount]]="","Missing amount",IF(tblCosts[[#This Row],[Category]]="","Element not on Setup list",IF(COUNTIF(tblMonths[Month],tblCosts[[#This Row],[Month]])=0,"No Monthly Summary row for this month","OK")))))</f>
        <v>OK</v>
      </c>
      <c r="J142" s="39" t="s">
        <v>125</v>
      </c>
    </row>
    <row r="143" spans="2:10">
      <c r="B143" s="34">
        <v>46203</v>
      </c>
      <c r="C143" s="28" t="s">
        <v>77</v>
      </c>
      <c r="D143" s="35">
        <v>4520</v>
      </c>
      <c r="E143" s="28" t="s">
        <v>124</v>
      </c>
      <c r="F143" s="36" t="str">
        <f>IF(tblCosts[[#This Row],[Date]]="","",IFERROR(INDEX(tblElements[Category],MATCH(tblCosts[[#This Row],[Element]],tblElements[Element],0)),""))</f>
        <v>Prevention</v>
      </c>
      <c r="G143" s="37">
        <f>IF(tblCosts[[#This Row],[Date]]="","",DATE(YEAR(tblCosts[[#This Row],[Date]]),MONTH(tblCosts[[#This Row],[Date]]),1))</f>
        <v>46174</v>
      </c>
      <c r="H143" s="37">
        <f>IF(tblCosts[[#This Row],[Date]]="","",IF(AND(tblCosts[[#This Row],[Month]]&gt;=FFrom,tblCosts[[#This Row],[Month]]&lt;=FTo),tblCosts[[#This Row],[Month]],""))</f>
        <v>46174</v>
      </c>
      <c r="I143" s="38" t="str">
        <f>IF(tblCosts[[#This Row],[Date]]="","",IF(tblCosts[[#This Row],[Element]]="","Missing element",IF(tblCosts[[#This Row],[Amount]]="","Missing amount",IF(tblCosts[[#This Row],[Category]]="","Element not on Setup list",IF(COUNTIF(tblMonths[Month],tblCosts[[#This Row],[Month]])=0,"No Monthly Summary row for this month","OK")))))</f>
        <v>OK</v>
      </c>
      <c r="J143" s="39" t="s">
        <v>125</v>
      </c>
    </row>
    <row r="144" spans="2:10">
      <c r="B144" s="34">
        <v>46203</v>
      </c>
      <c r="C144" s="28" t="s">
        <v>80</v>
      </c>
      <c r="D144" s="35">
        <v>2270</v>
      </c>
      <c r="E144" s="28" t="s">
        <v>124</v>
      </c>
      <c r="F144" s="36" t="str">
        <f>IF(tblCosts[[#This Row],[Date]]="","",IFERROR(INDEX(tblElements[Category],MATCH(tblCosts[[#This Row],[Element]],tblElements[Element],0)),""))</f>
        <v>Prevention</v>
      </c>
      <c r="G144" s="37">
        <f>IF(tblCosts[[#This Row],[Date]]="","",DATE(YEAR(tblCosts[[#This Row],[Date]]),MONTH(tblCosts[[#This Row],[Date]]),1))</f>
        <v>46174</v>
      </c>
      <c r="H144" s="37">
        <f>IF(tblCosts[[#This Row],[Date]]="","",IF(AND(tblCosts[[#This Row],[Month]]&gt;=FFrom,tblCosts[[#This Row],[Month]]&lt;=FTo),tblCosts[[#This Row],[Month]],""))</f>
        <v>46174</v>
      </c>
      <c r="I144" s="38" t="str">
        <f>IF(tblCosts[[#This Row],[Date]]="","",IF(tblCosts[[#This Row],[Element]]="","Missing element",IF(tblCosts[[#This Row],[Amount]]="","Missing amount",IF(tblCosts[[#This Row],[Category]]="","Element not on Setup list",IF(COUNTIF(tblMonths[Month],tblCosts[[#This Row],[Month]])=0,"No Monthly Summary row for this month","OK")))))</f>
        <v>OK</v>
      </c>
      <c r="J144" s="39" t="s">
        <v>125</v>
      </c>
    </row>
    <row r="145" spans="2:10">
      <c r="B145" s="34">
        <v>46203</v>
      </c>
      <c r="C145" s="28" t="s">
        <v>82</v>
      </c>
      <c r="D145" s="35">
        <v>2580</v>
      </c>
      <c r="E145" s="28" t="s">
        <v>124</v>
      </c>
      <c r="F145" s="36" t="str">
        <f>IF(tblCosts[[#This Row],[Date]]="","",IFERROR(INDEX(tblElements[Category],MATCH(tblCosts[[#This Row],[Element]],tblElements[Element],0)),""))</f>
        <v>Prevention</v>
      </c>
      <c r="G145" s="37">
        <f>IF(tblCosts[[#This Row],[Date]]="","",DATE(YEAR(tblCosts[[#This Row],[Date]]),MONTH(tblCosts[[#This Row],[Date]]),1))</f>
        <v>46174</v>
      </c>
      <c r="H145" s="37">
        <f>IF(tblCosts[[#This Row],[Date]]="","",IF(AND(tblCosts[[#This Row],[Month]]&gt;=FFrom,tblCosts[[#This Row],[Month]]&lt;=FTo),tblCosts[[#This Row],[Month]],""))</f>
        <v>46174</v>
      </c>
      <c r="I145" s="38" t="str">
        <f>IF(tblCosts[[#This Row],[Date]]="","",IF(tblCosts[[#This Row],[Element]]="","Missing element",IF(tblCosts[[#This Row],[Amount]]="","Missing amount",IF(tblCosts[[#This Row],[Category]]="","Element not on Setup list",IF(COUNTIF(tblMonths[Month],tblCosts[[#This Row],[Month]])=0,"No Monthly Summary row for this month","OK")))))</f>
        <v>OK</v>
      </c>
      <c r="J145" s="39" t="s">
        <v>125</v>
      </c>
    </row>
    <row r="146" spans="2:10">
      <c r="B146" s="34">
        <v>46203</v>
      </c>
      <c r="C146" s="28" t="s">
        <v>84</v>
      </c>
      <c r="D146" s="35">
        <v>2080</v>
      </c>
      <c r="E146" s="28" t="s">
        <v>124</v>
      </c>
      <c r="F146" s="36" t="str">
        <f>IF(tblCosts[[#This Row],[Date]]="","",IFERROR(INDEX(tblElements[Category],MATCH(tblCosts[[#This Row],[Element]],tblElements[Element],0)),""))</f>
        <v>Prevention</v>
      </c>
      <c r="G146" s="37">
        <f>IF(tblCosts[[#This Row],[Date]]="","",DATE(YEAR(tblCosts[[#This Row],[Date]]),MONTH(tblCosts[[#This Row],[Date]]),1))</f>
        <v>46174</v>
      </c>
      <c r="H146" s="37">
        <f>IF(tblCosts[[#This Row],[Date]]="","",IF(AND(tblCosts[[#This Row],[Month]]&gt;=FFrom,tblCosts[[#This Row],[Month]]&lt;=FTo),tblCosts[[#This Row],[Month]],""))</f>
        <v>46174</v>
      </c>
      <c r="I146" s="38" t="str">
        <f>IF(tblCosts[[#This Row],[Date]]="","",IF(tblCosts[[#This Row],[Element]]="","Missing element",IF(tblCosts[[#This Row],[Amount]]="","Missing amount",IF(tblCosts[[#This Row],[Category]]="","Element not on Setup list",IF(COUNTIF(tblMonths[Month],tblCosts[[#This Row],[Month]])=0,"No Monthly Summary row for this month","OK")))))</f>
        <v>OK</v>
      </c>
      <c r="J146" s="39" t="s">
        <v>125</v>
      </c>
    </row>
    <row r="147" spans="2:10">
      <c r="B147" s="34">
        <v>46203</v>
      </c>
      <c r="C147" s="28" t="s">
        <v>86</v>
      </c>
      <c r="D147" s="35">
        <v>6590</v>
      </c>
      <c r="E147" s="28" t="s">
        <v>126</v>
      </c>
      <c r="F147" s="36" t="str">
        <f>IF(tblCosts[[#This Row],[Date]]="","",IFERROR(INDEX(tblElements[Category],MATCH(tblCosts[[#This Row],[Element]],tblElements[Element],0)),""))</f>
        <v>Appraisal</v>
      </c>
      <c r="G147" s="37">
        <f>IF(tblCosts[[#This Row],[Date]]="","",DATE(YEAR(tblCosts[[#This Row],[Date]]),MONTH(tblCosts[[#This Row],[Date]]),1))</f>
        <v>46174</v>
      </c>
      <c r="H147" s="37">
        <f>IF(tblCosts[[#This Row],[Date]]="","",IF(AND(tblCosts[[#This Row],[Month]]&gt;=FFrom,tblCosts[[#This Row],[Month]]&lt;=FTo),tblCosts[[#This Row],[Month]],""))</f>
        <v>46174</v>
      </c>
      <c r="I147" s="38" t="str">
        <f>IF(tblCosts[[#This Row],[Date]]="","",IF(tblCosts[[#This Row],[Element]]="","Missing element",IF(tblCosts[[#This Row],[Amount]]="","Missing amount",IF(tblCosts[[#This Row],[Category]]="","Element not on Setup list",IF(COUNTIF(tblMonths[Month],tblCosts[[#This Row],[Month]])=0,"No Monthly Summary row for this month","OK")))))</f>
        <v>OK</v>
      </c>
      <c r="J147" s="39" t="s">
        <v>125</v>
      </c>
    </row>
    <row r="148" spans="2:10">
      <c r="B148" s="34">
        <v>46203</v>
      </c>
      <c r="C148" s="28" t="s">
        <v>89</v>
      </c>
      <c r="D148" s="35">
        <v>14600</v>
      </c>
      <c r="E148" s="28" t="s">
        <v>126</v>
      </c>
      <c r="F148" s="36" t="str">
        <f>IF(tblCosts[[#This Row],[Date]]="","",IFERROR(INDEX(tblElements[Category],MATCH(tblCosts[[#This Row],[Element]],tblElements[Element],0)),""))</f>
        <v>Appraisal</v>
      </c>
      <c r="G148" s="37">
        <f>IF(tblCosts[[#This Row],[Date]]="","",DATE(YEAR(tblCosts[[#This Row],[Date]]),MONTH(tblCosts[[#This Row],[Date]]),1))</f>
        <v>46174</v>
      </c>
      <c r="H148" s="37">
        <f>IF(tblCosts[[#This Row],[Date]]="","",IF(AND(tblCosts[[#This Row],[Month]]&gt;=FFrom,tblCosts[[#This Row],[Month]]&lt;=FTo),tblCosts[[#This Row],[Month]],""))</f>
        <v>46174</v>
      </c>
      <c r="I148" s="38" t="str">
        <f>IF(tblCosts[[#This Row],[Date]]="","",IF(tblCosts[[#This Row],[Element]]="","Missing element",IF(tblCosts[[#This Row],[Amount]]="","Missing amount",IF(tblCosts[[#This Row],[Category]]="","Element not on Setup list",IF(COUNTIF(tblMonths[Month],tblCosts[[#This Row],[Month]])=0,"No Monthly Summary row for this month","OK")))))</f>
        <v>OK</v>
      </c>
      <c r="J148" s="39" t="s">
        <v>125</v>
      </c>
    </row>
    <row r="149" spans="2:10">
      <c r="B149" s="34">
        <v>46203</v>
      </c>
      <c r="C149" s="28" t="s">
        <v>91</v>
      </c>
      <c r="D149" s="35">
        <v>3590</v>
      </c>
      <c r="E149" s="28" t="s">
        <v>126</v>
      </c>
      <c r="F149" s="36" t="str">
        <f>IF(tblCosts[[#This Row],[Date]]="","",IFERROR(INDEX(tblElements[Category],MATCH(tblCosts[[#This Row],[Element]],tblElements[Element],0)),""))</f>
        <v>Appraisal</v>
      </c>
      <c r="G149" s="37">
        <f>IF(tblCosts[[#This Row],[Date]]="","",DATE(YEAR(tblCosts[[#This Row],[Date]]),MONTH(tblCosts[[#This Row],[Date]]),1))</f>
        <v>46174</v>
      </c>
      <c r="H149" s="37">
        <f>IF(tblCosts[[#This Row],[Date]]="","",IF(AND(tblCosts[[#This Row],[Month]]&gt;=FFrom,tblCosts[[#This Row],[Month]]&lt;=FTo),tblCosts[[#This Row],[Month]],""))</f>
        <v>46174</v>
      </c>
      <c r="I149" s="38" t="str">
        <f>IF(tblCosts[[#This Row],[Date]]="","",IF(tblCosts[[#This Row],[Element]]="","Missing element",IF(tblCosts[[#This Row],[Amount]]="","Missing amount",IF(tblCosts[[#This Row],[Category]]="","Element not on Setup list",IF(COUNTIF(tblMonths[Month],tblCosts[[#This Row],[Month]])=0,"No Monthly Summary row for this month","OK")))))</f>
        <v>OK</v>
      </c>
      <c r="J149" s="39" t="s">
        <v>125</v>
      </c>
    </row>
    <row r="150" spans="2:10">
      <c r="B150" s="34">
        <v>46203</v>
      </c>
      <c r="C150" s="28" t="s">
        <v>93</v>
      </c>
      <c r="D150" s="35">
        <v>10050</v>
      </c>
      <c r="E150" s="28" t="s">
        <v>127</v>
      </c>
      <c r="F150" s="36" t="str">
        <f>IF(tblCosts[[#This Row],[Date]]="","",IFERROR(INDEX(tblElements[Category],MATCH(tblCosts[[#This Row],[Element]],tblElements[Element],0)),""))</f>
        <v>Internal failure</v>
      </c>
      <c r="G150" s="37">
        <f>IF(tblCosts[[#This Row],[Date]]="","",DATE(YEAR(tblCosts[[#This Row],[Date]]),MONTH(tblCosts[[#This Row],[Date]]),1))</f>
        <v>46174</v>
      </c>
      <c r="H150" s="37">
        <f>IF(tblCosts[[#This Row],[Date]]="","",IF(AND(tblCosts[[#This Row],[Month]]&gt;=FFrom,tblCosts[[#This Row],[Month]]&lt;=FTo),tblCosts[[#This Row],[Month]],""))</f>
        <v>46174</v>
      </c>
      <c r="I150" s="38" t="str">
        <f>IF(tblCosts[[#This Row],[Date]]="","",IF(tblCosts[[#This Row],[Element]]="","Missing element",IF(tblCosts[[#This Row],[Amount]]="","Missing amount",IF(tblCosts[[#This Row],[Category]]="","Element not on Setup list",IF(COUNTIF(tblMonths[Month],tblCosts[[#This Row],[Month]])=0,"No Monthly Summary row for this month","OK")))))</f>
        <v>OK</v>
      </c>
      <c r="J150" s="39" t="s">
        <v>125</v>
      </c>
    </row>
    <row r="151" spans="2:10">
      <c r="B151" s="34">
        <v>46203</v>
      </c>
      <c r="C151" s="28" t="s">
        <v>96</v>
      </c>
      <c r="D151" s="35">
        <v>5880</v>
      </c>
      <c r="E151" s="28" t="s">
        <v>127</v>
      </c>
      <c r="F151" s="36" t="str">
        <f>IF(tblCosts[[#This Row],[Date]]="","",IFERROR(INDEX(tblElements[Category],MATCH(tblCosts[[#This Row],[Element]],tblElements[Element],0)),""))</f>
        <v>Internal failure</v>
      </c>
      <c r="G151" s="37">
        <f>IF(tblCosts[[#This Row],[Date]]="","",DATE(YEAR(tblCosts[[#This Row],[Date]]),MONTH(tblCosts[[#This Row],[Date]]),1))</f>
        <v>46174</v>
      </c>
      <c r="H151" s="37">
        <f>IF(tblCosts[[#This Row],[Date]]="","",IF(AND(tblCosts[[#This Row],[Month]]&gt;=FFrom,tblCosts[[#This Row],[Month]]&lt;=FTo),tblCosts[[#This Row],[Month]],""))</f>
        <v>46174</v>
      </c>
      <c r="I151" s="38" t="str">
        <f>IF(tblCosts[[#This Row],[Date]]="","",IF(tblCosts[[#This Row],[Element]]="","Missing element",IF(tblCosts[[#This Row],[Amount]]="","Missing amount",IF(tblCosts[[#This Row],[Category]]="","Element not on Setup list",IF(COUNTIF(tblMonths[Month],tblCosts[[#This Row],[Month]])=0,"No Monthly Summary row for this month","OK")))))</f>
        <v>OK</v>
      </c>
      <c r="J151" s="39" t="s">
        <v>125</v>
      </c>
    </row>
    <row r="152" spans="2:10">
      <c r="B152" s="34">
        <v>46203</v>
      </c>
      <c r="C152" s="28" t="s">
        <v>98</v>
      </c>
      <c r="D152" s="35">
        <v>3250</v>
      </c>
      <c r="E152" s="28" t="s">
        <v>127</v>
      </c>
      <c r="F152" s="36" t="str">
        <f>IF(tblCosts[[#This Row],[Date]]="","",IFERROR(INDEX(tblElements[Category],MATCH(tblCosts[[#This Row],[Element]],tblElements[Element],0)),""))</f>
        <v>Internal failure</v>
      </c>
      <c r="G152" s="37">
        <f>IF(tblCosts[[#This Row],[Date]]="","",DATE(YEAR(tblCosts[[#This Row],[Date]]),MONTH(tblCosts[[#This Row],[Date]]),1))</f>
        <v>46174</v>
      </c>
      <c r="H152" s="37">
        <f>IF(tblCosts[[#This Row],[Date]]="","",IF(AND(tblCosts[[#This Row],[Month]]&gt;=FFrom,tblCosts[[#This Row],[Month]]&lt;=FTo),tblCosts[[#This Row],[Month]],""))</f>
        <v>46174</v>
      </c>
      <c r="I152" s="38" t="str">
        <f>IF(tblCosts[[#This Row],[Date]]="","",IF(tblCosts[[#This Row],[Element]]="","Missing element",IF(tblCosts[[#This Row],[Amount]]="","Missing amount",IF(tblCosts[[#This Row],[Category]]="","Element not on Setup list",IF(COUNTIF(tblMonths[Month],tblCosts[[#This Row],[Month]])=0,"No Monthly Summary row for this month","OK")))))</f>
        <v>OK</v>
      </c>
      <c r="J152" s="39" t="s">
        <v>125</v>
      </c>
    </row>
    <row r="153" spans="2:10">
      <c r="B153" s="34">
        <v>46203</v>
      </c>
      <c r="C153" s="28" t="s">
        <v>100</v>
      </c>
      <c r="D153" s="35">
        <v>2360</v>
      </c>
      <c r="E153" s="28" t="s">
        <v>127</v>
      </c>
      <c r="F153" s="36" t="str">
        <f>IF(tblCosts[[#This Row],[Date]]="","",IFERROR(INDEX(tblElements[Category],MATCH(tblCosts[[#This Row],[Element]],tblElements[Element],0)),""))</f>
        <v>Internal failure</v>
      </c>
      <c r="G153" s="37">
        <f>IF(tblCosts[[#This Row],[Date]]="","",DATE(YEAR(tblCosts[[#This Row],[Date]]),MONTH(tblCosts[[#This Row],[Date]]),1))</f>
        <v>46174</v>
      </c>
      <c r="H153" s="37">
        <f>IF(tblCosts[[#This Row],[Date]]="","",IF(AND(tblCosts[[#This Row],[Month]]&gt;=FFrom,tblCosts[[#This Row],[Month]]&lt;=FTo),tblCosts[[#This Row],[Month]],""))</f>
        <v>46174</v>
      </c>
      <c r="I153" s="38" t="str">
        <f>IF(tblCosts[[#This Row],[Date]]="","",IF(tblCosts[[#This Row],[Element]]="","Missing element",IF(tblCosts[[#This Row],[Amount]]="","Missing amount",IF(tblCosts[[#This Row],[Category]]="","Element not on Setup list",IF(COUNTIF(tblMonths[Month],tblCosts[[#This Row],[Month]])=0,"No Monthly Summary row for this month","OK")))))</f>
        <v>OK</v>
      </c>
      <c r="J153" s="39" t="s">
        <v>125</v>
      </c>
    </row>
    <row r="154" spans="2:10">
      <c r="B154" s="34">
        <v>46203</v>
      </c>
      <c r="C154" s="28" t="s">
        <v>105</v>
      </c>
      <c r="D154" s="35">
        <v>3170</v>
      </c>
      <c r="E154" s="28" t="s">
        <v>128</v>
      </c>
      <c r="F154" s="36" t="str">
        <f>IF(tblCosts[[#This Row],[Date]]="","",IFERROR(INDEX(tblElements[Category],MATCH(tblCosts[[#This Row],[Element]],tblElements[Element],0)),""))</f>
        <v>External failure</v>
      </c>
      <c r="G154" s="37">
        <f>IF(tblCosts[[#This Row],[Date]]="","",DATE(YEAR(tblCosts[[#This Row],[Date]]),MONTH(tblCosts[[#This Row],[Date]]),1))</f>
        <v>46174</v>
      </c>
      <c r="H154" s="37">
        <f>IF(tblCosts[[#This Row],[Date]]="","",IF(AND(tblCosts[[#This Row],[Month]]&gt;=FFrom,tblCosts[[#This Row],[Month]]&lt;=FTo),tblCosts[[#This Row],[Month]],""))</f>
        <v>46174</v>
      </c>
      <c r="I154" s="38" t="str">
        <f>IF(tblCosts[[#This Row],[Date]]="","",IF(tblCosts[[#This Row],[Element]]="","Missing element",IF(tblCosts[[#This Row],[Amount]]="","Missing amount",IF(tblCosts[[#This Row],[Category]]="","Element not on Setup list",IF(COUNTIF(tblMonths[Month],tblCosts[[#This Row],[Month]])=0,"No Monthly Summary row for this month","OK")))))</f>
        <v>OK</v>
      </c>
      <c r="J154" s="39" t="s">
        <v>125</v>
      </c>
    </row>
    <row r="155" spans="2:10">
      <c r="B155" s="34">
        <v>46203</v>
      </c>
      <c r="C155" s="28" t="s">
        <v>107</v>
      </c>
      <c r="D155" s="35">
        <v>1540</v>
      </c>
      <c r="E155" s="28" t="s">
        <v>128</v>
      </c>
      <c r="F155" s="36" t="str">
        <f>IF(tblCosts[[#This Row],[Date]]="","",IFERROR(INDEX(tblElements[Category],MATCH(tblCosts[[#This Row],[Element]],tblElements[Element],0)),""))</f>
        <v>External failure</v>
      </c>
      <c r="G155" s="37">
        <f>IF(tblCosts[[#This Row],[Date]]="","",DATE(YEAR(tblCosts[[#This Row],[Date]]),MONTH(tblCosts[[#This Row],[Date]]),1))</f>
        <v>46174</v>
      </c>
      <c r="H155" s="37">
        <f>IF(tblCosts[[#This Row],[Date]]="","",IF(AND(tblCosts[[#This Row],[Month]]&gt;=FFrom,tblCosts[[#This Row],[Month]]&lt;=FTo),tblCosts[[#This Row],[Month]],""))</f>
        <v>46174</v>
      </c>
      <c r="I155" s="38" t="str">
        <f>IF(tblCosts[[#This Row],[Date]]="","",IF(tblCosts[[#This Row],[Element]]="","Missing element",IF(tblCosts[[#This Row],[Amount]]="","Missing amount",IF(tblCosts[[#This Row],[Category]]="","Element not on Setup list",IF(COUNTIF(tblMonths[Month],tblCosts[[#This Row],[Month]])=0,"No Monthly Summary row for this month","OK")))))</f>
        <v>OK</v>
      </c>
      <c r="J155" s="39" t="s">
        <v>125</v>
      </c>
    </row>
    <row r="156" spans="2:10">
      <c r="B156" s="34">
        <v>46203</v>
      </c>
      <c r="C156" s="28" t="s">
        <v>109</v>
      </c>
      <c r="D156" s="35">
        <v>1670</v>
      </c>
      <c r="E156" s="28" t="s">
        <v>128</v>
      </c>
      <c r="F156" s="36" t="str">
        <f>IF(tblCosts[[#This Row],[Date]]="","",IFERROR(INDEX(tblElements[Category],MATCH(tblCosts[[#This Row],[Element]],tblElements[Element],0)),""))</f>
        <v>External failure</v>
      </c>
      <c r="G156" s="37">
        <f>IF(tblCosts[[#This Row],[Date]]="","",DATE(YEAR(tblCosts[[#This Row],[Date]]),MONTH(tblCosts[[#This Row],[Date]]),1))</f>
        <v>46174</v>
      </c>
      <c r="H156" s="37">
        <f>IF(tblCosts[[#This Row],[Date]]="","",IF(AND(tblCosts[[#This Row],[Month]]&gt;=FFrom,tblCosts[[#This Row],[Month]]&lt;=FTo),tblCosts[[#This Row],[Month]],""))</f>
        <v>46174</v>
      </c>
      <c r="I156" s="38" t="str">
        <f>IF(tblCosts[[#This Row],[Date]]="","",IF(tblCosts[[#This Row],[Element]]="","Missing element",IF(tblCosts[[#This Row],[Amount]]="","Missing amount",IF(tblCosts[[#This Row],[Category]]="","Element not on Setup list",IF(COUNTIF(tblMonths[Month],tblCosts[[#This Row],[Month]])=0,"No Monthly Summary row for this month","OK")))))</f>
        <v>OK</v>
      </c>
      <c r="J156" s="39" t="s">
        <v>125</v>
      </c>
    </row>
    <row r="157" spans="2:10">
      <c r="B157" s="34">
        <v>46211</v>
      </c>
      <c r="C157" s="28" t="s">
        <v>102</v>
      </c>
      <c r="D157" s="35">
        <v>4230</v>
      </c>
      <c r="E157" s="28" t="s">
        <v>151</v>
      </c>
      <c r="F157" s="36" t="str">
        <f>IF(tblCosts[[#This Row],[Date]]="","",IFERROR(INDEX(tblElements[Category],MATCH(tblCosts[[#This Row],[Element]],tblElements[Element],0)),""))</f>
        <v>External failure</v>
      </c>
      <c r="G157" s="37">
        <f>IF(tblCosts[[#This Row],[Date]]="","",DATE(YEAR(tblCosts[[#This Row],[Date]]),MONTH(tblCosts[[#This Row],[Date]]),1))</f>
        <v>46204</v>
      </c>
      <c r="H157" s="37">
        <f>IF(tblCosts[[#This Row],[Date]]="","",IF(AND(tblCosts[[#This Row],[Month]]&gt;=FFrom,tblCosts[[#This Row],[Month]]&lt;=FTo),tblCosts[[#This Row],[Month]],""))</f>
        <v>46204</v>
      </c>
      <c r="I157" s="38" t="str">
        <f>IF(tblCosts[[#This Row],[Date]]="","",IF(tblCosts[[#This Row],[Element]]="","Missing element",IF(tblCosts[[#This Row],[Amount]]="","Missing amount",IF(tblCosts[[#This Row],[Category]]="","Element not on Setup list",IF(COUNTIF(tblMonths[Month],tblCosts[[#This Row],[Month]])=0,"No Monthly Summary row for this month","OK")))))</f>
        <v>OK</v>
      </c>
      <c r="J157" s="39" t="s">
        <v>125</v>
      </c>
    </row>
    <row r="158" spans="2:10">
      <c r="B158" s="34">
        <v>46234</v>
      </c>
      <c r="C158" s="28" t="s">
        <v>77</v>
      </c>
      <c r="D158" s="35">
        <v>4600</v>
      </c>
      <c r="E158" s="28" t="s">
        <v>124</v>
      </c>
      <c r="F158" s="36" t="str">
        <f>IF(tblCosts[[#This Row],[Date]]="","",IFERROR(INDEX(tblElements[Category],MATCH(tblCosts[[#This Row],[Element]],tblElements[Element],0)),""))</f>
        <v>Prevention</v>
      </c>
      <c r="G158" s="37">
        <f>IF(tblCosts[[#This Row],[Date]]="","",DATE(YEAR(tblCosts[[#This Row],[Date]]),MONTH(tblCosts[[#This Row],[Date]]),1))</f>
        <v>46204</v>
      </c>
      <c r="H158" s="37">
        <f>IF(tblCosts[[#This Row],[Date]]="","",IF(AND(tblCosts[[#This Row],[Month]]&gt;=FFrom,tblCosts[[#This Row],[Month]]&lt;=FTo),tblCosts[[#This Row],[Month]],""))</f>
        <v>46204</v>
      </c>
      <c r="I158" s="38" t="str">
        <f>IF(tblCosts[[#This Row],[Date]]="","",IF(tblCosts[[#This Row],[Element]]="","Missing element",IF(tblCosts[[#This Row],[Amount]]="","Missing amount",IF(tblCosts[[#This Row],[Category]]="","Element not on Setup list",IF(COUNTIF(tblMonths[Month],tblCosts[[#This Row],[Month]])=0,"No Monthly Summary row for this month","OK")))))</f>
        <v>OK</v>
      </c>
      <c r="J158" s="39" t="s">
        <v>125</v>
      </c>
    </row>
    <row r="159" spans="2:10">
      <c r="B159" s="34">
        <v>46234</v>
      </c>
      <c r="C159" s="28" t="s">
        <v>80</v>
      </c>
      <c r="D159" s="35">
        <v>1950</v>
      </c>
      <c r="E159" s="28" t="s">
        <v>124</v>
      </c>
      <c r="F159" s="36" t="str">
        <f>IF(tblCosts[[#This Row],[Date]]="","",IFERROR(INDEX(tblElements[Category],MATCH(tblCosts[[#This Row],[Element]],tblElements[Element],0)),""))</f>
        <v>Prevention</v>
      </c>
      <c r="G159" s="37">
        <f>IF(tblCosts[[#This Row],[Date]]="","",DATE(YEAR(tblCosts[[#This Row],[Date]]),MONTH(tblCosts[[#This Row],[Date]]),1))</f>
        <v>46204</v>
      </c>
      <c r="H159" s="37">
        <f>IF(tblCosts[[#This Row],[Date]]="","",IF(AND(tblCosts[[#This Row],[Month]]&gt;=FFrom,tblCosts[[#This Row],[Month]]&lt;=FTo),tblCosts[[#This Row],[Month]],""))</f>
        <v>46204</v>
      </c>
      <c r="I159" s="38" t="str">
        <f>IF(tblCosts[[#This Row],[Date]]="","",IF(tblCosts[[#This Row],[Element]]="","Missing element",IF(tblCosts[[#This Row],[Amount]]="","Missing amount",IF(tblCosts[[#This Row],[Category]]="","Element not on Setup list",IF(COUNTIF(tblMonths[Month],tblCosts[[#This Row],[Month]])=0,"No Monthly Summary row for this month","OK")))))</f>
        <v>OK</v>
      </c>
      <c r="J159" s="39" t="s">
        <v>125</v>
      </c>
    </row>
    <row r="160" spans="2:10">
      <c r="B160" s="34">
        <v>46234</v>
      </c>
      <c r="C160" s="28" t="s">
        <v>82</v>
      </c>
      <c r="D160" s="35">
        <v>2450</v>
      </c>
      <c r="E160" s="28" t="s">
        <v>124</v>
      </c>
      <c r="F160" s="36" t="str">
        <f>IF(tblCosts[[#This Row],[Date]]="","",IFERROR(INDEX(tblElements[Category],MATCH(tblCosts[[#This Row],[Element]],tblElements[Element],0)),""))</f>
        <v>Prevention</v>
      </c>
      <c r="G160" s="37">
        <f>IF(tblCosts[[#This Row],[Date]]="","",DATE(YEAR(tblCosts[[#This Row],[Date]]),MONTH(tblCosts[[#This Row],[Date]]),1))</f>
        <v>46204</v>
      </c>
      <c r="H160" s="37">
        <f>IF(tblCosts[[#This Row],[Date]]="","",IF(AND(tblCosts[[#This Row],[Month]]&gt;=FFrom,tblCosts[[#This Row],[Month]]&lt;=FTo),tblCosts[[#This Row],[Month]],""))</f>
        <v>46204</v>
      </c>
      <c r="I160" s="38" t="str">
        <f>IF(tblCosts[[#This Row],[Date]]="","",IF(tblCosts[[#This Row],[Element]]="","Missing element",IF(tblCosts[[#This Row],[Amount]]="","Missing amount",IF(tblCosts[[#This Row],[Category]]="","Element not on Setup list",IF(COUNTIF(tblMonths[Month],tblCosts[[#This Row],[Month]])=0,"No Monthly Summary row for this month","OK")))))</f>
        <v>OK</v>
      </c>
      <c r="J160" s="39" t="s">
        <v>125</v>
      </c>
    </row>
    <row r="161" spans="2:10">
      <c r="B161" s="34">
        <v>46234</v>
      </c>
      <c r="C161" s="28" t="s">
        <v>84</v>
      </c>
      <c r="D161" s="35">
        <v>1100</v>
      </c>
      <c r="E161" s="28" t="s">
        <v>124</v>
      </c>
      <c r="F161" s="36" t="str">
        <f>IF(tblCosts[[#This Row],[Date]]="","",IFERROR(INDEX(tblElements[Category],MATCH(tblCosts[[#This Row],[Element]],tblElements[Element],0)),""))</f>
        <v>Prevention</v>
      </c>
      <c r="G161" s="37">
        <f>IF(tblCosts[[#This Row],[Date]]="","",DATE(YEAR(tblCosts[[#This Row],[Date]]),MONTH(tblCosts[[#This Row],[Date]]),1))</f>
        <v>46204</v>
      </c>
      <c r="H161" s="37">
        <f>IF(tblCosts[[#This Row],[Date]]="","",IF(AND(tblCosts[[#This Row],[Month]]&gt;=FFrom,tblCosts[[#This Row],[Month]]&lt;=FTo),tblCosts[[#This Row],[Month]],""))</f>
        <v>46204</v>
      </c>
      <c r="I161" s="38" t="str">
        <f>IF(tblCosts[[#This Row],[Date]]="","",IF(tblCosts[[#This Row],[Element]]="","Missing element",IF(tblCosts[[#This Row],[Amount]]="","Missing amount",IF(tblCosts[[#This Row],[Category]]="","Element not on Setup list",IF(COUNTIF(tblMonths[Month],tblCosts[[#This Row],[Month]])=0,"No Monthly Summary row for this month","OK")))))</f>
        <v>OK</v>
      </c>
      <c r="J161" s="39" t="s">
        <v>125</v>
      </c>
    </row>
    <row r="162" spans="2:10">
      <c r="B162" s="34">
        <v>46234</v>
      </c>
      <c r="C162" s="28" t="s">
        <v>86</v>
      </c>
      <c r="D162" s="35">
        <v>7140</v>
      </c>
      <c r="E162" s="28" t="s">
        <v>126</v>
      </c>
      <c r="F162" s="36" t="str">
        <f>IF(tblCosts[[#This Row],[Date]]="","",IFERROR(INDEX(tblElements[Category],MATCH(tblCosts[[#This Row],[Element]],tblElements[Element],0)),""))</f>
        <v>Appraisal</v>
      </c>
      <c r="G162" s="37">
        <f>IF(tblCosts[[#This Row],[Date]]="","",DATE(YEAR(tblCosts[[#This Row],[Date]]),MONTH(tblCosts[[#This Row],[Date]]),1))</f>
        <v>46204</v>
      </c>
      <c r="H162" s="37">
        <f>IF(tblCosts[[#This Row],[Date]]="","",IF(AND(tblCosts[[#This Row],[Month]]&gt;=FFrom,tblCosts[[#This Row],[Month]]&lt;=FTo),tblCosts[[#This Row],[Month]],""))</f>
        <v>46204</v>
      </c>
      <c r="I162" s="38" t="str">
        <f>IF(tblCosts[[#This Row],[Date]]="","",IF(tblCosts[[#This Row],[Element]]="","Missing element",IF(tblCosts[[#This Row],[Amount]]="","Missing amount",IF(tblCosts[[#This Row],[Category]]="","Element not on Setup list",IF(COUNTIF(tblMonths[Month],tblCosts[[#This Row],[Month]])=0,"No Monthly Summary row for this month","OK")))))</f>
        <v>OK</v>
      </c>
      <c r="J162" s="39" t="s">
        <v>125</v>
      </c>
    </row>
    <row r="163" spans="2:10">
      <c r="B163" s="34">
        <v>46234</v>
      </c>
      <c r="C163" s="28" t="s">
        <v>89</v>
      </c>
      <c r="D163" s="35">
        <v>14990</v>
      </c>
      <c r="E163" s="28" t="s">
        <v>126</v>
      </c>
      <c r="F163" s="36" t="str">
        <f>IF(tblCosts[[#This Row],[Date]]="","",IFERROR(INDEX(tblElements[Category],MATCH(tblCosts[[#This Row],[Element]],tblElements[Element],0)),""))</f>
        <v>Appraisal</v>
      </c>
      <c r="G163" s="37">
        <f>IF(tblCosts[[#This Row],[Date]]="","",DATE(YEAR(tblCosts[[#This Row],[Date]]),MONTH(tblCosts[[#This Row],[Date]]),1))</f>
        <v>46204</v>
      </c>
      <c r="H163" s="37">
        <f>IF(tblCosts[[#This Row],[Date]]="","",IF(AND(tblCosts[[#This Row],[Month]]&gt;=FFrom,tblCosts[[#This Row],[Month]]&lt;=FTo),tblCosts[[#This Row],[Month]],""))</f>
        <v>46204</v>
      </c>
      <c r="I163" s="38" t="str">
        <f>IF(tblCosts[[#This Row],[Date]]="","",IF(tblCosts[[#This Row],[Element]]="","Missing element",IF(tblCosts[[#This Row],[Amount]]="","Missing amount",IF(tblCosts[[#This Row],[Category]]="","Element not on Setup list",IF(COUNTIF(tblMonths[Month],tblCosts[[#This Row],[Month]])=0,"No Monthly Summary row for this month","OK")))))</f>
        <v>OK</v>
      </c>
      <c r="J163" s="39" t="s">
        <v>125</v>
      </c>
    </row>
    <row r="164" spans="2:10">
      <c r="B164" s="34">
        <v>46234</v>
      </c>
      <c r="C164" s="28" t="s">
        <v>91</v>
      </c>
      <c r="D164" s="35">
        <v>3460</v>
      </c>
      <c r="E164" s="28" t="s">
        <v>126</v>
      </c>
      <c r="F164" s="36" t="str">
        <f>IF(tblCosts[[#This Row],[Date]]="","",IFERROR(INDEX(tblElements[Category],MATCH(tblCosts[[#This Row],[Element]],tblElements[Element],0)),""))</f>
        <v>Appraisal</v>
      </c>
      <c r="G164" s="37">
        <f>IF(tblCosts[[#This Row],[Date]]="","",DATE(YEAR(tblCosts[[#This Row],[Date]]),MONTH(tblCosts[[#This Row],[Date]]),1))</f>
        <v>46204</v>
      </c>
      <c r="H164" s="37">
        <f>IF(tblCosts[[#This Row],[Date]]="","",IF(AND(tblCosts[[#This Row],[Month]]&gt;=FFrom,tblCosts[[#This Row],[Month]]&lt;=FTo),tblCosts[[#This Row],[Month]],""))</f>
        <v>46204</v>
      </c>
      <c r="I164" s="38" t="str">
        <f>IF(tblCosts[[#This Row],[Date]]="","",IF(tblCosts[[#This Row],[Element]]="","Missing element",IF(tblCosts[[#This Row],[Amount]]="","Missing amount",IF(tblCosts[[#This Row],[Category]]="","Element not on Setup list",IF(COUNTIF(tblMonths[Month],tblCosts[[#This Row],[Month]])=0,"No Monthly Summary row for this month","OK")))))</f>
        <v>OK</v>
      </c>
      <c r="J164" s="39" t="s">
        <v>125</v>
      </c>
    </row>
    <row r="165" spans="2:10">
      <c r="B165" s="34">
        <v>46234</v>
      </c>
      <c r="C165" s="28" t="s">
        <v>93</v>
      </c>
      <c r="D165" s="35">
        <v>9120</v>
      </c>
      <c r="E165" s="28" t="s">
        <v>127</v>
      </c>
      <c r="F165" s="36" t="str">
        <f>IF(tblCosts[[#This Row],[Date]]="","",IFERROR(INDEX(tblElements[Category],MATCH(tblCosts[[#This Row],[Element]],tblElements[Element],0)),""))</f>
        <v>Internal failure</v>
      </c>
      <c r="G165" s="37">
        <f>IF(tblCosts[[#This Row],[Date]]="","",DATE(YEAR(tblCosts[[#This Row],[Date]]),MONTH(tblCosts[[#This Row],[Date]]),1))</f>
        <v>46204</v>
      </c>
      <c r="H165" s="37">
        <f>IF(tblCosts[[#This Row],[Date]]="","",IF(AND(tblCosts[[#This Row],[Month]]&gt;=FFrom,tblCosts[[#This Row],[Month]]&lt;=FTo),tblCosts[[#This Row],[Month]],""))</f>
        <v>46204</v>
      </c>
      <c r="I165" s="38" t="str">
        <f>IF(tblCosts[[#This Row],[Date]]="","",IF(tblCosts[[#This Row],[Element]]="","Missing element",IF(tblCosts[[#This Row],[Amount]]="","Missing amount",IF(tblCosts[[#This Row],[Category]]="","Element not on Setup list",IF(COUNTIF(tblMonths[Month],tblCosts[[#This Row],[Month]])=0,"No Monthly Summary row for this month","OK")))))</f>
        <v>OK</v>
      </c>
      <c r="J165" s="39" t="s">
        <v>125</v>
      </c>
    </row>
    <row r="166" spans="2:10">
      <c r="B166" s="34">
        <v>46234</v>
      </c>
      <c r="C166" s="28" t="s">
        <v>96</v>
      </c>
      <c r="D166" s="35">
        <v>5810</v>
      </c>
      <c r="E166" s="28" t="s">
        <v>127</v>
      </c>
      <c r="F166" s="36" t="str">
        <f>IF(tblCosts[[#This Row],[Date]]="","",IFERROR(INDEX(tblElements[Category],MATCH(tblCosts[[#This Row],[Element]],tblElements[Element],0)),""))</f>
        <v>Internal failure</v>
      </c>
      <c r="G166" s="37">
        <f>IF(tblCosts[[#This Row],[Date]]="","",DATE(YEAR(tblCosts[[#This Row],[Date]]),MONTH(tblCosts[[#This Row],[Date]]),1))</f>
        <v>46204</v>
      </c>
      <c r="H166" s="37">
        <f>IF(tblCosts[[#This Row],[Date]]="","",IF(AND(tblCosts[[#This Row],[Month]]&gt;=FFrom,tblCosts[[#This Row],[Month]]&lt;=FTo),tblCosts[[#This Row],[Month]],""))</f>
        <v>46204</v>
      </c>
      <c r="I166" s="38" t="str">
        <f>IF(tblCosts[[#This Row],[Date]]="","",IF(tblCosts[[#This Row],[Element]]="","Missing element",IF(tblCosts[[#This Row],[Amount]]="","Missing amount",IF(tblCosts[[#This Row],[Category]]="","Element not on Setup list",IF(COUNTIF(tblMonths[Month],tblCosts[[#This Row],[Month]])=0,"No Monthly Summary row for this month","OK")))))</f>
        <v>OK</v>
      </c>
      <c r="J166" s="39" t="s">
        <v>125</v>
      </c>
    </row>
    <row r="167" spans="2:10">
      <c r="B167" s="34">
        <v>46234</v>
      </c>
      <c r="C167" s="28" t="s">
        <v>98</v>
      </c>
      <c r="D167" s="35">
        <v>2400</v>
      </c>
      <c r="E167" s="28" t="s">
        <v>127</v>
      </c>
      <c r="F167" s="36" t="str">
        <f>IF(tblCosts[[#This Row],[Date]]="","",IFERROR(INDEX(tblElements[Category],MATCH(tblCosts[[#This Row],[Element]],tblElements[Element],0)),""))</f>
        <v>Internal failure</v>
      </c>
      <c r="G167" s="37">
        <f>IF(tblCosts[[#This Row],[Date]]="","",DATE(YEAR(tblCosts[[#This Row],[Date]]),MONTH(tblCosts[[#This Row],[Date]]),1))</f>
        <v>46204</v>
      </c>
      <c r="H167" s="37">
        <f>IF(tblCosts[[#This Row],[Date]]="","",IF(AND(tblCosts[[#This Row],[Month]]&gt;=FFrom,tblCosts[[#This Row],[Month]]&lt;=FTo),tblCosts[[#This Row],[Month]],""))</f>
        <v>46204</v>
      </c>
      <c r="I167" s="38" t="str">
        <f>IF(tblCosts[[#This Row],[Date]]="","",IF(tblCosts[[#This Row],[Element]]="","Missing element",IF(tblCosts[[#This Row],[Amount]]="","Missing amount",IF(tblCosts[[#This Row],[Category]]="","Element not on Setup list",IF(COUNTIF(tblMonths[Month],tblCosts[[#This Row],[Month]])=0,"No Monthly Summary row for this month","OK")))))</f>
        <v>OK</v>
      </c>
      <c r="J167" s="39" t="s">
        <v>125</v>
      </c>
    </row>
    <row r="168" spans="2:10">
      <c r="B168" s="34">
        <v>46234</v>
      </c>
      <c r="C168" s="28" t="s">
        <v>100</v>
      </c>
      <c r="D168" s="35">
        <v>2440</v>
      </c>
      <c r="E168" s="28" t="s">
        <v>127</v>
      </c>
      <c r="F168" s="36" t="str">
        <f>IF(tblCosts[[#This Row],[Date]]="","",IFERROR(INDEX(tblElements[Category],MATCH(tblCosts[[#This Row],[Element]],tblElements[Element],0)),""))</f>
        <v>Internal failure</v>
      </c>
      <c r="G168" s="37">
        <f>IF(tblCosts[[#This Row],[Date]]="","",DATE(YEAR(tblCosts[[#This Row],[Date]]),MONTH(tblCosts[[#This Row],[Date]]),1))</f>
        <v>46204</v>
      </c>
      <c r="H168" s="37">
        <f>IF(tblCosts[[#This Row],[Date]]="","",IF(AND(tblCosts[[#This Row],[Month]]&gt;=FFrom,tblCosts[[#This Row],[Month]]&lt;=FTo),tblCosts[[#This Row],[Month]],""))</f>
        <v>46204</v>
      </c>
      <c r="I168" s="38" t="str">
        <f>IF(tblCosts[[#This Row],[Date]]="","",IF(tblCosts[[#This Row],[Element]]="","Missing element",IF(tblCosts[[#This Row],[Amount]]="","Missing amount",IF(tblCosts[[#This Row],[Category]]="","Element not on Setup list",IF(COUNTIF(tblMonths[Month],tblCosts[[#This Row],[Month]])=0,"No Monthly Summary row for this month","OK")))))</f>
        <v>OK</v>
      </c>
      <c r="J168" s="39" t="s">
        <v>125</v>
      </c>
    </row>
    <row r="169" spans="2:10">
      <c r="B169" s="34">
        <v>46234</v>
      </c>
      <c r="C169" s="28" t="s">
        <v>105</v>
      </c>
      <c r="D169" s="35">
        <v>3190</v>
      </c>
      <c r="E169" s="28" t="s">
        <v>128</v>
      </c>
      <c r="F169" s="36" t="str">
        <f>IF(tblCosts[[#This Row],[Date]]="","",IFERROR(INDEX(tblElements[Category],MATCH(tblCosts[[#This Row],[Element]],tblElements[Element],0)),""))</f>
        <v>External failure</v>
      </c>
      <c r="G169" s="37">
        <f>IF(tblCosts[[#This Row],[Date]]="","",DATE(YEAR(tblCosts[[#This Row],[Date]]),MONTH(tblCosts[[#This Row],[Date]]),1))</f>
        <v>46204</v>
      </c>
      <c r="H169" s="37">
        <f>IF(tblCosts[[#This Row],[Date]]="","",IF(AND(tblCosts[[#This Row],[Month]]&gt;=FFrom,tblCosts[[#This Row],[Month]]&lt;=FTo),tblCosts[[#This Row],[Month]],""))</f>
        <v>46204</v>
      </c>
      <c r="I169" s="38" t="str">
        <f>IF(tblCosts[[#This Row],[Date]]="","",IF(tblCosts[[#This Row],[Element]]="","Missing element",IF(tblCosts[[#This Row],[Amount]]="","Missing amount",IF(tblCosts[[#This Row],[Category]]="","Element not on Setup list",IF(COUNTIF(tblMonths[Month],tblCosts[[#This Row],[Month]])=0,"No Monthly Summary row for this month","OK")))))</f>
        <v>OK</v>
      </c>
      <c r="J169" s="39" t="s">
        <v>125</v>
      </c>
    </row>
    <row r="170" spans="2:10">
      <c r="B170" s="34">
        <v>46234</v>
      </c>
      <c r="C170" s="28" t="s">
        <v>107</v>
      </c>
      <c r="D170" s="35">
        <v>1770</v>
      </c>
      <c r="E170" s="28" t="s">
        <v>128</v>
      </c>
      <c r="F170" s="36" t="str">
        <f>IF(tblCosts[[#This Row],[Date]]="","",IFERROR(INDEX(tblElements[Category],MATCH(tblCosts[[#This Row],[Element]],tblElements[Element],0)),""))</f>
        <v>External failure</v>
      </c>
      <c r="G170" s="37">
        <f>IF(tblCosts[[#This Row],[Date]]="","",DATE(YEAR(tblCosts[[#This Row],[Date]]),MONTH(tblCosts[[#This Row],[Date]]),1))</f>
        <v>46204</v>
      </c>
      <c r="H170" s="37">
        <f>IF(tblCosts[[#This Row],[Date]]="","",IF(AND(tblCosts[[#This Row],[Month]]&gt;=FFrom,tblCosts[[#This Row],[Month]]&lt;=FTo),tblCosts[[#This Row],[Month]],""))</f>
        <v>46204</v>
      </c>
      <c r="I170" s="38" t="str">
        <f>IF(tblCosts[[#This Row],[Date]]="","",IF(tblCosts[[#This Row],[Element]]="","Missing element",IF(tblCosts[[#This Row],[Amount]]="","Missing amount",IF(tblCosts[[#This Row],[Category]]="","Element not on Setup list",IF(COUNTIF(tblMonths[Month],tblCosts[[#This Row],[Month]])=0,"No Monthly Summary row for this month","OK")))))</f>
        <v>OK</v>
      </c>
      <c r="J170" s="39" t="s">
        <v>125</v>
      </c>
    </row>
    <row r="171" spans="2:10">
      <c r="B171" s="34">
        <v>46234</v>
      </c>
      <c r="C171" s="28" t="s">
        <v>109</v>
      </c>
      <c r="D171" s="35">
        <v>1230</v>
      </c>
      <c r="E171" s="28" t="s">
        <v>128</v>
      </c>
      <c r="F171" s="36" t="str">
        <f>IF(tblCosts[[#This Row],[Date]]="","",IFERROR(INDEX(tblElements[Category],MATCH(tblCosts[[#This Row],[Element]],tblElements[Element],0)),""))</f>
        <v>External failure</v>
      </c>
      <c r="G171" s="37">
        <f>IF(tblCosts[[#This Row],[Date]]="","",DATE(YEAR(tblCosts[[#This Row],[Date]]),MONTH(tblCosts[[#This Row],[Date]]),1))</f>
        <v>46204</v>
      </c>
      <c r="H171" s="37">
        <f>IF(tblCosts[[#This Row],[Date]]="","",IF(AND(tblCosts[[#This Row],[Month]]&gt;=FFrom,tblCosts[[#This Row],[Month]]&lt;=FTo),tblCosts[[#This Row],[Month]],""))</f>
        <v>46204</v>
      </c>
      <c r="I171" s="38" t="str">
        <f>IF(tblCosts[[#This Row],[Date]]="","",IF(tblCosts[[#This Row],[Element]]="","Missing element",IF(tblCosts[[#This Row],[Amount]]="","Missing amount",IF(tblCosts[[#This Row],[Category]]="","Element not on Setup list",IF(COUNTIF(tblMonths[Month],tblCosts[[#This Row],[Month]])=0,"No Monthly Summary row for this month","OK")))))</f>
        <v>OK</v>
      </c>
      <c r="J171" s="39" t="s">
        <v>125</v>
      </c>
    </row>
    <row r="172" spans="2:10">
      <c r="B172" s="34">
        <v>46244</v>
      </c>
      <c r="C172" s="28" t="s">
        <v>102</v>
      </c>
      <c r="D172" s="35">
        <v>2870</v>
      </c>
      <c r="E172" s="28" t="s">
        <v>152</v>
      </c>
      <c r="F172" s="36" t="str">
        <f>IF(tblCosts[[#This Row],[Date]]="","",IFERROR(INDEX(tblElements[Category],MATCH(tblCosts[[#This Row],[Element]],tblElements[Element],0)),""))</f>
        <v>External failure</v>
      </c>
      <c r="G172" s="37">
        <f>IF(tblCosts[[#This Row],[Date]]="","",DATE(YEAR(tblCosts[[#This Row],[Date]]),MONTH(tblCosts[[#This Row],[Date]]),1))</f>
        <v>46235</v>
      </c>
      <c r="H172" s="37">
        <f>IF(tblCosts[[#This Row],[Date]]="","",IF(AND(tblCosts[[#This Row],[Month]]&gt;=FFrom,tblCosts[[#This Row],[Month]]&lt;=FTo),tblCosts[[#This Row],[Month]],""))</f>
        <v>46235</v>
      </c>
      <c r="I172" s="38" t="str">
        <f>IF(tblCosts[[#This Row],[Date]]="","",IF(tblCosts[[#This Row],[Element]]="","Missing element",IF(tblCosts[[#This Row],[Amount]]="","Missing amount",IF(tblCosts[[#This Row],[Category]]="","Element not on Setup list",IF(COUNTIF(tblMonths[Month],tblCosts[[#This Row],[Month]])=0,"No Monthly Summary row for this month","OK")))))</f>
        <v>OK</v>
      </c>
      <c r="J172" s="39" t="s">
        <v>125</v>
      </c>
    </row>
    <row r="173" spans="2:10">
      <c r="B173" s="34">
        <v>46265</v>
      </c>
      <c r="C173" s="28" t="s">
        <v>77</v>
      </c>
      <c r="D173" s="35">
        <v>4030</v>
      </c>
      <c r="E173" s="28" t="s">
        <v>124</v>
      </c>
      <c r="F173" s="36" t="str">
        <f>IF(tblCosts[[#This Row],[Date]]="","",IFERROR(INDEX(tblElements[Category],MATCH(tblCosts[[#This Row],[Element]],tblElements[Element],0)),""))</f>
        <v>Prevention</v>
      </c>
      <c r="G173" s="37">
        <f>IF(tblCosts[[#This Row],[Date]]="","",DATE(YEAR(tblCosts[[#This Row],[Date]]),MONTH(tblCosts[[#This Row],[Date]]),1))</f>
        <v>46235</v>
      </c>
      <c r="H173" s="37">
        <f>IF(tblCosts[[#This Row],[Date]]="","",IF(AND(tblCosts[[#This Row],[Month]]&gt;=FFrom,tblCosts[[#This Row],[Month]]&lt;=FTo),tblCosts[[#This Row],[Month]],""))</f>
        <v>46235</v>
      </c>
      <c r="I173" s="38" t="str">
        <f>IF(tblCosts[[#This Row],[Date]]="","",IF(tblCosts[[#This Row],[Element]]="","Missing element",IF(tblCosts[[#This Row],[Amount]]="","Missing amount",IF(tblCosts[[#This Row],[Category]]="","Element not on Setup list",IF(COUNTIF(tblMonths[Month],tblCosts[[#This Row],[Month]])=0,"No Monthly Summary row for this month","OK")))))</f>
        <v>OK</v>
      </c>
      <c r="J173" s="39" t="s">
        <v>125</v>
      </c>
    </row>
    <row r="174" spans="2:10">
      <c r="B174" s="34">
        <v>46265</v>
      </c>
      <c r="C174" s="28" t="s">
        <v>80</v>
      </c>
      <c r="D174" s="35">
        <v>2540</v>
      </c>
      <c r="E174" s="28" t="s">
        <v>124</v>
      </c>
      <c r="F174" s="36" t="str">
        <f>IF(tblCosts[[#This Row],[Date]]="","",IFERROR(INDEX(tblElements[Category],MATCH(tblCosts[[#This Row],[Element]],tblElements[Element],0)),""))</f>
        <v>Prevention</v>
      </c>
      <c r="G174" s="37">
        <f>IF(tblCosts[[#This Row],[Date]]="","",DATE(YEAR(tblCosts[[#This Row],[Date]]),MONTH(tblCosts[[#This Row],[Date]]),1))</f>
        <v>46235</v>
      </c>
      <c r="H174" s="37">
        <f>IF(tblCosts[[#This Row],[Date]]="","",IF(AND(tblCosts[[#This Row],[Month]]&gt;=FFrom,tblCosts[[#This Row],[Month]]&lt;=FTo),tblCosts[[#This Row],[Month]],""))</f>
        <v>46235</v>
      </c>
      <c r="I174" s="38" t="str">
        <f>IF(tblCosts[[#This Row],[Date]]="","",IF(tblCosts[[#This Row],[Element]]="","Missing element",IF(tblCosts[[#This Row],[Amount]]="","Missing amount",IF(tblCosts[[#This Row],[Category]]="","Element not on Setup list",IF(COUNTIF(tblMonths[Month],tblCosts[[#This Row],[Month]])=0,"No Monthly Summary row for this month","OK")))))</f>
        <v>OK</v>
      </c>
      <c r="J174" s="39" t="s">
        <v>125</v>
      </c>
    </row>
    <row r="175" spans="2:10">
      <c r="B175" s="34">
        <v>46265</v>
      </c>
      <c r="C175" s="28" t="s">
        <v>82</v>
      </c>
      <c r="D175" s="35">
        <v>1930</v>
      </c>
      <c r="E175" s="28" t="s">
        <v>124</v>
      </c>
      <c r="F175" s="36" t="str">
        <f>IF(tblCosts[[#This Row],[Date]]="","",IFERROR(INDEX(tblElements[Category],MATCH(tblCosts[[#This Row],[Element]],tblElements[Element],0)),""))</f>
        <v>Prevention</v>
      </c>
      <c r="G175" s="37">
        <f>IF(tblCosts[[#This Row],[Date]]="","",DATE(YEAR(tblCosts[[#This Row],[Date]]),MONTH(tblCosts[[#This Row],[Date]]),1))</f>
        <v>46235</v>
      </c>
      <c r="H175" s="37">
        <f>IF(tblCosts[[#This Row],[Date]]="","",IF(AND(tblCosts[[#This Row],[Month]]&gt;=FFrom,tblCosts[[#This Row],[Month]]&lt;=FTo),tblCosts[[#This Row],[Month]],""))</f>
        <v>46235</v>
      </c>
      <c r="I175" s="38" t="str">
        <f>IF(tblCosts[[#This Row],[Date]]="","",IF(tblCosts[[#This Row],[Element]]="","Missing element",IF(tblCosts[[#This Row],[Amount]]="","Missing amount",IF(tblCosts[[#This Row],[Category]]="","Element not on Setup list",IF(COUNTIF(tblMonths[Month],tblCosts[[#This Row],[Month]])=0,"No Monthly Summary row for this month","OK")))))</f>
        <v>OK</v>
      </c>
      <c r="J175" s="39" t="s">
        <v>125</v>
      </c>
    </row>
    <row r="176" spans="2:10">
      <c r="B176" s="34">
        <v>46265</v>
      </c>
      <c r="C176" s="28" t="s">
        <v>84</v>
      </c>
      <c r="D176" s="35">
        <v>970</v>
      </c>
      <c r="E176" s="28" t="s">
        <v>124</v>
      </c>
      <c r="F176" s="36" t="str">
        <f>IF(tblCosts[[#This Row],[Date]]="","",IFERROR(INDEX(tblElements[Category],MATCH(tblCosts[[#This Row],[Element]],tblElements[Element],0)),""))</f>
        <v>Prevention</v>
      </c>
      <c r="G176" s="37">
        <f>IF(tblCosts[[#This Row],[Date]]="","",DATE(YEAR(tblCosts[[#This Row],[Date]]),MONTH(tblCosts[[#This Row],[Date]]),1))</f>
        <v>46235</v>
      </c>
      <c r="H176" s="37">
        <f>IF(tblCosts[[#This Row],[Date]]="","",IF(AND(tblCosts[[#This Row],[Month]]&gt;=FFrom,tblCosts[[#This Row],[Month]]&lt;=FTo),tblCosts[[#This Row],[Month]],""))</f>
        <v>46235</v>
      </c>
      <c r="I176" s="38" t="str">
        <f>IF(tblCosts[[#This Row],[Date]]="","",IF(tblCosts[[#This Row],[Element]]="","Missing element",IF(tblCosts[[#This Row],[Amount]]="","Missing amount",IF(tblCosts[[#This Row],[Category]]="","Element not on Setup list",IF(COUNTIF(tblMonths[Month],tblCosts[[#This Row],[Month]])=0,"No Monthly Summary row for this month","OK")))))</f>
        <v>OK</v>
      </c>
      <c r="J176" s="39" t="s">
        <v>125</v>
      </c>
    </row>
    <row r="177" spans="2:10">
      <c r="B177" s="34">
        <v>46265</v>
      </c>
      <c r="C177" s="28" t="s">
        <v>86</v>
      </c>
      <c r="D177" s="35">
        <v>7330</v>
      </c>
      <c r="E177" s="28" t="s">
        <v>126</v>
      </c>
      <c r="F177" s="36" t="str">
        <f>IF(tblCosts[[#This Row],[Date]]="","",IFERROR(INDEX(tblElements[Category],MATCH(tblCosts[[#This Row],[Element]],tblElements[Element],0)),""))</f>
        <v>Appraisal</v>
      </c>
      <c r="G177" s="37">
        <f>IF(tblCosts[[#This Row],[Date]]="","",DATE(YEAR(tblCosts[[#This Row],[Date]]),MONTH(tblCosts[[#This Row],[Date]]),1))</f>
        <v>46235</v>
      </c>
      <c r="H177" s="37">
        <f>IF(tblCosts[[#This Row],[Date]]="","",IF(AND(tblCosts[[#This Row],[Month]]&gt;=FFrom,tblCosts[[#This Row],[Month]]&lt;=FTo),tblCosts[[#This Row],[Month]],""))</f>
        <v>46235</v>
      </c>
      <c r="I177" s="38" t="str">
        <f>IF(tblCosts[[#This Row],[Date]]="","",IF(tblCosts[[#This Row],[Element]]="","Missing element",IF(tblCosts[[#This Row],[Amount]]="","Missing amount",IF(tblCosts[[#This Row],[Category]]="","Element not on Setup list",IF(COUNTIF(tblMonths[Month],tblCosts[[#This Row],[Month]])=0,"No Monthly Summary row for this month","OK")))))</f>
        <v>OK</v>
      </c>
      <c r="J177" s="39" t="s">
        <v>125</v>
      </c>
    </row>
    <row r="178" spans="2:10">
      <c r="B178" s="34">
        <v>46265</v>
      </c>
      <c r="C178" s="28" t="s">
        <v>89</v>
      </c>
      <c r="D178" s="35">
        <v>14630</v>
      </c>
      <c r="E178" s="28" t="s">
        <v>126</v>
      </c>
      <c r="F178" s="36" t="str">
        <f>IF(tblCosts[[#This Row],[Date]]="","",IFERROR(INDEX(tblElements[Category],MATCH(tblCosts[[#This Row],[Element]],tblElements[Element],0)),""))</f>
        <v>Appraisal</v>
      </c>
      <c r="G178" s="37">
        <f>IF(tblCosts[[#This Row],[Date]]="","",DATE(YEAR(tblCosts[[#This Row],[Date]]),MONTH(tblCosts[[#This Row],[Date]]),1))</f>
        <v>46235</v>
      </c>
      <c r="H178" s="37">
        <f>IF(tblCosts[[#This Row],[Date]]="","",IF(AND(tblCosts[[#This Row],[Month]]&gt;=FFrom,tblCosts[[#This Row],[Month]]&lt;=FTo),tblCosts[[#This Row],[Month]],""))</f>
        <v>46235</v>
      </c>
      <c r="I178" s="38" t="str">
        <f>IF(tblCosts[[#This Row],[Date]]="","",IF(tblCosts[[#This Row],[Element]]="","Missing element",IF(tblCosts[[#This Row],[Amount]]="","Missing amount",IF(tblCosts[[#This Row],[Category]]="","Element not on Setup list",IF(COUNTIF(tblMonths[Month],tblCosts[[#This Row],[Month]])=0,"No Monthly Summary row for this month","OK")))))</f>
        <v>OK</v>
      </c>
      <c r="J178" s="39" t="s">
        <v>125</v>
      </c>
    </row>
    <row r="179" spans="2:10">
      <c r="B179" s="34">
        <v>46265</v>
      </c>
      <c r="C179" s="28" t="s">
        <v>91</v>
      </c>
      <c r="D179" s="35">
        <v>2740</v>
      </c>
      <c r="E179" s="28" t="s">
        <v>126</v>
      </c>
      <c r="F179" s="36" t="str">
        <f>IF(tblCosts[[#This Row],[Date]]="","",IFERROR(INDEX(tblElements[Category],MATCH(tblCosts[[#This Row],[Element]],tblElements[Element],0)),""))</f>
        <v>Appraisal</v>
      </c>
      <c r="G179" s="37">
        <f>IF(tblCosts[[#This Row],[Date]]="","",DATE(YEAR(tblCosts[[#This Row],[Date]]),MONTH(tblCosts[[#This Row],[Date]]),1))</f>
        <v>46235</v>
      </c>
      <c r="H179" s="37">
        <f>IF(tblCosts[[#This Row],[Date]]="","",IF(AND(tblCosts[[#This Row],[Month]]&gt;=FFrom,tblCosts[[#This Row],[Month]]&lt;=FTo),tblCosts[[#This Row],[Month]],""))</f>
        <v>46235</v>
      </c>
      <c r="I179" s="38" t="str">
        <f>IF(tblCosts[[#This Row],[Date]]="","",IF(tblCosts[[#This Row],[Element]]="","Missing element",IF(tblCosts[[#This Row],[Amount]]="","Missing amount",IF(tblCosts[[#This Row],[Category]]="","Element not on Setup list",IF(COUNTIF(tblMonths[Month],tblCosts[[#This Row],[Month]])=0,"No Monthly Summary row for this month","OK")))))</f>
        <v>OK</v>
      </c>
      <c r="J179" s="39" t="s">
        <v>125</v>
      </c>
    </row>
    <row r="180" spans="2:10">
      <c r="B180" s="34">
        <v>46265</v>
      </c>
      <c r="C180" s="28" t="s">
        <v>93</v>
      </c>
      <c r="D180" s="35">
        <v>8240</v>
      </c>
      <c r="E180" s="28" t="s">
        <v>127</v>
      </c>
      <c r="F180" s="36" t="str">
        <f>IF(tblCosts[[#This Row],[Date]]="","",IFERROR(INDEX(tblElements[Category],MATCH(tblCosts[[#This Row],[Element]],tblElements[Element],0)),""))</f>
        <v>Internal failure</v>
      </c>
      <c r="G180" s="37">
        <f>IF(tblCosts[[#This Row],[Date]]="","",DATE(YEAR(tblCosts[[#This Row],[Date]]),MONTH(tblCosts[[#This Row],[Date]]),1))</f>
        <v>46235</v>
      </c>
      <c r="H180" s="37">
        <f>IF(tblCosts[[#This Row],[Date]]="","",IF(AND(tblCosts[[#This Row],[Month]]&gt;=FFrom,tblCosts[[#This Row],[Month]]&lt;=FTo),tblCosts[[#This Row],[Month]],""))</f>
        <v>46235</v>
      </c>
      <c r="I180" s="38" t="str">
        <f>IF(tblCosts[[#This Row],[Date]]="","",IF(tblCosts[[#This Row],[Element]]="","Missing element",IF(tblCosts[[#This Row],[Amount]]="","Missing amount",IF(tblCosts[[#This Row],[Category]]="","Element not on Setup list",IF(COUNTIF(tblMonths[Month],tblCosts[[#This Row],[Month]])=0,"No Monthly Summary row for this month","OK")))))</f>
        <v>OK</v>
      </c>
      <c r="J180" s="39" t="s">
        <v>125</v>
      </c>
    </row>
    <row r="181" spans="2:10">
      <c r="B181" s="34">
        <v>46265</v>
      </c>
      <c r="C181" s="28" t="s">
        <v>96</v>
      </c>
      <c r="D181" s="35">
        <v>6320</v>
      </c>
      <c r="E181" s="28" t="s">
        <v>127</v>
      </c>
      <c r="F181" s="36" t="str">
        <f>IF(tblCosts[[#This Row],[Date]]="","",IFERROR(INDEX(tblElements[Category],MATCH(tblCosts[[#This Row],[Element]],tblElements[Element],0)),""))</f>
        <v>Internal failure</v>
      </c>
      <c r="G181" s="37">
        <f>IF(tblCosts[[#This Row],[Date]]="","",DATE(YEAR(tblCosts[[#This Row],[Date]]),MONTH(tblCosts[[#This Row],[Date]]),1))</f>
        <v>46235</v>
      </c>
      <c r="H181" s="37">
        <f>IF(tblCosts[[#This Row],[Date]]="","",IF(AND(tblCosts[[#This Row],[Month]]&gt;=FFrom,tblCosts[[#This Row],[Month]]&lt;=FTo),tblCosts[[#This Row],[Month]],""))</f>
        <v>46235</v>
      </c>
      <c r="I181" s="38" t="str">
        <f>IF(tblCosts[[#This Row],[Date]]="","",IF(tblCosts[[#This Row],[Element]]="","Missing element",IF(tblCosts[[#This Row],[Amount]]="","Missing amount",IF(tblCosts[[#This Row],[Category]]="","Element not on Setup list",IF(COUNTIF(tblMonths[Month],tblCosts[[#This Row],[Month]])=0,"No Monthly Summary row for this month","OK")))))</f>
        <v>OK</v>
      </c>
      <c r="J181" s="39" t="s">
        <v>125</v>
      </c>
    </row>
    <row r="182" spans="2:10">
      <c r="B182" s="34">
        <v>46265</v>
      </c>
      <c r="C182" s="28" t="s">
        <v>98</v>
      </c>
      <c r="D182" s="35">
        <v>3300</v>
      </c>
      <c r="E182" s="28" t="s">
        <v>127</v>
      </c>
      <c r="F182" s="36" t="str">
        <f>IF(tblCosts[[#This Row],[Date]]="","",IFERROR(INDEX(tblElements[Category],MATCH(tblCosts[[#This Row],[Element]],tblElements[Element],0)),""))</f>
        <v>Internal failure</v>
      </c>
      <c r="G182" s="37">
        <f>IF(tblCosts[[#This Row],[Date]]="","",DATE(YEAR(tblCosts[[#This Row],[Date]]),MONTH(tblCosts[[#This Row],[Date]]),1))</f>
        <v>46235</v>
      </c>
      <c r="H182" s="37">
        <f>IF(tblCosts[[#This Row],[Date]]="","",IF(AND(tblCosts[[#This Row],[Month]]&gt;=FFrom,tblCosts[[#This Row],[Month]]&lt;=FTo),tblCosts[[#This Row],[Month]],""))</f>
        <v>46235</v>
      </c>
      <c r="I182" s="38" t="str">
        <f>IF(tblCosts[[#This Row],[Date]]="","",IF(tblCosts[[#This Row],[Element]]="","Missing element",IF(tblCosts[[#This Row],[Amount]]="","Missing amount",IF(tblCosts[[#This Row],[Category]]="","Element not on Setup list",IF(COUNTIF(tblMonths[Month],tblCosts[[#This Row],[Month]])=0,"No Monthly Summary row for this month","OK")))))</f>
        <v>OK</v>
      </c>
      <c r="J182" s="39" t="s">
        <v>125</v>
      </c>
    </row>
    <row r="183" spans="2:10">
      <c r="B183" s="34">
        <v>46265</v>
      </c>
      <c r="C183" s="28" t="s">
        <v>100</v>
      </c>
      <c r="D183" s="35">
        <v>2530</v>
      </c>
      <c r="E183" s="28" t="s">
        <v>127</v>
      </c>
      <c r="F183" s="36" t="str">
        <f>IF(tblCosts[[#This Row],[Date]]="","",IFERROR(INDEX(tblElements[Category],MATCH(tblCosts[[#This Row],[Element]],tblElements[Element],0)),""))</f>
        <v>Internal failure</v>
      </c>
      <c r="G183" s="37">
        <f>IF(tblCosts[[#This Row],[Date]]="","",DATE(YEAR(tblCosts[[#This Row],[Date]]),MONTH(tblCosts[[#This Row],[Date]]),1))</f>
        <v>46235</v>
      </c>
      <c r="H183" s="37">
        <f>IF(tblCosts[[#This Row],[Date]]="","",IF(AND(tblCosts[[#This Row],[Month]]&gt;=FFrom,tblCosts[[#This Row],[Month]]&lt;=FTo),tblCosts[[#This Row],[Month]],""))</f>
        <v>46235</v>
      </c>
      <c r="I183" s="38" t="str">
        <f>IF(tblCosts[[#This Row],[Date]]="","",IF(tblCosts[[#This Row],[Element]]="","Missing element",IF(tblCosts[[#This Row],[Amount]]="","Missing amount",IF(tblCosts[[#This Row],[Category]]="","Element not on Setup list",IF(COUNTIF(tblMonths[Month],tblCosts[[#This Row],[Month]])=0,"No Monthly Summary row for this month","OK")))))</f>
        <v>OK</v>
      </c>
      <c r="J183" s="39" t="s">
        <v>125</v>
      </c>
    </row>
    <row r="184" spans="2:10">
      <c r="B184" s="34">
        <v>46265</v>
      </c>
      <c r="C184" s="28" t="s">
        <v>105</v>
      </c>
      <c r="D184" s="35">
        <v>2100</v>
      </c>
      <c r="E184" s="28" t="s">
        <v>128</v>
      </c>
      <c r="F184" s="36" t="str">
        <f>IF(tblCosts[[#This Row],[Date]]="","",IFERROR(INDEX(tblElements[Category],MATCH(tblCosts[[#This Row],[Element]],tblElements[Element],0)),""))</f>
        <v>External failure</v>
      </c>
      <c r="G184" s="37">
        <f>IF(tblCosts[[#This Row],[Date]]="","",DATE(YEAR(tblCosts[[#This Row],[Date]]),MONTH(tblCosts[[#This Row],[Date]]),1))</f>
        <v>46235</v>
      </c>
      <c r="H184" s="37">
        <f>IF(tblCosts[[#This Row],[Date]]="","",IF(AND(tblCosts[[#This Row],[Month]]&gt;=FFrom,tblCosts[[#This Row],[Month]]&lt;=FTo),tblCosts[[#This Row],[Month]],""))</f>
        <v>46235</v>
      </c>
      <c r="I184" s="38" t="str">
        <f>IF(tblCosts[[#This Row],[Date]]="","",IF(tblCosts[[#This Row],[Element]]="","Missing element",IF(tblCosts[[#This Row],[Amount]]="","Missing amount",IF(tblCosts[[#This Row],[Category]]="","Element not on Setup list",IF(COUNTIF(tblMonths[Month],tblCosts[[#This Row],[Month]])=0,"No Monthly Summary row for this month","OK")))))</f>
        <v>OK</v>
      </c>
      <c r="J184" s="39" t="s">
        <v>125</v>
      </c>
    </row>
    <row r="185" spans="2:10">
      <c r="B185" s="34">
        <v>46265</v>
      </c>
      <c r="C185" s="28" t="s">
        <v>107</v>
      </c>
      <c r="D185" s="35">
        <v>1810</v>
      </c>
      <c r="E185" s="28" t="s">
        <v>128</v>
      </c>
      <c r="F185" s="36" t="str">
        <f>IF(tblCosts[[#This Row],[Date]]="","",IFERROR(INDEX(tblElements[Category],MATCH(tblCosts[[#This Row],[Element]],tblElements[Element],0)),""))</f>
        <v>External failure</v>
      </c>
      <c r="G185" s="37">
        <f>IF(tblCosts[[#This Row],[Date]]="","",DATE(YEAR(tblCosts[[#This Row],[Date]]),MONTH(tblCosts[[#This Row],[Date]]),1))</f>
        <v>46235</v>
      </c>
      <c r="H185" s="37">
        <f>IF(tblCosts[[#This Row],[Date]]="","",IF(AND(tblCosts[[#This Row],[Month]]&gt;=FFrom,tblCosts[[#This Row],[Month]]&lt;=FTo),tblCosts[[#This Row],[Month]],""))</f>
        <v>46235</v>
      </c>
      <c r="I185" s="38" t="str">
        <f>IF(tblCosts[[#This Row],[Date]]="","",IF(tblCosts[[#This Row],[Element]]="","Missing element",IF(tblCosts[[#This Row],[Amount]]="","Missing amount",IF(tblCosts[[#This Row],[Category]]="","Element not on Setup list",IF(COUNTIF(tblMonths[Month],tblCosts[[#This Row],[Month]])=0,"No Monthly Summary row for this month","OK")))))</f>
        <v>OK</v>
      </c>
      <c r="J185" s="39" t="s">
        <v>125</v>
      </c>
    </row>
    <row r="186" spans="2:10">
      <c r="B186" s="34">
        <v>46265</v>
      </c>
      <c r="C186" s="28" t="s">
        <v>109</v>
      </c>
      <c r="D186" s="35">
        <v>1140</v>
      </c>
      <c r="E186" s="28" t="s">
        <v>128</v>
      </c>
      <c r="F186" s="36" t="str">
        <f>IF(tblCosts[[#This Row],[Date]]="","",IFERROR(INDEX(tblElements[Category],MATCH(tblCosts[[#This Row],[Element]],tblElements[Element],0)),""))</f>
        <v>External failure</v>
      </c>
      <c r="G186" s="37">
        <f>IF(tblCosts[[#This Row],[Date]]="","",DATE(YEAR(tblCosts[[#This Row],[Date]]),MONTH(tblCosts[[#This Row],[Date]]),1))</f>
        <v>46235</v>
      </c>
      <c r="H186" s="37">
        <f>IF(tblCosts[[#This Row],[Date]]="","",IF(AND(tblCosts[[#This Row],[Month]]&gt;=FFrom,tblCosts[[#This Row],[Month]]&lt;=FTo),tblCosts[[#This Row],[Month]],""))</f>
        <v>46235</v>
      </c>
      <c r="I186" s="38" t="str">
        <f>IF(tblCosts[[#This Row],[Date]]="","",IF(tblCosts[[#This Row],[Element]]="","Missing element",IF(tblCosts[[#This Row],[Amount]]="","Missing amount",IF(tblCosts[[#This Row],[Category]]="","Element not on Setup list",IF(COUNTIF(tblMonths[Month],tblCosts[[#This Row],[Month]])=0,"No Monthly Summary row for this month","OK")))))</f>
        <v>OK</v>
      </c>
      <c r="J186" s="39" t="s">
        <v>125</v>
      </c>
    </row>
    <row r="187" spans="2:10">
      <c r="B187" s="34">
        <v>46272</v>
      </c>
      <c r="C187" s="28" t="s">
        <v>102</v>
      </c>
      <c r="D187" s="35">
        <v>3070</v>
      </c>
      <c r="E187" s="28" t="s">
        <v>153</v>
      </c>
      <c r="F187" s="36" t="str">
        <f>IF(tblCosts[[#This Row],[Date]]="","",IFERROR(INDEX(tblElements[Category],MATCH(tblCosts[[#This Row],[Element]],tblElements[Element],0)),""))</f>
        <v>External failure</v>
      </c>
      <c r="G187" s="37">
        <f>IF(tblCosts[[#This Row],[Date]]="","",DATE(YEAR(tblCosts[[#This Row],[Date]]),MONTH(tblCosts[[#This Row],[Date]]),1))</f>
        <v>46266</v>
      </c>
      <c r="H187" s="37">
        <f>IF(tblCosts[[#This Row],[Date]]="","",IF(AND(tblCosts[[#This Row],[Month]]&gt;=FFrom,tblCosts[[#This Row],[Month]]&lt;=FTo),tblCosts[[#This Row],[Month]],""))</f>
        <v>46266</v>
      </c>
      <c r="I187" s="38" t="str">
        <f>IF(tblCosts[[#This Row],[Date]]="","",IF(tblCosts[[#This Row],[Element]]="","Missing element",IF(tblCosts[[#This Row],[Amount]]="","Missing amount",IF(tblCosts[[#This Row],[Category]]="","Element not on Setup list",IF(COUNTIF(tblMonths[Month],tblCosts[[#This Row],[Month]])=0,"No Monthly Summary row for this month","OK")))))</f>
        <v>OK</v>
      </c>
      <c r="J187" s="39" t="s">
        <v>125</v>
      </c>
    </row>
    <row r="188" spans="2:10">
      <c r="B188" s="34">
        <v>46295</v>
      </c>
      <c r="C188" s="28" t="s">
        <v>77</v>
      </c>
      <c r="D188" s="35">
        <v>4560</v>
      </c>
      <c r="E188" s="28" t="s">
        <v>124</v>
      </c>
      <c r="F188" s="36" t="str">
        <f>IF(tblCosts[[#This Row],[Date]]="","",IFERROR(INDEX(tblElements[Category],MATCH(tblCosts[[#This Row],[Element]],tblElements[Element],0)),""))</f>
        <v>Prevention</v>
      </c>
      <c r="G188" s="37">
        <f>IF(tblCosts[[#This Row],[Date]]="","",DATE(YEAR(tblCosts[[#This Row],[Date]]),MONTH(tblCosts[[#This Row],[Date]]),1))</f>
        <v>46266</v>
      </c>
      <c r="H188" s="37">
        <f>IF(tblCosts[[#This Row],[Date]]="","",IF(AND(tblCosts[[#This Row],[Month]]&gt;=FFrom,tblCosts[[#This Row],[Month]]&lt;=FTo),tblCosts[[#This Row],[Month]],""))</f>
        <v>46266</v>
      </c>
      <c r="I188" s="38" t="str">
        <f>IF(tblCosts[[#This Row],[Date]]="","",IF(tblCosts[[#This Row],[Element]]="","Missing element",IF(tblCosts[[#This Row],[Amount]]="","Missing amount",IF(tblCosts[[#This Row],[Category]]="","Element not on Setup list",IF(COUNTIF(tblMonths[Month],tblCosts[[#This Row],[Month]])=0,"No Monthly Summary row for this month","OK")))))</f>
        <v>OK</v>
      </c>
      <c r="J188" s="39" t="s">
        <v>125</v>
      </c>
    </row>
    <row r="189" spans="2:10">
      <c r="B189" s="34">
        <v>46295</v>
      </c>
      <c r="C189" s="28" t="s">
        <v>80</v>
      </c>
      <c r="D189" s="35">
        <v>2740</v>
      </c>
      <c r="E189" s="28" t="s">
        <v>124</v>
      </c>
      <c r="F189" s="36" t="str">
        <f>IF(tblCosts[[#This Row],[Date]]="","",IFERROR(INDEX(tblElements[Category],MATCH(tblCosts[[#This Row],[Element]],tblElements[Element],0)),""))</f>
        <v>Prevention</v>
      </c>
      <c r="G189" s="37">
        <f>IF(tblCosts[[#This Row],[Date]]="","",DATE(YEAR(tblCosts[[#This Row],[Date]]),MONTH(tblCosts[[#This Row],[Date]]),1))</f>
        <v>46266</v>
      </c>
      <c r="H189" s="37">
        <f>IF(tblCosts[[#This Row],[Date]]="","",IF(AND(tblCosts[[#This Row],[Month]]&gt;=FFrom,tblCosts[[#This Row],[Month]]&lt;=FTo),tblCosts[[#This Row],[Month]],""))</f>
        <v>46266</v>
      </c>
      <c r="I189" s="38" t="str">
        <f>IF(tblCosts[[#This Row],[Date]]="","",IF(tblCosts[[#This Row],[Element]]="","Missing element",IF(tblCosts[[#This Row],[Amount]]="","Missing amount",IF(tblCosts[[#This Row],[Category]]="","Element not on Setup list",IF(COUNTIF(tblMonths[Month],tblCosts[[#This Row],[Month]])=0,"No Monthly Summary row for this month","OK")))))</f>
        <v>OK</v>
      </c>
      <c r="J189" s="39" t="s">
        <v>125</v>
      </c>
    </row>
    <row r="190" spans="2:10">
      <c r="B190" s="34">
        <v>46295</v>
      </c>
      <c r="C190" s="28" t="s">
        <v>82</v>
      </c>
      <c r="D190" s="35">
        <v>2330</v>
      </c>
      <c r="E190" s="28" t="s">
        <v>124</v>
      </c>
      <c r="F190" s="36" t="str">
        <f>IF(tblCosts[[#This Row],[Date]]="","",IFERROR(INDEX(tblElements[Category],MATCH(tblCosts[[#This Row],[Element]],tblElements[Element],0)),""))</f>
        <v>Prevention</v>
      </c>
      <c r="G190" s="37">
        <f>IF(tblCosts[[#This Row],[Date]]="","",DATE(YEAR(tblCosts[[#This Row],[Date]]),MONTH(tblCosts[[#This Row],[Date]]),1))</f>
        <v>46266</v>
      </c>
      <c r="H190" s="37">
        <f>IF(tblCosts[[#This Row],[Date]]="","",IF(AND(tblCosts[[#This Row],[Month]]&gt;=FFrom,tblCosts[[#This Row],[Month]]&lt;=FTo),tblCosts[[#This Row],[Month]],""))</f>
        <v>46266</v>
      </c>
      <c r="I190" s="38" t="str">
        <f>IF(tblCosts[[#This Row],[Date]]="","",IF(tblCosts[[#This Row],[Element]]="","Missing element",IF(tblCosts[[#This Row],[Amount]]="","Missing amount",IF(tblCosts[[#This Row],[Category]]="","Element not on Setup list",IF(COUNTIF(tblMonths[Month],tblCosts[[#This Row],[Month]])=0,"No Monthly Summary row for this month","OK")))))</f>
        <v>OK</v>
      </c>
      <c r="J190" s="39" t="s">
        <v>125</v>
      </c>
    </row>
    <row r="191" spans="2:10">
      <c r="B191" s="34">
        <v>46295</v>
      </c>
      <c r="C191" s="28" t="s">
        <v>84</v>
      </c>
      <c r="D191" s="35">
        <v>1150</v>
      </c>
      <c r="E191" s="28" t="s">
        <v>124</v>
      </c>
      <c r="F191" s="36" t="str">
        <f>IF(tblCosts[[#This Row],[Date]]="","",IFERROR(INDEX(tblElements[Category],MATCH(tblCosts[[#This Row],[Element]],tblElements[Element],0)),""))</f>
        <v>Prevention</v>
      </c>
      <c r="G191" s="37">
        <f>IF(tblCosts[[#This Row],[Date]]="","",DATE(YEAR(tblCosts[[#This Row],[Date]]),MONTH(tblCosts[[#This Row],[Date]]),1))</f>
        <v>46266</v>
      </c>
      <c r="H191" s="37">
        <f>IF(tblCosts[[#This Row],[Date]]="","",IF(AND(tblCosts[[#This Row],[Month]]&gt;=FFrom,tblCosts[[#This Row],[Month]]&lt;=FTo),tblCosts[[#This Row],[Month]],""))</f>
        <v>46266</v>
      </c>
      <c r="I191" s="38" t="str">
        <f>IF(tblCosts[[#This Row],[Date]]="","",IF(tblCosts[[#This Row],[Element]]="","Missing element",IF(tblCosts[[#This Row],[Amount]]="","Missing amount",IF(tblCosts[[#This Row],[Category]]="","Element not on Setup list",IF(COUNTIF(tblMonths[Month],tblCosts[[#This Row],[Month]])=0,"No Monthly Summary row for this month","OK")))))</f>
        <v>OK</v>
      </c>
      <c r="J191" s="39" t="s">
        <v>125</v>
      </c>
    </row>
    <row r="192" spans="2:10">
      <c r="B192" s="34">
        <v>46295</v>
      </c>
      <c r="C192" s="28" t="s">
        <v>86</v>
      </c>
      <c r="D192" s="35">
        <v>6490</v>
      </c>
      <c r="E192" s="28" t="s">
        <v>126</v>
      </c>
      <c r="F192" s="36" t="str">
        <f>IF(tblCosts[[#This Row],[Date]]="","",IFERROR(INDEX(tblElements[Category],MATCH(tblCosts[[#This Row],[Element]],tblElements[Element],0)),""))</f>
        <v>Appraisal</v>
      </c>
      <c r="G192" s="37">
        <f>IF(tblCosts[[#This Row],[Date]]="","",DATE(YEAR(tblCosts[[#This Row],[Date]]),MONTH(tblCosts[[#This Row],[Date]]),1))</f>
        <v>46266</v>
      </c>
      <c r="H192" s="37">
        <f>IF(tblCosts[[#This Row],[Date]]="","",IF(AND(tblCosts[[#This Row],[Month]]&gt;=FFrom,tblCosts[[#This Row],[Month]]&lt;=FTo),tblCosts[[#This Row],[Month]],""))</f>
        <v>46266</v>
      </c>
      <c r="I192" s="38" t="str">
        <f>IF(tblCosts[[#This Row],[Date]]="","",IF(tblCosts[[#This Row],[Element]]="","Missing element",IF(tblCosts[[#This Row],[Amount]]="","Missing amount",IF(tblCosts[[#This Row],[Category]]="","Element not on Setup list",IF(COUNTIF(tblMonths[Month],tblCosts[[#This Row],[Month]])=0,"No Monthly Summary row for this month","OK")))))</f>
        <v>OK</v>
      </c>
      <c r="J192" s="39" t="s">
        <v>125</v>
      </c>
    </row>
    <row r="193" spans="2:10">
      <c r="B193" s="34">
        <v>46295</v>
      </c>
      <c r="C193" s="28" t="s">
        <v>89</v>
      </c>
      <c r="D193" s="35">
        <v>13740</v>
      </c>
      <c r="E193" s="28" t="s">
        <v>126</v>
      </c>
      <c r="F193" s="36" t="str">
        <f>IF(tblCosts[[#This Row],[Date]]="","",IFERROR(INDEX(tblElements[Category],MATCH(tblCosts[[#This Row],[Element]],tblElements[Element],0)),""))</f>
        <v>Appraisal</v>
      </c>
      <c r="G193" s="37">
        <f>IF(tblCosts[[#This Row],[Date]]="","",DATE(YEAR(tblCosts[[#This Row],[Date]]),MONTH(tblCosts[[#This Row],[Date]]),1))</f>
        <v>46266</v>
      </c>
      <c r="H193" s="37">
        <f>IF(tblCosts[[#This Row],[Date]]="","",IF(AND(tblCosts[[#This Row],[Month]]&gt;=FFrom,tblCosts[[#This Row],[Month]]&lt;=FTo),tblCosts[[#This Row],[Month]],""))</f>
        <v>46266</v>
      </c>
      <c r="I193" s="38" t="str">
        <f>IF(tblCosts[[#This Row],[Date]]="","",IF(tblCosts[[#This Row],[Element]]="","Missing element",IF(tblCosts[[#This Row],[Amount]]="","Missing amount",IF(tblCosts[[#This Row],[Category]]="","Element not on Setup list",IF(COUNTIF(tblMonths[Month],tblCosts[[#This Row],[Month]])=0,"No Monthly Summary row for this month","OK")))))</f>
        <v>OK</v>
      </c>
      <c r="J193" s="39" t="s">
        <v>125</v>
      </c>
    </row>
    <row r="194" spans="2:10">
      <c r="B194" s="34">
        <v>46295</v>
      </c>
      <c r="C194" s="28" t="s">
        <v>91</v>
      </c>
      <c r="D194" s="35">
        <v>3690</v>
      </c>
      <c r="E194" s="28" t="s">
        <v>126</v>
      </c>
      <c r="F194" s="36" t="str">
        <f>IF(tblCosts[[#This Row],[Date]]="","",IFERROR(INDEX(tblElements[Category],MATCH(tblCosts[[#This Row],[Element]],tblElements[Element],0)),""))</f>
        <v>Appraisal</v>
      </c>
      <c r="G194" s="37">
        <f>IF(tblCosts[[#This Row],[Date]]="","",DATE(YEAR(tblCosts[[#This Row],[Date]]),MONTH(tblCosts[[#This Row],[Date]]),1))</f>
        <v>46266</v>
      </c>
      <c r="H194" s="37">
        <f>IF(tblCosts[[#This Row],[Date]]="","",IF(AND(tblCosts[[#This Row],[Month]]&gt;=FFrom,tblCosts[[#This Row],[Month]]&lt;=FTo),tblCosts[[#This Row],[Month]],""))</f>
        <v>46266</v>
      </c>
      <c r="I194" s="38" t="str">
        <f>IF(tblCosts[[#This Row],[Date]]="","",IF(tblCosts[[#This Row],[Element]]="","Missing element",IF(tblCosts[[#This Row],[Amount]]="","Missing amount",IF(tblCosts[[#This Row],[Category]]="","Element not on Setup list",IF(COUNTIF(tblMonths[Month],tblCosts[[#This Row],[Month]])=0,"No Monthly Summary row for this month","OK")))))</f>
        <v>OK</v>
      </c>
      <c r="J194" s="39" t="s">
        <v>125</v>
      </c>
    </row>
    <row r="195" spans="2:10">
      <c r="B195" s="34">
        <v>46295</v>
      </c>
      <c r="C195" s="28" t="s">
        <v>93</v>
      </c>
      <c r="D195" s="35">
        <v>10140</v>
      </c>
      <c r="E195" s="28" t="s">
        <v>127</v>
      </c>
      <c r="F195" s="36" t="str">
        <f>IF(tblCosts[[#This Row],[Date]]="","",IFERROR(INDEX(tblElements[Category],MATCH(tblCosts[[#This Row],[Element]],tblElements[Element],0)),""))</f>
        <v>Internal failure</v>
      </c>
      <c r="G195" s="37">
        <f>IF(tblCosts[[#This Row],[Date]]="","",DATE(YEAR(tblCosts[[#This Row],[Date]]),MONTH(tblCosts[[#This Row],[Date]]),1))</f>
        <v>46266</v>
      </c>
      <c r="H195" s="37">
        <f>IF(tblCosts[[#This Row],[Date]]="","",IF(AND(tblCosts[[#This Row],[Month]]&gt;=FFrom,tblCosts[[#This Row],[Month]]&lt;=FTo),tblCosts[[#This Row],[Month]],""))</f>
        <v>46266</v>
      </c>
      <c r="I195" s="38" t="str">
        <f>IF(tblCosts[[#This Row],[Date]]="","",IF(tblCosts[[#This Row],[Element]]="","Missing element",IF(tblCosts[[#This Row],[Amount]]="","Missing amount",IF(tblCosts[[#This Row],[Category]]="","Element not on Setup list",IF(COUNTIF(tblMonths[Month],tblCosts[[#This Row],[Month]])=0,"No Monthly Summary row for this month","OK")))))</f>
        <v>OK</v>
      </c>
      <c r="J195" s="39" t="s">
        <v>125</v>
      </c>
    </row>
    <row r="196" spans="2:10">
      <c r="B196" s="34">
        <v>46295</v>
      </c>
      <c r="C196" s="28" t="s">
        <v>96</v>
      </c>
      <c r="D196" s="35">
        <v>7210</v>
      </c>
      <c r="E196" s="28" t="s">
        <v>127</v>
      </c>
      <c r="F196" s="36" t="str">
        <f>IF(tblCosts[[#This Row],[Date]]="","",IFERROR(INDEX(tblElements[Category],MATCH(tblCosts[[#This Row],[Element]],tblElements[Element],0)),""))</f>
        <v>Internal failure</v>
      </c>
      <c r="G196" s="37">
        <f>IF(tblCosts[[#This Row],[Date]]="","",DATE(YEAR(tblCosts[[#This Row],[Date]]),MONTH(tblCosts[[#This Row],[Date]]),1))</f>
        <v>46266</v>
      </c>
      <c r="H196" s="37">
        <f>IF(tblCosts[[#This Row],[Date]]="","",IF(AND(tblCosts[[#This Row],[Month]]&gt;=FFrom,tblCosts[[#This Row],[Month]]&lt;=FTo),tblCosts[[#This Row],[Month]],""))</f>
        <v>46266</v>
      </c>
      <c r="I196" s="38" t="str">
        <f>IF(tblCosts[[#This Row],[Date]]="","",IF(tblCosts[[#This Row],[Element]]="","Missing element",IF(tblCosts[[#This Row],[Amount]]="","Missing amount",IF(tblCosts[[#This Row],[Category]]="","Element not on Setup list",IF(COUNTIF(tblMonths[Month],tblCosts[[#This Row],[Month]])=0,"No Monthly Summary row for this month","OK")))))</f>
        <v>OK</v>
      </c>
      <c r="J196" s="39" t="s">
        <v>125</v>
      </c>
    </row>
    <row r="197" spans="2:10">
      <c r="B197" s="34">
        <v>46295</v>
      </c>
      <c r="C197" s="28" t="s">
        <v>98</v>
      </c>
      <c r="D197" s="35">
        <v>3320</v>
      </c>
      <c r="E197" s="28" t="s">
        <v>127</v>
      </c>
      <c r="F197" s="36" t="str">
        <f>IF(tblCosts[[#This Row],[Date]]="","",IFERROR(INDEX(tblElements[Category],MATCH(tblCosts[[#This Row],[Element]],tblElements[Element],0)),""))</f>
        <v>Internal failure</v>
      </c>
      <c r="G197" s="37">
        <f>IF(tblCosts[[#This Row],[Date]]="","",DATE(YEAR(tblCosts[[#This Row],[Date]]),MONTH(tblCosts[[#This Row],[Date]]),1))</f>
        <v>46266</v>
      </c>
      <c r="H197" s="37">
        <f>IF(tblCosts[[#This Row],[Date]]="","",IF(AND(tblCosts[[#This Row],[Month]]&gt;=FFrom,tblCosts[[#This Row],[Month]]&lt;=FTo),tblCosts[[#This Row],[Month]],""))</f>
        <v>46266</v>
      </c>
      <c r="I197" s="38" t="str">
        <f>IF(tblCosts[[#This Row],[Date]]="","",IF(tblCosts[[#This Row],[Element]]="","Missing element",IF(tblCosts[[#This Row],[Amount]]="","Missing amount",IF(tblCosts[[#This Row],[Category]]="","Element not on Setup list",IF(COUNTIF(tblMonths[Month],tblCosts[[#This Row],[Month]])=0,"No Monthly Summary row for this month","OK")))))</f>
        <v>OK</v>
      </c>
      <c r="J197" s="39" t="s">
        <v>125</v>
      </c>
    </row>
    <row r="198" spans="2:10">
      <c r="B198" s="34">
        <v>46295</v>
      </c>
      <c r="C198" s="28" t="s">
        <v>100</v>
      </c>
      <c r="D198" s="35">
        <v>1610</v>
      </c>
      <c r="E198" s="28" t="s">
        <v>127</v>
      </c>
      <c r="F198" s="36" t="str">
        <f>IF(tblCosts[[#This Row],[Date]]="","",IFERROR(INDEX(tblElements[Category],MATCH(tblCosts[[#This Row],[Element]],tblElements[Element],0)),""))</f>
        <v>Internal failure</v>
      </c>
      <c r="G198" s="37">
        <f>IF(tblCosts[[#This Row],[Date]]="","",DATE(YEAR(tblCosts[[#This Row],[Date]]),MONTH(tblCosts[[#This Row],[Date]]),1))</f>
        <v>46266</v>
      </c>
      <c r="H198" s="37">
        <f>IF(tblCosts[[#This Row],[Date]]="","",IF(AND(tblCosts[[#This Row],[Month]]&gt;=FFrom,tblCosts[[#This Row],[Month]]&lt;=FTo),tblCosts[[#This Row],[Month]],""))</f>
        <v>46266</v>
      </c>
      <c r="I198" s="38" t="str">
        <f>IF(tblCosts[[#This Row],[Date]]="","",IF(tblCosts[[#This Row],[Element]]="","Missing element",IF(tblCosts[[#This Row],[Amount]]="","Missing amount",IF(tblCosts[[#This Row],[Category]]="","Element not on Setup list",IF(COUNTIF(tblMonths[Month],tblCosts[[#This Row],[Month]])=0,"No Monthly Summary row for this month","OK")))))</f>
        <v>OK</v>
      </c>
      <c r="J198" s="39" t="s">
        <v>125</v>
      </c>
    </row>
    <row r="199" spans="2:10">
      <c r="B199" s="34">
        <v>46295</v>
      </c>
      <c r="C199" s="28" t="s">
        <v>105</v>
      </c>
      <c r="D199" s="35">
        <v>3030</v>
      </c>
      <c r="E199" s="28" t="s">
        <v>128</v>
      </c>
      <c r="F199" s="36" t="str">
        <f>IF(tblCosts[[#This Row],[Date]]="","",IFERROR(INDEX(tblElements[Category],MATCH(tblCosts[[#This Row],[Element]],tblElements[Element],0)),""))</f>
        <v>External failure</v>
      </c>
      <c r="G199" s="37">
        <f>IF(tblCosts[[#This Row],[Date]]="","",DATE(YEAR(tblCosts[[#This Row],[Date]]),MONTH(tblCosts[[#This Row],[Date]]),1))</f>
        <v>46266</v>
      </c>
      <c r="H199" s="37">
        <f>IF(tblCosts[[#This Row],[Date]]="","",IF(AND(tblCosts[[#This Row],[Month]]&gt;=FFrom,tblCosts[[#This Row],[Month]]&lt;=FTo),tblCosts[[#This Row],[Month]],""))</f>
        <v>46266</v>
      </c>
      <c r="I199" s="38" t="str">
        <f>IF(tblCosts[[#This Row],[Date]]="","",IF(tblCosts[[#This Row],[Element]]="","Missing element",IF(tblCosts[[#This Row],[Amount]]="","Missing amount",IF(tblCosts[[#This Row],[Category]]="","Element not on Setup list",IF(COUNTIF(tblMonths[Month],tblCosts[[#This Row],[Month]])=0,"No Monthly Summary row for this month","OK")))))</f>
        <v>OK</v>
      </c>
      <c r="J199" s="39" t="s">
        <v>125</v>
      </c>
    </row>
    <row r="200" spans="2:10">
      <c r="B200" s="34">
        <v>46295</v>
      </c>
      <c r="C200" s="28" t="s">
        <v>107</v>
      </c>
      <c r="D200" s="35">
        <v>840</v>
      </c>
      <c r="E200" s="28" t="s">
        <v>128</v>
      </c>
      <c r="F200" s="36" t="str">
        <f>IF(tblCosts[[#This Row],[Date]]="","",IFERROR(INDEX(tblElements[Category],MATCH(tblCosts[[#This Row],[Element]],tblElements[Element],0)),""))</f>
        <v>External failure</v>
      </c>
      <c r="G200" s="37">
        <f>IF(tblCosts[[#This Row],[Date]]="","",DATE(YEAR(tblCosts[[#This Row],[Date]]),MONTH(tblCosts[[#This Row],[Date]]),1))</f>
        <v>46266</v>
      </c>
      <c r="H200" s="37">
        <f>IF(tblCosts[[#This Row],[Date]]="","",IF(AND(tblCosts[[#This Row],[Month]]&gt;=FFrom,tblCosts[[#This Row],[Month]]&lt;=FTo),tblCosts[[#This Row],[Month]],""))</f>
        <v>46266</v>
      </c>
      <c r="I200" s="38" t="str">
        <f>IF(tblCosts[[#This Row],[Date]]="","",IF(tblCosts[[#This Row],[Element]]="","Missing element",IF(tblCosts[[#This Row],[Amount]]="","Missing amount",IF(tblCosts[[#This Row],[Category]]="","Element not on Setup list",IF(COUNTIF(tblMonths[Month],tblCosts[[#This Row],[Month]])=0,"No Monthly Summary row for this month","OK")))))</f>
        <v>OK</v>
      </c>
      <c r="J200" s="39" t="s">
        <v>125</v>
      </c>
    </row>
    <row r="201" spans="2:10">
      <c r="B201" s="34">
        <v>46295</v>
      </c>
      <c r="C201" s="28" t="s">
        <v>109</v>
      </c>
      <c r="D201" s="35">
        <v>960</v>
      </c>
      <c r="E201" s="28" t="s">
        <v>128</v>
      </c>
      <c r="F201" s="36" t="str">
        <f>IF(tblCosts[[#This Row],[Date]]="","",IFERROR(INDEX(tblElements[Category],MATCH(tblCosts[[#This Row],[Element]],tblElements[Element],0)),""))</f>
        <v>External failure</v>
      </c>
      <c r="G201" s="37">
        <f>IF(tblCosts[[#This Row],[Date]]="","",DATE(YEAR(tblCosts[[#This Row],[Date]]),MONTH(tblCosts[[#This Row],[Date]]),1))</f>
        <v>46266</v>
      </c>
      <c r="H201" s="37">
        <f>IF(tblCosts[[#This Row],[Date]]="","",IF(AND(tblCosts[[#This Row],[Month]]&gt;=FFrom,tblCosts[[#This Row],[Month]]&lt;=FTo),tblCosts[[#This Row],[Month]],""))</f>
        <v>46266</v>
      </c>
      <c r="I201" s="38" t="str">
        <f>IF(tblCosts[[#This Row],[Date]]="","",IF(tblCosts[[#This Row],[Element]]="","Missing element",IF(tblCosts[[#This Row],[Amount]]="","Missing amount",IF(tblCosts[[#This Row],[Category]]="","Element not on Setup list",IF(COUNTIF(tblMonths[Month],tblCosts[[#This Row],[Month]])=0,"No Monthly Summary row for this month","OK")))))</f>
        <v>OK</v>
      </c>
      <c r="J201" s="39" t="s">
        <v>125</v>
      </c>
    </row>
  </sheetData>
  <mergeCells count="3">
    <mergeCell ref="A1:J1"/>
    <mergeCell ref="B2:I2"/>
    <mergeCell ref="B4:J4"/>
  </mergeCells>
  <conditionalFormatting sqref="I7:I701">
    <cfRule type="expression" dxfId="3" priority="1">
      <formula>$I7="OK"</formula>
    </cfRule>
    <cfRule type="expression" dxfId="1" priority="2">
      <formula>AND($I7&lt;&gt;"",$I7&lt;&gt;"OK")</formula>
    </cfRule>
  </conditionalFormatting>
  <dataValidations count="5">
    <dataValidation type="date" allowBlank="1" showInputMessage="1" showErrorMessage="1" errorTitle="Check this entry" error="Enter a date between 01 Jan 2000 and 31 Dec 2100." promptTitle="Date" prompt="Posting date: it decides the month the cost counts in. Enter a date between 01 Jan 2000 and 31 Dec 2100." sqref="B7:B701">
      <formula1>36526</formula1>
      <formula2>73415</formula2>
    </dataValidation>
    <dataValidation type="list" allowBlank="1" showInputMessage="1" showErrorMessage="1" errorTitle="Check this entry" error="Pick from the list (edit the list on Setup: Elements)." promptTitle="Element" prompt="Pick from the list (edit the list on Setup: Elements)." sqref="C7:C701">
      <formula1>Elements</formula1>
    </dataValidation>
    <dataValidation type="decimal" allowBlank="1" showInputMessage="1" showErrorMessage="1" errorTitle="Check this entry" error="Enter a number of at least -1,000,000,000." promptTitle="Amount" prompt="The cost in your currency. Enter a recovery (a supplier chargeback, a reversed accrual) as a negative amount. Enter a number of at least -1,000,000,000." sqref="D7:D701">
      <formula1>-1000000000.0</formula1>
      <formula2>1000000000.0</formula2>
    </dataValidation>
    <dataValidation type="textLength" allowBlank="1" showInputMessage="1" showErrorMessage="1" errorTitle="Check this entry" error="Text up to 40 characters." promptTitle="Reference" prompt="Claim, credit note, NCR or ledger account, so the figure can be traced. Text up to 40 characters." sqref="E7:E701">
      <formula1>0</formula1>
      <formula2>40</formula2>
    </dataValidation>
    <dataValidation type="textLength" allowBlank="1" showInputMessage="1" showErrorMessage="1" errorTitle="Check this entry" error="Text up to 255 characters." promptTitle="Notes" prompt="Text up to 255 characters." sqref="J7:J701">
      <formula1>0</formula1>
      <formula2>255</formula2>
    </dataValidation>
  </dataValidations>
  <hyperlinks>
    <hyperlink ref="J2" r:id="rId1" tooltip="Free manufacturing calculators and templates"/>
  </hyperlinks>
  <pageMargins left="0.4" right="0.4" top="0.7" bottom="0.65" header="0.3" footer="0.3"/>
  <pageSetup fitToHeight="0" orientation="landscape"/>
  <headerFooter>
    <oddHeader>&amp;L&amp;8MFG Calcs - Cost of Poor Quality Tracker&amp;R&amp;8&amp;A</oddHeader>
    <oddFooter>&amp;L&amp;8mfgcalcs.com - free manufacturing templates&amp;R&amp;8Page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sheetPr>
    <tabColor rgb="FF3B64D8"/>
    <pageSetUpPr fitToPage="1"/>
  </sheetPr>
  <dimension ref="A1:P18"/>
  <sheetViews>
    <sheetView workbookViewId="0">
      <pane xSplit="2" ySplit="6" topLeftCell="C7" activePane="bottomRight" state="frozen"/>
      <selection pane="topRight" activeCell="C1" sqref="C1"/>
      <selection pane="bottomLeft" activeCell="A7" sqref="A7"/>
      <selection pane="bottomRight"/>
    </sheetView>
  </sheetViews>
  <sheetFormatPr defaultRowHeight="15"/>
  <cols>
    <col min="1" max="1" width="2.7109375" customWidth="1"/>
    <col min="2" max="2" width="11.28515625" customWidth="1"/>
    <col min="3" max="3" width="13.28515625" customWidth="1"/>
    <col min="4" max="4" width="10.7109375" customWidth="1"/>
    <col min="5" max="11" width="11.28515625" customWidth="1"/>
    <col min="12" max="12" width="12.28515625" customWidth="1"/>
    <col min="13" max="13" width="11.7109375" customWidth="1"/>
    <col min="14" max="14" width="10.7109375" customWidth="1"/>
    <col min="15" max="15" width="26.7109375" customWidth="1"/>
    <col min="16" max="16" width="34.7109375" customWidth="1"/>
  </cols>
  <sheetData>
    <row r="1" spans="1:16" ht="30" customHeight="1">
      <c r="A1" s="1" t="s">
        <v>0</v>
      </c>
      <c r="B1" s="1"/>
      <c r="C1" s="1"/>
      <c r="D1" s="1"/>
      <c r="E1" s="1"/>
      <c r="F1" s="1"/>
      <c r="G1" s="1"/>
      <c r="H1" s="1"/>
      <c r="I1" s="1"/>
      <c r="J1" s="1"/>
      <c r="K1" s="1"/>
      <c r="L1" s="1"/>
      <c r="M1" s="1"/>
      <c r="N1" s="1"/>
      <c r="O1" s="1"/>
      <c r="P1" s="1"/>
    </row>
    <row r="2" spans="1:16" ht="21" customHeight="1">
      <c r="B2" s="2" t="s">
        <v>24</v>
      </c>
      <c r="C2" s="2"/>
      <c r="D2" s="2"/>
      <c r="E2" s="2"/>
      <c r="F2" s="2"/>
      <c r="G2" s="2"/>
      <c r="H2" s="2"/>
      <c r="I2" s="2"/>
      <c r="J2" s="2"/>
      <c r="K2" s="2"/>
      <c r="L2" s="2"/>
      <c r="M2" s="2"/>
      <c r="N2" s="2"/>
      <c r="O2" s="2"/>
      <c r="P2" s="3" t="s">
        <v>2</v>
      </c>
    </row>
    <row r="3" spans="1:16" ht="6" customHeight="1"/>
    <row r="4" spans="1:16" ht="18" customHeight="1">
      <c r="B4" s="32" t="s">
        <v>161</v>
      </c>
      <c r="C4" s="32"/>
      <c r="D4" s="32"/>
      <c r="E4" s="32"/>
      <c r="F4" s="32"/>
      <c r="G4" s="32"/>
      <c r="H4" s="32"/>
      <c r="I4" s="32"/>
      <c r="J4" s="32"/>
      <c r="K4" s="32"/>
      <c r="L4" s="32"/>
      <c r="M4" s="32"/>
      <c r="N4" s="32"/>
      <c r="O4" s="32"/>
      <c r="P4" s="32"/>
    </row>
    <row r="5" spans="1:16" ht="14" customHeight="1">
      <c r="B5" s="33"/>
      <c r="C5" s="33" t="str">
        <f>Currency</f>
        <v>USD</v>
      </c>
      <c r="D5" s="33" t="s">
        <v>162</v>
      </c>
      <c r="E5" s="33" t="str">
        <f>Currency</f>
        <v>USD</v>
      </c>
      <c r="F5" s="33" t="str">
        <f>Currency</f>
        <v>USD</v>
      </c>
      <c r="G5" s="33" t="str">
        <f>Currency</f>
        <v>USD</v>
      </c>
      <c r="H5" s="33" t="str">
        <f>Currency</f>
        <v>USD</v>
      </c>
      <c r="I5" s="33" t="str">
        <f>Currency</f>
        <v>USD</v>
      </c>
      <c r="J5" s="33" t="str">
        <f>Currency</f>
        <v>USD</v>
      </c>
      <c r="K5" s="33"/>
      <c r="L5" s="33"/>
      <c r="M5" s="33" t="str">
        <f>Currency&amp;"/unit"</f>
        <v>USD/unit</v>
      </c>
      <c r="N5" s="33"/>
      <c r="O5" s="33"/>
      <c r="P5" s="33"/>
    </row>
    <row r="6" spans="1:16" ht="32" customHeight="1">
      <c r="B6" s="31" t="s">
        <v>114</v>
      </c>
      <c r="C6" s="31" t="s">
        <v>154</v>
      </c>
      <c r="D6" s="31" t="s">
        <v>155</v>
      </c>
      <c r="E6" s="31" t="s">
        <v>78</v>
      </c>
      <c r="F6" s="31" t="s">
        <v>87</v>
      </c>
      <c r="G6" s="31" t="s">
        <v>94</v>
      </c>
      <c r="H6" s="31" t="s">
        <v>103</v>
      </c>
      <c r="I6" s="31" t="s">
        <v>156</v>
      </c>
      <c r="J6" s="31" t="s">
        <v>157</v>
      </c>
      <c r="K6" s="31" t="s">
        <v>158</v>
      </c>
      <c r="L6" s="31" t="s">
        <v>159</v>
      </c>
      <c r="M6" s="31" t="s">
        <v>160</v>
      </c>
      <c r="N6" s="31" t="s">
        <v>115</v>
      </c>
      <c r="O6" s="31" t="s">
        <v>116</v>
      </c>
      <c r="P6" s="31" t="s">
        <v>117</v>
      </c>
    </row>
    <row r="7" spans="1:16">
      <c r="B7" s="40">
        <v>45931</v>
      </c>
      <c r="C7" s="35">
        <v>1647000</v>
      </c>
      <c r="D7" s="41">
        <v>9460</v>
      </c>
      <c r="E7" s="42">
        <f>IF(tblMonths[[#This Row],[Month]]="","",SUMIFS(tblCosts[Amount],tblCosts[Month],tblMonths[[#This Row],[Month]],tblCosts[Category],"Prevention"))</f>
        <v>10720</v>
      </c>
      <c r="F7" s="42">
        <f>IF(tblMonths[[#This Row],[Month]]="","",SUMIFS(tblCosts[Amount],tblCosts[Month],tblMonths[[#This Row],[Month]],tblCosts[Category],"Appraisal"))</f>
        <v>23280</v>
      </c>
      <c r="G7" s="42">
        <f>IF(tblMonths[[#This Row],[Month]]="","",SUMIFS(tblCosts[Amount],tblCosts[Month],tblMonths[[#This Row],[Month]],tblCosts[Category],"Internal failure"))</f>
        <v>27160</v>
      </c>
      <c r="H7" s="42">
        <f>IF(tblMonths[[#This Row],[Month]]="","",SUMIFS(tblCosts[Amount],tblCosts[Month],tblMonths[[#This Row],[Month]],tblCosts[Category],"External failure"))</f>
        <v>80980</v>
      </c>
      <c r="I7" s="42">
        <f>IF(tblMonths[[#This Row],[Month]]="","",tblMonths[[#This Row],[Internal failure]]+tblMonths[[#This Row],[External failure]])</f>
        <v>108140</v>
      </c>
      <c r="J7" s="42">
        <f>IF(tblMonths[[#This Row],[Month]]="","",tblMonths[[#This Row],[Prevention]]+tblMonths[[#This Row],[Appraisal]]+tblMonths[[#This Row],[COPQ]])</f>
        <v>142140</v>
      </c>
      <c r="K7" s="43">
        <f>IF(tblMonths[[#This Row],[Month]]="","",IF(N(tblMonths[[#This Row],[Net sales]])&gt;0,tblMonths[[#This Row],[COPQ]]/tblMonths[[#This Row],[Net sales]],""))</f>
        <v>0.065658773527626</v>
      </c>
      <c r="L7" s="44" t="str">
        <f>IF(NOT(ISNUMBER(tblMonths[[#This Row],[COPQ share of sales]])),"",IF(tblMonths[[#This Row],[COPQ share of sales]]&lt;=TargetCOPQ,"On target",IF(tblMonths[[#This Row],[COPQ share of sales]]&lt;=TargetCOPQ*(1+0.05),"Near target","Above target")))</f>
        <v>Above target</v>
      </c>
      <c r="M7" s="45">
        <f>IF(tblMonths[[#This Row],[Month]]="","",IF(N(tblMonths[[#This Row],[Units shipped]])&gt;0,tblMonths[[#This Row],[COPQ]]/tblMonths[[#This Row],[Units shipped]],""))</f>
        <v>11.431289640592</v>
      </c>
      <c r="N7" s="37">
        <f>IF(tblMonths[[#This Row],[Month]]="","",IF(AND(tblMonths[[#This Row],[Month]]&gt;=FFrom,tblMonths[[#This Row],[Month]]&lt;=FTo),tblMonths[[#This Row],[Month]],""))</f>
        <v>45931</v>
      </c>
      <c r="O7" s="38" t="str">
        <f>IF(tblMonths[[#This Row],[Month]]="","",IF(tblMonths[[#This Row],[Net sales]]="","Missing net sales",IF(tblMonths[[#This Row],[Units shipped]]="","Missing units shipped",IF(DAY(tblMonths[[#This Row],[Month]])&lt;&gt;1,"Use the first day of the month",IF(COUNTIF(tblMonths[Month],tblMonths[[#This Row],[Month]])&gt;1,"Duplicate month","OK")))))</f>
        <v>OK</v>
      </c>
      <c r="P7" s="39" t="s">
        <v>163</v>
      </c>
    </row>
    <row r="8" spans="1:16">
      <c r="B8" s="40">
        <v>45962</v>
      </c>
      <c r="C8" s="35">
        <v>1623000</v>
      </c>
      <c r="D8" s="41">
        <v>9090</v>
      </c>
      <c r="E8" s="42">
        <f>IF(tblMonths[[#This Row],[Month]]="","",SUMIFS(tblCosts[Amount],tblCosts[Month],tblMonths[[#This Row],[Month]],tblCosts[Category],"Prevention"))</f>
        <v>9640</v>
      </c>
      <c r="F8" s="42">
        <f>IF(tblMonths[[#This Row],[Month]]="","",SUMIFS(tblCosts[Amount],tblCosts[Month],tblMonths[[#This Row],[Month]],tblCosts[Category],"Appraisal"))</f>
        <v>25070</v>
      </c>
      <c r="G8" s="42">
        <f>IF(tblMonths[[#This Row],[Month]]="","",SUMIFS(tblCosts[Amount],tblCosts[Month],tblMonths[[#This Row],[Month]],tblCosts[Category],"Internal failure"))</f>
        <v>24900</v>
      </c>
      <c r="H8" s="42">
        <f>IF(tblMonths[[#This Row],[Month]]="","",SUMIFS(tblCosts[Amount],tblCosts[Month],tblMonths[[#This Row],[Month]],tblCosts[Category],"External failure"))</f>
        <v>87490</v>
      </c>
      <c r="I8" s="42">
        <f>IF(tblMonths[[#This Row],[Month]]="","",tblMonths[[#This Row],[Internal failure]]+tblMonths[[#This Row],[External failure]])</f>
        <v>112390</v>
      </c>
      <c r="J8" s="42">
        <f>IF(tblMonths[[#This Row],[Month]]="","",tblMonths[[#This Row],[Prevention]]+tblMonths[[#This Row],[Appraisal]]+tblMonths[[#This Row],[COPQ]])</f>
        <v>147100</v>
      </c>
      <c r="K8" s="43">
        <f>IF(tblMonths[[#This Row],[Month]]="","",IF(N(tblMonths[[#This Row],[Net sales]])&gt;0,tblMonths[[#This Row],[COPQ]]/tblMonths[[#This Row],[Net sales]],""))</f>
        <v>0.0692483056069008</v>
      </c>
      <c r="L8" s="44" t="str">
        <f>IF(NOT(ISNUMBER(tblMonths[[#This Row],[COPQ share of sales]])),"",IF(tblMonths[[#This Row],[COPQ share of sales]]&lt;=TargetCOPQ,"On target",IF(tblMonths[[#This Row],[COPQ share of sales]]&lt;=TargetCOPQ*(1+0.05),"Near target","Above target")))</f>
        <v>Above target</v>
      </c>
      <c r="M8" s="45">
        <f>IF(tblMonths[[#This Row],[Month]]="","",IF(N(tblMonths[[#This Row],[Units shipped]])&gt;0,tblMonths[[#This Row],[COPQ]]/tblMonths[[#This Row],[Units shipped]],""))</f>
        <v>12.3641364136414</v>
      </c>
      <c r="N8" s="37">
        <f>IF(tblMonths[[#This Row],[Month]]="","",IF(AND(tblMonths[[#This Row],[Month]]&gt;=FFrom,tblMonths[[#This Row],[Month]]&lt;=FTo),tblMonths[[#This Row],[Month]],""))</f>
        <v>45962</v>
      </c>
      <c r="O8" s="38" t="str">
        <f>IF(tblMonths[[#This Row],[Month]]="","",IF(tblMonths[[#This Row],[Net sales]]="","Missing net sales",IF(tblMonths[[#This Row],[Units shipped]]="","Missing units shipped",IF(DAY(tblMonths[[#This Row],[Month]])&lt;&gt;1,"Use the first day of the month",IF(COUNTIF(tblMonths[Month],tblMonths[[#This Row],[Month]])&gt;1,"Duplicate month","OK")))))</f>
        <v>OK</v>
      </c>
      <c r="P8" s="39" t="s">
        <v>125</v>
      </c>
    </row>
    <row r="9" spans="1:16">
      <c r="B9" s="40">
        <v>45992</v>
      </c>
      <c r="C9" s="35">
        <v>1684000</v>
      </c>
      <c r="D9" s="41">
        <v>9460</v>
      </c>
      <c r="E9" s="42">
        <f>IF(tblMonths[[#This Row],[Month]]="","",SUMIFS(tblCosts[Amount],tblCosts[Month],tblMonths[[#This Row],[Month]],tblCosts[Category],"Prevention"))</f>
        <v>9620</v>
      </c>
      <c r="F9" s="42">
        <f>IF(tblMonths[[#This Row],[Month]]="","",SUMIFS(tblCosts[Amount],tblCosts[Month],tblMonths[[#This Row],[Month]],tblCosts[Category],"Appraisal"))</f>
        <v>24160</v>
      </c>
      <c r="G9" s="42">
        <f>IF(tblMonths[[#This Row],[Month]]="","",SUMIFS(tblCosts[Amount],tblCosts[Month],tblMonths[[#This Row],[Month]],tblCosts[Category],"Internal failure"))</f>
        <v>26800</v>
      </c>
      <c r="H9" s="42">
        <f>IF(tblMonths[[#This Row],[Month]]="","",SUMIFS(tblCosts[Amount],tblCosts[Month],tblMonths[[#This Row],[Month]],tblCosts[Category],"External failure"))</f>
        <v>85200</v>
      </c>
      <c r="I9" s="42">
        <f>IF(tblMonths[[#This Row],[Month]]="","",tblMonths[[#This Row],[Internal failure]]+tblMonths[[#This Row],[External failure]])</f>
        <v>112000</v>
      </c>
      <c r="J9" s="42">
        <f>IF(tblMonths[[#This Row],[Month]]="","",tblMonths[[#This Row],[Prevention]]+tblMonths[[#This Row],[Appraisal]]+tblMonths[[#This Row],[COPQ]])</f>
        <v>145780</v>
      </c>
      <c r="K9" s="43">
        <f>IF(tblMonths[[#This Row],[Month]]="","",IF(N(tblMonths[[#This Row],[Net sales]])&gt;0,tblMonths[[#This Row],[COPQ]]/tblMonths[[#This Row],[Net sales]],""))</f>
        <v>0.0665083135391924</v>
      </c>
      <c r="L9" s="44" t="str">
        <f>IF(NOT(ISNUMBER(tblMonths[[#This Row],[COPQ share of sales]])),"",IF(tblMonths[[#This Row],[COPQ share of sales]]&lt;=TargetCOPQ,"On target",IF(tblMonths[[#This Row],[COPQ share of sales]]&lt;=TargetCOPQ*(1+0.05),"Near target","Above target")))</f>
        <v>Above target</v>
      </c>
      <c r="M9" s="45">
        <f>IF(tblMonths[[#This Row],[Month]]="","",IF(N(tblMonths[[#This Row],[Units shipped]])&gt;0,tblMonths[[#This Row],[COPQ]]/tblMonths[[#This Row],[Units shipped]],""))</f>
        <v>11.8393234672304</v>
      </c>
      <c r="N9" s="37">
        <f>IF(tblMonths[[#This Row],[Month]]="","",IF(AND(tblMonths[[#This Row],[Month]]&gt;=FFrom,tblMonths[[#This Row],[Month]]&lt;=FTo),tblMonths[[#This Row],[Month]],""))</f>
        <v>45992</v>
      </c>
      <c r="O9" s="38" t="str">
        <f>IF(tblMonths[[#This Row],[Month]]="","",IF(tblMonths[[#This Row],[Net sales]]="","Missing net sales",IF(tblMonths[[#This Row],[Units shipped]]="","Missing units shipped",IF(DAY(tblMonths[[#This Row],[Month]])&lt;&gt;1,"Use the first day of the month",IF(COUNTIF(tblMonths[Month],tblMonths[[#This Row],[Month]])&gt;1,"Duplicate month","OK")))))</f>
        <v>OK</v>
      </c>
      <c r="P9" s="39" t="s">
        <v>125</v>
      </c>
    </row>
    <row r="10" spans="1:16">
      <c r="B10" s="40">
        <v>46023</v>
      </c>
      <c r="C10" s="35">
        <v>1825000</v>
      </c>
      <c r="D10" s="41">
        <v>10360</v>
      </c>
      <c r="E10" s="42">
        <f>IF(tblMonths[[#This Row],[Month]]="","",SUMIFS(tblCosts[Amount],tblCosts[Month],tblMonths[[#This Row],[Month]],tblCosts[Category],"Prevention"))</f>
        <v>10840</v>
      </c>
      <c r="F10" s="42">
        <f>IF(tblMonths[[#This Row],[Month]]="","",SUMIFS(tblCosts[Amount],tblCosts[Month],tblMonths[[#This Row],[Month]],tblCosts[Category],"Appraisal"))</f>
        <v>25080</v>
      </c>
      <c r="G10" s="42">
        <f>IF(tblMonths[[#This Row],[Month]]="","",SUMIFS(tblCosts[Amount],tblCosts[Month],tblMonths[[#This Row],[Month]],tblCosts[Category],"Internal failure"))</f>
        <v>25260</v>
      </c>
      <c r="H10" s="42">
        <f>IF(tblMonths[[#This Row],[Month]]="","",SUMIFS(tblCosts[Amount],tblCosts[Month],tblMonths[[#This Row],[Month]],tblCosts[Category],"External failure"))</f>
        <v>82420</v>
      </c>
      <c r="I10" s="42">
        <f>IF(tblMonths[[#This Row],[Month]]="","",tblMonths[[#This Row],[Internal failure]]+tblMonths[[#This Row],[External failure]])</f>
        <v>107680</v>
      </c>
      <c r="J10" s="42">
        <f>IF(tblMonths[[#This Row],[Month]]="","",tblMonths[[#This Row],[Prevention]]+tblMonths[[#This Row],[Appraisal]]+tblMonths[[#This Row],[COPQ]])</f>
        <v>143600</v>
      </c>
      <c r="K10" s="43">
        <f>IF(tblMonths[[#This Row],[Month]]="","",IF(N(tblMonths[[#This Row],[Net sales]])&gt;0,tblMonths[[#This Row],[COPQ]]/tblMonths[[#This Row],[Net sales]],""))</f>
        <v>0.0590027397260274</v>
      </c>
      <c r="L10" s="44" t="str">
        <f>IF(NOT(ISNUMBER(tblMonths[[#This Row],[COPQ share of sales]])),"",IF(tblMonths[[#This Row],[COPQ share of sales]]&lt;=TargetCOPQ,"On target",IF(tblMonths[[#This Row],[COPQ share of sales]]&lt;=TargetCOPQ*(1+0.05),"Near target","Above target")))</f>
        <v>Above target</v>
      </c>
      <c r="M10" s="45">
        <f>IF(tblMonths[[#This Row],[Month]]="","",IF(N(tblMonths[[#This Row],[Units shipped]])&gt;0,tblMonths[[#This Row],[COPQ]]/tblMonths[[#This Row],[Units shipped]],""))</f>
        <v>10.3938223938224</v>
      </c>
      <c r="N10" s="37">
        <f>IF(tblMonths[[#This Row],[Month]]="","",IF(AND(tblMonths[[#This Row],[Month]]&gt;=FFrom,tblMonths[[#This Row],[Month]]&lt;=FTo),tblMonths[[#This Row],[Month]],""))</f>
        <v>46023</v>
      </c>
      <c r="O10" s="38" t="str">
        <f>IF(tblMonths[[#This Row],[Month]]="","",IF(tblMonths[[#This Row],[Net sales]]="","Missing net sales",IF(tblMonths[[#This Row],[Units shipped]]="","Missing units shipped",IF(DAY(tblMonths[[#This Row],[Month]])&lt;&gt;1,"Use the first day of the month",IF(COUNTIF(tblMonths[Month],tblMonths[[#This Row],[Month]])&gt;1,"Duplicate month","OK")))))</f>
        <v>OK</v>
      </c>
      <c r="P10" s="39" t="s">
        <v>125</v>
      </c>
    </row>
    <row r="11" spans="1:16">
      <c r="B11" s="40">
        <v>46054</v>
      </c>
      <c r="C11" s="35">
        <v>1842000</v>
      </c>
      <c r="D11" s="41">
        <v>10640</v>
      </c>
      <c r="E11" s="42">
        <f>IF(tblMonths[[#This Row],[Month]]="","",SUMIFS(tblCosts[Amount],tblCosts[Month],tblMonths[[#This Row],[Month]],tblCosts[Category],"Prevention"))</f>
        <v>36000</v>
      </c>
      <c r="F11" s="42">
        <f>IF(tblMonths[[#This Row],[Month]]="","",SUMIFS(tblCosts[Amount],tblCosts[Month],tblMonths[[#This Row],[Month]],tblCosts[Category],"Appraisal"))</f>
        <v>24060</v>
      </c>
      <c r="G11" s="42">
        <f>IF(tblMonths[[#This Row],[Month]]="","",SUMIFS(tblCosts[Amount],tblCosts[Month],tblMonths[[#This Row],[Month]],tblCosts[Category],"Internal failure"))</f>
        <v>27300</v>
      </c>
      <c r="H11" s="42">
        <f>IF(tblMonths[[#This Row],[Month]]="","",SUMIFS(tblCosts[Amount],tblCosts[Month],tblMonths[[#This Row],[Month]],tblCosts[Category],"External failure"))</f>
        <v>22680</v>
      </c>
      <c r="I11" s="42">
        <f>IF(tblMonths[[#This Row],[Month]]="","",tblMonths[[#This Row],[Internal failure]]+tblMonths[[#This Row],[External failure]])</f>
        <v>49980</v>
      </c>
      <c r="J11" s="42">
        <f>IF(tblMonths[[#This Row],[Month]]="","",tblMonths[[#This Row],[Prevention]]+tblMonths[[#This Row],[Appraisal]]+tblMonths[[#This Row],[COPQ]])</f>
        <v>110040</v>
      </c>
      <c r="K11" s="43">
        <f>IF(tblMonths[[#This Row],[Month]]="","",IF(N(tblMonths[[#This Row],[Net sales]])&gt;0,tblMonths[[#This Row],[COPQ]]/tblMonths[[#This Row],[Net sales]],""))</f>
        <v>0.0271335504885993</v>
      </c>
      <c r="L11" s="44" t="str">
        <f>IF(NOT(ISNUMBER(tblMonths[[#This Row],[COPQ share of sales]])),"",IF(tblMonths[[#This Row],[COPQ share of sales]]&lt;=TargetCOPQ,"On target",IF(tblMonths[[#This Row],[COPQ share of sales]]&lt;=TargetCOPQ*(1+0.05),"Near target","Above target")))</f>
        <v>On target</v>
      </c>
      <c r="M11" s="45">
        <f>IF(tblMonths[[#This Row],[Month]]="","",IF(N(tblMonths[[#This Row],[Units shipped]])&gt;0,tblMonths[[#This Row],[COPQ]]/tblMonths[[#This Row],[Units shipped]],""))</f>
        <v>4.69736842105263</v>
      </c>
      <c r="N11" s="37">
        <f>IF(tblMonths[[#This Row],[Month]]="","",IF(AND(tblMonths[[#This Row],[Month]]&gt;=FFrom,tblMonths[[#This Row],[Month]]&lt;=FTo),tblMonths[[#This Row],[Month]],""))</f>
        <v>46054</v>
      </c>
      <c r="O11" s="38" t="str">
        <f>IF(tblMonths[[#This Row],[Month]]="","",IF(tblMonths[[#This Row],[Net sales]]="","Missing net sales",IF(tblMonths[[#This Row],[Units shipped]]="","Missing units shipped",IF(DAY(tblMonths[[#This Row],[Month]])&lt;&gt;1,"Use the first day of the month",IF(COUNTIF(tblMonths[Month],tblMonths[[#This Row],[Month]])&gt;1,"Duplicate month","OK")))))</f>
        <v>OK</v>
      </c>
      <c r="P11" s="39" t="s">
        <v>125</v>
      </c>
    </row>
    <row r="12" spans="1:16">
      <c r="B12" s="40">
        <v>46082</v>
      </c>
      <c r="C12" s="35">
        <v>1835000</v>
      </c>
      <c r="D12" s="41">
        <v>10550</v>
      </c>
      <c r="E12" s="42">
        <f>IF(tblMonths[[#This Row],[Month]]="","",SUMIFS(tblCosts[Amount],tblCosts[Month],tblMonths[[#This Row],[Month]],tblCosts[Category],"Prevention"))</f>
        <v>50310</v>
      </c>
      <c r="F12" s="42">
        <f>IF(tblMonths[[#This Row],[Month]]="","",SUMIFS(tblCosts[Amount],tblCosts[Month],tblMonths[[#This Row],[Month]],tblCosts[Category],"Appraisal"))</f>
        <v>24200</v>
      </c>
      <c r="G12" s="42">
        <f>IF(tblMonths[[#This Row],[Month]]="","",SUMIFS(tblCosts[Amount],tblCosts[Month],tblMonths[[#This Row],[Month]],tblCosts[Category],"Internal failure"))</f>
        <v>24450</v>
      </c>
      <c r="H12" s="42">
        <f>IF(tblMonths[[#This Row],[Month]]="","",SUMIFS(tblCosts[Amount],tblCosts[Month],tblMonths[[#This Row],[Month]],tblCosts[Category],"External failure"))</f>
        <v>18810</v>
      </c>
      <c r="I12" s="42">
        <f>IF(tblMonths[[#This Row],[Month]]="","",tblMonths[[#This Row],[Internal failure]]+tblMonths[[#This Row],[External failure]])</f>
        <v>43260</v>
      </c>
      <c r="J12" s="42">
        <f>IF(tblMonths[[#This Row],[Month]]="","",tblMonths[[#This Row],[Prevention]]+tblMonths[[#This Row],[Appraisal]]+tblMonths[[#This Row],[COPQ]])</f>
        <v>117770</v>
      </c>
      <c r="K12" s="43">
        <f>IF(tblMonths[[#This Row],[Month]]="","",IF(N(tblMonths[[#This Row],[Net sales]])&gt;0,tblMonths[[#This Row],[COPQ]]/tblMonths[[#This Row],[Net sales]],""))</f>
        <v>0.023574931880109</v>
      </c>
      <c r="L12" s="44" t="str">
        <f>IF(NOT(ISNUMBER(tblMonths[[#This Row],[COPQ share of sales]])),"",IF(tblMonths[[#This Row],[COPQ share of sales]]&lt;=TargetCOPQ,"On target",IF(tblMonths[[#This Row],[COPQ share of sales]]&lt;=TargetCOPQ*(1+0.05),"Near target","Above target")))</f>
        <v>On target</v>
      </c>
      <c r="M12" s="45">
        <f>IF(tblMonths[[#This Row],[Month]]="","",IF(N(tblMonths[[#This Row],[Units shipped]])&gt;0,tblMonths[[#This Row],[COPQ]]/tblMonths[[#This Row],[Units shipped]],""))</f>
        <v>4.10047393364929</v>
      </c>
      <c r="N12" s="37">
        <f>IF(tblMonths[[#This Row],[Month]]="","",IF(AND(tblMonths[[#This Row],[Month]]&gt;=FFrom,tblMonths[[#This Row],[Month]]&lt;=FTo),tblMonths[[#This Row],[Month]],""))</f>
        <v>46082</v>
      </c>
      <c r="O12" s="38" t="str">
        <f>IF(tblMonths[[#This Row],[Month]]="","",IF(tblMonths[[#This Row],[Net sales]]="","Missing net sales",IF(tblMonths[[#This Row],[Units shipped]]="","Missing units shipped",IF(DAY(tblMonths[[#This Row],[Month]])&lt;&gt;1,"Use the first day of the month",IF(COUNTIF(tblMonths[Month],tblMonths[[#This Row],[Month]])&gt;1,"Duplicate month","OK")))))</f>
        <v>OK</v>
      </c>
      <c r="P12" s="39" t="s">
        <v>164</v>
      </c>
    </row>
    <row r="13" spans="1:16">
      <c r="B13" s="40">
        <v>46113</v>
      </c>
      <c r="C13" s="35">
        <v>1620000</v>
      </c>
      <c r="D13" s="41">
        <v>9110</v>
      </c>
      <c r="E13" s="42">
        <f>IF(tblMonths[[#This Row],[Month]]="","",SUMIFS(tblCosts[Amount],tblCosts[Month],tblMonths[[#This Row],[Month]],tblCosts[Category],"Prevention"))</f>
        <v>31770</v>
      </c>
      <c r="F13" s="42">
        <f>IF(tblMonths[[#This Row],[Month]]="","",SUMIFS(tblCosts[Amount],tblCosts[Month],tblMonths[[#This Row],[Month]],tblCosts[Category],"Appraisal"))</f>
        <v>24590</v>
      </c>
      <c r="G13" s="42">
        <f>IF(tblMonths[[#This Row],[Month]]="","",SUMIFS(tblCosts[Amount],tblCosts[Month],tblMonths[[#This Row],[Month]],tblCosts[Category],"Internal failure"))</f>
        <v>25590</v>
      </c>
      <c r="H13" s="42">
        <f>IF(tblMonths[[#This Row],[Month]]="","",SUMIFS(tblCosts[Amount],tblCosts[Month],tblMonths[[#This Row],[Month]],tblCosts[Category],"External failure"))</f>
        <v>20370</v>
      </c>
      <c r="I13" s="42">
        <f>IF(tblMonths[[#This Row],[Month]]="","",tblMonths[[#This Row],[Internal failure]]+tblMonths[[#This Row],[External failure]])</f>
        <v>45960</v>
      </c>
      <c r="J13" s="42">
        <f>IF(tblMonths[[#This Row],[Month]]="","",tblMonths[[#This Row],[Prevention]]+tblMonths[[#This Row],[Appraisal]]+tblMonths[[#This Row],[COPQ]])</f>
        <v>102320</v>
      </c>
      <c r="K13" s="43">
        <f>IF(tblMonths[[#This Row],[Month]]="","",IF(N(tblMonths[[#This Row],[Net sales]])&gt;0,tblMonths[[#This Row],[COPQ]]/tblMonths[[#This Row],[Net sales]],""))</f>
        <v>0.0283703703703704</v>
      </c>
      <c r="L13" s="44" t="str">
        <f>IF(NOT(ISNUMBER(tblMonths[[#This Row],[COPQ share of sales]])),"",IF(tblMonths[[#This Row],[COPQ share of sales]]&lt;=TargetCOPQ,"On target",IF(tblMonths[[#This Row],[COPQ share of sales]]&lt;=TargetCOPQ*(1+0.05),"Near target","Above target")))</f>
        <v>On target</v>
      </c>
      <c r="M13" s="45">
        <f>IF(tblMonths[[#This Row],[Month]]="","",IF(N(tblMonths[[#This Row],[Units shipped]])&gt;0,tblMonths[[#This Row],[COPQ]]/tblMonths[[#This Row],[Units shipped]],""))</f>
        <v>5.0450054884742</v>
      </c>
      <c r="N13" s="37">
        <f>IF(tblMonths[[#This Row],[Month]]="","",IF(AND(tblMonths[[#This Row],[Month]]&gt;=FFrom,tblMonths[[#This Row],[Month]]&lt;=FTo),tblMonths[[#This Row],[Month]],""))</f>
        <v>46113</v>
      </c>
      <c r="O13" s="38" t="str">
        <f>IF(tblMonths[[#This Row],[Month]]="","",IF(tblMonths[[#This Row],[Net sales]]="","Missing net sales",IF(tblMonths[[#This Row],[Units shipped]]="","Missing units shipped",IF(DAY(tblMonths[[#This Row],[Month]])&lt;&gt;1,"Use the first day of the month",IF(COUNTIF(tblMonths[Month],tblMonths[[#This Row],[Month]])&gt;1,"Duplicate month","OK")))))</f>
        <v>OK</v>
      </c>
      <c r="P13" s="39" t="s">
        <v>125</v>
      </c>
    </row>
    <row r="14" spans="1:16">
      <c r="B14" s="40">
        <v>46143</v>
      </c>
      <c r="C14" s="35">
        <v>1898000</v>
      </c>
      <c r="D14" s="41">
        <v>10750</v>
      </c>
      <c r="E14" s="42">
        <f>IF(tblMonths[[#This Row],[Month]]="","",SUMIFS(tblCosts[Amount],tblCosts[Month],tblMonths[[#This Row],[Month]],tblCosts[Category],"Prevention"))</f>
        <v>9770</v>
      </c>
      <c r="F14" s="42">
        <f>IF(tblMonths[[#This Row],[Month]]="","",SUMIFS(tblCosts[Amount],tblCosts[Month],tblMonths[[#This Row],[Month]],tblCosts[Category],"Appraisal"))</f>
        <v>24420</v>
      </c>
      <c r="G14" s="42">
        <f>IF(tblMonths[[#This Row],[Month]]="","",SUMIFS(tblCosts[Amount],tblCosts[Month],tblMonths[[#This Row],[Month]],tblCosts[Category],"Internal failure"))</f>
        <v>20240</v>
      </c>
      <c r="H14" s="42">
        <f>IF(tblMonths[[#This Row],[Month]]="","",SUMIFS(tblCosts[Amount],tblCosts[Month],tblMonths[[#This Row],[Month]],tblCosts[Category],"External failure"))</f>
        <v>8940</v>
      </c>
      <c r="I14" s="42">
        <f>IF(tblMonths[[#This Row],[Month]]="","",tblMonths[[#This Row],[Internal failure]]+tblMonths[[#This Row],[External failure]])</f>
        <v>29180</v>
      </c>
      <c r="J14" s="42">
        <f>IF(tblMonths[[#This Row],[Month]]="","",tblMonths[[#This Row],[Prevention]]+tblMonths[[#This Row],[Appraisal]]+tblMonths[[#This Row],[COPQ]])</f>
        <v>63370</v>
      </c>
      <c r="K14" s="43">
        <f>IF(tblMonths[[#This Row],[Month]]="","",IF(N(tblMonths[[#This Row],[Net sales]])&gt;0,tblMonths[[#This Row],[COPQ]]/tblMonths[[#This Row],[Net sales]],""))</f>
        <v>0.0153740779768177</v>
      </c>
      <c r="L14" s="44" t="str">
        <f>IF(NOT(ISNUMBER(tblMonths[[#This Row],[COPQ share of sales]])),"",IF(tblMonths[[#This Row],[COPQ share of sales]]&lt;=TargetCOPQ,"On target",IF(tblMonths[[#This Row],[COPQ share of sales]]&lt;=TargetCOPQ*(1+0.05),"Near target","Above target")))</f>
        <v>On target</v>
      </c>
      <c r="M14" s="45">
        <f>IF(tblMonths[[#This Row],[Month]]="","",IF(N(tblMonths[[#This Row],[Units shipped]])&gt;0,tblMonths[[#This Row],[COPQ]]/tblMonths[[#This Row],[Units shipped]],""))</f>
        <v>2.71441860465116</v>
      </c>
      <c r="N14" s="37">
        <f>IF(tblMonths[[#This Row],[Month]]="","",IF(AND(tblMonths[[#This Row],[Month]]&gt;=FFrom,tblMonths[[#This Row],[Month]]&lt;=FTo),tblMonths[[#This Row],[Month]],""))</f>
        <v>46143</v>
      </c>
      <c r="O14" s="38" t="str">
        <f>IF(tblMonths[[#This Row],[Month]]="","",IF(tblMonths[[#This Row],[Net sales]]="","Missing net sales",IF(tblMonths[[#This Row],[Units shipped]]="","Missing units shipped",IF(DAY(tblMonths[[#This Row],[Month]])&lt;&gt;1,"Use the first day of the month",IF(COUNTIF(tblMonths[Month],tblMonths[[#This Row],[Month]])&gt;1,"Duplicate month","OK")))))</f>
        <v>OK</v>
      </c>
      <c r="P14" s="39" t="s">
        <v>125</v>
      </c>
    </row>
    <row r="15" spans="1:16">
      <c r="B15" s="40">
        <v>46174</v>
      </c>
      <c r="C15" s="35">
        <v>1679000</v>
      </c>
      <c r="D15" s="41">
        <v>9650</v>
      </c>
      <c r="E15" s="42">
        <f>IF(tblMonths[[#This Row],[Month]]="","",SUMIFS(tblCosts[Amount],tblCosts[Month],tblMonths[[#This Row],[Month]],tblCosts[Category],"Prevention"))</f>
        <v>11450</v>
      </c>
      <c r="F15" s="42">
        <f>IF(tblMonths[[#This Row],[Month]]="","",SUMIFS(tblCosts[Amount],tblCosts[Month],tblMonths[[#This Row],[Month]],tblCosts[Category],"Appraisal"))</f>
        <v>24780</v>
      </c>
      <c r="G15" s="42">
        <f>IF(tblMonths[[#This Row],[Month]]="","",SUMIFS(tblCosts[Amount],tblCosts[Month],tblMonths[[#This Row],[Month]],tblCosts[Category],"Internal failure"))</f>
        <v>21540</v>
      </c>
      <c r="H15" s="42">
        <f>IF(tblMonths[[#This Row],[Month]]="","",SUMIFS(tblCosts[Amount],tblCosts[Month],tblMonths[[#This Row],[Month]],tblCosts[Category],"External failure"))</f>
        <v>8900</v>
      </c>
      <c r="I15" s="42">
        <f>IF(tblMonths[[#This Row],[Month]]="","",tblMonths[[#This Row],[Internal failure]]+tblMonths[[#This Row],[External failure]])</f>
        <v>30440</v>
      </c>
      <c r="J15" s="42">
        <f>IF(tblMonths[[#This Row],[Month]]="","",tblMonths[[#This Row],[Prevention]]+tblMonths[[#This Row],[Appraisal]]+tblMonths[[#This Row],[COPQ]])</f>
        <v>66670</v>
      </c>
      <c r="K15" s="43">
        <f>IF(tblMonths[[#This Row],[Month]]="","",IF(N(tblMonths[[#This Row],[Net sales]])&gt;0,tblMonths[[#This Row],[COPQ]]/tblMonths[[#This Row],[Net sales]],""))</f>
        <v>0.018129839189994</v>
      </c>
      <c r="L15" s="44" t="str">
        <f>IF(NOT(ISNUMBER(tblMonths[[#This Row],[COPQ share of sales]])),"",IF(tblMonths[[#This Row],[COPQ share of sales]]&lt;=TargetCOPQ,"On target",IF(tblMonths[[#This Row],[COPQ share of sales]]&lt;=TargetCOPQ*(1+0.05),"Near target","Above target")))</f>
        <v>On target</v>
      </c>
      <c r="M15" s="45">
        <f>IF(tblMonths[[#This Row],[Month]]="","",IF(N(tblMonths[[#This Row],[Units shipped]])&gt;0,tblMonths[[#This Row],[COPQ]]/tblMonths[[#This Row],[Units shipped]],""))</f>
        <v>3.15440414507772</v>
      </c>
      <c r="N15" s="37">
        <f>IF(tblMonths[[#This Row],[Month]]="","",IF(AND(tblMonths[[#This Row],[Month]]&gt;=FFrom,tblMonths[[#This Row],[Month]]&lt;=FTo),tblMonths[[#This Row],[Month]],""))</f>
        <v>46174</v>
      </c>
      <c r="O15" s="38" t="str">
        <f>IF(tblMonths[[#This Row],[Month]]="","",IF(tblMonths[[#This Row],[Net sales]]="","Missing net sales",IF(tblMonths[[#This Row],[Units shipped]]="","Missing units shipped",IF(DAY(tblMonths[[#This Row],[Month]])&lt;&gt;1,"Use the first day of the month",IF(COUNTIF(tblMonths[Month],tblMonths[[#This Row],[Month]])&gt;1,"Duplicate month","OK")))))</f>
        <v>OK</v>
      </c>
      <c r="P15" s="39" t="s">
        <v>125</v>
      </c>
    </row>
    <row r="16" spans="1:16">
      <c r="B16" s="40">
        <v>46204</v>
      </c>
      <c r="C16" s="35">
        <v>1884000</v>
      </c>
      <c r="D16" s="41">
        <v>10880</v>
      </c>
      <c r="E16" s="42">
        <f>IF(tblMonths[[#This Row],[Month]]="","",SUMIFS(tblCosts[Amount],tblCosts[Month],tblMonths[[#This Row],[Month]],tblCosts[Category],"Prevention"))</f>
        <v>10100</v>
      </c>
      <c r="F16" s="42">
        <f>IF(tblMonths[[#This Row],[Month]]="","",SUMIFS(tblCosts[Amount],tblCosts[Month],tblMonths[[#This Row],[Month]],tblCosts[Category],"Appraisal"))</f>
        <v>25590</v>
      </c>
      <c r="G16" s="42">
        <f>IF(tblMonths[[#This Row],[Month]]="","",SUMIFS(tblCosts[Amount],tblCosts[Month],tblMonths[[#This Row],[Month]],tblCosts[Category],"Internal failure"))</f>
        <v>19770</v>
      </c>
      <c r="H16" s="42">
        <f>IF(tblMonths[[#This Row],[Month]]="","",SUMIFS(tblCosts[Amount],tblCosts[Month],tblMonths[[#This Row],[Month]],tblCosts[Category],"External failure"))</f>
        <v>10420</v>
      </c>
      <c r="I16" s="42">
        <f>IF(tblMonths[[#This Row],[Month]]="","",tblMonths[[#This Row],[Internal failure]]+tblMonths[[#This Row],[External failure]])</f>
        <v>30190</v>
      </c>
      <c r="J16" s="42">
        <f>IF(tblMonths[[#This Row],[Month]]="","",tblMonths[[#This Row],[Prevention]]+tblMonths[[#This Row],[Appraisal]]+tblMonths[[#This Row],[COPQ]])</f>
        <v>65880</v>
      </c>
      <c r="K16" s="43">
        <f>IF(tblMonths[[#This Row],[Month]]="","",IF(N(tblMonths[[#This Row],[Net sales]])&gt;0,tblMonths[[#This Row],[COPQ]]/tblMonths[[#This Row],[Net sales]],""))</f>
        <v>0.0160244161358811</v>
      </c>
      <c r="L16" s="44" t="str">
        <f>IF(NOT(ISNUMBER(tblMonths[[#This Row],[COPQ share of sales]])),"",IF(tblMonths[[#This Row],[COPQ share of sales]]&lt;=TargetCOPQ,"On target",IF(tblMonths[[#This Row],[COPQ share of sales]]&lt;=TargetCOPQ*(1+0.05),"Near target","Above target")))</f>
        <v>On target</v>
      </c>
      <c r="M16" s="45">
        <f>IF(tblMonths[[#This Row],[Month]]="","",IF(N(tblMonths[[#This Row],[Units shipped]])&gt;0,tblMonths[[#This Row],[COPQ]]/tblMonths[[#This Row],[Units shipped]],""))</f>
        <v>2.77481617647059</v>
      </c>
      <c r="N16" s="37">
        <f>IF(tblMonths[[#This Row],[Month]]="","",IF(AND(tblMonths[[#This Row],[Month]]&gt;=FFrom,tblMonths[[#This Row],[Month]]&lt;=FTo),tblMonths[[#This Row],[Month]],""))</f>
        <v>46204</v>
      </c>
      <c r="O16" s="38" t="str">
        <f>IF(tblMonths[[#This Row],[Month]]="","",IF(tblMonths[[#This Row],[Net sales]]="","Missing net sales",IF(tblMonths[[#This Row],[Units shipped]]="","Missing units shipped",IF(DAY(tblMonths[[#This Row],[Month]])&lt;&gt;1,"Use the first day of the month",IF(COUNTIF(tblMonths[Month],tblMonths[[#This Row],[Month]])&gt;1,"Duplicate month","OK")))))</f>
        <v>OK</v>
      </c>
      <c r="P16" s="39" t="s">
        <v>125</v>
      </c>
    </row>
    <row r="17" spans="2:16">
      <c r="B17" s="40">
        <v>46235</v>
      </c>
      <c r="C17" s="35">
        <v>1864000</v>
      </c>
      <c r="D17" s="41">
        <v>10830</v>
      </c>
      <c r="E17" s="42">
        <f>IF(tblMonths[[#This Row],[Month]]="","",SUMIFS(tblCosts[Amount],tblCosts[Month],tblMonths[[#This Row],[Month]],tblCosts[Category],"Prevention"))</f>
        <v>9470</v>
      </c>
      <c r="F17" s="42">
        <f>IF(tblMonths[[#This Row],[Month]]="","",SUMIFS(tblCosts[Amount],tblCosts[Month],tblMonths[[#This Row],[Month]],tblCosts[Category],"Appraisal"))</f>
        <v>24700</v>
      </c>
      <c r="G17" s="42">
        <f>IF(tblMonths[[#This Row],[Month]]="","",SUMIFS(tblCosts[Amount],tblCosts[Month],tblMonths[[#This Row],[Month]],tblCosts[Category],"Internal failure"))</f>
        <v>20390</v>
      </c>
      <c r="H17" s="42">
        <f>IF(tblMonths[[#This Row],[Month]]="","",SUMIFS(tblCosts[Amount],tblCosts[Month],tblMonths[[#This Row],[Month]],tblCosts[Category],"External failure"))</f>
        <v>7920</v>
      </c>
      <c r="I17" s="42">
        <f>IF(tblMonths[[#This Row],[Month]]="","",tblMonths[[#This Row],[Internal failure]]+tblMonths[[#This Row],[External failure]])</f>
        <v>28310</v>
      </c>
      <c r="J17" s="42">
        <f>IF(tblMonths[[#This Row],[Month]]="","",tblMonths[[#This Row],[Prevention]]+tblMonths[[#This Row],[Appraisal]]+tblMonths[[#This Row],[COPQ]])</f>
        <v>62480</v>
      </c>
      <c r="K17" s="43">
        <f>IF(tblMonths[[#This Row],[Month]]="","",IF(N(tblMonths[[#This Row],[Net sales]])&gt;0,tblMonths[[#This Row],[COPQ]]/tblMonths[[#This Row],[Net sales]],""))</f>
        <v>0.0151877682403433</v>
      </c>
      <c r="L17" s="44" t="str">
        <f>IF(NOT(ISNUMBER(tblMonths[[#This Row],[COPQ share of sales]])),"",IF(tblMonths[[#This Row],[COPQ share of sales]]&lt;=TargetCOPQ,"On target",IF(tblMonths[[#This Row],[COPQ share of sales]]&lt;=TargetCOPQ*(1+0.05),"Near target","Above target")))</f>
        <v>On target</v>
      </c>
      <c r="M17" s="45">
        <f>IF(tblMonths[[#This Row],[Month]]="","",IF(N(tblMonths[[#This Row],[Units shipped]])&gt;0,tblMonths[[#This Row],[COPQ]]/tblMonths[[#This Row],[Units shipped]],""))</f>
        <v>2.6140350877193</v>
      </c>
      <c r="N17" s="37">
        <f>IF(tblMonths[[#This Row],[Month]]="","",IF(AND(tblMonths[[#This Row],[Month]]&gt;=FFrom,tblMonths[[#This Row],[Month]]&lt;=FTo),tblMonths[[#This Row],[Month]],""))</f>
        <v>46235</v>
      </c>
      <c r="O17" s="38" t="str">
        <f>IF(tblMonths[[#This Row],[Month]]="","",IF(tblMonths[[#This Row],[Net sales]]="","Missing net sales",IF(tblMonths[[#This Row],[Units shipped]]="","Missing units shipped",IF(DAY(tblMonths[[#This Row],[Month]])&lt;&gt;1,"Use the first day of the month",IF(COUNTIF(tblMonths[Month],tblMonths[[#This Row],[Month]])&gt;1,"Duplicate month","OK")))))</f>
        <v>OK</v>
      </c>
      <c r="P17" s="39" t="s">
        <v>125</v>
      </c>
    </row>
    <row r="18" spans="2:16">
      <c r="B18" s="40">
        <v>46266</v>
      </c>
      <c r="C18" s="35">
        <v>1684000</v>
      </c>
      <c r="D18" s="41">
        <v>9700</v>
      </c>
      <c r="E18" s="42">
        <f>IF(tblMonths[[#This Row],[Month]]="","",SUMIFS(tblCosts[Amount],tblCosts[Month],tblMonths[[#This Row],[Month]],tblCosts[Category],"Prevention"))</f>
        <v>10780</v>
      </c>
      <c r="F18" s="42">
        <f>IF(tblMonths[[#This Row],[Month]]="","",SUMIFS(tblCosts[Amount],tblCosts[Month],tblMonths[[#This Row],[Month]],tblCosts[Category],"Appraisal"))</f>
        <v>23920</v>
      </c>
      <c r="G18" s="42">
        <f>IF(tblMonths[[#This Row],[Month]]="","",SUMIFS(tblCosts[Amount],tblCosts[Month],tblMonths[[#This Row],[Month]],tblCosts[Category],"Internal failure"))</f>
        <v>22280</v>
      </c>
      <c r="H18" s="42">
        <f>IF(tblMonths[[#This Row],[Month]]="","",SUMIFS(tblCosts[Amount],tblCosts[Month],tblMonths[[#This Row],[Month]],tblCosts[Category],"External failure"))</f>
        <v>7900</v>
      </c>
      <c r="I18" s="42">
        <f>IF(tblMonths[[#This Row],[Month]]="","",tblMonths[[#This Row],[Internal failure]]+tblMonths[[#This Row],[External failure]])</f>
        <v>30180</v>
      </c>
      <c r="J18" s="42">
        <f>IF(tblMonths[[#This Row],[Month]]="","",tblMonths[[#This Row],[Prevention]]+tblMonths[[#This Row],[Appraisal]]+tblMonths[[#This Row],[COPQ]])</f>
        <v>64880</v>
      </c>
      <c r="K18" s="43">
        <f>IF(tblMonths[[#This Row],[Month]]="","",IF(N(tblMonths[[#This Row],[Net sales]])&gt;0,tblMonths[[#This Row],[COPQ]]/tblMonths[[#This Row],[Net sales]],""))</f>
        <v>0.0179216152019002</v>
      </c>
      <c r="L18" s="44" t="str">
        <f>IF(NOT(ISNUMBER(tblMonths[[#This Row],[COPQ share of sales]])),"",IF(tblMonths[[#This Row],[COPQ share of sales]]&lt;=TargetCOPQ,"On target",IF(tblMonths[[#This Row],[COPQ share of sales]]&lt;=TargetCOPQ*(1+0.05),"Near target","Above target")))</f>
        <v>On target</v>
      </c>
      <c r="M18" s="45">
        <f>IF(tblMonths[[#This Row],[Month]]="","",IF(N(tblMonths[[#This Row],[Units shipped]])&gt;0,tblMonths[[#This Row],[COPQ]]/tblMonths[[#This Row],[Units shipped]],""))</f>
        <v>3.11134020618557</v>
      </c>
      <c r="N18" s="37">
        <f>IF(tblMonths[[#This Row],[Month]]="","",IF(AND(tblMonths[[#This Row],[Month]]&gt;=FFrom,tblMonths[[#This Row],[Month]]&lt;=FTo),tblMonths[[#This Row],[Month]],""))</f>
        <v>46266</v>
      </c>
      <c r="O18" s="38" t="str">
        <f>IF(tblMonths[[#This Row],[Month]]="","",IF(tblMonths[[#This Row],[Net sales]]="","Missing net sales",IF(tblMonths[[#This Row],[Units shipped]]="","Missing units shipped",IF(DAY(tblMonths[[#This Row],[Month]])&lt;&gt;1,"Use the first day of the month",IF(COUNTIF(tblMonths[Month],tblMonths[[#This Row],[Month]])&gt;1,"Duplicate month","OK")))))</f>
        <v>OK</v>
      </c>
      <c r="P18" s="39" t="s">
        <v>125</v>
      </c>
    </row>
  </sheetData>
  <mergeCells count="3">
    <mergeCell ref="A1:P1"/>
    <mergeCell ref="B2:O2"/>
    <mergeCell ref="B4:P4"/>
  </mergeCells>
  <conditionalFormatting sqref="K7:K518">
    <cfRule type="expression" dxfId="3" priority="1" stopIfTrue="1">
      <formula>AND(ISNUMBER(K7),K7&lt;=(TargetCOPQ))</formula>
    </cfRule>
    <cfRule type="expression" dxfId="4" priority="2" stopIfTrue="1">
      <formula>AND(ISNUMBER(K7),K7&lt;=(TargetCOPQ)*(1+0.05))</formula>
    </cfRule>
    <cfRule type="expression" dxfId="5" priority="3">
      <formula>ISNUMBER(K7)</formula>
    </cfRule>
  </conditionalFormatting>
  <conditionalFormatting sqref="L7:L518">
    <cfRule type="cellIs" dxfId="0" priority="4" operator="equal">
      <formula>"On target"</formula>
    </cfRule>
    <cfRule type="cellIs" dxfId="0" priority="5" operator="equal">
      <formula>"PASS"</formula>
    </cfRule>
    <cfRule type="cellIs" dxfId="0" priority="6" operator="equal">
      <formula>"OK"</formula>
    </cfRule>
    <cfRule type="cellIs" dxfId="0" priority="7" operator="equal">
      <formula>"Within limits"</formula>
    </cfRule>
    <cfRule type="cellIs" dxfId="0" priority="8" operator="equal">
      <formula>"Under capacity"</formula>
    </cfRule>
    <cfRule type="cellIs" dxfId="0" priority="9" operator="equal">
      <formula>"Complete"</formula>
    </cfRule>
    <cfRule type="cellIs" dxfId="0" priority="10" operator="equal">
      <formula>"Yes"</formula>
    </cfRule>
    <cfRule type="cellIs" dxfId="1" priority="11" operator="equal">
      <formula>"Near target"</formula>
    </cfRule>
    <cfRule type="cellIs" dxfId="1" priority="12" operator="equal">
      <formula>"Check"</formula>
    </cfRule>
    <cfRule type="cellIs" dxfId="1" priority="13" operator="equal">
      <formula>"Due soon"</formula>
    </cfRule>
    <cfRule type="cellIs" dxfId="1" priority="14" operator="equal">
      <formula>"Near capacity"</formula>
    </cfRule>
    <cfRule type="cellIs" dxfId="1" priority="15" operator="equal">
      <formula>"In progress"</formula>
    </cfRule>
    <cfRule type="cellIs" dxfId="1" priority="16" operator="equal">
      <formula>"Partial"</formula>
    </cfRule>
    <cfRule type="cellIs" dxfId="2" priority="17" operator="equal">
      <formula>"Below target"</formula>
    </cfRule>
    <cfRule type="cellIs" dxfId="2" priority="18" operator="equal">
      <formula>"Above target"</formula>
    </cfRule>
    <cfRule type="cellIs" dxfId="2" priority="19" operator="equal">
      <formula>"FAIL"</formula>
    </cfRule>
    <cfRule type="cellIs" dxfId="2" priority="20" operator="equal">
      <formula>"Over capacity"</formula>
    </cfRule>
    <cfRule type="cellIs" dxfId="2" priority="21" operator="equal">
      <formula>"Overdue"</formula>
    </cfRule>
    <cfRule type="cellIs" dxfId="2" priority="22" operator="equal">
      <formula>"Out of limits"</formula>
    </cfRule>
    <cfRule type="cellIs" dxfId="2" priority="23" operator="equal">
      <formula>"No"</formula>
    </cfRule>
  </conditionalFormatting>
  <conditionalFormatting sqref="O7:O518">
    <cfRule type="expression" dxfId="3" priority="24">
      <formula>$O7="OK"</formula>
    </cfRule>
    <cfRule type="expression" dxfId="1" priority="25">
      <formula>AND($O7&lt;&gt;"",$O7&lt;&gt;"OK")</formula>
    </cfRule>
  </conditionalFormatting>
  <dataValidations count="4">
    <dataValidation type="date" allowBlank="1" showInputMessage="1" showErrorMessage="1" errorTitle="Check this entry" error="Enter a date between 01 Jan 2000 and 31 Dec 2100." promptTitle="Month" prompt="The first day of the month, e.g. 1 Oct 2025. Enter a date between 01 Jan 2000 and 31 Dec 2100." sqref="B7:B518">
      <formula1>36526</formula1>
      <formula2>73415</formula2>
    </dataValidation>
    <dataValidation type="decimal" allowBlank="1" showInputMessage="1" showErrorMessage="1" errorTitle="Check this entry" error="Enter a number of at least 0." promptTitle="Net sales" prompt="Net sales (invoiced revenue) for the month, from your accounts. Enter a number of at least 0." sqref="C7:C518">
      <formula1>0</formula1>
      <formula2>1000000000000.0</formula2>
    </dataValidation>
    <dataValidation type="whole" allowBlank="1" showInputMessage="1" showErrorMessage="1" errorTitle="Check this entry" error="Enter a whole number of at least 0." promptTitle="Units shipped" prompt="Units shipped to customers in the month. Enter a whole number of at least 0." sqref="D7:D518">
      <formula1>0</formula1>
      <formula2>10000000000.0</formula2>
    </dataValidation>
    <dataValidation type="textLength" allowBlank="1" showInputMessage="1" showErrorMessage="1" errorTitle="Check this entry" error="Text up to 255 characters." promptTitle="Notes" prompt="Text up to 255 characters." sqref="P7:P518">
      <formula1>0</formula1>
      <formula2>255</formula2>
    </dataValidation>
  </dataValidations>
  <hyperlinks>
    <hyperlink ref="P2" r:id="rId1" tooltip="Free manufacturing calculators and templates"/>
  </hyperlinks>
  <pageMargins left="0.4" right="0.4" top="0.7" bottom="0.65" header="0.3" footer="0.3"/>
  <pageSetup fitToHeight="0" orientation="landscape"/>
  <headerFooter>
    <oddHeader>&amp;L&amp;8MFG Calcs - Cost of Poor Quality Tracker&amp;R&amp;8&amp;A</oddHeader>
    <oddFooter>&amp;L&amp;8mfgcalcs.com - free manufacturing templates&amp;R&amp;8Page &amp;P of &amp;N</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AQ88"/>
  <sheetViews>
    <sheetView showGridLines="0" zoomScale="90" zoomScaleNormal="90" workbookViewId="0"/>
  </sheetViews>
  <sheetFormatPr defaultRowHeight="15" x14ac:dyDescent="0.25"/>
  <cols>
    <col min="1" max="1" width="2.7109375" customWidth="1"/>
    <col min="2" max="2" width="20.7109375" customWidth="1"/>
    <col min="3" max="12" width="10.7109375" customWidth="1"/>
    <col min="41" max="43" width="12.7109375" hidden="1" customWidth="1"/>
  </cols>
  <sheetData>
    <row r="1" spans="1:12" ht="30" customHeight="1" x14ac:dyDescent="0.25">
      <c r="A1" s="1" t="s">
        <v>0</v>
      </c>
      <c r="B1" s="1"/>
      <c r="C1" s="1"/>
      <c r="D1" s="1"/>
      <c r="E1" s="1"/>
      <c r="F1" s="1"/>
      <c r="G1" s="1"/>
      <c r="H1" s="1"/>
      <c r="I1" s="1"/>
      <c r="J1" s="1"/>
      <c r="K1" s="1"/>
      <c r="L1" s="1"/>
    </row>
    <row r="2" spans="1:12" ht="21" customHeight="1" x14ac:dyDescent="0.25">
      <c r="B2" s="2" t="s">
        <v>26</v>
      </c>
      <c r="C2" s="2"/>
      <c r="D2" s="2"/>
      <c r="E2" s="2"/>
      <c r="F2" s="2"/>
      <c r="G2" s="2"/>
      <c r="H2" s="2"/>
      <c r="I2" s="2"/>
      <c r="J2" s="2"/>
      <c r="K2" s="3" t="s">
        <v>2</v>
      </c>
      <c r="L2" s="3"/>
    </row>
    <row r="3" spans="1:12" ht="6" customHeight="1" x14ac:dyDescent="0.25"/>
    <row r="4" spans="1:12" x14ac:dyDescent="0.25">
      <c r="B4" s="27" t="s">
        <v>165</v>
      </c>
      <c r="C4" s="46"/>
      <c r="D4" s="46"/>
      <c r="F4" s="27" t="s">
        <v>166</v>
      </c>
      <c r="G4" s="46"/>
      <c r="H4" s="46"/>
    </row>
    <row r="5" spans="1:12" x14ac:dyDescent="0.25">
      <c r="B5" s="47" t="str">
        <f>"Showing "&amp;COUNTIFS(tblMonths[View date],"&gt;0")&amp;" months and "&amp;COUNTIFS(tblCosts[View date],"&gt;0")&amp;" cost entries. Leave the filters blank to include everything; months are inclusive."</f>
        <v>Showing 12 months and 195 cost entries. Leave the filters blank to include everything; months are inclusive.</v>
      </c>
      <c r="C5" s="47"/>
      <c r="D5" s="47"/>
      <c r="E5" s="47"/>
      <c r="F5" s="47"/>
      <c r="G5" s="47"/>
      <c r="H5" s="47"/>
      <c r="I5" s="47"/>
      <c r="J5" s="47"/>
      <c r="K5" s="47"/>
      <c r="L5" s="47"/>
    </row>
    <row r="7" spans="1:12" ht="18" customHeight="1" x14ac:dyDescent="0.25">
      <c r="B7" s="48" t="str">
        <f>"COST OF POOR QUALITY ("&amp;Currency&amp;")"</f>
        <v>COST OF POOR QUALITY (USD)</v>
      </c>
      <c r="C7" s="48"/>
      <c r="D7" s="48" t="s">
        <v>167</v>
      </c>
      <c r="E7" s="48"/>
      <c r="F7" s="48"/>
      <c r="G7" s="48" t="str">
        <f>"COPQ PER UNIT SHIPPED ("&amp;Currency&amp;")"</f>
        <v>COPQ PER UNIT SHIPPED (USD)</v>
      </c>
      <c r="H7" s="48"/>
      <c r="I7" s="48"/>
      <c r="J7" s="48" t="s">
        <v>168</v>
      </c>
      <c r="K7" s="48"/>
      <c r="L7" s="48"/>
    </row>
    <row r="8" spans="1:12" ht="21" customHeight="1" x14ac:dyDescent="0.25">
      <c r="B8" s="49">
        <f>SUMIFS(tblMonths[COPQ],tblMonths[View date],"&gt;0")</f>
        <v>727710</v>
      </c>
      <c r="C8" s="49"/>
      <c r="D8" s="50">
        <f>IF((SUMIFS(tblMonths[Net sales],tblMonths[View date],"&gt;0"))=0,"",(SUMIFS(tblMonths[COPQ],tblMonths[View date],"&gt;0"))/(SUMIFS(tblMonths[Net sales],tblMonths[View date],"&gt;0")))</f>
        <v>0.0345131610149395</v>
      </c>
      <c r="E8" s="50"/>
      <c r="F8" s="50"/>
      <c r="G8" s="51">
        <f>IF((SUMIFS(tblMonths[Units shipped],tblMonths[View date],"&gt;0"))=0,"",(SUMIFS(tblMonths[COPQ],tblMonths[View date],"&gt;0"))/(SUMIFS(tblMonths[Units shipped],tblMonths[View date],"&gt;0")))</f>
        <v>6.04008964143426</v>
      </c>
      <c r="H8" s="51"/>
      <c r="I8" s="51"/>
      <c r="J8" s="52" t="str">
        <f>IF(N(INDEX($E$70:$E$84,1))&gt;0,INDEX($C$70:$C$84,1),"None logged")</f>
        <v>Warranty claims</v>
      </c>
      <c r="K8" s="52"/>
      <c r="L8" s="52"/>
    </row>
    <row r="9" spans="1:12" ht="21" customHeight="1" x14ac:dyDescent="0.25">
      <c r="B9" s="49"/>
      <c r="C9" s="49"/>
      <c r="D9" s="50"/>
      <c r="E9" s="50"/>
      <c r="F9" s="50"/>
      <c r="G9" s="51"/>
      <c r="H9" s="51"/>
      <c r="I9" s="51"/>
      <c r="J9" s="52"/>
      <c r="K9" s="52"/>
      <c r="L9" s="52"/>
    </row>
    <row r="10" spans="1:12" x14ac:dyDescent="0.25">
      <c r="B10" s="53" t="s">
        <v>169</v>
      </c>
      <c r="C10" s="53"/>
      <c r="D10" s="54">
        <f>TargetCOPQ</f>
        <v>0.03</v>
      </c>
      <c r="E10" s="54"/>
      <c r="F10" s="54"/>
      <c r="G10" s="53" t="s">
        <v>170</v>
      </c>
      <c r="H10" s="53"/>
      <c r="I10" s="53"/>
      <c r="J10" s="53" t="s">
        <v>171</v>
      </c>
      <c r="K10" s="53"/>
      <c r="L10" s="53"/>
    </row>
    <row r="11" spans="1:12" ht="18" customHeight="1" x14ac:dyDescent="0.25">
      <c r="B11" s="55"/>
      <c r="C11" s="55"/>
      <c r="D11" s="55" t="str">
        <f>IF(NOT(ISNUMBER(KpiShare)),"No data",IF(KpiShare&lt;=(TargetCOPQ),"On target",IF(KpiShare&lt;=(TargetCOPQ)*(1+0.05),"Near target","Above target")))</f>
        <v>Above target</v>
      </c>
      <c r="E11" s="55"/>
      <c r="F11" s="55"/>
      <c r="G11" s="55"/>
      <c r="H11" s="55"/>
      <c r="I11" s="55"/>
      <c r="J11" s="55"/>
      <c r="K11" s="55"/>
      <c r="L11" s="55"/>
    </row>
    <row r="29" spans="2:12" ht="18" customHeight="1" x14ac:dyDescent="0.25">
      <c r="B29" s="48" t="str">
        <f>"INTERNAL FAILURE ("&amp;Currency&amp;")"</f>
        <v>INTERNAL FAILURE (USD)</v>
      </c>
      <c r="C29" s="48"/>
      <c r="D29" s="48" t="str">
        <f>"EXTERNAL FAILURE ("&amp;Currency&amp;")"</f>
        <v>EXTERNAL FAILURE (USD)</v>
      </c>
      <c r="E29" s="48"/>
      <c r="F29" s="48"/>
      <c r="G29" s="48" t="str">
        <f>"APPRAISAL ("&amp;Currency&amp;")"</f>
        <v>APPRAISAL (USD)</v>
      </c>
      <c r="H29" s="48"/>
      <c r="I29" s="48"/>
      <c r="J29" s="48" t="str">
        <f>"PREVENTION ("&amp;Currency&amp;")"</f>
        <v>PREVENTION (USD)</v>
      </c>
      <c r="K29" s="48"/>
      <c r="L29" s="48"/>
    </row>
    <row r="30" spans="2:12" ht="21" customHeight="1" x14ac:dyDescent="0.25">
      <c r="B30" s="49">
        <f>SUMIFS(tblMonths[Internal failure],tblMonths[View date],"&gt;0")</f>
        <v>285680</v>
      </c>
      <c r="C30" s="49"/>
      <c r="D30" s="49">
        <f>SUMIFS(tblMonths[External failure],tblMonths[View date],"&gt;0")</f>
        <v>442030</v>
      </c>
      <c r="E30" s="49"/>
      <c r="F30" s="49"/>
      <c r="G30" s="49">
        <f>SUMIFS(tblMonths[Appraisal],tblMonths[View date],"&gt;0")</f>
        <v>293850</v>
      </c>
      <c r="H30" s="49"/>
      <c r="I30" s="49"/>
      <c r="J30" s="49">
        <f>SUMIFS(tblMonths[Prevention],tblMonths[View date],"&gt;0")</f>
        <v>210470</v>
      </c>
      <c r="K30" s="49"/>
      <c r="L30" s="49"/>
    </row>
    <row r="31" spans="2:12" ht="21" customHeight="1" x14ac:dyDescent="0.25">
      <c r="B31" s="49"/>
      <c r="C31" s="49"/>
      <c r="D31" s="49"/>
      <c r="E31" s="49"/>
      <c r="F31" s="49"/>
      <c r="G31" s="49"/>
      <c r="H31" s="49"/>
      <c r="I31" s="49"/>
      <c r="J31" s="49"/>
      <c r="K31" s="49"/>
      <c r="L31" s="49"/>
    </row>
    <row r="32" spans="2:12" x14ac:dyDescent="0.25">
      <c r="B32" s="53" t="s">
        <v>172</v>
      </c>
      <c r="C32" s="53"/>
      <c r="D32" s="53" t="s">
        <v>173</v>
      </c>
      <c r="E32" s="53"/>
      <c r="F32" s="53"/>
      <c r="G32" s="53" t="s">
        <v>174</v>
      </c>
      <c r="H32" s="53"/>
      <c r="I32" s="53"/>
      <c r="J32" s="53" t="s">
        <v>175</v>
      </c>
      <c r="K32" s="53"/>
      <c r="L32" s="53"/>
    </row>
    <row r="33" spans="2:12" ht="18" customHeight="1" x14ac:dyDescent="0.25">
      <c r="B33" s="55"/>
      <c r="C33" s="55"/>
      <c r="D33" s="55"/>
      <c r="E33" s="55"/>
      <c r="F33" s="55"/>
      <c r="G33" s="55"/>
      <c r="H33" s="55"/>
      <c r="I33" s="55"/>
      <c r="J33" s="55"/>
      <c r="K33" s="55"/>
      <c r="L33" s="55"/>
    </row>
    <row r="35" spans="2:12" x14ac:dyDescent="0.25">
      <c r="B35" s="30" t="s">
        <v>176</v>
      </c>
      <c r="C35" s="30"/>
      <c r="D35" s="30"/>
      <c r="E35" s="30"/>
    </row>
    <row r="36" spans="2:12" ht="45.5" customHeight="1" x14ac:dyDescent="0.25">
      <c r="B36" s="56" t="s">
        <v>65</v>
      </c>
      <c r="C36" s="31" t="s">
        <v>177</v>
      </c>
      <c r="D36" s="31" t="s">
        <v>178</v>
      </c>
      <c r="E36" s="31" t="s">
        <v>179</v>
      </c>
    </row>
    <row r="37" spans="2:12" ht="14" customHeight="1" x14ac:dyDescent="0.25">
      <c r="B37" s="33"/>
      <c r="C37" s="33" t="str">
        <f>Currency</f>
        <v>USD</v>
      </c>
      <c r="D37" s="33" t="s">
        <v>180</v>
      </c>
      <c r="E37" s="33" t="s">
        <v>180</v>
      </c>
    </row>
    <row r="38" spans="2:12" x14ac:dyDescent="0.25">
      <c r="B38" s="57" t="s">
        <v>78</v>
      </c>
      <c r="C38" s="42">
        <f>CHOOSE(1,SUMIFS(tblMonths[Prevention],tblMonths[View date],"&gt;0"),SUMIFS(tblMonths[Appraisal],tblMonths[View date],"&gt;0"),SUMIFS(tblMonths[Internal failure],tblMonths[View date],"&gt;0"),SUMIFS(tblMonths[External failure],tblMonths[View date],"&gt;0"))</f>
        <v>210470</v>
      </c>
      <c r="D38" s="58">
        <f>IF((SUMIFS(tblMonths[Cost of quality],tblMonths[View date],"&gt;0"))=0,"",($C$38)/(SUMIFS(tblMonths[Cost of quality],tblMonths[View date],"&gt;0")))</f>
        <v>0.170831879093853</v>
      </c>
      <c r="E38" s="43">
        <f>IF((SUMIFS(tblMonths[Net sales],tblMonths[View date],"&gt;0"))=0,"",($C$38)/(SUMIFS(tblMonths[Net sales],tblMonths[View date],"&gt;0")))</f>
        <v>0.009981977709272</v>
      </c>
    </row>
    <row r="39" spans="2:12" x14ac:dyDescent="0.25">
      <c r="B39" s="57" t="s">
        <v>87</v>
      </c>
      <c r="C39" s="42">
        <f>CHOOSE(2,SUMIFS(tblMonths[Prevention],tblMonths[View date],"&gt;0"),SUMIFS(tblMonths[Appraisal],tblMonths[View date],"&gt;0"),SUMIFS(tblMonths[Internal failure],tblMonths[View date],"&gt;0"),SUMIFS(tblMonths[External failure],tblMonths[View date],"&gt;0"))</f>
        <v>293850</v>
      </c>
      <c r="D39" s="58">
        <f>IF((SUMIFS(tblMonths[Cost of quality],tblMonths[View date],"&gt;0"))=0,"",($C$39)/(SUMIFS(tblMonths[Cost of quality],tblMonths[View date],"&gt;0")))</f>
        <v>0.238508802545393</v>
      </c>
      <c r="E39" s="43">
        <f>IF((SUMIFS(tblMonths[Net sales],tblMonths[View date],"&gt;0"))=0,"",($C$39)/(SUMIFS(tblMonths[Net sales],tblMonths[View date],"&gt;0")))</f>
        <v>0.0139364477116433</v>
      </c>
    </row>
    <row r="40" spans="2:12" x14ac:dyDescent="0.25">
      <c r="B40" s="57" t="s">
        <v>94</v>
      </c>
      <c r="C40" s="42">
        <f>CHOOSE(3,SUMIFS(tblMonths[Prevention],tblMonths[View date],"&gt;0"),SUMIFS(tblMonths[Appraisal],tblMonths[View date],"&gt;0"),SUMIFS(tblMonths[Internal failure],tblMonths[View date],"&gt;0"),SUMIFS(tblMonths[External failure],tblMonths[View date],"&gt;0"))</f>
        <v>285680</v>
      </c>
      <c r="D40" s="58">
        <f>IF((SUMIFS(tblMonths[Cost of quality],tblMonths[View date],"&gt;0"))=0,"",($C$40)/(SUMIFS(tblMonths[Cost of quality],tblMonths[View date],"&gt;0")))</f>
        <v>0.23187747051614</v>
      </c>
      <c r="E40" s="43">
        <f>IF((SUMIFS(tblMonths[Net sales],tblMonths[View date],"&gt;0"))=0,"",($C$40)/(SUMIFS(tblMonths[Net sales],tblMonths[View date],"&gt;0")))</f>
        <v>0.0135489684609912</v>
      </c>
    </row>
    <row r="41" spans="2:12" x14ac:dyDescent="0.25">
      <c r="B41" s="57" t="s">
        <v>103</v>
      </c>
      <c r="C41" s="42">
        <f>CHOOSE(4,SUMIFS(tblMonths[Prevention],tblMonths[View date],"&gt;0"),SUMIFS(tblMonths[Appraisal],tblMonths[View date],"&gt;0"),SUMIFS(tblMonths[Internal failure],tblMonths[View date],"&gt;0"),SUMIFS(tblMonths[External failure],tblMonths[View date],"&gt;0"))</f>
        <v>442030</v>
      </c>
      <c r="D41" s="58">
        <f>IF((SUMIFS(tblMonths[Cost of quality],tblMonths[View date],"&gt;0"))=0,"",($C$41)/(SUMIFS(tblMonths[Cost of quality],tblMonths[View date],"&gt;0")))</f>
        <v>0.358781847844614</v>
      </c>
      <c r="E41" s="43">
        <f>IF((SUMIFS(tblMonths[Net sales],tblMonths[View date],"&gt;0"))=0,"",($C$41)/(SUMIFS(tblMonths[Net sales],tblMonths[View date],"&gt;0")))</f>
        <v>0.0209641925539483</v>
      </c>
    </row>
    <row r="51" spans="2:12" x14ac:dyDescent="0.25">
      <c r="B51" s="30" t="s">
        <v>181</v>
      </c>
      <c r="C51" s="30"/>
      <c r="D51" s="30"/>
      <c r="E51" s="30"/>
      <c r="F51" s="30"/>
      <c r="G51" s="30"/>
      <c r="H51" s="30"/>
      <c r="I51" s="30"/>
      <c r="J51" s="30"/>
      <c r="K51" s="30"/>
      <c r="L51" s="30"/>
    </row>
    <row r="52" spans="2:12" ht="32" customHeight="1" x14ac:dyDescent="0.25">
      <c r="B52" s="56" t="s">
        <v>114</v>
      </c>
      <c r="C52" s="31" t="s">
        <v>154</v>
      </c>
      <c r="D52" s="31" t="s">
        <v>78</v>
      </c>
      <c r="E52" s="31" t="s">
        <v>87</v>
      </c>
      <c r="F52" s="31" t="s">
        <v>94</v>
      </c>
      <c r="G52" s="31" t="s">
        <v>103</v>
      </c>
      <c r="H52" s="31" t="s">
        <v>156</v>
      </c>
      <c r="I52" s="31" t="s">
        <v>157</v>
      </c>
      <c r="J52" s="31" t="s">
        <v>158</v>
      </c>
      <c r="K52" s="31" t="s">
        <v>182</v>
      </c>
      <c r="L52" s="31" t="s">
        <v>183</v>
      </c>
    </row>
    <row r="53" spans="2:12" ht="14" customHeight="1" x14ac:dyDescent="0.25">
      <c r="B53" s="33"/>
      <c r="C53" s="33" t="str">
        <f>Currency</f>
        <v>USD</v>
      </c>
      <c r="D53" s="33" t="str">
        <f>Currency</f>
        <v>USD</v>
      </c>
      <c r="E53" s="33" t="str">
        <f>Currency</f>
        <v>USD</v>
      </c>
      <c r="F53" s="33" t="str">
        <f>Currency</f>
        <v>USD</v>
      </c>
      <c r="G53" s="33" t="str">
        <f>Currency</f>
        <v>USD</v>
      </c>
      <c r="H53" s="33" t="str">
        <f>Currency</f>
        <v>USD</v>
      </c>
      <c r="I53" s="33" t="str">
        <f>Currency</f>
        <v>USD</v>
      </c>
      <c r="J53" s="33" t="s">
        <v>180</v>
      </c>
      <c r="K53" s="33" t="s">
        <v>180</v>
      </c>
      <c r="L53" s="33" t="str">
        <f>Currency&amp;"/unit"</f>
        <v>USD/unit</v>
      </c>
    </row>
    <row r="54" spans="2:12" x14ac:dyDescent="0.25">
      <c r="B54" s="59">
        <f>IF($B$55="","",IF(DATE(YEAR($B$55),MONTH($B$55)-1,1)&lt;MIN(tblMonths[View date]),"",DATE(YEAR($B$55),MONTH($B$55)-1,1)))</f>
        <v>45931</v>
      </c>
      <c r="C54" s="42">
        <f>IF($B$54="","",SUMIFS(tblMonths[Net sales],tblMonths[View date],$B$54))</f>
        <v>1647000</v>
      </c>
      <c r="D54" s="42">
        <f>IF($B$54="","",SUMIFS(tblMonths[Prevention],tblMonths[View date],$B$54))</f>
        <v>10720</v>
      </c>
      <c r="E54" s="42">
        <f>IF($B$54="","",SUMIFS(tblMonths[Appraisal],tblMonths[View date],$B$54))</f>
        <v>23280</v>
      </c>
      <c r="F54" s="42">
        <f>IF($B$54="","",SUMIFS(tblMonths[Internal failure],tblMonths[View date],$B$54))</f>
        <v>27160</v>
      </c>
      <c r="G54" s="42">
        <f>IF($B$54="","",SUMIFS(tblMonths[External failure],tblMonths[View date],$B$54))</f>
        <v>80980</v>
      </c>
      <c r="H54" s="42">
        <f>IF($B$54="","",SUMIFS(tblMonths[COPQ],tblMonths[View date],$B$54))</f>
        <v>108140</v>
      </c>
      <c r="I54" s="42">
        <f>IF($B$54="","",SUMIFS(tblMonths[Cost of quality],tblMonths[View date],$B$54))</f>
        <v>142140</v>
      </c>
      <c r="J54" s="43">
        <f>IF($B$54="","",IF((SUMIFS(tblMonths[Net sales],tblMonths[View date],$B$54))=0,"",(SUMIFS(tblMonths[COPQ],tblMonths[View date],$B$54))/(SUMIFS(tblMonths[Net sales],tblMonths[View date],$B$54))))</f>
        <v>0.065658773527626</v>
      </c>
      <c r="K54" s="60">
        <f>TargetCOPQ</f>
        <v>0.03</v>
      </c>
      <c r="L54" s="45">
        <f>IF($B$54="","",IF((SUMIFS(tblMonths[Units shipped],tblMonths[View date],$B$54))=0,"",(SUMIFS(tblMonths[COPQ],tblMonths[View date],$B$54))/(SUMIFS(tblMonths[Units shipped],tblMonths[View date],$B$54))))</f>
        <v>11.431289640592</v>
      </c>
    </row>
    <row r="55" spans="2:12" x14ac:dyDescent="0.25">
      <c r="B55" s="59">
        <f>IF($B$56="","",IF(DATE(YEAR($B$56),MONTH($B$56)-1,1)&lt;MIN(tblMonths[View date]),"",DATE(YEAR($B$56),MONTH($B$56)-1,1)))</f>
        <v>45962</v>
      </c>
      <c r="C55" s="42">
        <f>IF($B$55="","",SUMIFS(tblMonths[Net sales],tblMonths[View date],$B$55))</f>
        <v>1623000</v>
      </c>
      <c r="D55" s="42">
        <f>IF($B$55="","",SUMIFS(tblMonths[Prevention],tblMonths[View date],$B$55))</f>
        <v>9640</v>
      </c>
      <c r="E55" s="42">
        <f>IF($B$55="","",SUMIFS(tblMonths[Appraisal],tblMonths[View date],$B$55))</f>
        <v>25070</v>
      </c>
      <c r="F55" s="42">
        <f>IF($B$55="","",SUMIFS(tblMonths[Internal failure],tblMonths[View date],$B$55))</f>
        <v>24900</v>
      </c>
      <c r="G55" s="42">
        <f>IF($B$55="","",SUMIFS(tblMonths[External failure],tblMonths[View date],$B$55))</f>
        <v>87490</v>
      </c>
      <c r="H55" s="42">
        <f>IF($B$55="","",SUMIFS(tblMonths[COPQ],tblMonths[View date],$B$55))</f>
        <v>112390</v>
      </c>
      <c r="I55" s="42">
        <f>IF($B$55="","",SUMIFS(tblMonths[Cost of quality],tblMonths[View date],$B$55))</f>
        <v>147100</v>
      </c>
      <c r="J55" s="43">
        <f>IF($B$55="","",IF((SUMIFS(tblMonths[Net sales],tblMonths[View date],$B$55))=0,"",(SUMIFS(tblMonths[COPQ],tblMonths[View date],$B$55))/(SUMIFS(tblMonths[Net sales],tblMonths[View date],$B$55))))</f>
        <v>0.0692483056069008</v>
      </c>
      <c r="K55" s="60">
        <f>TargetCOPQ</f>
        <v>0.03</v>
      </c>
      <c r="L55" s="45">
        <f>IF($B$55="","",IF((SUMIFS(tblMonths[Units shipped],tblMonths[View date],$B$55))=0,"",(SUMIFS(tblMonths[COPQ],tblMonths[View date],$B$55))/(SUMIFS(tblMonths[Units shipped],tblMonths[View date],$B$55))))</f>
        <v>12.3641364136414</v>
      </c>
    </row>
    <row r="56" spans="2:12" x14ac:dyDescent="0.25">
      <c r="B56" s="59">
        <f>IF($B$57="","",IF(DATE(YEAR($B$57),MONTH($B$57)-1,1)&lt;MIN(tblMonths[View date]),"",DATE(YEAR($B$57),MONTH($B$57)-1,1)))</f>
        <v>45992</v>
      </c>
      <c r="C56" s="42">
        <f>IF($B$56="","",SUMIFS(tblMonths[Net sales],tblMonths[View date],$B$56))</f>
        <v>1684000</v>
      </c>
      <c r="D56" s="42">
        <f>IF($B$56="","",SUMIFS(tblMonths[Prevention],tblMonths[View date],$B$56))</f>
        <v>9620</v>
      </c>
      <c r="E56" s="42">
        <f>IF($B$56="","",SUMIFS(tblMonths[Appraisal],tblMonths[View date],$B$56))</f>
        <v>24160</v>
      </c>
      <c r="F56" s="42">
        <f>IF($B$56="","",SUMIFS(tblMonths[Internal failure],tblMonths[View date],$B$56))</f>
        <v>26800</v>
      </c>
      <c r="G56" s="42">
        <f>IF($B$56="","",SUMIFS(tblMonths[External failure],tblMonths[View date],$B$56))</f>
        <v>85200</v>
      </c>
      <c r="H56" s="42">
        <f>IF($B$56="","",SUMIFS(tblMonths[COPQ],tblMonths[View date],$B$56))</f>
        <v>112000</v>
      </c>
      <c r="I56" s="42">
        <f>IF($B$56="","",SUMIFS(tblMonths[Cost of quality],tblMonths[View date],$B$56))</f>
        <v>145780</v>
      </c>
      <c r="J56" s="43">
        <f>IF($B$56="","",IF((SUMIFS(tblMonths[Net sales],tblMonths[View date],$B$56))=0,"",(SUMIFS(tblMonths[COPQ],tblMonths[View date],$B$56))/(SUMIFS(tblMonths[Net sales],tblMonths[View date],$B$56))))</f>
        <v>0.0665083135391924</v>
      </c>
      <c r="K56" s="60">
        <f>TargetCOPQ</f>
        <v>0.03</v>
      </c>
      <c r="L56" s="45">
        <f>IF($B$56="","",IF((SUMIFS(tblMonths[Units shipped],tblMonths[View date],$B$56))=0,"",(SUMIFS(tblMonths[COPQ],tblMonths[View date],$B$56))/(SUMIFS(tblMonths[Units shipped],tblMonths[View date],$B$56))))</f>
        <v>11.8393234672304</v>
      </c>
    </row>
    <row r="57" spans="2:12" x14ac:dyDescent="0.25">
      <c r="B57" s="59">
        <f>IF($B$58="","",IF(DATE(YEAR($B$58),MONTH($B$58)-1,1)&lt;MIN(tblMonths[View date]),"",DATE(YEAR($B$58),MONTH($B$58)-1,1)))</f>
        <v>46023</v>
      </c>
      <c r="C57" s="42">
        <f>IF($B$57="","",SUMIFS(tblMonths[Net sales],tblMonths[View date],$B$57))</f>
        <v>1825000</v>
      </c>
      <c r="D57" s="42">
        <f>IF($B$57="","",SUMIFS(tblMonths[Prevention],tblMonths[View date],$B$57))</f>
        <v>10840</v>
      </c>
      <c r="E57" s="42">
        <f>IF($B$57="","",SUMIFS(tblMonths[Appraisal],tblMonths[View date],$B$57))</f>
        <v>25080</v>
      </c>
      <c r="F57" s="42">
        <f>IF($B$57="","",SUMIFS(tblMonths[Internal failure],tblMonths[View date],$B$57))</f>
        <v>25260</v>
      </c>
      <c r="G57" s="42">
        <f>IF($B$57="","",SUMIFS(tblMonths[External failure],tblMonths[View date],$B$57))</f>
        <v>82420</v>
      </c>
      <c r="H57" s="42">
        <f>IF($B$57="","",SUMIFS(tblMonths[COPQ],tblMonths[View date],$B$57))</f>
        <v>107680</v>
      </c>
      <c r="I57" s="42">
        <f>IF($B$57="","",SUMIFS(tblMonths[Cost of quality],tblMonths[View date],$B$57))</f>
        <v>143600</v>
      </c>
      <c r="J57" s="43">
        <f>IF($B$57="","",IF((SUMIFS(tblMonths[Net sales],tblMonths[View date],$B$57))=0,"",(SUMIFS(tblMonths[COPQ],tblMonths[View date],$B$57))/(SUMIFS(tblMonths[Net sales],tblMonths[View date],$B$57))))</f>
        <v>0.0590027397260274</v>
      </c>
      <c r="K57" s="60">
        <f>TargetCOPQ</f>
        <v>0.03</v>
      </c>
      <c r="L57" s="45">
        <f>IF($B$57="","",IF((SUMIFS(tblMonths[Units shipped],tblMonths[View date],$B$57))=0,"",(SUMIFS(tblMonths[COPQ],tblMonths[View date],$B$57))/(SUMIFS(tblMonths[Units shipped],tblMonths[View date],$B$57))))</f>
        <v>10.3938223938224</v>
      </c>
    </row>
    <row r="58" spans="2:12" x14ac:dyDescent="0.25">
      <c r="B58" s="59">
        <f>IF($B$59="","",IF(DATE(YEAR($B$59),MONTH($B$59)-1,1)&lt;MIN(tblMonths[View date]),"",DATE(YEAR($B$59),MONTH($B$59)-1,1)))</f>
        <v>46054</v>
      </c>
      <c r="C58" s="42">
        <f>IF($B$58="","",SUMIFS(tblMonths[Net sales],tblMonths[View date],$B$58))</f>
        <v>1842000</v>
      </c>
      <c r="D58" s="42">
        <f>IF($B$58="","",SUMIFS(tblMonths[Prevention],tblMonths[View date],$B$58))</f>
        <v>36000</v>
      </c>
      <c r="E58" s="42">
        <f>IF($B$58="","",SUMIFS(tblMonths[Appraisal],tblMonths[View date],$B$58))</f>
        <v>24060</v>
      </c>
      <c r="F58" s="42">
        <f>IF($B$58="","",SUMIFS(tblMonths[Internal failure],tblMonths[View date],$B$58))</f>
        <v>27300</v>
      </c>
      <c r="G58" s="42">
        <f>IF($B$58="","",SUMIFS(tblMonths[External failure],tblMonths[View date],$B$58))</f>
        <v>22680</v>
      </c>
      <c r="H58" s="42">
        <f>IF($B$58="","",SUMIFS(tblMonths[COPQ],tblMonths[View date],$B$58))</f>
        <v>49980</v>
      </c>
      <c r="I58" s="42">
        <f>IF($B$58="","",SUMIFS(tblMonths[Cost of quality],tblMonths[View date],$B$58))</f>
        <v>110040</v>
      </c>
      <c r="J58" s="43">
        <f>IF($B$58="","",IF((SUMIFS(tblMonths[Net sales],tblMonths[View date],$B$58))=0,"",(SUMIFS(tblMonths[COPQ],tblMonths[View date],$B$58))/(SUMIFS(tblMonths[Net sales],tblMonths[View date],$B$58))))</f>
        <v>0.0271335504885993</v>
      </c>
      <c r="K58" s="60">
        <f>TargetCOPQ</f>
        <v>0.03</v>
      </c>
      <c r="L58" s="45">
        <f>IF($B$58="","",IF((SUMIFS(tblMonths[Units shipped],tblMonths[View date],$B$58))=0,"",(SUMIFS(tblMonths[COPQ],tblMonths[View date],$B$58))/(SUMIFS(tblMonths[Units shipped],tblMonths[View date],$B$58))))</f>
        <v>4.69736842105263</v>
      </c>
    </row>
    <row r="59" spans="2:12" x14ac:dyDescent="0.25">
      <c r="B59" s="59">
        <f>IF($B$60="","",IF(DATE(YEAR($B$60),MONTH($B$60)-1,1)&lt;MIN(tblMonths[View date]),"",DATE(YEAR($B$60),MONTH($B$60)-1,1)))</f>
        <v>46082</v>
      </c>
      <c r="C59" s="42">
        <f>IF($B$59="","",SUMIFS(tblMonths[Net sales],tblMonths[View date],$B$59))</f>
        <v>1835000</v>
      </c>
      <c r="D59" s="42">
        <f>IF($B$59="","",SUMIFS(tblMonths[Prevention],tblMonths[View date],$B$59))</f>
        <v>50310</v>
      </c>
      <c r="E59" s="42">
        <f>IF($B$59="","",SUMIFS(tblMonths[Appraisal],tblMonths[View date],$B$59))</f>
        <v>24200</v>
      </c>
      <c r="F59" s="42">
        <f>IF($B$59="","",SUMIFS(tblMonths[Internal failure],tblMonths[View date],$B$59))</f>
        <v>24450</v>
      </c>
      <c r="G59" s="42">
        <f>IF($B$59="","",SUMIFS(tblMonths[External failure],tblMonths[View date],$B$59))</f>
        <v>18810</v>
      </c>
      <c r="H59" s="42">
        <f>IF($B$59="","",SUMIFS(tblMonths[COPQ],tblMonths[View date],$B$59))</f>
        <v>43260</v>
      </c>
      <c r="I59" s="42">
        <f>IF($B$59="","",SUMIFS(tblMonths[Cost of quality],tblMonths[View date],$B$59))</f>
        <v>117770</v>
      </c>
      <c r="J59" s="43">
        <f>IF($B$59="","",IF((SUMIFS(tblMonths[Net sales],tblMonths[View date],$B$59))=0,"",(SUMIFS(tblMonths[COPQ],tblMonths[View date],$B$59))/(SUMIFS(tblMonths[Net sales],tblMonths[View date],$B$59))))</f>
        <v>0.023574931880109</v>
      </c>
      <c r="K59" s="60">
        <f>TargetCOPQ</f>
        <v>0.03</v>
      </c>
      <c r="L59" s="45">
        <f>IF($B$59="","",IF((SUMIFS(tblMonths[Units shipped],tblMonths[View date],$B$59))=0,"",(SUMIFS(tblMonths[COPQ],tblMonths[View date],$B$59))/(SUMIFS(tblMonths[Units shipped],tblMonths[View date],$B$59))))</f>
        <v>4.10047393364929</v>
      </c>
    </row>
    <row r="60" spans="2:12" x14ac:dyDescent="0.25">
      <c r="B60" s="59">
        <f>IF($B$61="","",IF(DATE(YEAR($B$61),MONTH($B$61)-1,1)&lt;MIN(tblMonths[View date]),"",DATE(YEAR($B$61),MONTH($B$61)-1,1)))</f>
        <v>46113</v>
      </c>
      <c r="C60" s="42">
        <f>IF($B$60="","",SUMIFS(tblMonths[Net sales],tblMonths[View date],$B$60))</f>
        <v>1620000</v>
      </c>
      <c r="D60" s="42">
        <f>IF($B$60="","",SUMIFS(tblMonths[Prevention],tblMonths[View date],$B$60))</f>
        <v>31770</v>
      </c>
      <c r="E60" s="42">
        <f>IF($B$60="","",SUMIFS(tblMonths[Appraisal],tblMonths[View date],$B$60))</f>
        <v>24590</v>
      </c>
      <c r="F60" s="42">
        <f>IF($B$60="","",SUMIFS(tblMonths[Internal failure],tblMonths[View date],$B$60))</f>
        <v>25590</v>
      </c>
      <c r="G60" s="42">
        <f>IF($B$60="","",SUMIFS(tblMonths[External failure],tblMonths[View date],$B$60))</f>
        <v>20370</v>
      </c>
      <c r="H60" s="42">
        <f>IF($B$60="","",SUMIFS(tblMonths[COPQ],tblMonths[View date],$B$60))</f>
        <v>45960</v>
      </c>
      <c r="I60" s="42">
        <f>IF($B$60="","",SUMIFS(tblMonths[Cost of quality],tblMonths[View date],$B$60))</f>
        <v>102320</v>
      </c>
      <c r="J60" s="43">
        <f>IF($B$60="","",IF((SUMIFS(tblMonths[Net sales],tblMonths[View date],$B$60))=0,"",(SUMIFS(tblMonths[COPQ],tblMonths[View date],$B$60))/(SUMIFS(tblMonths[Net sales],tblMonths[View date],$B$60))))</f>
        <v>0.0283703703703704</v>
      </c>
      <c r="K60" s="60">
        <f>TargetCOPQ</f>
        <v>0.03</v>
      </c>
      <c r="L60" s="45">
        <f>IF($B$60="","",IF((SUMIFS(tblMonths[Units shipped],tblMonths[View date],$B$60))=0,"",(SUMIFS(tblMonths[COPQ],tblMonths[View date],$B$60))/(SUMIFS(tblMonths[Units shipped],tblMonths[View date],$B$60))))</f>
        <v>5.0450054884742</v>
      </c>
    </row>
    <row r="61" spans="2:12" x14ac:dyDescent="0.25">
      <c r="B61" s="59">
        <f>IF($B$62="","",IF(DATE(YEAR($B$62),MONTH($B$62)-1,1)&lt;MIN(tblMonths[View date]),"",DATE(YEAR($B$62),MONTH($B$62)-1,1)))</f>
        <v>46143</v>
      </c>
      <c r="C61" s="42">
        <f>IF($B$61="","",SUMIFS(tblMonths[Net sales],tblMonths[View date],$B$61))</f>
        <v>1898000</v>
      </c>
      <c r="D61" s="42">
        <f>IF($B$61="","",SUMIFS(tblMonths[Prevention],tblMonths[View date],$B$61))</f>
        <v>9770</v>
      </c>
      <c r="E61" s="42">
        <f>IF($B$61="","",SUMIFS(tblMonths[Appraisal],tblMonths[View date],$B$61))</f>
        <v>24420</v>
      </c>
      <c r="F61" s="42">
        <f>IF($B$61="","",SUMIFS(tblMonths[Internal failure],tblMonths[View date],$B$61))</f>
        <v>20240</v>
      </c>
      <c r="G61" s="42">
        <f>IF($B$61="","",SUMIFS(tblMonths[External failure],tblMonths[View date],$B$61))</f>
        <v>8940</v>
      </c>
      <c r="H61" s="42">
        <f>IF($B$61="","",SUMIFS(tblMonths[COPQ],tblMonths[View date],$B$61))</f>
        <v>29180</v>
      </c>
      <c r="I61" s="42">
        <f>IF($B$61="","",SUMIFS(tblMonths[Cost of quality],tblMonths[View date],$B$61))</f>
        <v>63370</v>
      </c>
      <c r="J61" s="43">
        <f>IF($B$61="","",IF((SUMIFS(tblMonths[Net sales],tblMonths[View date],$B$61))=0,"",(SUMIFS(tblMonths[COPQ],tblMonths[View date],$B$61))/(SUMIFS(tblMonths[Net sales],tblMonths[View date],$B$61))))</f>
        <v>0.0153740779768177</v>
      </c>
      <c r="K61" s="60">
        <f>TargetCOPQ</f>
        <v>0.03</v>
      </c>
      <c r="L61" s="45">
        <f>IF($B$61="","",IF((SUMIFS(tblMonths[Units shipped],tblMonths[View date],$B$61))=0,"",(SUMIFS(tblMonths[COPQ],tblMonths[View date],$B$61))/(SUMIFS(tblMonths[Units shipped],tblMonths[View date],$B$61))))</f>
        <v>2.71441860465116</v>
      </c>
    </row>
    <row r="62" spans="2:12" x14ac:dyDescent="0.25">
      <c r="B62" s="59">
        <f>IF($B$63="","",IF(DATE(YEAR($B$63),MONTH($B$63)-1,1)&lt;MIN(tblMonths[View date]),"",DATE(YEAR($B$63),MONTH($B$63)-1,1)))</f>
        <v>46174</v>
      </c>
      <c r="C62" s="42">
        <f>IF($B$62="","",SUMIFS(tblMonths[Net sales],tblMonths[View date],$B$62))</f>
        <v>1679000</v>
      </c>
      <c r="D62" s="42">
        <f>IF($B$62="","",SUMIFS(tblMonths[Prevention],tblMonths[View date],$B$62))</f>
        <v>11450</v>
      </c>
      <c r="E62" s="42">
        <f>IF($B$62="","",SUMIFS(tblMonths[Appraisal],tblMonths[View date],$B$62))</f>
        <v>24780</v>
      </c>
      <c r="F62" s="42">
        <f>IF($B$62="","",SUMIFS(tblMonths[Internal failure],tblMonths[View date],$B$62))</f>
        <v>21540</v>
      </c>
      <c r="G62" s="42">
        <f>IF($B$62="","",SUMIFS(tblMonths[External failure],tblMonths[View date],$B$62))</f>
        <v>8900</v>
      </c>
      <c r="H62" s="42">
        <f>IF($B$62="","",SUMIFS(tblMonths[COPQ],tblMonths[View date],$B$62))</f>
        <v>30440</v>
      </c>
      <c r="I62" s="42">
        <f>IF($B$62="","",SUMIFS(tblMonths[Cost of quality],tblMonths[View date],$B$62))</f>
        <v>66670</v>
      </c>
      <c r="J62" s="43">
        <f>IF($B$62="","",IF((SUMIFS(tblMonths[Net sales],tblMonths[View date],$B$62))=0,"",(SUMIFS(tblMonths[COPQ],tblMonths[View date],$B$62))/(SUMIFS(tblMonths[Net sales],tblMonths[View date],$B$62))))</f>
        <v>0.018129839189994</v>
      </c>
      <c r="K62" s="60">
        <f>TargetCOPQ</f>
        <v>0.03</v>
      </c>
      <c r="L62" s="45">
        <f>IF($B$62="","",IF((SUMIFS(tblMonths[Units shipped],tblMonths[View date],$B$62))=0,"",(SUMIFS(tblMonths[COPQ],tblMonths[View date],$B$62))/(SUMIFS(tblMonths[Units shipped],tblMonths[View date],$B$62))))</f>
        <v>3.15440414507772</v>
      </c>
    </row>
    <row r="63" spans="2:12" x14ac:dyDescent="0.25">
      <c r="B63" s="59">
        <f>IF($B$64="","",IF(DATE(YEAR($B$64),MONTH($B$64)-1,1)&lt;MIN(tblMonths[View date]),"",DATE(YEAR($B$64),MONTH($B$64)-1,1)))</f>
        <v>46204</v>
      </c>
      <c r="C63" s="42">
        <f>IF($B$63="","",SUMIFS(tblMonths[Net sales],tblMonths[View date],$B$63))</f>
        <v>1884000</v>
      </c>
      <c r="D63" s="42">
        <f>IF($B$63="","",SUMIFS(tblMonths[Prevention],tblMonths[View date],$B$63))</f>
        <v>10100</v>
      </c>
      <c r="E63" s="42">
        <f>IF($B$63="","",SUMIFS(tblMonths[Appraisal],tblMonths[View date],$B$63))</f>
        <v>25590</v>
      </c>
      <c r="F63" s="42">
        <f>IF($B$63="","",SUMIFS(tblMonths[Internal failure],tblMonths[View date],$B$63))</f>
        <v>19770</v>
      </c>
      <c r="G63" s="42">
        <f>IF($B$63="","",SUMIFS(tblMonths[External failure],tblMonths[View date],$B$63))</f>
        <v>10420</v>
      </c>
      <c r="H63" s="42">
        <f>IF($B$63="","",SUMIFS(tblMonths[COPQ],tblMonths[View date],$B$63))</f>
        <v>30190</v>
      </c>
      <c r="I63" s="42">
        <f>IF($B$63="","",SUMIFS(tblMonths[Cost of quality],tblMonths[View date],$B$63))</f>
        <v>65880</v>
      </c>
      <c r="J63" s="43">
        <f>IF($B$63="","",IF((SUMIFS(tblMonths[Net sales],tblMonths[View date],$B$63))=0,"",(SUMIFS(tblMonths[COPQ],tblMonths[View date],$B$63))/(SUMIFS(tblMonths[Net sales],tblMonths[View date],$B$63))))</f>
        <v>0.0160244161358811</v>
      </c>
      <c r="K63" s="60">
        <f>TargetCOPQ</f>
        <v>0.03</v>
      </c>
      <c r="L63" s="45">
        <f>IF($B$63="","",IF((SUMIFS(tblMonths[Units shipped],tblMonths[View date],$B$63))=0,"",(SUMIFS(tblMonths[COPQ],tblMonths[View date],$B$63))/(SUMIFS(tblMonths[Units shipped],tblMonths[View date],$B$63))))</f>
        <v>2.77481617647059</v>
      </c>
    </row>
    <row r="64" spans="2:12" x14ac:dyDescent="0.25">
      <c r="B64" s="59">
        <f>IF($B$65="","",IF(DATE(YEAR($B$65),MONTH($B$65)-1,1)&lt;MIN(tblMonths[View date]),"",DATE(YEAR($B$65),MONTH($B$65)-1,1)))</f>
        <v>46235</v>
      </c>
      <c r="C64" s="42">
        <f>IF($B$64="","",SUMIFS(tblMonths[Net sales],tblMonths[View date],$B$64))</f>
        <v>1864000</v>
      </c>
      <c r="D64" s="42">
        <f>IF($B$64="","",SUMIFS(tblMonths[Prevention],tblMonths[View date],$B$64))</f>
        <v>9470</v>
      </c>
      <c r="E64" s="42">
        <f>IF($B$64="","",SUMIFS(tblMonths[Appraisal],tblMonths[View date],$B$64))</f>
        <v>24700</v>
      </c>
      <c r="F64" s="42">
        <f>IF($B$64="","",SUMIFS(tblMonths[Internal failure],tblMonths[View date],$B$64))</f>
        <v>20390</v>
      </c>
      <c r="G64" s="42">
        <f>IF($B$64="","",SUMIFS(tblMonths[External failure],tblMonths[View date],$B$64))</f>
        <v>7920</v>
      </c>
      <c r="H64" s="42">
        <f>IF($B$64="","",SUMIFS(tblMonths[COPQ],tblMonths[View date],$B$64))</f>
        <v>28310</v>
      </c>
      <c r="I64" s="42">
        <f>IF($B$64="","",SUMIFS(tblMonths[Cost of quality],tblMonths[View date],$B$64))</f>
        <v>62480</v>
      </c>
      <c r="J64" s="43">
        <f>IF($B$64="","",IF((SUMIFS(tblMonths[Net sales],tblMonths[View date],$B$64))=0,"",(SUMIFS(tblMonths[COPQ],tblMonths[View date],$B$64))/(SUMIFS(tblMonths[Net sales],tblMonths[View date],$B$64))))</f>
        <v>0.0151877682403433</v>
      </c>
      <c r="K64" s="60">
        <f>TargetCOPQ</f>
        <v>0.03</v>
      </c>
      <c r="L64" s="45">
        <f>IF($B$64="","",IF((SUMIFS(tblMonths[Units shipped],tblMonths[View date],$B$64))=0,"",(SUMIFS(tblMonths[COPQ],tblMonths[View date],$B$64))/(SUMIFS(tblMonths[Units shipped],tblMonths[View date],$B$64))))</f>
        <v>2.6140350877193</v>
      </c>
    </row>
    <row r="65" spans="2:43" x14ac:dyDescent="0.25">
      <c r="B65" s="59">
        <f>IF(COUNT(tblMonths[View date])=0,"",MAX(tblMonths[View date]))</f>
        <v>46266</v>
      </c>
      <c r="C65" s="42">
        <f>IF($B$65="","",SUMIFS(tblMonths[Net sales],tblMonths[View date],$B$65))</f>
        <v>1684000</v>
      </c>
      <c r="D65" s="42">
        <f>IF($B$65="","",SUMIFS(tblMonths[Prevention],tblMonths[View date],$B$65))</f>
        <v>10780</v>
      </c>
      <c r="E65" s="42">
        <f>IF($B$65="","",SUMIFS(tblMonths[Appraisal],tblMonths[View date],$B$65))</f>
        <v>23920</v>
      </c>
      <c r="F65" s="42">
        <f>IF($B$65="","",SUMIFS(tblMonths[Internal failure],tblMonths[View date],$B$65))</f>
        <v>22280</v>
      </c>
      <c r="G65" s="42">
        <f>IF($B$65="","",SUMIFS(tblMonths[External failure],tblMonths[View date],$B$65))</f>
        <v>7900</v>
      </c>
      <c r="H65" s="42">
        <f>IF($B$65="","",SUMIFS(tblMonths[COPQ],tblMonths[View date],$B$65))</f>
        <v>30180</v>
      </c>
      <c r="I65" s="42">
        <f>IF($B$65="","",SUMIFS(tblMonths[Cost of quality],tblMonths[View date],$B$65))</f>
        <v>64880</v>
      </c>
      <c r="J65" s="43">
        <f>IF($B$65="","",IF((SUMIFS(tblMonths[Net sales],tblMonths[View date],$B$65))=0,"",(SUMIFS(tblMonths[COPQ],tblMonths[View date],$B$65))/(SUMIFS(tblMonths[Net sales],tblMonths[View date],$B$65))))</f>
        <v>0.0179216152019002</v>
      </c>
      <c r="K65" s="60">
        <f>TargetCOPQ</f>
        <v>0.03</v>
      </c>
      <c r="L65" s="45">
        <f>IF($B$65="","",IF((SUMIFS(tblMonths[Units shipped],tblMonths[View date],$B$65))=0,"",(SUMIFS(tblMonths[COPQ],tblMonths[View date],$B$65))/(SUMIFS(tblMonths[Units shipped],tblMonths[View date],$B$65))))</f>
        <v>3.11134020618557</v>
      </c>
    </row>
    <row r="67" spans="2:43" x14ac:dyDescent="0.25">
      <c r="B67" s="30" t="s">
        <v>184</v>
      </c>
      <c r="C67" s="30"/>
      <c r="D67" s="30"/>
      <c r="E67" s="30"/>
      <c r="F67" s="30"/>
      <c r="G67" s="30"/>
    </row>
    <row r="68" spans="2:43" ht="20" customHeight="1" x14ac:dyDescent="0.25">
      <c r="B68" s="31" t="s">
        <v>185</v>
      </c>
      <c r="C68" s="56" t="s">
        <v>186</v>
      </c>
      <c r="D68" s="56"/>
      <c r="E68" s="31" t="s">
        <v>177</v>
      </c>
      <c r="F68" s="31" t="s">
        <v>187</v>
      </c>
      <c r="G68" s="31" t="s">
        <v>188</v>
      </c>
      <c r="AO68" s="7" t="s">
        <v>189</v>
      </c>
      <c r="AP68" s="7" t="s">
        <v>190</v>
      </c>
      <c r="AQ68" s="7" t="s">
        <v>191</v>
      </c>
    </row>
    <row r="69" spans="2:43" x14ac:dyDescent="0.25">
      <c r="B69" s="33"/>
      <c r="C69" s="33"/>
      <c r="D69" s="33"/>
      <c r="E69" s="33" t="str">
        <f>Currency</f>
        <v>USD</v>
      </c>
      <c r="F69" s="33" t="s">
        <v>180</v>
      </c>
      <c r="G69" s="33" t="s">
        <v>180</v>
      </c>
    </row>
    <row r="70" spans="2:43" x14ac:dyDescent="0.25">
      <c r="B70" s="61">
        <v>1</v>
      </c>
      <c r="C70" s="36" t="str">
        <f>IF(INDEX($AP$70:$AP$84,MATCH(1,$AQ$70:$AQ$84,0))&lt;0,"",INDEX($AO$70:$AO$84,MATCH(1,$AQ$70:$AQ$84,0)))</f>
        <v>Warranty claims</v>
      </c>
      <c r="D70" s="36"/>
      <c r="E70" s="42">
        <f>IF($C$70="","",INDEX($AP$70:$AP$84,MATCH(1,$AQ$70:$AQ$84,0)))</f>
        <v>235290</v>
      </c>
      <c r="F70" s="58">
        <f>IF(OR($C$70="",$E$85=0),"",$E$70/$E$85)</f>
        <v>0.323329348229377</v>
      </c>
      <c r="G70" s="58">
        <f>IF(OR($C$70="",$E$85=0),"",SUM($E$70:$E$70)/$E$85)</f>
        <v>0.323329348229377</v>
      </c>
      <c r="AO70" s="11" t="str">
        <f>IFERROR(INDEX(tblElements[Element],1)&amp;"","")</f>
        <v>Quality planning and FMEA</v>
      </c>
      <c r="AP70" s="62">
        <f>IF($AO$70="",-1,IF(COUNTIFS(tblElements[Element],$AO$70,tblElements[Category],"*failure")=0,-1,SUMIFS(tblCosts[Amount],tblCosts[Element],$AO$70,tblCosts[View date],"&gt;0")))</f>
        <v>-1</v>
      </c>
      <c r="AQ70" s="62">
        <f>COUNTIF($AP$70:$AP$84,"&gt;"&amp;$AP$70)+COUNTIF($AP$70:$AP$70,$AP$70)</f>
        <v>9</v>
      </c>
    </row>
    <row r="71" spans="2:43" x14ac:dyDescent="0.25">
      <c r="B71" s="61">
        <v>2</v>
      </c>
      <c r="C71" s="36" t="str">
        <f>IF(INDEX($AP$70:$AP$84,MATCH(2,$AQ$70:$AQ$84,0))&lt;0,"",INDEX($AO$70:$AO$84,MATCH(2,$AQ$70:$AQ$84,0)))</f>
        <v>Scrap</v>
      </c>
      <c r="D71" s="36"/>
      <c r="E71" s="42">
        <f>IF($C$71="","",INDEX($AP$70:$AP$84,MATCH(2,$AQ$70:$AQ$84,0)))</f>
        <v>136050</v>
      </c>
      <c r="F71" s="58">
        <f>IF(OR($C$71="",$E$85=0),"",$E$71/$E$85)</f>
        <v>0.186956342499072</v>
      </c>
      <c r="G71" s="58">
        <f>IF(OR($C$71="",$E$85=0),"",SUM($E$70:$E$71)/$E$85)</f>
        <v>0.51028569072845</v>
      </c>
      <c r="AO71" s="11" t="str">
        <f>IFERROR(INDEX(tblElements[Element],2)&amp;"","")</f>
        <v>Training</v>
      </c>
      <c r="AP71" s="62">
        <f>IF($AO$71="",-1,IF(COUNTIFS(tblElements[Element],$AO$71,tblElements[Category],"*failure")=0,-1,SUMIFS(tblCosts[Amount],tblCosts[Element],$AO$71,tblCosts[View date],"&gt;0")))</f>
        <v>-1</v>
      </c>
      <c r="AQ71" s="62">
        <f>COUNTIF($AP$70:$AP$84,"&gt;"&amp;$AP$71)+COUNTIF($AP$70:$AP$71,$AP$71)</f>
        <v>10</v>
      </c>
    </row>
    <row r="72" spans="2:43" x14ac:dyDescent="0.25">
      <c r="B72" s="61">
        <v>3</v>
      </c>
      <c r="C72" s="36" t="str">
        <f>IF(INDEX($AP$70:$AP$84,MATCH(3,$AQ$70:$AQ$84,0))&lt;0,"",INDEX($AO$70:$AO$84,MATCH(3,$AQ$70:$AQ$84,0)))</f>
        <v>Returns and replacements</v>
      </c>
      <c r="D72" s="36"/>
      <c r="E72" s="42">
        <f>IF($C$72="","",INDEX($AP$70:$AP$84,MATCH(3,$AQ$70:$AQ$84,0)))</f>
        <v>101870</v>
      </c>
      <c r="F72" s="58">
        <f>IF(OR($C$72="",$E$85=0),"",$E$72/$E$85)</f>
        <v>0.139987082766487</v>
      </c>
      <c r="G72" s="58">
        <f>IF(OR($C$72="",$E$85=0),"",SUM($E$70:$E$72)/$E$85)</f>
        <v>0.650272773494936</v>
      </c>
      <c r="AO72" s="11" t="str">
        <f>IFERROR(INDEX(tblElements[Element],3)&amp;"","")</f>
        <v>Supplier development</v>
      </c>
      <c r="AP72" s="62">
        <f>IF($AO$72="",-1,IF(COUNTIFS(tblElements[Element],$AO$72,tblElements[Category],"*failure")=0,-1,SUMIFS(tblCosts[Amount],tblCosts[Element],$AO$72,tblCosts[View date],"&gt;0")))</f>
        <v>-1</v>
      </c>
      <c r="AQ72" s="62">
        <f>COUNTIF($AP$70:$AP$84,"&gt;"&amp;$AP$72)+COUNTIF($AP$70:$AP$72,$AP$72)</f>
        <v>11</v>
      </c>
    </row>
    <row r="73" spans="2:43" x14ac:dyDescent="0.25">
      <c r="B73" s="61">
        <v>4</v>
      </c>
      <c r="C73" s="36" t="str">
        <f>IF(INDEX($AP$70:$AP$84,MATCH(4,$AQ$70:$AQ$84,0))&lt;0,"",INDEX($AO$70:$AO$84,MATCH(4,$AQ$70:$AQ$84,0)))</f>
        <v>Rework and repair</v>
      </c>
      <c r="D73" s="36"/>
      <c r="E73" s="42">
        <f>IF($C$73="","",INDEX($AP$70:$AP$84,MATCH(4,$AQ$70:$AQ$84,0)))</f>
        <v>90200</v>
      </c>
      <c r="F73" s="58">
        <f>IF(OR($C$73="",$E$85=0),"",$E$73/$E$85)</f>
        <v>0.12395047477704</v>
      </c>
      <c r="G73" s="58">
        <f>IF(OR($C$73="",$E$85=0),"",SUM($E$70:$E$73)/$E$85)</f>
        <v>0.774223248271977</v>
      </c>
      <c r="AO73" s="11" t="str">
        <f>IFERROR(INDEX(tblElements[Element],4)&amp;"","")</f>
        <v>Error-proofing projects</v>
      </c>
      <c r="AP73" s="62">
        <f>IF($AO$73="",-1,IF(COUNTIFS(tblElements[Element],$AO$73,tblElements[Category],"*failure")=0,-1,SUMIFS(tblCosts[Amount],tblCosts[Element],$AO$73,tblCosts[View date],"&gt;0")))</f>
        <v>-1</v>
      </c>
      <c r="AQ73" s="62">
        <f>COUNTIF($AP$70:$AP$84,"&gt;"&amp;$AP$73)+COUNTIF($AP$70:$AP$73,$AP$73)</f>
        <v>12</v>
      </c>
    </row>
    <row r="74" spans="2:43" x14ac:dyDescent="0.25">
      <c r="B74" s="61">
        <v>5</v>
      </c>
      <c r="C74" s="36" t="str">
        <f>IF(INDEX($AP$70:$AP$84,MATCH(5,$AQ$70:$AQ$84,0))&lt;0,"",INDEX($AO$70:$AO$84,MATCH(5,$AQ$70:$AQ$84,0)))</f>
        <v>Customer credits</v>
      </c>
      <c r="D74" s="36"/>
      <c r="E74" s="42">
        <f>IF($C$74="","",INDEX($AP$70:$AP$84,MATCH(5,$AQ$70:$AQ$84,0)))</f>
        <v>58690</v>
      </c>
      <c r="F74" s="58">
        <f>IF(OR($C$74="",$E$85=0),"",$E$74/$E$85)</f>
        <v>0.0806502590317572</v>
      </c>
      <c r="G74" s="58">
        <f>IF(OR($C$74="",$E$85=0),"",SUM($E$70:$E$74)/$E$85)</f>
        <v>0.854873507303734</v>
      </c>
      <c r="AO74" s="11" t="str">
        <f>IFERROR(INDEX(tblElements[Element],5)&amp;"","")</f>
        <v>Incoming inspection</v>
      </c>
      <c r="AP74" s="62">
        <f>IF($AO$74="",-1,IF(COUNTIFS(tblElements[Element],$AO$74,tblElements[Category],"*failure")=0,-1,SUMIFS(tblCosts[Amount],tblCosts[Element],$AO$74,tblCosts[View date],"&gt;0")))</f>
        <v>-1</v>
      </c>
      <c r="AQ74" s="62">
        <f>COUNTIF($AP$70:$AP$84,"&gt;"&amp;$AP$74)+COUNTIF($AP$70:$AP$74,$AP$74)</f>
        <v>13</v>
      </c>
    </row>
    <row r="75" spans="2:43" x14ac:dyDescent="0.25">
      <c r="B75" s="61">
        <v>6</v>
      </c>
      <c r="C75" s="36" t="str">
        <f>IF(INDEX($AP$70:$AP$84,MATCH(6,$AQ$70:$AQ$84,0))&lt;0,"",INDEX($AO$70:$AO$84,MATCH(6,$AQ$70:$AQ$84,0)))</f>
        <v>Field service</v>
      </c>
      <c r="D75" s="36"/>
      <c r="E75" s="42">
        <f>IF($C$75="","",INDEX($AP$70:$AP$84,MATCH(6,$AQ$70:$AQ$84,0)))</f>
        <v>46180</v>
      </c>
      <c r="F75" s="58">
        <f>IF(OR($C$75="",$E$85=0),"",$E$75/$E$85)</f>
        <v>0.0634593450687774</v>
      </c>
      <c r="G75" s="58">
        <f>IF(OR($C$75="",$E$85=0),"",SUM($E$70:$E$75)/$E$85)</f>
        <v>0.918332852372511</v>
      </c>
      <c r="AO75" s="11" t="str">
        <f>IFERROR(INDEX(tblElements[Element],6)&amp;"","")</f>
        <v>In-process and final test</v>
      </c>
      <c r="AP75" s="62">
        <f>IF($AO$75="",-1,IF(COUNTIFS(tblElements[Element],$AO$75,tblElements[Category],"*failure")=0,-1,SUMIFS(tblCosts[Amount],tblCosts[Element],$AO$75,tblCosts[View date],"&gt;0")))</f>
        <v>-1</v>
      </c>
      <c r="AQ75" s="62">
        <f>COUNTIF($AP$70:$AP$84,"&gt;"&amp;$AP$75)+COUNTIF($AP$70:$AP$75,$AP$75)</f>
        <v>14</v>
      </c>
    </row>
    <row r="76" spans="2:43" x14ac:dyDescent="0.25">
      <c r="B76" s="61">
        <v>7</v>
      </c>
      <c r="C76" s="36" t="str">
        <f>IF(INDEX($AP$70:$AP$84,MATCH(7,$AQ$70:$AQ$84,0))&lt;0,"",INDEX($AO$70:$AO$84,MATCH(7,$AQ$70:$AQ$84,0)))</f>
        <v>Re-inspection and retest</v>
      </c>
      <c r="D76" s="36"/>
      <c r="E76" s="42">
        <f>IF($C$76="","",INDEX($AP$70:$AP$84,MATCH(7,$AQ$70:$AQ$84,0)))</f>
        <v>35350</v>
      </c>
      <c r="F76" s="58">
        <f>IF(OR($C$76="",$E$85=0),"",$E$76/$E$85)</f>
        <v>0.0485770430528645</v>
      </c>
      <c r="G76" s="58">
        <f>IF(OR($C$76="",$E$85=0),"",SUM($E$70:$E$76)/$E$85)</f>
        <v>0.966909895425376</v>
      </c>
      <c r="AO76" s="11" t="str">
        <f>IFERROR(INDEX(tblElements[Element],7)&amp;"","")</f>
        <v>Calibration and test rigs</v>
      </c>
      <c r="AP76" s="62">
        <f>IF($AO$76="",-1,IF(COUNTIFS(tblElements[Element],$AO$76,tblElements[Category],"*failure")=0,-1,SUMIFS(tblCosts[Amount],tblCosts[Element],$AO$76,tblCosts[View date],"&gt;0")))</f>
        <v>-1</v>
      </c>
      <c r="AQ76" s="62">
        <f>COUNTIF($AP$70:$AP$84,"&gt;"&amp;$AP$76)+COUNTIF($AP$70:$AP$76,$AP$76)</f>
        <v>15</v>
      </c>
    </row>
    <row r="77" spans="2:43" x14ac:dyDescent="0.25">
      <c r="B77" s="61">
        <v>8</v>
      </c>
      <c r="C77" s="36" t="str">
        <f>IF(INDEX($AP$70:$AP$84,MATCH(8,$AQ$70:$AQ$84,0))&lt;0,"",INDEX($AO$70:$AO$84,MATCH(8,$AQ$70:$AQ$84,0)))</f>
        <v>Failure analysis</v>
      </c>
      <c r="D77" s="36"/>
      <c r="E77" s="42">
        <f>IF($C$77="","",INDEX($AP$70:$AP$84,MATCH(8,$AQ$70:$AQ$84,0)))</f>
        <v>24080</v>
      </c>
      <c r="F77" s="58">
        <f>IF(OR($C$77="",$E$85=0),"",$E$77/$E$85)</f>
        <v>0.0330901045746245</v>
      </c>
      <c r="G77" s="58">
        <f>IF(OR($C$77="",$E$85=0),"",SUM($E$70:$E$77)/$E$85)</f>
        <v>1</v>
      </c>
      <c r="AO77" s="11" t="str">
        <f>IFERROR(INDEX(tblElements[Element],8)&amp;"","")</f>
        <v>Scrap</v>
      </c>
      <c r="AP77" s="62">
        <f>IF($AO$77="",-1,IF(COUNTIFS(tblElements[Element],$AO$77,tblElements[Category],"*failure")=0,-1,SUMIFS(tblCosts[Amount],tblCosts[Element],$AO$77,tblCosts[View date],"&gt;0")))</f>
        <v>136050</v>
      </c>
      <c r="AQ77" s="62">
        <f>COUNTIF($AP$70:$AP$84,"&gt;"&amp;$AP$77)+COUNTIF($AP$70:$AP$77,$AP$77)</f>
        <v>2</v>
      </c>
    </row>
    <row r="78" spans="2:43" x14ac:dyDescent="0.25">
      <c r="B78" s="61">
        <v>9</v>
      </c>
      <c r="C78" s="36">
        <f>IF(INDEX($AP$70:$AP$84,MATCH(9,$AQ$70:$AQ$84,0))&lt;0,"",INDEX($AO$70:$AO$84,MATCH(9,$AQ$70:$AQ$84,0)))</f>
        <v/>
      </c>
      <c r="D78" s="36"/>
      <c r="E78" s="42">
        <f>IF($C$78="","",INDEX($AP$70:$AP$84,MATCH(9,$AQ$70:$AQ$84,0)))</f>
        <v/>
      </c>
      <c r="F78" s="58">
        <f>IF(OR($C$78="",$E$85=0),"",$E$78/$E$85)</f>
        <v/>
      </c>
      <c r="G78" s="58">
        <f>IF(OR($C$78="",$E$85=0),"",SUM($E$70:$E$78)/$E$85)</f>
        <v/>
      </c>
      <c r="AO78" s="11" t="str">
        <f>IFERROR(INDEX(tblElements[Element],9)&amp;"","")</f>
        <v>Rework and repair</v>
      </c>
      <c r="AP78" s="62">
        <f>IF($AO$78="",-1,IF(COUNTIFS(tblElements[Element],$AO$78,tblElements[Category],"*failure")=0,-1,SUMIFS(tblCosts[Amount],tblCosts[Element],$AO$78,tblCosts[View date],"&gt;0")))</f>
        <v>90200</v>
      </c>
      <c r="AQ78" s="62">
        <f>COUNTIF($AP$70:$AP$84,"&gt;"&amp;$AP$78)+COUNTIF($AP$70:$AP$78,$AP$78)</f>
        <v>4</v>
      </c>
    </row>
    <row r="79" spans="2:43" x14ac:dyDescent="0.25">
      <c r="B79" s="61">
        <v>10</v>
      </c>
      <c r="C79" s="36">
        <f>IF(INDEX($AP$70:$AP$84,MATCH(10,$AQ$70:$AQ$84,0))&lt;0,"",INDEX($AO$70:$AO$84,MATCH(10,$AQ$70:$AQ$84,0)))</f>
        <v/>
      </c>
      <c r="D79" s="36"/>
      <c r="E79" s="42">
        <f>IF($C$79="","",INDEX($AP$70:$AP$84,MATCH(10,$AQ$70:$AQ$84,0)))</f>
        <v/>
      </c>
      <c r="F79" s="58">
        <f>IF(OR($C$79="",$E$85=0),"",$E$79/$E$85)</f>
        <v/>
      </c>
      <c r="G79" s="58">
        <f>IF(OR($C$79="",$E$85=0),"",SUM($E$70:$E$79)/$E$85)</f>
        <v/>
      </c>
      <c r="AO79" s="11" t="str">
        <f>IFERROR(INDEX(tblElements[Element],10)&amp;"","")</f>
        <v>Re-inspection and retest</v>
      </c>
      <c r="AP79" s="62">
        <f>IF($AO$79="",-1,IF(COUNTIFS(tblElements[Element],$AO$79,tblElements[Category],"*failure")=0,-1,SUMIFS(tblCosts[Amount],tblCosts[Element],$AO$79,tblCosts[View date],"&gt;0")))</f>
        <v>35350</v>
      </c>
      <c r="AQ79" s="62">
        <f>COUNTIF($AP$70:$AP$84,"&gt;"&amp;$AP$79)+COUNTIF($AP$70:$AP$79,$AP$79)</f>
        <v>7</v>
      </c>
    </row>
    <row r="80" spans="2:43" x14ac:dyDescent="0.25">
      <c r="B80" s="61">
        <v>11</v>
      </c>
      <c r="C80" s="36">
        <f>IF(INDEX($AP$70:$AP$84,MATCH(11,$AQ$70:$AQ$84,0))&lt;0,"",INDEX($AO$70:$AO$84,MATCH(11,$AQ$70:$AQ$84,0)))</f>
        <v/>
      </c>
      <c r="D80" s="36"/>
      <c r="E80" s="42">
        <f>IF($C$80="","",INDEX($AP$70:$AP$84,MATCH(11,$AQ$70:$AQ$84,0)))</f>
        <v/>
      </c>
      <c r="F80" s="58">
        <f>IF(OR($C$80="",$E$85=0),"",$E$80/$E$85)</f>
        <v/>
      </c>
      <c r="G80" s="58">
        <f>IF(OR($C$80="",$E$85=0),"",SUM($E$70:$E$80)/$E$85)</f>
        <v/>
      </c>
      <c r="AO80" s="11" t="str">
        <f>IFERROR(INDEX(tblElements[Element],11)&amp;"","")</f>
        <v>Failure analysis</v>
      </c>
      <c r="AP80" s="62">
        <f>IF($AO$80="",-1,IF(COUNTIFS(tblElements[Element],$AO$80,tblElements[Category],"*failure")=0,-1,SUMIFS(tblCosts[Amount],tblCosts[Element],$AO$80,tblCosts[View date],"&gt;0")))</f>
        <v>24080</v>
      </c>
      <c r="AQ80" s="62">
        <f>COUNTIF($AP$70:$AP$84,"&gt;"&amp;$AP$80)+COUNTIF($AP$70:$AP$80,$AP$80)</f>
        <v>8</v>
      </c>
    </row>
    <row r="81" spans="2:43" x14ac:dyDescent="0.25">
      <c r="B81" s="61">
        <v>12</v>
      </c>
      <c r="C81" s="36">
        <f>IF(INDEX($AP$70:$AP$84,MATCH(12,$AQ$70:$AQ$84,0))&lt;0,"",INDEX($AO$70:$AO$84,MATCH(12,$AQ$70:$AQ$84,0)))</f>
        <v/>
      </c>
      <c r="D81" s="36"/>
      <c r="E81" s="42">
        <f>IF($C$81="","",INDEX($AP$70:$AP$84,MATCH(12,$AQ$70:$AQ$84,0)))</f>
        <v/>
      </c>
      <c r="F81" s="58">
        <f>IF(OR($C$81="",$E$85=0),"",$E$81/$E$85)</f>
        <v/>
      </c>
      <c r="G81" s="58">
        <f>IF(OR($C$81="",$E$85=0),"",SUM($E$70:$E$81)/$E$85)</f>
        <v/>
      </c>
      <c r="AO81" s="11" t="str">
        <f>IFERROR(INDEX(tblElements[Element],12)&amp;"","")</f>
        <v>Warranty claims</v>
      </c>
      <c r="AP81" s="62">
        <f>IF($AO$81="",-1,IF(COUNTIFS(tblElements[Element],$AO$81,tblElements[Category],"*failure")=0,-1,SUMIFS(tblCosts[Amount],tblCosts[Element],$AO$81,tblCosts[View date],"&gt;0")))</f>
        <v>235290</v>
      </c>
      <c r="AQ81" s="62">
        <f>COUNTIF($AP$70:$AP$84,"&gt;"&amp;$AP$81)+COUNTIF($AP$70:$AP$81,$AP$81)</f>
        <v>1</v>
      </c>
    </row>
    <row r="82" spans="2:43" x14ac:dyDescent="0.25">
      <c r="B82" s="61">
        <v>13</v>
      </c>
      <c r="C82" s="36">
        <f>IF(INDEX($AP$70:$AP$84,MATCH(13,$AQ$70:$AQ$84,0))&lt;0,"",INDEX($AO$70:$AO$84,MATCH(13,$AQ$70:$AQ$84,0)))</f>
        <v/>
      </c>
      <c r="D82" s="36"/>
      <c r="E82" s="42">
        <f>IF($C$82="","",INDEX($AP$70:$AP$84,MATCH(13,$AQ$70:$AQ$84,0)))</f>
        <v/>
      </c>
      <c r="F82" s="58">
        <f>IF(OR($C$82="",$E$85=0),"",$E$82/$E$85)</f>
        <v/>
      </c>
      <c r="G82" s="58">
        <f>IF(OR($C$82="",$E$85=0),"",SUM($E$70:$E$82)/$E$85)</f>
        <v/>
      </c>
      <c r="AO82" s="11" t="str">
        <f>IFERROR(INDEX(tblElements[Element],13)&amp;"","")</f>
        <v>Returns and replacements</v>
      </c>
      <c r="AP82" s="62">
        <f>IF($AO$82="",-1,IF(COUNTIFS(tblElements[Element],$AO$82,tblElements[Category],"*failure")=0,-1,SUMIFS(tblCosts[Amount],tblCosts[Element],$AO$82,tblCosts[View date],"&gt;0")))</f>
        <v>101870</v>
      </c>
      <c r="AQ82" s="62">
        <f>COUNTIF($AP$70:$AP$84,"&gt;"&amp;$AP$82)+COUNTIF($AP$70:$AP$82,$AP$82)</f>
        <v>3</v>
      </c>
    </row>
    <row r="83" spans="2:43" x14ac:dyDescent="0.25">
      <c r="B83" s="61">
        <v>14</v>
      </c>
      <c r="C83" s="36">
        <f>IF(INDEX($AP$70:$AP$84,MATCH(14,$AQ$70:$AQ$84,0))&lt;0,"",INDEX($AO$70:$AO$84,MATCH(14,$AQ$70:$AQ$84,0)))</f>
        <v/>
      </c>
      <c r="D83" s="36"/>
      <c r="E83" s="42">
        <f>IF($C$83="","",INDEX($AP$70:$AP$84,MATCH(14,$AQ$70:$AQ$84,0)))</f>
        <v/>
      </c>
      <c r="F83" s="58">
        <f>IF(OR($C$83="",$E$85=0),"",$E$83/$E$85)</f>
        <v/>
      </c>
      <c r="G83" s="58">
        <f>IF(OR($C$83="",$E$85=0),"",SUM($E$70:$E$83)/$E$85)</f>
        <v/>
      </c>
      <c r="AO83" s="11" t="str">
        <f>IFERROR(INDEX(tblElements[Element],14)&amp;"","")</f>
        <v>Customer credits</v>
      </c>
      <c r="AP83" s="62">
        <f>IF($AO$83="",-1,IF(COUNTIFS(tblElements[Element],$AO$83,tblElements[Category],"*failure")=0,-1,SUMIFS(tblCosts[Amount],tblCosts[Element],$AO$83,tblCosts[View date],"&gt;0")))</f>
        <v>58690</v>
      </c>
      <c r="AQ83" s="62">
        <f>COUNTIF($AP$70:$AP$84,"&gt;"&amp;$AP$83)+COUNTIF($AP$70:$AP$83,$AP$83)</f>
        <v>5</v>
      </c>
    </row>
    <row r="84" spans="2:43" x14ac:dyDescent="0.25">
      <c r="B84" s="61">
        <v>15</v>
      </c>
      <c r="C84" s="36">
        <f>IF(INDEX($AP$70:$AP$84,MATCH(15,$AQ$70:$AQ$84,0))&lt;0,"",INDEX($AO$70:$AO$84,MATCH(15,$AQ$70:$AQ$84,0)))</f>
        <v/>
      </c>
      <c r="D84" s="36"/>
      <c r="E84" s="42">
        <f>IF($C$84="","",INDEX($AP$70:$AP$84,MATCH(15,$AQ$70:$AQ$84,0)))</f>
        <v/>
      </c>
      <c r="F84" s="58">
        <f>IF(OR($C$84="",$E$85=0),"",$E$84/$E$85)</f>
        <v/>
      </c>
      <c r="G84" s="58">
        <f>IF(OR($C$84="",$E$85=0),"",SUM($E$70:$E$84)/$E$85)</f>
        <v/>
      </c>
      <c r="AO84" s="11" t="str">
        <f>IFERROR(INDEX(tblElements[Element],15)&amp;"","")</f>
        <v>Field service</v>
      </c>
      <c r="AP84" s="62">
        <f>IF($AO$84="",-1,IF(COUNTIFS(tblElements[Element],$AO$84,tblElements[Category],"*failure")=0,-1,SUMIFS(tblCosts[Amount],tblCosts[Element],$AO$84,tblCosts[View date],"&gt;0")))</f>
        <v>46180</v>
      </c>
      <c r="AQ84" s="62">
        <f>COUNTIF($AP$70:$AP$84,"&gt;"&amp;$AP$84)+COUNTIF($AP$70:$AP$84,$AP$84)</f>
        <v>6</v>
      </c>
    </row>
    <row r="85" spans="2:43" x14ac:dyDescent="0.25">
      <c r="B85" s="63"/>
      <c r="C85" s="63" t="s">
        <v>192</v>
      </c>
      <c r="D85" s="63"/>
      <c r="E85" s="64">
        <f>SUMIF($AP$70:$AP$84,"&gt;0")</f>
        <v>727710</v>
      </c>
      <c r="F85" s="63"/>
      <c r="G85" s="63"/>
    </row>
    <row r="86" spans="2:43" ht="8" customHeight="1" x14ac:dyDescent="0.25"/>
    <row r="87" spans="2:43" ht="26.76" customHeight="1" x14ac:dyDescent="0.25">
      <c r="B87" s="21" t="s">
        <v>193</v>
      </c>
      <c r="C87" s="21"/>
      <c r="D87" s="21"/>
      <c r="E87" s="21"/>
      <c r="F87" s="21"/>
      <c r="G87" s="21"/>
      <c r="H87" s="21"/>
      <c r="I87" s="21"/>
      <c r="J87" s="21"/>
      <c r="K87" s="21"/>
      <c r="L87" s="21"/>
    </row>
    <row r="88" spans="2:43" x14ac:dyDescent="0.25">
      <c r="B88" s="65">
        <f>IF(COUNTA(tblElements[Element])&gt;15,"The Setup list has more cost elements than the Pareto block: some are not ranked.","")</f>
        <v/>
      </c>
      <c r="C88" s="65"/>
      <c r="D88" s="65"/>
      <c r="E88" s="65"/>
      <c r="F88" s="65"/>
      <c r="G88" s="65"/>
      <c r="H88" s="65"/>
      <c r="I88" s="65"/>
      <c r="J88" s="65"/>
      <c r="K88" s="65"/>
      <c r="L88" s="65"/>
    </row>
  </sheetData>
  <sheetProtection sheet="1" formatColumns="0" formatRows="0"/>
  <mergeCells count="61">
    <mergeCell ref="A1:L1"/>
    <mergeCell ref="B2:J2"/>
    <mergeCell ref="K2:L2"/>
    <mergeCell ref="C4:D4"/>
    <mergeCell ref="G4:H4"/>
    <mergeCell ref="B5:L5"/>
    <mergeCell ref="B7:C7"/>
    <mergeCell ref="B8:C9"/>
    <mergeCell ref="B10:C10"/>
    <mergeCell ref="B11:C11"/>
    <mergeCell ref="D7:F7"/>
    <mergeCell ref="D8:F9"/>
    <mergeCell ref="D10:F10"/>
    <mergeCell ref="D11:F11"/>
    <mergeCell ref="G7:I7"/>
    <mergeCell ref="G8:I9"/>
    <mergeCell ref="G10:I10"/>
    <mergeCell ref="G11:I11"/>
    <mergeCell ref="J7:L7"/>
    <mergeCell ref="J8:L9"/>
    <mergeCell ref="J10:L10"/>
    <mergeCell ref="J11:L11"/>
    <mergeCell ref="B29:C29"/>
    <mergeCell ref="B30:C31"/>
    <mergeCell ref="B32:C32"/>
    <mergeCell ref="B33:C33"/>
    <mergeCell ref="D29:F29"/>
    <mergeCell ref="D30:F31"/>
    <mergeCell ref="D32:F32"/>
    <mergeCell ref="D33:F33"/>
    <mergeCell ref="G29:I29"/>
    <mergeCell ref="G30:I31"/>
    <mergeCell ref="G32:I32"/>
    <mergeCell ref="G33:I33"/>
    <mergeCell ref="J29:L29"/>
    <mergeCell ref="J30:L31"/>
    <mergeCell ref="J32:L32"/>
    <mergeCell ref="J33:L33"/>
    <mergeCell ref="B35:E35"/>
    <mergeCell ref="B51:L51"/>
    <mergeCell ref="B67:G67"/>
    <mergeCell ref="C68:D68"/>
    <mergeCell ref="C69:D69"/>
    <mergeCell ref="C70:D70"/>
    <mergeCell ref="C71:D71"/>
    <mergeCell ref="C72:D72"/>
    <mergeCell ref="C73:D73"/>
    <mergeCell ref="C74:D74"/>
    <mergeCell ref="C75:D75"/>
    <mergeCell ref="C76:D76"/>
    <mergeCell ref="C77:D77"/>
    <mergeCell ref="C78:D78"/>
    <mergeCell ref="C79:D79"/>
    <mergeCell ref="C80:D80"/>
    <mergeCell ref="C81:D81"/>
    <mergeCell ref="C82:D82"/>
    <mergeCell ref="C83:D83"/>
    <mergeCell ref="C84:D84"/>
    <mergeCell ref="C85:D85"/>
    <mergeCell ref="B87:L87"/>
    <mergeCell ref="B88:L88"/>
  </mergeCells>
  <conditionalFormatting sqref="D1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D38:D41">
    <cfRule type="dataBar" priority="21">
      <dataBar>
        <cfvo type="num" val="0"/>
        <cfvo type="max"/>
        <color rgb="FFA8BDF0"/>
      </dataBar>
      <extLst>
        <ext xmlns:x14="http://schemas.microsoft.com/office/spreadsheetml/2009/9/main" uri="{B025F937-C7B1-47D3-B67F-A62EFF666E3E}">
          <x14:id>{DA7ABA51-AAAA-BBBB-0005-000000000001}</x14:id>
        </ext>
      </extLst>
    </cfRule>
  </conditionalFormatting>
  <conditionalFormatting sqref="E70:E84">
    <cfRule type="dataBar" priority="25">
      <dataBar>
        <cfvo type="num" val="0"/>
        <cfvo type="max"/>
        <color rgb="FFA8BDF0"/>
      </dataBar>
      <extLst>
        <ext xmlns:x14="http://schemas.microsoft.com/office/spreadsheetml/2009/9/main" uri="{B025F937-C7B1-47D3-B67F-A62EFF666E3E}">
          <x14:id>{DA7ABA51-AAAA-BBBB-0005-000000000002}</x14:id>
        </ext>
      </extLst>
    </cfRule>
  </conditionalFormatting>
  <conditionalFormatting sqref="J54:J65">
    <cfRule type="expression" dxfId="3" priority="22" stopIfTrue="1">
      <formula>AND(ISNUMBER(J54),J54&lt;=(TargetCOPQ))</formula>
    </cfRule>
    <cfRule type="expression" dxfId="4" priority="23" stopIfTrue="1">
      <formula>AND(ISNUMBER(J54),J54&lt;=(TargetCOPQ)*(1+0.05))</formula>
    </cfRule>
    <cfRule type="expression" dxfId="5" priority="24">
      <formula>ISNUMBER(J54)</formula>
    </cfRule>
  </conditionalFormatting>
  <dataValidations count="2">
    <dataValidation type="date" allowBlank="1" showInputMessage="1" showErrorMessage="1" errorTitle="Check this entry" error="Enter a date between 01 Jan 2000 and 31 Dec 2100." promptTitle="From month" prompt="Any date in the first month to include. Leave blank to start at the first month. Enter a date between 01 Jan 2000 and 31 Dec 2100." sqref="C4">
      <formula1>36526</formula1>
      <formula2>73415</formula2>
    </dataValidation>
    <dataValidation type="date" allowBlank="1" showInputMessage="1" showErrorMessage="1" errorTitle="Check this entry" error="Enter a date between 01 Jan 2000 and 31 Dec 2100." promptTitle="To month" prompt="Any date in the last month to include. Leave blank to end at the latest month. Enter a date between 01 Jan 2000 and 31 Dec 2100." sqref="G4">
      <formula1>36526</formula1>
      <formula2>73415</formula2>
    </dataValidation>
  </dataValidations>
  <hyperlinks>
    <hyperlink ref="K2" r:id="rId1" tooltip="Free manufacturing calculators and templates"/>
  </hyperlinks>
  <pageMargins left="0.4" right="0.4" top="0.7" bottom="0.65" header="0.3" footer="0.3"/>
  <pageSetup fitToHeight="0" orientation="landscape"/>
  <headerFooter>
    <oddHeader>&amp;L&amp;8MFG Calcs - Cost of Poor Quality Tracker&amp;R&amp;8&amp;A</oddHeader>
    <oddFooter>&amp;L&amp;8mfgcalcs.com - free manufacturing templates&amp;R&amp;8Page &amp;P of &amp;N</oddFooter>
  </headerFooter>
  <rowBreaks count="3" manualBreakCount="3">
    <brk id="28" max="16383" man="1"/>
    <brk id="50" max="16383" man="1"/>
    <brk id="66"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5-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D38:D41</xm:sqref>
        </x14:conditionalFormatting>
        <x14:conditionalFormatting xmlns:xm="http://schemas.microsoft.com/office/excel/2006/main">
          <x14:cfRule type="dataBar" id="{DA7ABA51-AAAA-BBBB-0005-000000000002}">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E70:E84</xm:sqref>
        </x14:conditionalFormatting>
      </x14:conditionalFormattings>
    </ext>
  </extLst>
</worksheet>
</file>

<file path=xl/worksheets/sheet6.xml><?xml version="1.0" encoding="utf-8"?>
<worksheet xmlns="http://schemas.openxmlformats.org/spreadsheetml/2006/main" xmlns:r="http://schemas.openxmlformats.org/officeDocument/2006/relationships">
  <sheetPr>
    <tabColor rgb="FF6B7280"/>
    <pageSetUpPr fitToPage="1"/>
  </sheetPr>
  <dimension ref="A1:D57"/>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28</v>
      </c>
      <c r="C2" s="2"/>
      <c r="D2" s="3" t="s">
        <v>2</v>
      </c>
    </row>
    <row r="3" spans="1:4" ht="6" customHeight="1"/>
    <row r="4" spans="1:4" ht="21" customHeight="1">
      <c r="B4" s="8" t="s">
        <v>194</v>
      </c>
      <c r="C4" s="8"/>
      <c r="D4" s="8"/>
    </row>
    <row r="5" spans="1:4" ht="5" customHeight="1"/>
    <row r="6" spans="1:4" ht="69" customHeight="1">
      <c r="B6" s="10" t="s">
        <v>195</v>
      </c>
      <c r="C6" s="10"/>
      <c r="D6" s="10"/>
    </row>
    <row r="8" spans="1:4" ht="21" customHeight="1">
      <c r="B8" s="8" t="s">
        <v>196</v>
      </c>
      <c r="C8" s="8"/>
      <c r="D8" s="8"/>
    </row>
    <row r="9" spans="1:4" ht="5" customHeight="1"/>
    <row r="10" spans="1:4" ht="20" customHeight="1">
      <c r="B10" s="56" t="s">
        <v>197</v>
      </c>
      <c r="C10" s="56" t="s">
        <v>198</v>
      </c>
      <c r="D10" s="31" t="s">
        <v>199</v>
      </c>
    </row>
    <row r="11" spans="1:4" ht="17.2" customHeight="1">
      <c r="B11" s="66" t="s">
        <v>65</v>
      </c>
      <c r="C11" s="67" t="s">
        <v>200</v>
      </c>
      <c r="D11" s="68" t="s">
        <v>201</v>
      </c>
    </row>
    <row r="12" spans="1:4" ht="17.2" customHeight="1">
      <c r="B12" s="66" t="s">
        <v>114</v>
      </c>
      <c r="C12" s="67" t="s">
        <v>202</v>
      </c>
      <c r="D12" s="68" t="s">
        <v>203</v>
      </c>
    </row>
    <row r="13" spans="1:4" ht="56.8" customHeight="1">
      <c r="B13" s="66" t="s">
        <v>204</v>
      </c>
      <c r="C13" s="67" t="s">
        <v>205</v>
      </c>
      <c r="D13" s="68" t="s">
        <v>206</v>
      </c>
    </row>
    <row r="14" spans="1:4" ht="17.2" customHeight="1">
      <c r="B14" s="66" t="s">
        <v>156</v>
      </c>
      <c r="C14" s="67" t="s">
        <v>207</v>
      </c>
      <c r="D14" s="68" t="s">
        <v>206</v>
      </c>
    </row>
    <row r="15" spans="1:4" ht="17.2" customHeight="1">
      <c r="B15" s="66" t="s">
        <v>157</v>
      </c>
      <c r="C15" s="67" t="s">
        <v>208</v>
      </c>
      <c r="D15" s="68" t="s">
        <v>206</v>
      </c>
    </row>
    <row r="16" spans="1:4" ht="17.2" customHeight="1">
      <c r="B16" s="66" t="s">
        <v>209</v>
      </c>
      <c r="C16" s="67" t="s">
        <v>210</v>
      </c>
      <c r="D16" s="68" t="s">
        <v>180</v>
      </c>
    </row>
    <row r="17" spans="2:4" ht="17.2" customHeight="1">
      <c r="B17" s="66" t="s">
        <v>160</v>
      </c>
      <c r="C17" s="67" t="s">
        <v>211</v>
      </c>
      <c r="D17" s="68" t="s">
        <v>212</v>
      </c>
    </row>
    <row r="18" spans="2:4" ht="30.4" customHeight="1">
      <c r="B18" s="66" t="s">
        <v>159</v>
      </c>
      <c r="C18" s="67" t="s">
        <v>213</v>
      </c>
      <c r="D18" s="68" t="s">
        <v>201</v>
      </c>
    </row>
    <row r="19" spans="2:4" ht="30.4" customHeight="1">
      <c r="B19" s="66" t="s">
        <v>214</v>
      </c>
      <c r="C19" s="67" t="s">
        <v>215</v>
      </c>
      <c r="D19" s="68" t="s">
        <v>201</v>
      </c>
    </row>
    <row r="20" spans="2:4" ht="43.6" customHeight="1">
      <c r="B20" s="66" t="s">
        <v>216</v>
      </c>
      <c r="C20" s="67" t="s">
        <v>217</v>
      </c>
      <c r="D20" s="68" t="s">
        <v>218</v>
      </c>
    </row>
    <row r="22" spans="2:4" ht="21" customHeight="1">
      <c r="B22" s="8" t="s">
        <v>219</v>
      </c>
      <c r="C22" s="8"/>
      <c r="D22" s="8"/>
    </row>
    <row r="23" spans="2:4" ht="5" customHeight="1"/>
    <row r="24" spans="2:4" ht="16.2" customHeight="1">
      <c r="B24" s="26" t="s">
        <v>57</v>
      </c>
      <c r="C24" s="10" t="s">
        <v>220</v>
      </c>
      <c r="D24" s="10"/>
    </row>
    <row r="25" spans="2:4" ht="16.2" customHeight="1">
      <c r="B25" s="26" t="s">
        <v>57</v>
      </c>
      <c r="C25" s="10" t="s">
        <v>221</v>
      </c>
      <c r="D25" s="10"/>
    </row>
    <row r="26" spans="2:4" ht="29.4" customHeight="1">
      <c r="B26" s="26" t="s">
        <v>57</v>
      </c>
      <c r="C26" s="10" t="s">
        <v>222</v>
      </c>
      <c r="D26" s="10"/>
    </row>
    <row r="27" spans="2:4" ht="16.2" customHeight="1">
      <c r="B27" s="26" t="s">
        <v>57</v>
      </c>
      <c r="C27" s="10" t="s">
        <v>223</v>
      </c>
      <c r="D27" s="10"/>
    </row>
    <row r="29" spans="2:4" ht="21" customHeight="1">
      <c r="B29" s="8" t="s">
        <v>224</v>
      </c>
      <c r="C29" s="8"/>
      <c r="D29" s="8"/>
    </row>
    <row r="30" spans="2:4" ht="5" customHeight="1"/>
    <row r="31" spans="2:4" ht="29.4" customHeight="1">
      <c r="B31" s="26" t="s">
        <v>57</v>
      </c>
      <c r="C31" s="10" t="s">
        <v>225</v>
      </c>
      <c r="D31" s="10"/>
    </row>
    <row r="32" spans="2:4" ht="29.4" customHeight="1">
      <c r="B32" s="26" t="s">
        <v>57</v>
      </c>
      <c r="C32" s="10" t="s">
        <v>226</v>
      </c>
      <c r="D32" s="10"/>
    </row>
    <row r="33" spans="2:4" ht="29.4" customHeight="1">
      <c r="B33" s="26" t="s">
        <v>57</v>
      </c>
      <c r="C33" s="10" t="s">
        <v>227</v>
      </c>
      <c r="D33" s="10"/>
    </row>
    <row r="35" spans="2:4" ht="21" customHeight="1">
      <c r="B35" s="8" t="s">
        <v>228</v>
      </c>
      <c r="C35" s="8"/>
      <c r="D35" s="8"/>
    </row>
    <row r="36" spans="2:4" ht="5" customHeight="1"/>
    <row r="37" spans="2:4" ht="69" customHeight="1">
      <c r="B37" s="10" t="s">
        <v>229</v>
      </c>
      <c r="C37" s="10"/>
      <c r="D37" s="10"/>
    </row>
    <row r="38" spans="2:4">
      <c r="B38" s="24" t="s">
        <v>230</v>
      </c>
      <c r="C38" s="24"/>
      <c r="D38" s="24"/>
    </row>
    <row r="40" spans="2:4" ht="21" customHeight="1">
      <c r="B40" s="8" t="s">
        <v>44</v>
      </c>
      <c r="C40" s="8"/>
      <c r="D40" s="8"/>
    </row>
    <row r="41" spans="2:4" ht="5" customHeight="1"/>
    <row r="42" spans="2:4" ht="42.6" customHeight="1">
      <c r="B42" s="10" t="s">
        <v>231</v>
      </c>
      <c r="C42" s="10"/>
      <c r="D42" s="10"/>
    </row>
    <row r="44" spans="2:4" ht="21" customHeight="1">
      <c r="B44" s="8" t="s">
        <v>232</v>
      </c>
      <c r="C44" s="8"/>
      <c r="D44" s="8"/>
    </row>
    <row r="45" spans="2:4" ht="5" customHeight="1"/>
    <row r="46" spans="2:4" ht="29.4" customHeight="1">
      <c r="B46" s="26" t="s">
        <v>57</v>
      </c>
      <c r="C46" s="10" t="s">
        <v>233</v>
      </c>
      <c r="D46" s="10"/>
    </row>
    <row r="47" spans="2:4" ht="16.2" customHeight="1">
      <c r="B47" s="26" t="s">
        <v>57</v>
      </c>
      <c r="C47" s="10" t="s">
        <v>234</v>
      </c>
      <c r="D47" s="10"/>
    </row>
    <row r="48" spans="2:4" ht="16.2" customHeight="1">
      <c r="B48" s="26" t="s">
        <v>57</v>
      </c>
      <c r="C48" s="10" t="s">
        <v>235</v>
      </c>
      <c r="D48" s="10"/>
    </row>
    <row r="49" spans="2:4" ht="29.4" customHeight="1">
      <c r="B49" s="26" t="s">
        <v>57</v>
      </c>
      <c r="C49" s="10" t="s">
        <v>236</v>
      </c>
      <c r="D49" s="10"/>
    </row>
    <row r="50" spans="2:4">
      <c r="B50" s="21" t="s">
        <v>237</v>
      </c>
      <c r="C50" s="21"/>
      <c r="D50" s="21"/>
    </row>
    <row r="52" spans="2:4" ht="21" customHeight="1">
      <c r="B52" s="8" t="s">
        <v>238</v>
      </c>
      <c r="C52" s="8"/>
      <c r="D52" s="8"/>
    </row>
    <row r="53" spans="2:4" ht="5" customHeight="1"/>
    <row r="54" spans="2:4">
      <c r="B54" s="56" t="s">
        <v>52</v>
      </c>
      <c r="C54" s="56" t="s">
        <v>239</v>
      </c>
      <c r="D54" s="31" t="s">
        <v>111</v>
      </c>
    </row>
    <row r="55" spans="2:4" ht="16.2" customHeight="1">
      <c r="B55" s="69" t="s">
        <v>240</v>
      </c>
      <c r="C55" s="70" t="s">
        <v>241</v>
      </c>
      <c r="D55" s="71" t="s">
        <v>242</v>
      </c>
    </row>
    <row r="57" spans="2:4">
      <c r="B57" s="21" t="s">
        <v>63</v>
      </c>
      <c r="C57" s="21"/>
      <c r="D57" s="21"/>
    </row>
  </sheetData>
  <sheetProtection sheet="1" formatColumns="0" formatRows="0"/>
  <mergeCells count="27">
    <mergeCell ref="A1:D1"/>
    <mergeCell ref="B2:C2"/>
    <mergeCell ref="B4:D4"/>
    <mergeCell ref="B6:D6"/>
    <mergeCell ref="B8:D8"/>
    <mergeCell ref="B22:D22"/>
    <mergeCell ref="C24:D24"/>
    <mergeCell ref="C25:D25"/>
    <mergeCell ref="C26:D26"/>
    <mergeCell ref="C27:D27"/>
    <mergeCell ref="B29:D29"/>
    <mergeCell ref="C31:D31"/>
    <mergeCell ref="C32:D32"/>
    <mergeCell ref="C33:D33"/>
    <mergeCell ref="B35:D35"/>
    <mergeCell ref="B37:D37"/>
    <mergeCell ref="B38:D38"/>
    <mergeCell ref="B40:D40"/>
    <mergeCell ref="B42:D42"/>
    <mergeCell ref="B44:D44"/>
    <mergeCell ref="C46:D46"/>
    <mergeCell ref="C47:D47"/>
    <mergeCell ref="C48:D48"/>
    <mergeCell ref="C49:D49"/>
    <mergeCell ref="B50:D50"/>
    <mergeCell ref="B52:D52"/>
    <mergeCell ref="B57:D57"/>
  </mergeCells>
  <hyperlinks>
    <hyperlink ref="D2" r:id="rId1" tooltip="Free manufacturing calculators and templates"/>
    <hyperlink ref="B38" r:id="rId2"/>
  </hyperlinks>
  <printOptions horizontalCentered="1"/>
  <pageMargins left="0.4" right="0.4" top="0.7" bottom="0.65" header="0.3" footer="0.3"/>
  <pageSetup fitToHeight="0" orientation="portrait"/>
  <headerFooter>
    <oddHeader>&amp;L&amp;8MFG Calcs - Cost of Poor Quality Tracker&amp;R&amp;8&amp;A</oddHeader>
    <oddFooter>&amp;L&amp;8mfgcalcs.com - free manufacturing templates&amp;R&amp;8Page &amp;P of &amp;N</oddFooter>
  </headerFooter>
  <rowBreaks count="1" manualBreakCount="1">
    <brk id="28" max="16383" man="1"/>
  </rowBreaks>
</worksheet>
</file>

<file path=xl/worksheets/sheet7.xml><?xml version="1.0" encoding="utf-8"?>
<worksheet xmlns="http://schemas.openxmlformats.org/spreadsheetml/2006/main" xmlns:r="http://schemas.openxmlformats.org/officeDocument/2006/relationships">
  <sheetPr>
    <tabColor rgb="FF2C3440"/>
    <pageSetUpPr fitToPage="1"/>
  </sheetPr>
  <dimension ref="A1:P61"/>
  <sheetViews>
    <sheetView showGridLines="0" workbookViewId="0"/>
  </sheetViews>
  <sheetFormatPr defaultRowHeight="15"/>
  <cols>
    <col min="1" max="1" width="2.7109375" customWidth="1"/>
    <col min="2" max="19" width="12.7109375" customWidth="1"/>
  </cols>
  <sheetData>
    <row r="1" spans="1:16" ht="30" customHeight="1">
      <c r="A1" s="1" t="s">
        <v>0</v>
      </c>
      <c r="B1" s="1"/>
      <c r="C1" s="1"/>
      <c r="D1" s="1"/>
      <c r="E1" s="1"/>
      <c r="F1" s="1"/>
      <c r="G1" s="1"/>
      <c r="H1" s="1"/>
      <c r="I1" s="1"/>
      <c r="J1" s="1"/>
      <c r="K1" s="1"/>
      <c r="L1" s="1"/>
      <c r="M1" s="1"/>
      <c r="N1" s="1"/>
      <c r="O1" s="1"/>
      <c r="P1" s="1"/>
    </row>
    <row r="2" spans="1:16" ht="21" customHeight="1">
      <c r="B2" s="2" t="s">
        <v>30</v>
      </c>
      <c r="C2" s="2"/>
      <c r="D2" s="2"/>
      <c r="E2" s="2"/>
      <c r="F2" s="2"/>
      <c r="G2" s="2"/>
      <c r="H2" s="2"/>
      <c r="I2" s="2"/>
      <c r="J2" s="2"/>
      <c r="K2" s="2"/>
      <c r="L2" s="2"/>
      <c r="M2" s="2"/>
      <c r="N2" s="2"/>
      <c r="O2" s="2"/>
      <c r="P2" s="3" t="s">
        <v>2</v>
      </c>
    </row>
    <row r="3" spans="1:16" ht="6" customHeight="1"/>
    <row r="4" spans="1:16" ht="30" customHeight="1">
      <c r="B4" s="72" t="s">
        <v>243</v>
      </c>
      <c r="C4" s="72"/>
      <c r="D4" s="22" t="str">
        <f>IF(COUNTIF($K$11:$K$24,"PASS")=14,"PASS","FAIL")</f>
        <v>PASS</v>
      </c>
      <c r="E4" s="22"/>
      <c r="F4" s="23" t="str">
        <f>COUNTIF($K$11:$K$24,"PASS")&amp;" of 14 checks pass"</f>
        <v>14 of 14 checks pass</v>
      </c>
      <c r="G4" s="23"/>
      <c r="H4" s="23"/>
      <c r="I4" s="23"/>
      <c r="J4" s="23"/>
    </row>
    <row r="6" spans="1:16" ht="29.4" customHeight="1">
      <c r="B6" s="10" t="s">
        <v>244</v>
      </c>
      <c r="C6" s="10"/>
      <c r="D6" s="10"/>
      <c r="E6" s="10"/>
      <c r="F6" s="10"/>
      <c r="G6" s="10"/>
      <c r="H6" s="10"/>
      <c r="I6" s="10"/>
      <c r="J6" s="10"/>
      <c r="K6" s="10"/>
      <c r="L6" s="10"/>
    </row>
    <row r="8" spans="1:16" ht="21" customHeight="1">
      <c r="B8" s="8" t="s">
        <v>245</v>
      </c>
      <c r="C8" s="8"/>
      <c r="D8" s="8"/>
      <c r="E8" s="8"/>
      <c r="F8" s="8"/>
      <c r="G8" s="8"/>
      <c r="H8" s="8"/>
      <c r="I8" s="8"/>
      <c r="J8" s="8"/>
      <c r="K8" s="8"/>
      <c r="L8" s="8"/>
    </row>
    <row r="9" spans="1:16" ht="5" customHeight="1"/>
    <row r="10" spans="1:16" ht="30" customHeight="1">
      <c r="B10" s="31" t="s">
        <v>246</v>
      </c>
      <c r="C10" s="56" t="s">
        <v>116</v>
      </c>
      <c r="D10" s="56"/>
      <c r="E10" s="56"/>
      <c r="F10" s="56"/>
      <c r="G10" s="31" t="s">
        <v>247</v>
      </c>
      <c r="H10" s="31" t="s">
        <v>248</v>
      </c>
      <c r="I10" s="31" t="s">
        <v>249</v>
      </c>
      <c r="J10" s="31" t="s">
        <v>250</v>
      </c>
      <c r="K10" s="31" t="s">
        <v>251</v>
      </c>
    </row>
    <row r="11" spans="1:16" ht="16.2" customHeight="1">
      <c r="B11" s="61">
        <v>1</v>
      </c>
      <c r="C11" s="70" t="s">
        <v>252</v>
      </c>
      <c r="D11" s="70"/>
      <c r="E11" s="70"/>
      <c r="F11" s="70"/>
      <c r="G11" s="73">
        <v>16200</v>
      </c>
      <c r="H11" s="42">
        <f>$G$59</f>
        <v>16200</v>
      </c>
      <c r="I11" s="74">
        <f>IF(AND(ISNUMBER($G$11),ISNUMBER($H$11)),ABS($H$11-$G$11),"")</f>
        <v>0</v>
      </c>
      <c r="J11" s="75">
        <v>1E-09</v>
      </c>
      <c r="K11" s="44" t="str">
        <f>IF(AND(ISNUMBER($G$11),ISNUMBER($H$11)),IF(ABS($H$11-$G$11)&lt;=$J$11,"PASS","FAIL"),"FAIL")</f>
        <v>PASS</v>
      </c>
    </row>
    <row r="12" spans="1:16" ht="16.2" customHeight="1">
      <c r="B12" s="61">
        <v>2</v>
      </c>
      <c r="C12" s="70" t="s">
        <v>253</v>
      </c>
      <c r="D12" s="70"/>
      <c r="E12" s="70"/>
      <c r="F12" s="70"/>
      <c r="G12" s="73">
        <v>4600</v>
      </c>
      <c r="H12" s="42">
        <f>$H$59</f>
        <v>4600</v>
      </c>
      <c r="I12" s="74">
        <f>IF(AND(ISNUMBER($G$12),ISNUMBER($H$12)),ABS($H$12-$G$12),"")</f>
        <v>0</v>
      </c>
      <c r="J12" s="75">
        <v>1E-09</v>
      </c>
      <c r="K12" s="44" t="str">
        <f>IF(AND(ISNUMBER($G$12),ISNUMBER($H$12)),IF(ABS($H$12-$G$12)&lt;=$J$12,"PASS","FAIL"),"FAIL")</f>
        <v>PASS</v>
      </c>
    </row>
    <row r="13" spans="1:16" ht="16.2" customHeight="1">
      <c r="B13" s="61">
        <v>3</v>
      </c>
      <c r="C13" s="70" t="s">
        <v>254</v>
      </c>
      <c r="D13" s="70"/>
      <c r="E13" s="70"/>
      <c r="F13" s="70"/>
      <c r="G13" s="73">
        <v>20800</v>
      </c>
      <c r="H13" s="42">
        <f>$I$59</f>
        <v>20800</v>
      </c>
      <c r="I13" s="74">
        <f>IF(AND(ISNUMBER($G$13),ISNUMBER($H$13)),ABS($H$13-$G$13),"")</f>
        <v>0</v>
      </c>
      <c r="J13" s="75">
        <v>1E-09</v>
      </c>
      <c r="K13" s="44" t="str">
        <f>IF(AND(ISNUMBER($G$13),ISNUMBER($H$13)),IF(ABS($H$13-$G$13)&lt;=$J$13,"PASS","FAIL"),"FAIL")</f>
        <v>PASS</v>
      </c>
    </row>
    <row r="14" spans="1:16" ht="16.2" customHeight="1">
      <c r="B14" s="61">
        <v>4</v>
      </c>
      <c r="C14" s="70" t="s">
        <v>255</v>
      </c>
      <c r="D14" s="70"/>
      <c r="E14" s="70"/>
      <c r="F14" s="70"/>
      <c r="G14" s="73">
        <v>27900</v>
      </c>
      <c r="H14" s="42">
        <f>$J$59</f>
        <v>27900</v>
      </c>
      <c r="I14" s="74">
        <f>IF(AND(ISNUMBER($G$14),ISNUMBER($H$14)),ABS($H$14-$G$14),"")</f>
        <v>0</v>
      </c>
      <c r="J14" s="75">
        <v>1E-09</v>
      </c>
      <c r="K14" s="44" t="str">
        <f>IF(AND(ISNUMBER($G$14),ISNUMBER($H$14)),IF(ABS($H$14-$G$14)&lt;=$J$14,"PASS","FAIL"),"FAIL")</f>
        <v>PASS</v>
      </c>
    </row>
    <row r="15" spans="1:16" ht="16.2" customHeight="1">
      <c r="B15" s="61">
        <v>5</v>
      </c>
      <c r="C15" s="70" t="s">
        <v>256</v>
      </c>
      <c r="D15" s="70"/>
      <c r="E15" s="70"/>
      <c r="F15" s="70"/>
      <c r="G15" s="76">
        <v>1.155555555555555</v>
      </c>
      <c r="H15" s="77">
        <f>$M$59</f>
        <v>1.15555555555556</v>
      </c>
      <c r="I15" s="74">
        <f>IF(AND(ISNUMBER($G$15),ISNUMBER($H$15)),ABS($H$15-$G$15),"")</f>
        <v>0</v>
      </c>
      <c r="J15" s="75">
        <v>1E-09</v>
      </c>
      <c r="K15" s="44" t="str">
        <f>IF(AND(ISNUMBER($G$15),ISNUMBER($H$15)),IF(ABS($H$15-$G$15)&lt;=$J$15,"PASS","FAIL"),"FAIL")</f>
        <v>PASS</v>
      </c>
    </row>
    <row r="16" spans="1:16" ht="16.2" customHeight="1">
      <c r="B16" s="61">
        <v>6</v>
      </c>
      <c r="C16" s="70" t="s">
        <v>257</v>
      </c>
      <c r="D16" s="70"/>
      <c r="E16" s="70"/>
      <c r="F16" s="70"/>
      <c r="G16" s="60">
        <v>0.04</v>
      </c>
      <c r="H16" s="43">
        <f>$K$59</f>
        <v>0.04</v>
      </c>
      <c r="I16" s="74">
        <f>IF(AND(ISNUMBER($G$16),ISNUMBER($H$16)),ABS($H$16-$G$16),"")</f>
        <v>0</v>
      </c>
      <c r="J16" s="75">
        <v>1E-09</v>
      </c>
      <c r="K16" s="44" t="str">
        <f>IF(AND(ISNUMBER($G$16),ISNUMBER($H$16)),IF(ABS($H$16-$G$16)&lt;=$J$16,"PASS","FAIL"),"FAIL")</f>
        <v>PASS</v>
      </c>
    </row>
    <row r="17" spans="2:12" ht="16.2" customHeight="1">
      <c r="B17" s="61">
        <v>7</v>
      </c>
      <c r="C17" s="70" t="s">
        <v>258</v>
      </c>
      <c r="D17" s="70"/>
      <c r="E17" s="70"/>
      <c r="F17" s="70"/>
      <c r="G17" s="69" t="s">
        <v>259</v>
      </c>
      <c r="H17" s="36" t="str">
        <f>$L$59</f>
        <v>Above target</v>
      </c>
      <c r="I17" s="36"/>
      <c r="J17" s="71" t="s">
        <v>260</v>
      </c>
      <c r="K17" s="44" t="str">
        <f>IF($H$17&amp;""=$G$17&amp;"","PASS","FAIL")</f>
        <v>PASS</v>
      </c>
    </row>
    <row r="18" spans="2:12" ht="16.2" customHeight="1">
      <c r="B18" s="61">
        <v>8</v>
      </c>
      <c r="C18" s="70" t="s">
        <v>261</v>
      </c>
      <c r="D18" s="70"/>
      <c r="E18" s="70"/>
      <c r="F18" s="70"/>
      <c r="G18" s="69" t="s">
        <v>262</v>
      </c>
      <c r="H18" s="36" t="str">
        <f>$L$60</f>
        <v>On target</v>
      </c>
      <c r="I18" s="36"/>
      <c r="J18" s="71" t="s">
        <v>260</v>
      </c>
      <c r="K18" s="44" t="str">
        <f>IF($H$18&amp;""=$G$18&amp;"","PASS","FAIL")</f>
        <v>PASS</v>
      </c>
    </row>
    <row r="19" spans="2:12" ht="16.2" customHeight="1">
      <c r="B19" s="61">
        <v>9</v>
      </c>
      <c r="C19" s="70" t="s">
        <v>263</v>
      </c>
      <c r="D19" s="70"/>
      <c r="E19" s="70"/>
      <c r="F19" s="70"/>
      <c r="G19" s="69" t="s">
        <v>264</v>
      </c>
      <c r="H19" s="36" t="str">
        <f>$O$61</f>
        <v>Use the first day of the month</v>
      </c>
      <c r="I19" s="36"/>
      <c r="J19" s="71" t="s">
        <v>260</v>
      </c>
      <c r="K19" s="44" t="str">
        <f>IF($H$19&amp;""=$G$19&amp;"","PASS","FAIL")</f>
        <v>PASS</v>
      </c>
    </row>
    <row r="20" spans="2:12" ht="16.2" customHeight="1">
      <c r="B20" s="61">
        <v>10</v>
      </c>
      <c r="C20" s="70" t="s">
        <v>265</v>
      </c>
      <c r="D20" s="70"/>
      <c r="E20" s="70"/>
      <c r="F20" s="70"/>
      <c r="G20" s="69" t="s">
        <v>266</v>
      </c>
      <c r="H20" s="36" t="str">
        <f>$I$53</f>
        <v>Element not on Setup list</v>
      </c>
      <c r="I20" s="36"/>
      <c r="J20" s="71" t="s">
        <v>260</v>
      </c>
      <c r="K20" s="44" t="str">
        <f>IF($H$20&amp;""=$G$20&amp;"","PASS","FAIL")</f>
        <v>PASS</v>
      </c>
    </row>
    <row r="21" spans="2:12" ht="16.2" customHeight="1">
      <c r="B21" s="61">
        <v>11</v>
      </c>
      <c r="C21" s="70" t="s">
        <v>267</v>
      </c>
      <c r="D21" s="70"/>
      <c r="E21" s="70"/>
      <c r="F21" s="70"/>
      <c r="G21" s="69" t="s">
        <v>268</v>
      </c>
      <c r="H21" s="36" t="str">
        <f>$I$54</f>
        <v>No Monthly Summary row for this month</v>
      </c>
      <c r="I21" s="36"/>
      <c r="J21" s="71" t="s">
        <v>260</v>
      </c>
      <c r="K21" s="44" t="str">
        <f>IF($H$21&amp;""=$G$21&amp;"","PASS","FAIL")</f>
        <v>PASS</v>
      </c>
    </row>
    <row r="22" spans="2:12" ht="16.2" customHeight="1">
      <c r="B22" s="61">
        <v>12</v>
      </c>
      <c r="C22" s="70" t="s">
        <v>269</v>
      </c>
      <c r="D22" s="70"/>
      <c r="E22" s="70"/>
      <c r="F22" s="70"/>
      <c r="G22" s="73">
        <v>21800</v>
      </c>
      <c r="H22" s="42">
        <f>SUMIFS(tblVerifyMonths[COPQ],tblVerifyMonths[View date],"&gt;0")</f>
        <v>21800</v>
      </c>
      <c r="I22" s="74">
        <f>IF(AND(ISNUMBER($G$22),ISNUMBER($H$22)),ABS($H$22-$G$22),"")</f>
        <v>0</v>
      </c>
      <c r="J22" s="75">
        <v>1E-06</v>
      </c>
      <c r="K22" s="44" t="str">
        <f>IF(AND(ISNUMBER($G$22),ISNUMBER($H$22)),IF(ABS($H$22-$G$22)&lt;=$J$22,"PASS","FAIL"),"FAIL")</f>
        <v>PASS</v>
      </c>
    </row>
    <row r="23" spans="2:12" ht="16.2" customHeight="1">
      <c r="B23" s="61">
        <v>13</v>
      </c>
      <c r="C23" s="70" t="s">
        <v>270</v>
      </c>
      <c r="D23" s="70"/>
      <c r="E23" s="70"/>
      <c r="F23" s="70"/>
      <c r="G23" s="60">
        <v>0.02137254901960784</v>
      </c>
      <c r="H23" s="43">
        <f>IF((SUMIFS(tblVerifyMonths[Net sales],tblVerifyMonths[View date],"&gt;0"))=0,"",(SUMIFS(tblVerifyMonths[COPQ],tblVerifyMonths[View date],"&gt;0"))/(SUMIFS(tblVerifyMonths[Net sales],tblVerifyMonths[View date],"&gt;0")))</f>
        <v>0.0213725490196078</v>
      </c>
      <c r="I23" s="74">
        <f>IF(AND(ISNUMBER($G$23),ISNUMBER($H$23)),ABS($H$23-$G$23),"")</f>
        <v>0</v>
      </c>
      <c r="J23" s="75">
        <v>1E-09</v>
      </c>
      <c r="K23" s="44" t="str">
        <f>IF(AND(ISNUMBER($G$23),ISNUMBER($H$23)),IF(ABS($H$23-$G$23)&lt;=$J$23,"PASS","FAIL"),"FAIL")</f>
        <v>PASS</v>
      </c>
    </row>
    <row r="24" spans="2:12" ht="16.2" customHeight="1">
      <c r="B24" s="61">
        <v>14</v>
      </c>
      <c r="C24" s="70" t="s">
        <v>271</v>
      </c>
      <c r="D24" s="70"/>
      <c r="E24" s="70"/>
      <c r="F24" s="70"/>
      <c r="G24" s="76">
        <v>0.6055555555555555</v>
      </c>
      <c r="H24" s="77">
        <f>IF((SUMIFS(tblVerifyMonths[Units shipped],tblVerifyMonths[View date],"&gt;0"))=0,"",(SUMIFS(tblVerifyMonths[COPQ],tblVerifyMonths[View date],"&gt;0"))/(SUMIFS(tblVerifyMonths[Units shipped],tblVerifyMonths[View date],"&gt;0")))</f>
        <v>0.605555555555556</v>
      </c>
      <c r="I24" s="74">
        <f>IF(AND(ISNUMBER($G$24),ISNUMBER($H$24)),ABS($H$24-$G$24),"")</f>
        <v>0</v>
      </c>
      <c r="J24" s="75">
        <v>1E-09</v>
      </c>
      <c r="K24" s="44" t="str">
        <f>IF(AND(ISNUMBER($G$24),ISNUMBER($H$24)),IF(ABS($H$24-$G$24)&lt;=$J$24,"PASS","FAIL"),"FAIL")</f>
        <v>PASS</v>
      </c>
    </row>
    <row r="26" spans="2:12" ht="21" customHeight="1">
      <c r="B26" s="8" t="s">
        <v>272</v>
      </c>
      <c r="C26" s="8"/>
      <c r="D26" s="8"/>
      <c r="E26" s="8"/>
      <c r="F26" s="8"/>
      <c r="G26" s="8"/>
      <c r="H26" s="8"/>
      <c r="I26" s="8"/>
      <c r="J26" s="8"/>
      <c r="K26" s="8"/>
      <c r="L26" s="8"/>
    </row>
    <row r="27" spans="2:12" ht="5" customHeight="1"/>
    <row r="28" spans="2:12">
      <c r="B28" s="21" t="s">
        <v>273</v>
      </c>
      <c r="C28" s="21"/>
      <c r="D28" s="21"/>
      <c r="E28" s="21"/>
      <c r="F28" s="21"/>
      <c r="G28" s="21"/>
      <c r="H28" s="21"/>
      <c r="I28" s="21"/>
      <c r="J28" s="21"/>
      <c r="K28" s="21"/>
      <c r="L28" s="21"/>
    </row>
    <row r="29" spans="2:12">
      <c r="B29" s="30" t="s">
        <v>274</v>
      </c>
      <c r="C29" s="30"/>
      <c r="D29" s="30"/>
      <c r="E29" s="30"/>
      <c r="F29" s="30"/>
    </row>
    <row r="30" spans="2:12">
      <c r="B30" s="27" t="s">
        <v>275</v>
      </c>
      <c r="C30" s="27"/>
      <c r="D30" s="27"/>
      <c r="E30" s="73">
        <v>0</v>
      </c>
      <c r="F30" s="7"/>
    </row>
    <row r="31" spans="2:12">
      <c r="B31" s="27" t="s">
        <v>276</v>
      </c>
      <c r="C31" s="27"/>
      <c r="D31" s="27"/>
      <c r="E31" s="73">
        <v>2958465</v>
      </c>
      <c r="F31" s="7"/>
    </row>
    <row r="32" spans="2:12">
      <c r="B32" s="27" t="s">
        <v>277</v>
      </c>
      <c r="C32" s="27"/>
      <c r="D32" s="27"/>
      <c r="E32" s="78">
        <v>0.03</v>
      </c>
      <c r="F32" s="7"/>
    </row>
    <row r="34" spans="2:12">
      <c r="B34" s="30" t="s">
        <v>278</v>
      </c>
      <c r="C34" s="30"/>
      <c r="D34" s="30"/>
      <c r="E34" s="30"/>
      <c r="F34" s="30"/>
      <c r="G34" s="30"/>
      <c r="H34" s="30"/>
      <c r="I34" s="30"/>
      <c r="J34" s="30"/>
      <c r="K34" s="30"/>
      <c r="L34" s="30"/>
    </row>
    <row r="35" spans="2:12" ht="20" customHeight="1">
      <c r="B35" s="31" t="s">
        <v>64</v>
      </c>
      <c r="C35" s="31" t="s">
        <v>65</v>
      </c>
      <c r="D35" s="31" t="s">
        <v>66</v>
      </c>
    </row>
    <row r="36" spans="2:12">
      <c r="B36" s="69" t="s">
        <v>93</v>
      </c>
      <c r="C36" s="69" t="s">
        <v>94</v>
      </c>
      <c r="D36" s="69" t="s">
        <v>279</v>
      </c>
    </row>
    <row r="37" spans="2:12">
      <c r="B37" s="69" t="s">
        <v>280</v>
      </c>
      <c r="C37" s="69" t="s">
        <v>94</v>
      </c>
      <c r="D37" s="69" t="s">
        <v>279</v>
      </c>
    </row>
    <row r="38" spans="2:12">
      <c r="B38" s="69" t="s">
        <v>281</v>
      </c>
      <c r="C38" s="69" t="s">
        <v>94</v>
      </c>
      <c r="D38" s="69" t="s">
        <v>279</v>
      </c>
    </row>
    <row r="39" spans="2:12">
      <c r="B39" s="69" t="s">
        <v>282</v>
      </c>
      <c r="C39" s="69" t="s">
        <v>103</v>
      </c>
      <c r="D39" s="69" t="s">
        <v>279</v>
      </c>
    </row>
    <row r="40" spans="2:12">
      <c r="B40" s="69" t="s">
        <v>80</v>
      </c>
      <c r="C40" s="69" t="s">
        <v>78</v>
      </c>
      <c r="D40" s="69" t="s">
        <v>279</v>
      </c>
    </row>
    <row r="41" spans="2:12">
      <c r="B41" s="69" t="s">
        <v>283</v>
      </c>
      <c r="C41" s="69" t="s">
        <v>87</v>
      </c>
      <c r="D41" s="69" t="s">
        <v>279</v>
      </c>
    </row>
    <row r="43" spans="2:12">
      <c r="B43" s="30" t="s">
        <v>284</v>
      </c>
      <c r="C43" s="30"/>
      <c r="D43" s="30"/>
      <c r="E43" s="30"/>
      <c r="F43" s="30"/>
      <c r="G43" s="30"/>
      <c r="H43" s="30"/>
      <c r="I43" s="30"/>
      <c r="J43" s="30"/>
      <c r="K43" s="30"/>
      <c r="L43" s="30"/>
    </row>
    <row r="44" spans="2:12" ht="14" customHeight="1">
      <c r="B44" s="33"/>
      <c r="C44" s="33"/>
      <c r="D44" s="33" t="str">
        <f>Currency</f>
        <v>USD</v>
      </c>
      <c r="E44" s="33"/>
      <c r="F44" s="33"/>
      <c r="G44" s="33"/>
      <c r="H44" s="33"/>
      <c r="I44" s="33"/>
      <c r="J44" s="33"/>
    </row>
    <row r="45" spans="2:12" ht="20" customHeight="1">
      <c r="B45" s="31" t="s">
        <v>111</v>
      </c>
      <c r="C45" s="31" t="s">
        <v>64</v>
      </c>
      <c r="D45" s="31" t="s">
        <v>112</v>
      </c>
      <c r="E45" s="31" t="s">
        <v>113</v>
      </c>
      <c r="F45" s="31" t="s">
        <v>65</v>
      </c>
      <c r="G45" s="31" t="s">
        <v>114</v>
      </c>
      <c r="H45" s="31" t="s">
        <v>115</v>
      </c>
      <c r="I45" s="31" t="s">
        <v>116</v>
      </c>
      <c r="J45" s="31" t="s">
        <v>117</v>
      </c>
    </row>
    <row r="46" spans="2:12">
      <c r="B46" s="79">
        <v>46052</v>
      </c>
      <c r="C46" s="69" t="s">
        <v>93</v>
      </c>
      <c r="D46" s="80">
        <v>8400</v>
      </c>
      <c r="E46" s="69" t="s">
        <v>285</v>
      </c>
      <c r="F46" s="69" t="s">
        <v>94</v>
      </c>
      <c r="G46" s="37">
        <f>IF(tblVerifyCosts[[#This Row],[Date]]="","",DATE(YEAR(tblVerifyCosts[[#This Row],[Date]]),MONTH(tblVerifyCosts[[#This Row],[Date]]),1))</f>
        <v>46023</v>
      </c>
      <c r="H46" s="37">
        <f>IF(tblVerifyCosts[[#This Row],[Date]]="","",IF(AND(tblVerifyCosts[[#This Row],[Month]]&gt;=$E$30,tblVerifyCosts[[#This Row],[Month]]&lt;=$E$31),tblVerifyCosts[[#This Row],[Month]],""))</f>
        <v>46023</v>
      </c>
      <c r="I46" s="38" t="str">
        <f>IF(tblVerifyCosts[[#This Row],[Date]]="","",IF(tblVerifyCosts[[#This Row],[Element]]="","Missing element",IF(tblVerifyCosts[[#This Row],[Amount]]="","Missing amount",IF(tblVerifyCosts[[#This Row],[Category]]="","Element not on Setup list",IF(COUNTIF(tblVerifyMonths[Month],tblVerifyCosts[[#This Row],[Month]])=0,"No Monthly Summary row for this month","OK")))))</f>
        <v>OK</v>
      </c>
      <c r="J46" s="69"/>
    </row>
    <row r="47" spans="2:12">
      <c r="B47" s="79">
        <v>46052</v>
      </c>
      <c r="C47" s="69" t="s">
        <v>280</v>
      </c>
      <c r="D47" s="80">
        <v>5200</v>
      </c>
      <c r="E47" s="69" t="s">
        <v>285</v>
      </c>
      <c r="F47" s="69" t="s">
        <v>94</v>
      </c>
      <c r="G47" s="37">
        <f>IF(tblVerifyCosts[[#This Row],[Date]]="","",DATE(YEAR(tblVerifyCosts[[#This Row],[Date]]),MONTH(tblVerifyCosts[[#This Row],[Date]]),1))</f>
        <v>46023</v>
      </c>
      <c r="H47" s="37">
        <f>IF(tblVerifyCosts[[#This Row],[Date]]="","",IF(AND(tblVerifyCosts[[#This Row],[Month]]&gt;=$E$30,tblVerifyCosts[[#This Row],[Month]]&lt;=$E$31),tblVerifyCosts[[#This Row],[Month]],""))</f>
        <v>46023</v>
      </c>
      <c r="I47" s="38" t="str">
        <f>IF(tblVerifyCosts[[#This Row],[Date]]="","",IF(tblVerifyCosts[[#This Row],[Element]]="","Missing element",IF(tblVerifyCosts[[#This Row],[Amount]]="","Missing amount",IF(tblVerifyCosts[[#This Row],[Category]]="","Element not on Setup list",IF(COUNTIF(tblVerifyMonths[Month],tblVerifyCosts[[#This Row],[Month]])=0,"No Monthly Summary row for this month","OK")))))</f>
        <v>OK</v>
      </c>
      <c r="J47" s="69"/>
    </row>
    <row r="48" spans="2:12">
      <c r="B48" s="79">
        <v>46052</v>
      </c>
      <c r="C48" s="69" t="s">
        <v>281</v>
      </c>
      <c r="D48" s="80">
        <v>2600</v>
      </c>
      <c r="E48" s="69" t="s">
        <v>285</v>
      </c>
      <c r="F48" s="69" t="s">
        <v>94</v>
      </c>
      <c r="G48" s="37">
        <f>IF(tblVerifyCosts[[#This Row],[Date]]="","",DATE(YEAR(tblVerifyCosts[[#This Row],[Date]]),MONTH(tblVerifyCosts[[#This Row],[Date]]),1))</f>
        <v>46023</v>
      </c>
      <c r="H48" s="37">
        <f>IF(tblVerifyCosts[[#This Row],[Date]]="","",IF(AND(tblVerifyCosts[[#This Row],[Month]]&gt;=$E$30,tblVerifyCosts[[#This Row],[Month]]&lt;=$E$31),tblVerifyCosts[[#This Row],[Month]],""))</f>
        <v>46023</v>
      </c>
      <c r="I48" s="38" t="str">
        <f>IF(tblVerifyCosts[[#This Row],[Date]]="","",IF(tblVerifyCosts[[#This Row],[Element]]="","Missing element",IF(tblVerifyCosts[[#This Row],[Amount]]="","Missing amount",IF(tblVerifyCosts[[#This Row],[Category]]="","Element not on Setup list",IF(COUNTIF(tblVerifyMonths[Month],tblVerifyCosts[[#This Row],[Month]])=0,"No Monthly Summary row for this month","OK")))))</f>
        <v>OK</v>
      </c>
      <c r="J48" s="69"/>
    </row>
    <row r="49" spans="2:16">
      <c r="B49" s="79">
        <v>46034</v>
      </c>
      <c r="C49" s="69" t="s">
        <v>282</v>
      </c>
      <c r="D49" s="80">
        <v>4600</v>
      </c>
      <c r="E49" s="69" t="s">
        <v>285</v>
      </c>
      <c r="F49" s="69" t="s">
        <v>103</v>
      </c>
      <c r="G49" s="37">
        <f>IF(tblVerifyCosts[[#This Row],[Date]]="","",DATE(YEAR(tblVerifyCosts[[#This Row],[Date]]),MONTH(tblVerifyCosts[[#This Row],[Date]]),1))</f>
        <v>46023</v>
      </c>
      <c r="H49" s="37">
        <f>IF(tblVerifyCosts[[#This Row],[Date]]="","",IF(AND(tblVerifyCosts[[#This Row],[Month]]&gt;=$E$30,tblVerifyCosts[[#This Row],[Month]]&lt;=$E$31),tblVerifyCosts[[#This Row],[Month]],""))</f>
        <v>46023</v>
      </c>
      <c r="I49" s="38" t="str">
        <f>IF(tblVerifyCosts[[#This Row],[Date]]="","",IF(tblVerifyCosts[[#This Row],[Element]]="","Missing element",IF(tblVerifyCosts[[#This Row],[Amount]]="","Missing amount",IF(tblVerifyCosts[[#This Row],[Category]]="","Element not on Setup list",IF(COUNTIF(tblVerifyMonths[Month],tblVerifyCosts[[#This Row],[Month]])=0,"No Monthly Summary row for this month","OK")))))</f>
        <v>OK</v>
      </c>
      <c r="J49" s="69"/>
    </row>
    <row r="50" spans="2:16">
      <c r="B50" s="79">
        <v>46052</v>
      </c>
      <c r="C50" s="69" t="s">
        <v>80</v>
      </c>
      <c r="D50" s="80">
        <v>3000</v>
      </c>
      <c r="E50" s="69" t="s">
        <v>285</v>
      </c>
      <c r="F50" s="69" t="s">
        <v>78</v>
      </c>
      <c r="G50" s="37">
        <f>IF(tblVerifyCosts[[#This Row],[Date]]="","",DATE(YEAR(tblVerifyCosts[[#This Row],[Date]]),MONTH(tblVerifyCosts[[#This Row],[Date]]),1))</f>
        <v>46023</v>
      </c>
      <c r="H50" s="37">
        <f>IF(tblVerifyCosts[[#This Row],[Date]]="","",IF(AND(tblVerifyCosts[[#This Row],[Month]]&gt;=$E$30,tblVerifyCosts[[#This Row],[Month]]&lt;=$E$31),tblVerifyCosts[[#This Row],[Month]],""))</f>
        <v>46023</v>
      </c>
      <c r="I50" s="38" t="str">
        <f>IF(tblVerifyCosts[[#This Row],[Date]]="","",IF(tblVerifyCosts[[#This Row],[Element]]="","Missing element",IF(tblVerifyCosts[[#This Row],[Amount]]="","Missing amount",IF(tblVerifyCosts[[#This Row],[Category]]="","Element not on Setup list",IF(COUNTIF(tblVerifyMonths[Month],tblVerifyCosts[[#This Row],[Month]])=0,"No Monthly Summary row for this month","OK")))))</f>
        <v>OK</v>
      </c>
      <c r="J50" s="69"/>
    </row>
    <row r="51" spans="2:16">
      <c r="B51" s="79">
        <v>46052</v>
      </c>
      <c r="C51" s="69" t="s">
        <v>283</v>
      </c>
      <c r="D51" s="80">
        <v>4100</v>
      </c>
      <c r="E51" s="69" t="s">
        <v>285</v>
      </c>
      <c r="F51" s="69" t="s">
        <v>87</v>
      </c>
      <c r="G51" s="37">
        <f>IF(tblVerifyCosts[[#This Row],[Date]]="","",DATE(YEAR(tblVerifyCosts[[#This Row],[Date]]),MONTH(tblVerifyCosts[[#This Row],[Date]]),1))</f>
        <v>46023</v>
      </c>
      <c r="H51" s="37">
        <f>IF(tblVerifyCosts[[#This Row],[Date]]="","",IF(AND(tblVerifyCosts[[#This Row],[Month]]&gt;=$E$30,tblVerifyCosts[[#This Row],[Month]]&lt;=$E$31),tblVerifyCosts[[#This Row],[Month]],""))</f>
        <v>46023</v>
      </c>
      <c r="I51" s="38" t="str">
        <f>IF(tblVerifyCosts[[#This Row],[Date]]="","",IF(tblVerifyCosts[[#This Row],[Element]]="","Missing element",IF(tblVerifyCosts[[#This Row],[Amount]]="","Missing amount",IF(tblVerifyCosts[[#This Row],[Category]]="","Element not on Setup list",IF(COUNTIF(tblVerifyMonths[Month],tblVerifyCosts[[#This Row],[Month]])=0,"No Monthly Summary row for this month","OK")))))</f>
        <v>OK</v>
      </c>
      <c r="J51" s="69"/>
    </row>
    <row r="52" spans="2:16">
      <c r="B52" s="79">
        <v>46073</v>
      </c>
      <c r="C52" s="69" t="s">
        <v>282</v>
      </c>
      <c r="D52" s="80">
        <v>1000</v>
      </c>
      <c r="E52" s="69" t="s">
        <v>285</v>
      </c>
      <c r="F52" s="69" t="s">
        <v>103</v>
      </c>
      <c r="G52" s="37">
        <f>IF(tblVerifyCosts[[#This Row],[Date]]="","",DATE(YEAR(tblVerifyCosts[[#This Row],[Date]]),MONTH(tblVerifyCosts[[#This Row],[Date]]),1))</f>
        <v>46054</v>
      </c>
      <c r="H52" s="37">
        <f>IF(tblVerifyCosts[[#This Row],[Date]]="","",IF(AND(tblVerifyCosts[[#This Row],[Month]]&gt;=$E$30,tblVerifyCosts[[#This Row],[Month]]&lt;=$E$31),tblVerifyCosts[[#This Row],[Month]],""))</f>
        <v>46054</v>
      </c>
      <c r="I52" s="38" t="str">
        <f>IF(tblVerifyCosts[[#This Row],[Date]]="","",IF(tblVerifyCosts[[#This Row],[Element]]="","Missing element",IF(tblVerifyCosts[[#This Row],[Amount]]="","Missing amount",IF(tblVerifyCosts[[#This Row],[Category]]="","Element not on Setup list",IF(COUNTIF(tblVerifyMonths[Month],tblVerifyCosts[[#This Row],[Month]])=0,"No Monthly Summary row for this month","OK")))))</f>
        <v>OK</v>
      </c>
      <c r="J52" s="69"/>
    </row>
    <row r="53" spans="2:16">
      <c r="B53" s="79">
        <v>46080</v>
      </c>
      <c r="C53" s="69" t="s">
        <v>286</v>
      </c>
      <c r="D53" s="80">
        <v>500</v>
      </c>
      <c r="E53" s="69" t="s">
        <v>285</v>
      </c>
      <c r="F53" s="69" t="s">
        <v>125</v>
      </c>
      <c r="G53" s="37">
        <f>IF(tblVerifyCosts[[#This Row],[Date]]="","",DATE(YEAR(tblVerifyCosts[[#This Row],[Date]]),MONTH(tblVerifyCosts[[#This Row],[Date]]),1))</f>
        <v>46054</v>
      </c>
      <c r="H53" s="37">
        <f>IF(tblVerifyCosts[[#This Row],[Date]]="","",IF(AND(tblVerifyCosts[[#This Row],[Month]]&gt;=$E$30,tblVerifyCosts[[#This Row],[Month]]&lt;=$E$31),tblVerifyCosts[[#This Row],[Month]],""))</f>
        <v>46054</v>
      </c>
      <c r="I53" s="38" t="str">
        <f>IF(tblVerifyCosts[[#This Row],[Date]]="","",IF(tblVerifyCosts[[#This Row],[Element]]="","Missing element",IF(tblVerifyCosts[[#This Row],[Amount]]="","Missing amount",IF(tblVerifyCosts[[#This Row],[Category]]="","Element not on Setup list",IF(COUNTIF(tblVerifyMonths[Month],tblVerifyCosts[[#This Row],[Month]])=0,"No Monthly Summary row for this month","OK")))))</f>
        <v>Element not on Setup list</v>
      </c>
      <c r="J53" s="69"/>
    </row>
    <row r="54" spans="2:16">
      <c r="B54" s="79">
        <v>46115</v>
      </c>
      <c r="C54" s="69" t="s">
        <v>93</v>
      </c>
      <c r="D54" s="80">
        <v>700</v>
      </c>
      <c r="E54" s="69" t="s">
        <v>285</v>
      </c>
      <c r="F54" s="69" t="s">
        <v>94</v>
      </c>
      <c r="G54" s="37">
        <f>IF(tblVerifyCosts[[#This Row],[Date]]="","",DATE(YEAR(tblVerifyCosts[[#This Row],[Date]]),MONTH(tblVerifyCosts[[#This Row],[Date]]),1))</f>
        <v>46113</v>
      </c>
      <c r="H54" s="37">
        <f>IF(tblVerifyCosts[[#This Row],[Date]]="","",IF(AND(tblVerifyCosts[[#This Row],[Month]]&gt;=$E$30,tblVerifyCosts[[#This Row],[Month]]&lt;=$E$31),tblVerifyCosts[[#This Row],[Month]],""))</f>
        <v>46113</v>
      </c>
      <c r="I54" s="38" t="str">
        <f>IF(tblVerifyCosts[[#This Row],[Date]]="","",IF(tblVerifyCosts[[#This Row],[Element]]="","Missing element",IF(tblVerifyCosts[[#This Row],[Amount]]="","Missing amount",IF(tblVerifyCosts[[#This Row],[Category]]="","Element not on Setup list",IF(COUNTIF(tblVerifyMonths[Month],tblVerifyCosts[[#This Row],[Month]])=0,"No Monthly Summary row for this month","OK")))))</f>
        <v>No Monthly Summary row for this month</v>
      </c>
      <c r="J54" s="69"/>
    </row>
    <row r="56" spans="2:16">
      <c r="B56" s="30" t="s">
        <v>287</v>
      </c>
      <c r="C56" s="30"/>
      <c r="D56" s="30"/>
      <c r="E56" s="30"/>
      <c r="F56" s="30"/>
      <c r="G56" s="30"/>
      <c r="H56" s="30"/>
      <c r="I56" s="30"/>
      <c r="J56" s="30"/>
      <c r="K56" s="30"/>
      <c r="L56" s="30"/>
    </row>
    <row r="57" spans="2:16" ht="14" customHeight="1">
      <c r="B57" s="33"/>
      <c r="C57" s="33" t="str">
        <f>Currency</f>
        <v>USD</v>
      </c>
      <c r="D57" s="33" t="s">
        <v>162</v>
      </c>
      <c r="E57" s="33" t="str">
        <f>Currency</f>
        <v>USD</v>
      </c>
      <c r="F57" s="33" t="str">
        <f>Currency</f>
        <v>USD</v>
      </c>
      <c r="G57" s="33" t="str">
        <f>Currency</f>
        <v>USD</v>
      </c>
      <c r="H57" s="33" t="str">
        <f>Currency</f>
        <v>USD</v>
      </c>
      <c r="I57" s="33" t="str">
        <f>Currency</f>
        <v>USD</v>
      </c>
      <c r="J57" s="33" t="str">
        <f>Currency</f>
        <v>USD</v>
      </c>
      <c r="K57" s="33"/>
      <c r="L57" s="33"/>
      <c r="M57" s="33" t="str">
        <f>Currency&amp;"/unit"</f>
        <v>USD/unit</v>
      </c>
      <c r="N57" s="33"/>
      <c r="O57" s="33"/>
      <c r="P57" s="33"/>
    </row>
    <row r="58" spans="2:16" ht="32" customHeight="1">
      <c r="B58" s="31" t="s">
        <v>114</v>
      </c>
      <c r="C58" s="31" t="s">
        <v>154</v>
      </c>
      <c r="D58" s="31" t="s">
        <v>155</v>
      </c>
      <c r="E58" s="31" t="s">
        <v>78</v>
      </c>
      <c r="F58" s="31" t="s">
        <v>87</v>
      </c>
      <c r="G58" s="31" t="s">
        <v>94</v>
      </c>
      <c r="H58" s="31" t="s">
        <v>103</v>
      </c>
      <c r="I58" s="31" t="s">
        <v>156</v>
      </c>
      <c r="J58" s="31" t="s">
        <v>157</v>
      </c>
      <c r="K58" s="31" t="s">
        <v>158</v>
      </c>
      <c r="L58" s="31" t="s">
        <v>159</v>
      </c>
      <c r="M58" s="31" t="s">
        <v>160</v>
      </c>
      <c r="N58" s="31" t="s">
        <v>115</v>
      </c>
      <c r="O58" s="31" t="s">
        <v>116</v>
      </c>
      <c r="P58" s="31" t="s">
        <v>117</v>
      </c>
    </row>
    <row r="59" spans="2:16">
      <c r="B59" s="81">
        <v>46023</v>
      </c>
      <c r="C59" s="80">
        <v>520000</v>
      </c>
      <c r="D59" s="73">
        <v>18000</v>
      </c>
      <c r="E59" s="42">
        <f>IF(tblVerifyMonths[[#This Row],[Month]]="","",SUMIFS(tblVerifyCosts[Amount],tblVerifyCosts[Month],tblVerifyMonths[[#This Row],[Month]],tblVerifyCosts[Category],"Prevention"))</f>
        <v>3000</v>
      </c>
      <c r="F59" s="42">
        <f>IF(tblVerifyMonths[[#This Row],[Month]]="","",SUMIFS(tblVerifyCosts[Amount],tblVerifyCosts[Month],tblVerifyMonths[[#This Row],[Month]],tblVerifyCosts[Category],"Appraisal"))</f>
        <v>4100</v>
      </c>
      <c r="G59" s="42">
        <f>IF(tblVerifyMonths[[#This Row],[Month]]="","",SUMIFS(tblVerifyCosts[Amount],tblVerifyCosts[Month],tblVerifyMonths[[#This Row],[Month]],tblVerifyCosts[Category],"Internal failure"))</f>
        <v>16200</v>
      </c>
      <c r="H59" s="42">
        <f>IF(tblVerifyMonths[[#This Row],[Month]]="","",SUMIFS(tblVerifyCosts[Amount],tblVerifyCosts[Month],tblVerifyMonths[[#This Row],[Month]],tblVerifyCosts[Category],"External failure"))</f>
        <v>4600</v>
      </c>
      <c r="I59" s="42">
        <f>IF(tblVerifyMonths[[#This Row],[Month]]="","",tblVerifyMonths[[#This Row],[Internal failure]]+tblVerifyMonths[[#This Row],[External failure]])</f>
        <v>20800</v>
      </c>
      <c r="J59" s="42">
        <f>IF(tblVerifyMonths[[#This Row],[Month]]="","",tblVerifyMonths[[#This Row],[Prevention]]+tblVerifyMonths[[#This Row],[Appraisal]]+tblVerifyMonths[[#This Row],[COPQ]])</f>
        <v>27900</v>
      </c>
      <c r="K59" s="43">
        <f>IF(tblVerifyMonths[[#This Row],[Month]]="","",IF(N(tblVerifyMonths[[#This Row],[Net sales]])&gt;0,tblVerifyMonths[[#This Row],[COPQ]]/tblVerifyMonths[[#This Row],[Net sales]],""))</f>
        <v>0.04</v>
      </c>
      <c r="L59" s="44" t="str">
        <f>IF(NOT(ISNUMBER(tblVerifyMonths[[#This Row],[COPQ share of sales]])),"",IF(tblVerifyMonths[[#This Row],[COPQ share of sales]]&lt;=$E$32,"On target",IF(tblVerifyMonths[[#This Row],[COPQ share of sales]]&lt;=$E$32*(1+0.05),"Near target","Above target")))</f>
        <v>Above target</v>
      </c>
      <c r="M59" s="45">
        <f>IF(tblVerifyMonths[[#This Row],[Month]]="","",IF(N(tblVerifyMonths[[#This Row],[Units shipped]])&gt;0,tblVerifyMonths[[#This Row],[COPQ]]/tblVerifyMonths[[#This Row],[Units shipped]],""))</f>
        <v>1.15555555555556</v>
      </c>
      <c r="N59" s="37">
        <f>IF(tblVerifyMonths[[#This Row],[Month]]="","",IF(AND(tblVerifyMonths[[#This Row],[Month]]&gt;=$E$30,tblVerifyMonths[[#This Row],[Month]]&lt;=$E$31),tblVerifyMonths[[#This Row],[Month]],""))</f>
        <v>46023</v>
      </c>
      <c r="O59" s="38" t="str">
        <f>IF(tblVerifyMonths[[#This Row],[Month]]="","",IF(tblVerifyMonths[[#This Row],[Net sales]]="","Missing net sales",IF(tblVerifyMonths[[#This Row],[Units shipped]]="","Missing units shipped",IF(DAY(tblVerifyMonths[[#This Row],[Month]])&lt;&gt;1,"Use the first day of the month",IF(COUNTIF(tblVerifyMonths[Month],tblVerifyMonths[[#This Row],[Month]])&gt;1,"Duplicate month","OK")))))</f>
        <v>OK</v>
      </c>
      <c r="P59" s="69"/>
    </row>
    <row r="60" spans="2:16">
      <c r="B60" s="81">
        <v>46054</v>
      </c>
      <c r="C60" s="80">
        <v>400000</v>
      </c>
      <c r="D60" s="73">
        <v>15000</v>
      </c>
      <c r="E60" s="42">
        <f>IF(tblVerifyMonths[[#This Row],[Month]]="","",SUMIFS(tblVerifyCosts[Amount],tblVerifyCosts[Month],tblVerifyMonths[[#This Row],[Month]],tblVerifyCosts[Category],"Prevention"))</f>
        <v>0</v>
      </c>
      <c r="F60" s="42">
        <f>IF(tblVerifyMonths[[#This Row],[Month]]="","",SUMIFS(tblVerifyCosts[Amount],tblVerifyCosts[Month],tblVerifyMonths[[#This Row],[Month]],tblVerifyCosts[Category],"Appraisal"))</f>
        <v>0</v>
      </c>
      <c r="G60" s="42">
        <f>IF(tblVerifyMonths[[#This Row],[Month]]="","",SUMIFS(tblVerifyCosts[Amount],tblVerifyCosts[Month],tblVerifyMonths[[#This Row],[Month]],tblVerifyCosts[Category],"Internal failure"))</f>
        <v>0</v>
      </c>
      <c r="H60" s="42">
        <f>IF(tblVerifyMonths[[#This Row],[Month]]="","",SUMIFS(tblVerifyCosts[Amount],tblVerifyCosts[Month],tblVerifyMonths[[#This Row],[Month]],tblVerifyCosts[Category],"External failure"))</f>
        <v>1000</v>
      </c>
      <c r="I60" s="42">
        <f>IF(tblVerifyMonths[[#This Row],[Month]]="","",tblVerifyMonths[[#This Row],[Internal failure]]+tblVerifyMonths[[#This Row],[External failure]])</f>
        <v>1000</v>
      </c>
      <c r="J60" s="42">
        <f>IF(tblVerifyMonths[[#This Row],[Month]]="","",tblVerifyMonths[[#This Row],[Prevention]]+tblVerifyMonths[[#This Row],[Appraisal]]+tblVerifyMonths[[#This Row],[COPQ]])</f>
        <v>1000</v>
      </c>
      <c r="K60" s="43">
        <f>IF(tblVerifyMonths[[#This Row],[Month]]="","",IF(N(tblVerifyMonths[[#This Row],[Net sales]])&gt;0,tblVerifyMonths[[#This Row],[COPQ]]/tblVerifyMonths[[#This Row],[Net sales]],""))</f>
        <v>0.0025</v>
      </c>
      <c r="L60" s="44" t="str">
        <f>IF(NOT(ISNUMBER(tblVerifyMonths[[#This Row],[COPQ share of sales]])),"",IF(tblVerifyMonths[[#This Row],[COPQ share of sales]]&lt;=$E$32,"On target",IF(tblVerifyMonths[[#This Row],[COPQ share of sales]]&lt;=$E$32*(1+0.05),"Near target","Above target")))</f>
        <v>On target</v>
      </c>
      <c r="M60" s="45">
        <f>IF(tblVerifyMonths[[#This Row],[Month]]="","",IF(N(tblVerifyMonths[[#This Row],[Units shipped]])&gt;0,tblVerifyMonths[[#This Row],[COPQ]]/tblVerifyMonths[[#This Row],[Units shipped]],""))</f>
        <v>0.0666666666666667</v>
      </c>
      <c r="N60" s="37">
        <f>IF(tblVerifyMonths[[#This Row],[Month]]="","",IF(AND(tblVerifyMonths[[#This Row],[Month]]&gt;=$E$30,tblVerifyMonths[[#This Row],[Month]]&lt;=$E$31),tblVerifyMonths[[#This Row],[Month]],""))</f>
        <v>46054</v>
      </c>
      <c r="O60" s="38" t="str">
        <f>IF(tblVerifyMonths[[#This Row],[Month]]="","",IF(tblVerifyMonths[[#This Row],[Net sales]]="","Missing net sales",IF(tblVerifyMonths[[#This Row],[Units shipped]]="","Missing units shipped",IF(DAY(tblVerifyMonths[[#This Row],[Month]])&lt;&gt;1,"Use the first day of the month",IF(COUNTIF(tblVerifyMonths[Month],tblVerifyMonths[[#This Row],[Month]])&gt;1,"Duplicate month","OK")))))</f>
        <v>OK</v>
      </c>
      <c r="P60" s="69"/>
    </row>
    <row r="61" spans="2:16">
      <c r="B61" s="81">
        <v>46096</v>
      </c>
      <c r="C61" s="80">
        <v>100000</v>
      </c>
      <c r="D61" s="73">
        <v>3000</v>
      </c>
      <c r="E61" s="42">
        <f>IF(tblVerifyMonths[[#This Row],[Month]]="","",SUMIFS(tblVerifyCosts[Amount],tblVerifyCosts[Month],tblVerifyMonths[[#This Row],[Month]],tblVerifyCosts[Category],"Prevention"))</f>
        <v>0</v>
      </c>
      <c r="F61" s="42">
        <f>IF(tblVerifyMonths[[#This Row],[Month]]="","",SUMIFS(tblVerifyCosts[Amount],tblVerifyCosts[Month],tblVerifyMonths[[#This Row],[Month]],tblVerifyCosts[Category],"Appraisal"))</f>
        <v>0</v>
      </c>
      <c r="G61" s="42">
        <f>IF(tblVerifyMonths[[#This Row],[Month]]="","",SUMIFS(tblVerifyCosts[Amount],tblVerifyCosts[Month],tblVerifyMonths[[#This Row],[Month]],tblVerifyCosts[Category],"Internal failure"))</f>
        <v>0</v>
      </c>
      <c r="H61" s="42">
        <f>IF(tblVerifyMonths[[#This Row],[Month]]="","",SUMIFS(tblVerifyCosts[Amount],tblVerifyCosts[Month],tblVerifyMonths[[#This Row],[Month]],tblVerifyCosts[Category],"External failure"))</f>
        <v>0</v>
      </c>
      <c r="I61" s="42">
        <f>IF(tblVerifyMonths[[#This Row],[Month]]="","",tblVerifyMonths[[#This Row],[Internal failure]]+tblVerifyMonths[[#This Row],[External failure]])</f>
        <v>0</v>
      </c>
      <c r="J61" s="42">
        <f>IF(tblVerifyMonths[[#This Row],[Month]]="","",tblVerifyMonths[[#This Row],[Prevention]]+tblVerifyMonths[[#This Row],[Appraisal]]+tblVerifyMonths[[#This Row],[COPQ]])</f>
        <v>0</v>
      </c>
      <c r="K61" s="43">
        <f>IF(tblVerifyMonths[[#This Row],[Month]]="","",IF(N(tblVerifyMonths[[#This Row],[Net sales]])&gt;0,tblVerifyMonths[[#This Row],[COPQ]]/tblVerifyMonths[[#This Row],[Net sales]],""))</f>
        <v>0</v>
      </c>
      <c r="L61" s="44" t="str">
        <f>IF(NOT(ISNUMBER(tblVerifyMonths[[#This Row],[COPQ share of sales]])),"",IF(tblVerifyMonths[[#This Row],[COPQ share of sales]]&lt;=$E$32,"On target",IF(tblVerifyMonths[[#This Row],[COPQ share of sales]]&lt;=$E$32*(1+0.05),"Near target","Above target")))</f>
        <v>On target</v>
      </c>
      <c r="M61" s="45">
        <f>IF(tblVerifyMonths[[#This Row],[Month]]="","",IF(N(tblVerifyMonths[[#This Row],[Units shipped]])&gt;0,tblVerifyMonths[[#This Row],[COPQ]]/tblVerifyMonths[[#This Row],[Units shipped]],""))</f>
        <v>0</v>
      </c>
      <c r="N61" s="37">
        <f>IF(tblVerifyMonths[[#This Row],[Month]]="","",IF(AND(tblVerifyMonths[[#This Row],[Month]]&gt;=$E$30,tblVerifyMonths[[#This Row],[Month]]&lt;=$E$31),tblVerifyMonths[[#This Row],[Month]],""))</f>
        <v>46096</v>
      </c>
      <c r="O61" s="38" t="str">
        <f>IF(tblVerifyMonths[[#This Row],[Month]]="","",IF(tblVerifyMonths[[#This Row],[Net sales]]="","Missing net sales",IF(tblVerifyMonths[[#This Row],[Units shipped]]="","Missing units shipped",IF(DAY(tblVerifyMonths[[#This Row],[Month]])&lt;&gt;1,"Use the first day of the month",IF(COUNTIF(tblVerifyMonths[Month],tblVerifyMonths[[#This Row],[Month]])&gt;1,"Duplicate month","OK")))))</f>
        <v>Use the first day of the month</v>
      </c>
      <c r="P61" s="69"/>
    </row>
  </sheetData>
  <sheetProtection sheet="1" formatColumns="0" formatRows="0"/>
  <mergeCells count="31">
    <mergeCell ref="A1:P1"/>
    <mergeCell ref="B2:O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B26:L26"/>
    <mergeCell ref="B28:L28"/>
    <mergeCell ref="B29:F29"/>
    <mergeCell ref="B30:D30"/>
    <mergeCell ref="B31:D31"/>
    <mergeCell ref="B32:D32"/>
    <mergeCell ref="B34:L34"/>
    <mergeCell ref="B43:L43"/>
    <mergeCell ref="B56:L56"/>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I46:I54">
    <cfRule type="expression" dxfId="3" priority="41">
      <formula>$I46="OK"</formula>
    </cfRule>
    <cfRule type="expression" dxfId="1" priority="42">
      <formula>AND($I46&lt;&gt;"",$I46&lt;&gt;"OK")</formula>
    </cfRule>
  </conditionalFormatting>
  <conditionalFormatting sqref="K11:K24">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O59:O61">
    <cfRule type="expression" dxfId="3" priority="43">
      <formula>$O59="OK"</formula>
    </cfRule>
    <cfRule type="expression" dxfId="1" priority="44">
      <formula>AND($O59&lt;&gt;"",$O59&lt;&gt;"OK")</formula>
    </cfRule>
  </conditionalFormatting>
  <hyperlinks>
    <hyperlink ref="P2" r:id="rId1" tooltip="Free manufacturing calculators and templates"/>
  </hyperlinks>
  <printOptions horizontalCentered="1"/>
  <pageMargins left="0.4" right="0.4" top="0.7" bottom="0.65" header="0.3" footer="0.3"/>
  <pageSetup fitToHeight="0" orientation="landscape"/>
  <headerFooter>
    <oddHeader>&amp;L&amp;8MFG Calcs - Cost of Poor Quality Tracker&amp;R&amp;8&amp;A</oddHeader>
    <oddFooter>&amp;L&amp;8mfgcalcs.com - free manufacturing templates&amp;R&amp;8Page &amp;P of &amp;N</oddFooter>
  </headerFooter>
  <rowBreaks count="1" manualBreakCount="1">
    <brk id="33" max="16383" man="1"/>
  </rowBreaks>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25</vt:i4>
      </vt:variant>
    </vt:vector>
  </HeadingPairs>
  <TitlesOfParts>
    <vt:vector size="32" baseType="lpstr">
      <vt:lpstr>Start Here</vt:lpstr>
      <vt:lpstr>Setup</vt:lpstr>
      <vt:lpstr>Cost Log</vt:lpstr>
      <vt:lpstr>Monthly Summary</vt:lpstr>
      <vt:lpstr>Dashboard</vt:lpstr>
      <vt:lpstr>Method</vt:lpstr>
      <vt:lpstr>Verify</vt:lpstr>
      <vt:lpstr>Currency</vt:lpstr>
      <vt:lpstr>DashFrom</vt:lpstr>
      <vt:lpstr>DashTo</vt:lpstr>
      <vt:lpstr>KpiAppr</vt:lpstr>
      <vt:lpstr>KpiCOPQ</vt:lpstr>
      <vt:lpstr>KpiExt</vt:lpstr>
      <vt:lpstr>KpiInt</vt:lpstr>
      <vt:lpstr>KpiPerUnit</vt:lpstr>
      <vt:lpstr>KpiPrev</vt:lpstr>
      <vt:lpstr>KpiShare</vt:lpstr>
      <vt:lpstr>KpiTop</vt:lpstr>
      <vt:lpstr>PlantName</vt:lpstr>
      <vt:lpstr>'Cost Log'!Print_Area</vt:lpstr>
      <vt:lpstr>Dashboard!Print_Area</vt:lpstr>
      <vt:lpstr>Method!Print_Area</vt:lpstr>
      <vt:lpstr>'Monthly Summary'!Print_Area</vt:lpstr>
      <vt:lpstr>Setup!Print_Area</vt:lpstr>
      <vt:lpstr>'Start Here'!Print_Area</vt:lpstr>
      <vt:lpstr>Verify!Print_Area</vt:lpstr>
      <vt:lpstr>'Cost Log'!Print_Titles</vt:lpstr>
      <vt:lpstr>Method!Print_Titles</vt:lpstr>
      <vt:lpstr>'Monthly Summary'!Print_Titles</vt:lpstr>
      <vt:lpstr>SelfCheck</vt:lpstr>
      <vt:lpstr>SelfCheckSummary</vt:lpstr>
      <vt:lpstr>TargetCOPQ</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Cost of Poor Quality Tracker - free Excel template from MFG Calcs</dc:title>
  <dc:subject>Log quality costs as they post and see the cost of poor quality by month, its share of sales, its cost per unit and where it comes from.</dc:subject>
  <dc:creator>MFG Calcs</dc:creator>
  <cp:keywords>cost of poor quality, COPQ, cost of quality, PAF, prevention appraisal failure, warranty cost, quality cost report</cp:keywords>
  <dc:description>https://www.mfgcalcs.com/templates/copq-tracker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copq-tracker</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https://www.mfgcalcs.com/templates/copq-tracker</vt:lpwstr>
  </property>
  <property fmtid="{D5CDD505-2E9C-101B-9397-08002B2CF9AE}" pid="7" name="Template sheet roles">
    <vt:lpwstr>Start Here=start;Setup=setup;Cost Log=work;Monthly Summary=work;Dashboard=dashboard;Method=method;Verify=verify</vt:lpwstr>
  </property>
</Properties>
</file>