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Project Register" sheetId="3" r:id="rId3"/>
    <sheet name="Savings Log" sheetId="4" r:id="rId4"/>
    <sheet name="Dashboard" sheetId="5" r:id="rId5"/>
    <sheet name="Method" sheetId="6" r:id="rId6"/>
    <sheet name="Verify" sheetId="7" r:id="rId7"/>
  </sheets>
  <definedNames>
    <definedName name="Categories">tblCategories[Category]</definedName>
    <definedName name="CountMonths">Setup!$C$11</definedName>
    <definedName name="Currency">Setup!$C$7</definedName>
    <definedName name="DashFrom">Dashboard!$D$5</definedName>
    <definedName name="DashTarget">Dashboard!$L$5</definedName>
    <definedName name="DashThrough">Dashboard!$H$5</definedName>
    <definedName name="FYEnd">Setup!$C$9</definedName>
    <definedName name="FYStart">Setup!$C$8</definedName>
    <definedName name="KpiAvoid">Dashboard!$B$32</definedName>
    <definedName name="KpiBehind">Dashboard!$J$32</definedName>
    <definedName name="KpiForecast">Dashboard!$G$8</definedName>
    <definedName name="KpiGap">Dashboard!$J$8</definedName>
    <definedName name="KpiOneTime">Dashboard!$G$32</definedName>
    <definedName name="KpiRate">Dashboard!$D$8</definedName>
    <definedName name="KpiReal">Dashboard!$B$8</definedName>
    <definedName name="KpiRunRate">Dashboard!$D$32</definedName>
    <definedName name="PlantName">Setup!$C$6</definedName>
    <definedName name="_xlnm.Print_Area" localSheetId="4">Dashboard!$A$1:$L$71</definedName>
    <definedName name="_xlnm.Print_Area" localSheetId="5">Method!$A$1:$D$56</definedName>
    <definedName name="_xlnm.Print_Area" localSheetId="2">'Project Register'!$A$1:$Y$20</definedName>
    <definedName name="_xlnm.Print_Area" localSheetId="3">'Savings Log'!$A$1:$J$81</definedName>
    <definedName name="_xlnm.Print_Area" localSheetId="1">Setup!$A$1:$E$34</definedName>
    <definedName name="_xlnm.Print_Area" localSheetId="0">'Start Here'!$A$1:$F$56</definedName>
    <definedName name="_xlnm.Print_Area" localSheetId="6">Verify!$A$1:$Y$86</definedName>
    <definedName name="_xlnm.Print_Titles" localSheetId="5">Method!$1:$2</definedName>
    <definedName name="_xlnm.Print_Titles" localSheetId="2">'Project Register'!$1:$6</definedName>
    <definedName name="_xlnm.Print_Titles" localSheetId="3">'Savings Log'!$1:$6</definedName>
    <definedName name="ProjectIDs">tblProjects[ID]</definedName>
    <definedName name="RealizationTarget">Setup!$C$13</definedName>
    <definedName name="ReportMonth">Setup!$C$10</definedName>
    <definedName name="SelfCheck">Verify!$D$4</definedName>
    <definedName name="SelfCheckSummary">Verify!$F$4</definedName>
    <definedName name="Stages">tblStages[Stage]</definedName>
    <definedName name="TargetSavings">Setup!$C$12</definedName>
  </definedNames>
  <calcPr calcId="124519" fullCalcOnLoad="1"/>
</workbook>
</file>

<file path=xl/sharedStrings.xml><?xml version="1.0" encoding="utf-8"?>
<sst xmlns="http://schemas.openxmlformats.org/spreadsheetml/2006/main" count="856" uniqueCount="307">
  <si>
    <t>Cost Savings Tracker</t>
  </si>
  <si>
    <t>Read this first: what the workbook does and how to use it.</t>
  </si>
  <si>
    <t>mfgcalcs.com</t>
  </si>
  <si>
    <t>Keep every cost-reduction project in one register, log the savings finance validates each month, and see realized savings against plan and the year's target.</t>
  </si>
  <si>
    <t>For: Plant managers, continuous-improvement and lean leads, purchasing managers and plant controllers who report savings.</t>
  </si>
  <si>
    <t>Version 1.0.0  ·  updated 15 October 2026</t>
  </si>
  <si>
    <t>Quick start</t>
  </si>
  <si>
    <t>1.</t>
  </si>
  <si>
    <t>On Setup, type your plant name, currency, the first month of the savings year, the month you report through and the year's savings target; adjust the categories and which stages count in the plan.</t>
  </si>
  <si>
    <t>2.</t>
  </si>
  <si>
    <t>On Project Register, add one row per project: category, hard saving or cost avoidance, stage, start month, annual cost before and after, and any one-time or recurring cost.</t>
  </si>
  <si>
    <t>3.</t>
  </si>
  <si>
    <t>Each month, add one Savings Log row per project with the saving finance validated.</t>
  </si>
  <si>
    <t>4.</t>
  </si>
  <si>
    <t>Read the Check columns, then open the Dashboard: realized vs plan, the year-end forecast and the gap to target.</t>
  </si>
  <si>
    <t>What is in this workbook</t>
  </si>
  <si>
    <t>Start Here</t>
  </si>
  <si>
    <t>Setup</t>
  </si>
  <si>
    <t>Plant, currency, the savings year and its target, and the category and stage lists.</t>
  </si>
  <si>
    <t>Project Register</t>
  </si>
  <si>
    <t>One row per cost-reduction project: savings, timing, plan, realized to date and forecast.</t>
  </si>
  <si>
    <t>Savings Log</t>
  </si>
  <si>
    <t>One row per project per month: the saving realized and who validated it.</t>
  </si>
  <si>
    <t>Dashboard</t>
  </si>
  <si>
    <t>Realized savings against plan and target, the year-end forecast and where the savings come from.</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</si>
  <si>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</si>
  <si>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</si>
  <si>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</si>
  <si>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</si>
  <si>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</si>
  <si>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</si>
  <si>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</si>
  <si>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</si>
  <si>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</si>
  <si>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</si>
  <si>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</si>
  <si>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</si>
  <si>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</si>
  <si>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</si>
  <si>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</si>
  <si>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</si>
  <si>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</si>
  <si>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</si>
  <si>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</si>
  <si>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</si>
  <si>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Manufacturing EBITDA Impact Calculator on mfgcalcs.com</t>
  </si>
  <si>
    <t>Latest version</t>
  </si>
  <si>
    <t>mfgcalcs.com/templates/cost-savings-tracker</t>
  </si>
  <si>
    <t>More free templates</t>
  </si>
  <si>
    <t>mfgcalcs.com/templates</t>
  </si>
  <si>
    <t>Version</t>
  </si>
  <si>
    <t>1.0.0 (updated 15 October 2026)</t>
  </si>
  <si>
    <t>About the example data</t>
  </si>
  <si>
    <t>Every number already in this workbook is example data for Brennan Moulded Products, a fictional business invented for this template, so the dashboard and charts show something meaningful on day one. It tracks fourteen projects in the 2026 savings year, reported through September 2026, with 75 monthly savings entries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</si>
  <si>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</si>
  <si>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</si>
  <si>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</si>
  <si>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</si>
  <si>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</si>
  <si>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</si>
  <si>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</si>
  <si>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</si>
  <si>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Category</t>
  </si>
  <si>
    <t>Examples</t>
  </si>
  <si>
    <t>Stage</t>
  </si>
  <si>
    <t>Definition</t>
  </si>
  <si>
    <t>Counts in plan</t>
  </si>
  <si>
    <t>Plant and savings year</t>
  </si>
  <si>
    <t>Plant or business</t>
  </si>
  <si>
    <t>Brennan Moulded Products (example)</t>
  </si>
  <si>
    <t>Currency label</t>
  </si>
  <si>
    <t>EUR</t>
  </si>
  <si>
    <t>First month of the savings year</t>
  </si>
  <si>
    <t>Last month of the savings year</t>
  </si>
  <si>
    <t>Report through (last closed month)</t>
  </si>
  <si>
    <t>Months a saving counts from its start</t>
  </si>
  <si>
    <t>months</t>
  </si>
  <si>
    <t>Hard savings target for the year</t>
  </si>
  <si>
    <t>Realization target</t>
  </si>
  <si>
    <t>Hard saving: a cost that falls in the accounts (the budget can be cut). Cost avoidance: a cost that would have risen and did not; it is tracked but never counted against the target. The target and realization target are yours; nothing here assumes an industry figure.</t>
  </si>
  <si>
    <t>Lists that feed the dropdowns</t>
  </si>
  <si>
    <t>Savings categories</t>
  </si>
  <si>
    <t>Material and procurement</t>
  </si>
  <si>
    <t>Price, specification, regrind, yield of material</t>
  </si>
  <si>
    <t>Labour and productivity</t>
  </si>
  <si>
    <t>Automation, SMED, overtime, line balancing</t>
  </si>
  <si>
    <t>Scrap and quality</t>
  </si>
  <si>
    <t>Scrap, rework, sorting, warranty</t>
  </si>
  <si>
    <t>Energy</t>
  </si>
  <si>
    <t>Electricity, gas, compressed air, water</t>
  </si>
  <si>
    <t>Maintenance</t>
  </si>
  <si>
    <t>Spares, contractors, breakdown repair</t>
  </si>
  <si>
    <t>Logistics and packaging</t>
  </si>
  <si>
    <t>Freight, packaging, warehousing</t>
  </si>
  <si>
    <t>Project stages (you decide which count in the plan)</t>
  </si>
  <si>
    <t>Idea</t>
  </si>
  <si>
    <t>Proposed; not yet approved or resourced</t>
  </si>
  <si>
    <t>No</t>
  </si>
  <si>
    <t>Approved</t>
  </si>
  <si>
    <t>Approved with an owner, budget and start month</t>
  </si>
  <si>
    <t>Yes</t>
  </si>
  <si>
    <t>In progress</t>
  </si>
  <si>
    <t>Being implemented; savings may have started</t>
  </si>
  <si>
    <t>Implemented</t>
  </si>
  <si>
    <t>Change complete; savings running, not yet confirmed</t>
  </si>
  <si>
    <t>Validated</t>
  </si>
  <si>
    <t>Finance has confirmed the saving in the accounts</t>
  </si>
  <si>
    <t>ID</t>
  </si>
  <si>
    <t>Project</t>
  </si>
  <si>
    <t>Owner</t>
  </si>
  <si>
    <t>Type</t>
  </si>
  <si>
    <t>Start month</t>
  </si>
  <si>
    <t>Baseline cost</t>
  </si>
  <si>
    <t>Cost after</t>
  </si>
  <si>
    <t>One-time cost</t>
  </si>
  <si>
    <t>Recurring cost added</t>
  </si>
  <si>
    <t>Net annual savings</t>
  </si>
  <si>
    <t>Payback (months)</t>
  </si>
  <si>
    <t>Counted from</t>
  </si>
  <si>
    <t>Counted to</t>
  </si>
  <si>
    <t>Plan for the year</t>
  </si>
  <si>
    <t>Plan to date</t>
  </si>
  <si>
    <t>Realized to date</t>
  </si>
  <si>
    <t>Realization</t>
  </si>
  <si>
    <t>Status</t>
  </si>
  <si>
    <t>Forecast for the year</t>
  </si>
  <si>
    <t>Check</t>
  </si>
  <si>
    <t>Notes</t>
  </si>
  <si>
    <t>Example data for Brennan Moulded Products (fictional). Replace it with your own: select the example rows, right-click, Delete &gt; Table Rows (and the same on the Savings Log). Annual costs are at the same volume before and after, so the difference is the saving.</t>
  </si>
  <si>
    <t>CS-01</t>
  </si>
  <si>
    <t>Regrind ratio up to 15% on PP housings</t>
  </si>
  <si>
    <t>S. Kelly</t>
  </si>
  <si>
    <t>Hard saving</t>
  </si>
  <si>
    <t>Carry-over from 2025: counts until September 2026</t>
  </si>
  <si>
    <t>CS-02</t>
  </si>
  <si>
    <t>ABS resin price renegotiation</t>
  </si>
  <si>
    <t>M. Walsh</t>
  </si>
  <si>
    <t/>
  </si>
  <si>
    <t>CS-03</t>
  </si>
  <si>
    <t>Sprue picker robots, presses 7 to 9</t>
  </si>
  <si>
    <t>D. Byrne</t>
  </si>
  <si>
    <t>CS-04</t>
  </si>
  <si>
    <t>Compressed air leak programme</t>
  </si>
  <si>
    <t>P. Nolan</t>
  </si>
  <si>
    <t>CS-05</t>
  </si>
  <si>
    <t>LED high-bay lighting</t>
  </si>
  <si>
    <t>CS-06</t>
  </si>
  <si>
    <t>Door handle scrap reduction (DOE)</t>
  </si>
  <si>
    <t>A. Doyle</t>
  </si>
  <si>
    <t>Behind plan: second DOE run in October</t>
  </si>
  <si>
    <t>CS-07</t>
  </si>
  <si>
    <t>Hot runner conversion, clip mould</t>
  </si>
  <si>
    <t>CS-08</t>
  </si>
  <si>
    <t>Returnable packaging, key customer</t>
  </si>
  <si>
    <t>CS-09</t>
  </si>
  <si>
    <t>Chiller preventive maintenance</t>
  </si>
  <si>
    <t>Cost avoidance</t>
  </si>
  <si>
    <t>Avoided chiller compressor rebuild (supplier estimate)</t>
  </si>
  <si>
    <t>CS-10</t>
  </si>
  <si>
    <t>SMED on the 300 t presses</t>
  </si>
  <si>
    <t>CS-11</t>
  </si>
  <si>
    <t>Outbound freight consolidation</t>
  </si>
  <si>
    <t>CS-12</t>
  </si>
  <si>
    <t>Masterbatch let-down optimisation</t>
  </si>
  <si>
    <t>CS-13</t>
  </si>
  <si>
    <t>Heat recovery from compressors</t>
  </si>
  <si>
    <t>Payback under 2 years; needs capital approval</t>
  </si>
  <si>
    <t>CS-14</t>
  </si>
  <si>
    <t>Carton price increase avoided</t>
  </si>
  <si>
    <t>Supplier's announced increase withdrawn after tender</t>
  </si>
  <si>
    <t>Month</t>
  </si>
  <si>
    <t>Project ID</t>
  </si>
  <si>
    <t>Realized savings</t>
  </si>
  <si>
    <t>Validated by</t>
  </si>
  <si>
    <t>Example data for Brennan Moulded Products (fictional). One row per project per month. A month after the report month on Setup is not counted until you move the report month on.</t>
  </si>
  <si>
    <t>Finance (R. Quinn)</t>
  </si>
  <si>
    <t>Pending finance review</t>
  </si>
  <si>
    <t>Savings year from</t>
  </si>
  <si>
    <t>Reported through</t>
  </si>
  <si>
    <t>REALIZATION OF PLAN TO DATE</t>
  </si>
  <si>
    <t>Target minus year-end forecast</t>
  </si>
  <si>
    <t>PROJECTS BELOW REALIZATION TARGET</t>
  </si>
  <si>
    <t>Tracked; not counted against the target</t>
  </si>
  <si>
    <t>Net annual hard savings of projects in plan</t>
  </si>
  <si>
    <t>Implementation cost of projects in plan</t>
  </si>
  <si>
    <t>See the Status column on the register</t>
  </si>
  <si>
    <t>Hard savings by category (cost avoidance in the last column)</t>
  </si>
  <si>
    <t>Projects</t>
  </si>
  <si>
    <t>Annual run rate in plan</t>
  </si>
  <si>
    <t>Year-end forecast</t>
  </si>
  <si>
    <t>Cost avoidance to date</t>
  </si>
  <si>
    <t>Pipeline by stage (all types)</t>
  </si>
  <si>
    <t>Hard savings by month (cost avoidance shown separately)</t>
  </si>
  <si>
    <t>Plan</t>
  </si>
  <si>
    <t>Realized</t>
  </si>
  <si>
    <t>Cumulative plan</t>
  </si>
  <si>
    <t>Cumulative realized</t>
  </si>
  <si>
    <t>Year target (chart)</t>
  </si>
  <si>
    <t>The Dashboard shows the 6 categories and 5 stages of the Setup lists. If you add more, extend the 'By category' and 'Pipeline by stage' blocks (see Method) or they will not appear here.</t>
  </si>
  <si>
    <t>What this workbook calculates</t>
  </si>
  <si>
    <t>Each project's saving is the difference between what a cost runs at per year before and after the change, less any running cost the change adds. The plan spreads that net annual saving evenly over the months that count in the savings year; the Savings Log records what was actually realized each month, as validated. Realization compares the two up to the report month, and the forecast adds the plan for the months still to come to what has been realized. Only hard savings count against the target; cost avoidance is shown separately.</t>
  </si>
  <si>
    <t>Calculations</t>
  </si>
  <si>
    <t>Quantity</t>
  </si>
  <si>
    <t>How it is calculated</t>
  </si>
  <si>
    <t>Units</t>
  </si>
  <si>
    <t>Baseline cost - cost after - recurring cost added, per year at the same volume (the EBITDA effect of the change with no revenue change).</t>
  </si>
  <si>
    <t>currency/yr</t>
  </si>
  <si>
    <t>Payback</t>
  </si>
  <si>
    <t>One-time cost / (net annual savings / 12). Blank when the net saving is not positive.</t>
  </si>
  <si>
    <t>Counted from and to</t>
  </si>
  <si>
    <t>From: the start month, or the first month of the year if the project started earlier. To: the last month of the year, or the start month + (months a saving counts - 1) if sooner.</t>
  </si>
  <si>
    <t>month</t>
  </si>
  <si>
    <t>Net annual savings / 12 x the months counted in the year. Zero when the stage does not count in plan (Setup).</t>
  </si>
  <si>
    <t>currency</t>
  </si>
  <si>
    <t>Net annual savings / 12 x the months counted from 'counted from' to the report month (or 'counted to' if sooner).</t>
  </si>
  <si>
    <t>Sum of the project's Savings Log entries from the first month of the year to the report month.</t>
  </si>
  <si>
    <t>Realization and status</t>
  </si>
  <si>
    <t>Realized to date / plan to date. On target at or above the realization target; Near target within 10% below it; Below target under that.</t>
  </si>
  <si>
    <t>%</t>
  </si>
  <si>
    <t>Realized to date + net annual savings / 12 x the counted months after the report month.</t>
  </si>
  <si>
    <t>Dashboard totals</t>
  </si>
  <si>
    <t>SUMIFS over the register for hard savings only: realized, plan to date, forecast. Realization of plan = realized / plan to date (a ratio of sums). Still to find = MAX(0, target - forecast).</t>
  </si>
  <si>
    <t>currency, %</t>
  </si>
  <si>
    <t>Monthly plan and realized</t>
  </si>
  <si>
    <t>Plan: SUMIFS of net annual savings / 12 over hard-saving projects in plan whose counted months include the month. Realized: SUMIFS of the Savings Log for the month. Cumulative = running sums from the first month.</t>
  </si>
  <si>
    <t>Assumptions</t>
  </si>
  <si>
    <t>Baseline and after costs are at the same volume, so the difference is the saving and not a volume change.</t>
  </si>
  <si>
    <t>A saving runs evenly through its counted months; ramp-ups show up as realization below plan.</t>
  </si>
  <si>
    <t>Realized figures are what finance (or you) validated; the workbook does not check them against the accounts.</t>
  </si>
  <si>
    <t>A project's months count by calendar month: a start on any day of a month counts that whole month.</t>
  </si>
  <si>
    <t>Limitations</t>
  </si>
  <si>
    <t>The Dashboard has fixed blocks for 6 categories and 5 stages; longer lists need the blocks extended (a warning appears on the Dashboard).</t>
  </si>
  <si>
    <t>The forecast assumes the remaining months deliver exactly the plan; it is not a probability. Use the stage list to decide which projects count.</t>
  </si>
  <si>
    <t>One currency throughout; savings in other currencies must be converted before they are typed.</t>
  </si>
  <si>
    <t>Savings are not adjusted for volume changes after the baseline was set; re-baseline a project if its volume changes materially.</t>
  </si>
  <si>
    <t>Agreement with the live calculator</t>
  </si>
  <si>
    <t>The live Manufacturing EBITDA Impact calculator computes a change's annual EBITDA effect as sales contribution + cash operating savings - added recurring operating cost. For a cost-reduction project with no revenue change that is this workbook's net annual savings (baseline - after - recurring cost), and the build checks the reference implementation against the calculator's engine (20,000 of savings and 5,000 of added cost give 15,000; a project from the Verify sheet gives 27,000). Realization also agrees with the Project Benefit Realization calculator (measured / approved benefit) when the approved benefit is the plan to date. Difference: the calculators look at one project for one period; this workbook spreads each project over the months of the savings year, logs what was realized and adds the forecast.</t>
  </si>
  <si>
    <t>Open the Manufacturing EBITDA Impact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</si>
  <si>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</si>
  <si>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</si>
  <si>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Common practice in cost-reduction and lean programmes: hard savings vs cost avoidance, finance validation, counting a saving for a fixed number of months from its start (set yours on Setup).</t>
  </si>
  <si>
    <t>MFG Calcs Manufacturing EBITDA Impact calculator (manufacturing-ebitda-impact) and Project Benefit Realization calculator (project-benefit-realization).</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</si>
  <si>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</si>
  <si>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</si>
  <si>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</si>
  <si>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</si>
  <si>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</si>
  <si>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</si>
  <si>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</si>
  <si>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</si>
  <si>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</si>
  <si>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</si>
  <si>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</si>
  <si>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</si>
  <si>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</si>
  <si>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</si>
  <si>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</si>
  <si>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</si>
  <si>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T-1 carry-over: plan for the year (Jan to Sep)</t>
  </si>
  <si>
    <t>T-1: plan to date</t>
  </si>
  <si>
    <t>T-1: realized to date (July entry excluded)</t>
  </si>
  <si>
    <t>T-1: status</t>
  </si>
  <si>
    <t>On target</t>
  </si>
  <si>
    <t>exact</t>
  </si>
  <si>
    <t>T-2: net annual savings (= EBITDA impact)</t>
  </si>
  <si>
    <t>T-2: payback (months)</t>
  </si>
  <si>
    <t>T-2: counted from (mid-month start)</t>
  </si>
  <si>
    <t>T-2: plan to date</t>
  </si>
  <si>
    <t>T-2: realization</t>
  </si>
  <si>
    <t>T-2: status</t>
  </si>
  <si>
    <t>Below target</t>
  </si>
  <si>
    <t>T-2: forecast for the year</t>
  </si>
  <si>
    <t>T-3 idea: plan for the year</t>
  </si>
  <si>
    <t>T-5: Check reports cost after above baseline</t>
  </si>
  <si>
    <t>Cost after above baseline</t>
  </si>
  <si>
    <t>Log: July entry after the report month</t>
  </si>
  <si>
    <t>After the report month</t>
  </si>
  <si>
    <t>Hard savings realized to date (Dashboard)</t>
  </si>
  <si>
    <t>Realization of plan to date (Dashboard)</t>
  </si>
  <si>
    <t>Year-end forecast, hard savings (Dashboard)</t>
  </si>
  <si>
    <t>Cost avoidance to date (Dashboard)</t>
  </si>
  <si>
    <t>May: monthly plan, hard savings</t>
  </si>
  <si>
    <t>June: cumulative realized</t>
  </si>
  <si>
    <t>July: cumulative realized is blank after the report month</t>
  </si>
  <si>
    <t>Fixed test inputs</t>
  </si>
  <si>
    <t>White cells are fixed test inputs; blue cells are the workbook's formulas evaluated on them.</t>
  </si>
  <si>
    <t>Parameters</t>
  </si>
  <si>
    <t>Report through</t>
  </si>
  <si>
    <t>Months a saving counts</t>
  </si>
  <si>
    <t>Hard savings target</t>
  </si>
  <si>
    <t>Test table: Projects</t>
  </si>
  <si>
    <t>T-1</t>
  </si>
  <si>
    <t>Carry-over</t>
  </si>
  <si>
    <t>A</t>
  </si>
  <si>
    <t>T-2</t>
  </si>
  <si>
    <t>New this year</t>
  </si>
  <si>
    <t>B</t>
  </si>
  <si>
    <t>T-3</t>
  </si>
  <si>
    <t>C</t>
  </si>
  <si>
    <t>T-4</t>
  </si>
  <si>
    <t>Avoided rise</t>
  </si>
  <si>
    <t>D</t>
  </si>
  <si>
    <t>T-5</t>
  </si>
  <si>
    <t>Typing error</t>
  </si>
  <si>
    <t>E</t>
  </si>
  <si>
    <t>Test table: Savings</t>
  </si>
  <si>
    <t>Test monthly roll-up (same formulas as the Dashboard)</t>
  </si>
</sst>
</file>

<file path=xl/styles.xml><?xml version="1.0" encoding="utf-8"?>
<styleSheet xmlns="http://schemas.openxmlformats.org/spreadsheetml/2006/main">
  <numFmts count="11">
    <numFmt numFmtId="164" formatCode="mmm yyyy"/>
    <numFmt numFmtId="165" formatCode="#,##0"/>
    <numFmt numFmtId="166" formatCode="0.0%"/>
    <numFmt numFmtId="167" formatCode="#,##0.0"/>
    <numFmt numFmtId="168" formatCode="0%"/>
    <numFmt numFmtId="169" formatCode="&quot;Plan &quot;#,##0"/>
    <numFmt numFmtId="170" formatCode="&quot;Target &quot;0.0%"/>
    <numFmt numFmtId="171" formatCode="&quot;Target &quot;#,##0"/>
    <numFmt numFmtId="172" formatCode="0.0E+00"/>
    <numFmt numFmtId="173" formatCode="#,##0.00"/>
    <numFmt numFmtId="174"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3">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0" fontId="10" fillId="3" borderId="2" xfId="0" applyFont="1" applyFill="1" applyBorder="1" applyAlignment="1" applyProtection="1">
      <alignment vertical="top" wrapText="1"/>
      <protection locked="0"/>
    </xf>
    <xf numFmtId="0" fontId="10" fillId="4" borderId="3" xfId="0" applyFont="1" applyFill="1" applyBorder="1" applyAlignment="1">
      <alignment vertical="center"/>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8" fillId="0" borderId="0" xfId="0" applyFont="1" applyAlignment="1">
      <alignment vertical="center"/>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170" fontId="23" fillId="9" borderId="7" xfId="0" applyNumberFormat="1" applyFont="1" applyFill="1" applyBorder="1" applyAlignment="1">
      <alignment horizontal="left" vertical="center"/>
    </xf>
    <xf numFmtId="171"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4" fontId="9" fillId="0" borderId="9" xfId="0" applyNumberFormat="1" applyFont="1" applyBorder="1" applyAlignment="1">
      <alignment vertical="center"/>
    </xf>
    <xf numFmtId="165"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165" fontId="9" fillId="0" borderId="9" xfId="0" applyNumberFormat="1" applyFont="1" applyBorder="1" applyAlignment="1">
      <alignment horizontal="center"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Cumulative hard savings: realized vs plan</a:t>
            </a:r>
          </a:p>
        </c:rich>
      </c:tx>
      <c:layout/>
    </c:title>
    <c:plotArea>
      <c:layout/>
      <c:barChart>
        <c:barDir val="col"/>
        <c:grouping val="clustered"/>
        <c:ser>
          <c:idx val="0"/>
          <c:order val="0"/>
          <c:tx>
            <c:v>Realized</c:v>
          </c:tx>
          <c:spPr>
            <a:solidFill>
              <a:srgbClr val="3B64D8"/>
            </a:solidFill>
            <a:ln w="9525">
              <a:solidFill>
                <a:srgbClr val="FFFFFF"/>
              </a:solidFill>
            </a:ln>
          </c:spPr>
          <c:cat>
            <c:numRef>
              <c:f>Dashboard!$B$57:$B$68</c:f>
              <c:numCache>
                <c:formatCode>General</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Dashboard!$F$57:$F$68</c:f>
              <c:numCache>
                <c:formatCode>General</c:formatCode>
                <c:ptCount val="12"/>
                <c:pt idx="0">
                  <c:v>5160</c:v>
                </c:pt>
                <c:pt idx="1">
                  <c:v>15540</c:v>
                </c:pt>
                <c:pt idx="2">
                  <c:v>29630</c:v>
                </c:pt>
                <c:pt idx="3">
                  <c:v>45380</c:v>
                </c:pt>
                <c:pt idx="4">
                  <c:v>63610</c:v>
                </c:pt>
                <c:pt idx="5">
                  <c:v>83470</c:v>
                </c:pt>
                <c:pt idx="6">
                  <c:v>104340</c:v>
                </c:pt>
                <c:pt idx="7">
                  <c:v>126690</c:v>
                </c:pt>
                <c:pt idx="8">
                  <c:v>149100</c:v>
                </c:pt>
                <c:pt idx="9">
                  <c:v>0</c:v>
                </c:pt>
                <c:pt idx="10">
                  <c:v>0</c:v>
                </c:pt>
                <c:pt idx="11">
                  <c:v>0</c:v>
                </c:pt>
              </c:numCache>
            </c:numRef>
          </c:val>
        </c:ser>
        <c:gapWidth val="60"/>
        <c:overlap val="-10"/>
        <c:axId val="50010001"/>
        <c:axId val="50010002"/>
      </c:barChart>
      <c:lineChart>
        <c:grouping val="standard"/>
        <c:ser>
          <c:idx val="1"/>
          <c:order val="1"/>
          <c:tx>
            <c:v>Plan</c:v>
          </c:tx>
          <c:spPr>
            <a:ln w="28575">
              <a:solidFill>
                <a:srgbClr val="E8702A"/>
              </a:solidFill>
            </a:ln>
          </c:spPr>
          <c:marker>
            <c:symbol val="circle"/>
            <c:size val="5"/>
            <c:spPr>
              <a:solidFill>
                <a:srgbClr val="E8702A"/>
              </a:solidFill>
              <a:ln>
                <a:solidFill>
                  <a:srgbClr val="E8702A"/>
                </a:solidFill>
              </a:ln>
            </c:spPr>
          </c:marker>
          <c:cat>
            <c:numRef>
              <c:f>Dashboard!$B$57:$B$68</c:f>
              <c:numCache>
                <c:formatCode>General</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Dashboard!$E$57:$E$68</c:f>
              <c:numCache>
                <c:formatCode>General</c:formatCode>
                <c:ptCount val="12"/>
                <c:pt idx="0">
                  <c:v>5150</c:v>
                </c:pt>
                <c:pt idx="1">
                  <c:v>15216.6666666667</c:v>
                </c:pt>
                <c:pt idx="2">
                  <c:v>31533.3333333333</c:v>
                </c:pt>
                <c:pt idx="3">
                  <c:v>49350</c:v>
                </c:pt>
                <c:pt idx="4">
                  <c:v>70166.6666666667</c:v>
                </c:pt>
                <c:pt idx="5">
                  <c:v>93650</c:v>
                </c:pt>
                <c:pt idx="6">
                  <c:v>119175</c:v>
                </c:pt>
                <c:pt idx="7">
                  <c:v>144700</c:v>
                </c:pt>
                <c:pt idx="8">
                  <c:v>170225</c:v>
                </c:pt>
                <c:pt idx="9">
                  <c:v>193500</c:v>
                </c:pt>
                <c:pt idx="10">
                  <c:v>217691.666666667</c:v>
                </c:pt>
                <c:pt idx="11">
                  <c:v>241883.333333333</c:v>
                </c:pt>
              </c:numCache>
            </c:numRef>
          </c:val>
        </c:ser>
        <c:ser>
          <c:idx val="2"/>
          <c:order val="2"/>
          <c:tx>
            <c:v>Target for the year</c:v>
          </c:tx>
          <c:spPr>
            <a:ln w="19050">
              <a:solidFill>
                <a:srgbClr val="4A5361"/>
              </a:solidFill>
              <a:prstDash val="dash"/>
            </a:ln>
          </c:spPr>
          <c:marker>
            <c:symbol val="none"/>
          </c:marker>
          <c:cat>
            <c:numRef>
              <c:f>Dashboard!$B$57:$B$68</c:f>
              <c:numCache>
                <c:formatCode>General</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Dashboard!$H$57:$H$68</c:f>
              <c:numCache>
                <c:formatCode>General</c:formatCode>
                <c:ptCount val="12"/>
                <c:pt idx="0">
                  <c:v>260000</c:v>
                </c:pt>
                <c:pt idx="1">
                  <c:v>260000</c:v>
                </c:pt>
                <c:pt idx="2">
                  <c:v>260000</c:v>
                </c:pt>
                <c:pt idx="3">
                  <c:v>260000</c:v>
                </c:pt>
                <c:pt idx="4">
                  <c:v>260000</c:v>
                </c:pt>
                <c:pt idx="5">
                  <c:v>260000</c:v>
                </c:pt>
                <c:pt idx="6">
                  <c:v>260000</c:v>
                </c:pt>
                <c:pt idx="7">
                  <c:v>260000</c:v>
                </c:pt>
                <c:pt idx="8">
                  <c:v>260000</c:v>
                </c:pt>
                <c:pt idx="9">
                  <c:v>260000</c:v>
                </c:pt>
                <c:pt idx="10">
                  <c:v>260000</c:v>
                </c:pt>
                <c:pt idx="11">
                  <c:v>260000</c:v>
                </c:pt>
              </c:numCache>
            </c:numRef>
          </c:val>
        </c:ser>
        <c:marker val="1"/>
        <c:axId val="50010001"/>
        <c:axId val="50010002"/>
      </c:line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Hard savings to date by category: plan vs realized</a:t>
            </a:r>
          </a:p>
        </c:rich>
      </c:tx>
      <c:layout/>
    </c:title>
    <c:plotArea>
      <c:layout/>
      <c:barChart>
        <c:barDir val="bar"/>
        <c:grouping val="clustered"/>
        <c:ser>
          <c:idx val="0"/>
          <c:order val="0"/>
          <c:tx>
            <c:v>Plan to date</c:v>
          </c:tx>
          <c:spPr>
            <a:solidFill>
              <a:srgbClr val="3B64D8"/>
            </a:solidFill>
            <a:ln w="9525">
              <a:solidFill>
                <a:srgbClr val="FFFFFF"/>
              </a:solidFill>
            </a:ln>
          </c:spPr>
          <c:cat>
            <c:strRef>
              <c:f>Dashboard!$B$39:$B$44</c:f>
              <c:strCache>
                <c:ptCount val="6"/>
                <c:pt idx="0">
                  <c:v>Material and procurement</c:v>
                </c:pt>
                <c:pt idx="1">
                  <c:v>Labour and productivity</c:v>
                </c:pt>
                <c:pt idx="2">
                  <c:v>Scrap and quality</c:v>
                </c:pt>
                <c:pt idx="3">
                  <c:v>Energy</c:v>
                </c:pt>
                <c:pt idx="4">
                  <c:v>Maintenance</c:v>
                </c:pt>
                <c:pt idx="5">
                  <c:v>Logistics and packaging</c:v>
                </c:pt>
              </c:strCache>
            </c:strRef>
          </c:cat>
          <c:val>
            <c:numRef>
              <c:f>Dashboard!$E$39:$E$44</c:f>
              <c:numCache>
                <c:formatCode>General</c:formatCode>
                <c:ptCount val="6"/>
                <c:pt idx="0">
                  <c:v>73083.3333333333</c:v>
                </c:pt>
                <c:pt idx="1">
                  <c:v>41583.3333333333</c:v>
                </c:pt>
                <c:pt idx="2">
                  <c:v>21125</c:v>
                </c:pt>
                <c:pt idx="3">
                  <c:v>21600</c:v>
                </c:pt>
                <c:pt idx="4">
                  <c:v>0</c:v>
                </c:pt>
                <c:pt idx="5">
                  <c:v>12833.3333333333</c:v>
                </c:pt>
              </c:numCache>
            </c:numRef>
          </c:val>
        </c:ser>
        <c:ser>
          <c:idx val="1"/>
          <c:order val="1"/>
          <c:tx>
            <c:v>Realized to date</c:v>
          </c:tx>
          <c:spPr>
            <a:solidFill>
              <a:srgbClr val="E8702A"/>
            </a:solidFill>
            <a:ln w="9525">
              <a:solidFill>
                <a:srgbClr val="FFFFFF"/>
              </a:solidFill>
            </a:ln>
          </c:spPr>
          <c:cat>
            <c:strRef>
              <c:f>Dashboard!$B$39:$B$44</c:f>
              <c:strCache>
                <c:ptCount val="6"/>
                <c:pt idx="0">
                  <c:v>Material and procurement</c:v>
                </c:pt>
                <c:pt idx="1">
                  <c:v>Labour and productivity</c:v>
                </c:pt>
                <c:pt idx="2">
                  <c:v>Scrap and quality</c:v>
                </c:pt>
                <c:pt idx="3">
                  <c:v>Energy</c:v>
                </c:pt>
                <c:pt idx="4">
                  <c:v>Maintenance</c:v>
                </c:pt>
                <c:pt idx="5">
                  <c:v>Logistics and packaging</c:v>
                </c:pt>
              </c:strCache>
            </c:strRef>
          </c:cat>
          <c:val>
            <c:numRef>
              <c:f>Dashboard!$F$39:$F$44</c:f>
              <c:numCache>
                <c:formatCode>General</c:formatCode>
                <c:ptCount val="6"/>
                <c:pt idx="0">
                  <c:v>73240</c:v>
                </c:pt>
                <c:pt idx="1">
                  <c:v>31750</c:v>
                </c:pt>
                <c:pt idx="2">
                  <c:v>11720</c:v>
                </c:pt>
                <c:pt idx="3">
                  <c:v>20290</c:v>
                </c:pt>
                <c:pt idx="4">
                  <c:v>0</c:v>
                </c:pt>
                <c:pt idx="5">
                  <c:v>12100</c:v>
                </c:pt>
              </c:numCache>
            </c:numRef>
          </c:val>
        </c:ser>
        <c:gapWidth val="70"/>
        <c:overlap val="-1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quot;k&quot;"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28</xdr:row>
      <xdr:rowOff>152400</xdr:rowOff>
    </xdr:to>
    <xdr:graphicFrame macro="">
      <xdr:nvGraphicFramePr>
        <xdr:cNvPr id="2" name="Chart 1" descr="Column chart of cumulative realized hard savings by month to the report month, with the cumulative plan as a line and the year's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28</xdr:row>
      <xdr:rowOff>152400</xdr:rowOff>
    </xdr:to>
    <xdr:graphicFrame macro="">
      <xdr:nvGraphicFramePr>
        <xdr:cNvPr id="3" name="Chart 2" descr="Horizontal bar chart comparing the plan to date with the realized hard savings to date for each savings category."/>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ategories" displayName="tblCategories" ref="B20:C26" totalsRowShown="0">
  <autoFilter ref="B20:C26"/>
  <tableColumns count="2">
    <tableColumn id="1" name="Category"/>
    <tableColumn id="2" name="Examples"/>
  </tableColumns>
  <tableStyleInfo name="TableStyleLight1" showFirstColumn="0" showLastColumn="0" showRowStripes="0" showColumnStripes="0"/>
</table>
</file>

<file path=xl/tables/table2.xml><?xml version="1.0" encoding="utf-8"?>
<table xmlns="http://schemas.openxmlformats.org/spreadsheetml/2006/main" id="2" name="tblStages" displayName="tblStages" ref="B29:D34" totalsRowShown="0">
  <autoFilter ref="B29:D34"/>
  <tableColumns count="3">
    <tableColumn id="1" name="Stage"/>
    <tableColumn id="2" name="Definition"/>
    <tableColumn id="3" name="Counts in plan"/>
  </tableColumns>
  <tableStyleInfo name="TableStyleLight1" showFirstColumn="0" showLastColumn="0" showRowStripes="0" showColumnStripes="0"/>
</table>
</file>

<file path=xl/tables/table3.xml><?xml version="1.0" encoding="utf-8"?>
<table xmlns="http://schemas.openxmlformats.org/spreadsheetml/2006/main" id="3" name="tblProjects" displayName="tblProjects" ref="B6:Y20" totalsRowShown="0">
  <autoFilter ref="B6:Y20"/>
  <tableColumns count="24">
    <tableColumn id="1" name="ID"/>
    <tableColumn id="2" name="Project"/>
    <tableColumn id="3" name="Owner"/>
    <tableColumn id="4" name="Category"/>
    <tableColumn id="5" name="Type"/>
    <tableColumn id="6" name="Stage"/>
    <tableColumn id="7" name="Start month"/>
    <tableColumn id="8" name="Baseline cost"/>
    <tableColumn id="9" name="Cost after"/>
    <tableColumn id="10" name="One-time cost"/>
    <tableColumn id="11" name="Recurring cost added"/>
    <tableColumn id="12" name="Counts in plan">
      <calculatedColumnFormula>IF(tblProjects[[#This Row],[ID]]="","",IFERROR(INDEX(tblStages[Counts in plan],MATCH(tblProjects[[#This Row],[Stage]],tblStages[Stage],0)),""))</calculatedColumnFormula>
    </tableColumn>
    <tableColumn id="13" name="Net annual savings">
      <calculatedColumnFormula>IF(tblProjects[[#This Row],[ID]]="","",tblProjects[[#This Row],[Baseline cost]]-tblProjects[[#This Row],[Cost after]]-tblProjects[[#This Row],[Recurring cost added]])</calculatedColumnFormula>
    </tableColumn>
    <tableColumn id="14" name="Payback (months)">
      <calculatedColumnFormula>IF(tblProjects[[#This Row],[ID]]="","",IF(tblProjects[[#This Row],[Net annual savings]]&gt;0,tblProjects[[#This Row],[One-time cost]]/(tblProjects[[#This Row],[Net annual savings]]/12),""))</calculatedColumnFormula>
    </tableColumn>
    <tableColumn id="15" name="Counted from">
      <calculatedColumnFormula>IF(tblProjects[[#This Row],[ID]]="","",MAX(DATE(YEAR(tblProjects[[#This Row],[Start month]]),MONTH(tblProjects[[#This Row],[Start month]]),1),FYStart))</calculatedColumnFormula>
    </tableColumn>
    <tableColumn id="16" name="Counted to">
      <calculatedColumnFormula>IF(tblProjects[[#This Row],[ID]]="","",IF(CountMonths&gt;0,MIN(FYEnd,EDATE(DATE(YEAR(tblProjects[[#This Row],[Start month]]),MONTH(tblProjects[[#This Row],[Start month]]),1),CountMonths-1)),FYEnd))</calculatedColumnFormula>
    </tableColumn>
    <tableColumn id="17" name="Plan for the year">
      <calculatedColumnFormula>IF(tblProjects[[#This Row],[ID]]="","",IF(tblProjects[[#This Row],[Counts in plan]]="Yes",tblProjects[[#This Row],[Net annual savings]]/12*MAX(0,(YEAR(tblProjects[[#This Row],[Counted to]])-YEAR(tblProjects[[#This Row],[Counted from]]))*12+MONTH(tblProjects[[#This Row],[Counted to]])-MONTH(tblProjects[[#This Row],[Counted from]])+1),0))</calculatedColumnFormula>
    </tableColumn>
    <tableColumn id="18" name="Plan to date">
      <calculatedColumnFormula>IF(tblProjects[[#This Row],[ID]]="","",IF(tblProjects[[#This Row],[Counts in plan]]="Yes",tblProjects[[#This Row],[Net annual savings]]/12*MAX(0,(YEAR(MIN(tblProjects[[#This Row],[Counted to]],ReportMonth))-YEAR(tblProjects[[#This Row],[Counted from]]))*12+MONTH(MIN(tblProjects[[#This Row],[Counted to]],ReportMonth))-MONTH(tblProjects[[#This Row],[Counted from]])+1),0))</calculatedColumnFormula>
    </tableColumn>
    <tableColumn id="19" name="Realized to date">
      <calculatedColumnFormula>IF(tblProjects[[#This Row],[ID]]="","",SUMIFS(tblSavings[Realized savings],tblSavings[Project ID],tblProjects[[#This Row],[ID]],tblSavings[Month],"&gt;="&amp;FYStart,tblSavings[Month],"&lt;"&amp;EDATE(ReportMonth,1)))</calculatedColumnFormula>
    </tableColumn>
    <tableColumn id="20" name="Realization">
      <calculatedColumnFormula>IF(tblProjects[[#This Row],[ID]]="","",IF(tblProjects[[#This Row],[Plan to date]]&gt;0,tblProjects[[#This Row],[Realized to date]]/tblProjects[[#This Row],[Plan to date]],""))</calculatedColumnFormula>
    </tableColumn>
    <tableColumn id="21" name="Status">
      <calculatedColumnFormula>IF(NOT(ISNUMBER(tblProjects[[#This Row],[Realization]])),"",IF(tblProjects[[#This Row],[Realization]]&gt;=RealizationTarget,"On target",IF(tblProjects[[#This Row],[Realization]]&gt;=RealizationTarget*(1-0.1),"Near target","Below target")))</calculatedColumnFormula>
    </tableColumn>
    <tableColumn id="22" name="Forecast for the year">
      <calculatedColumnFormula>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calculatedColumnFormula>
    </tableColumn>
    <tableColumn id="23" name="Check">
      <calculatedColumnFormula>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calculatedColumnFormula>
    </tableColumn>
    <tableColumn id="24" name="Notes"/>
  </tableColumns>
  <tableStyleInfo name="TableStyleLight1" showFirstColumn="0" showLastColumn="0" showRowStripes="0" showColumnStripes="0"/>
</table>
</file>

<file path=xl/tables/table4.xml><?xml version="1.0" encoding="utf-8"?>
<table xmlns="http://schemas.openxmlformats.org/spreadsheetml/2006/main" id="4" name="tblSavings" displayName="tblSavings" ref="B6:J81" totalsRowShown="0">
  <autoFilter ref="B6:J81"/>
  <tableColumns count="9">
    <tableColumn id="1" name="Month"/>
    <tableColumn id="2" name="Project ID"/>
    <tableColumn id="3" name="Realized savings"/>
    <tableColumn id="4" name="Validated by"/>
    <tableColumn id="5" name="Project">
      <calculatedColumnFormula>IF(tblSavings[[#This Row],[Month]]="","",IFERROR(INDEX(tblProjects[Project],MATCH(tblSavings[[#This Row],[Project ID]],tblProjects[ID],0)),""))</calculatedColumnFormula>
    </tableColumn>
    <tableColumn id="6" name="Category">
      <calculatedColumnFormula>IF(tblSavings[[#This Row],[Month]]="","",IFERROR(INDEX(tblProjects[Category],MATCH(tblSavings[[#This Row],[Project ID]],tblProjects[ID],0)),""))</calculatedColumnFormula>
    </tableColumn>
    <tableColumn id="7" name="Type">
      <calculatedColumnFormula>IF(tblSavings[[#This Row],[Month]]="","",IFERROR(INDEX(tblProjects[Type],MATCH(tblSavings[[#This Row],[Project ID]],tblProjects[ID],0)),""))</calculatedColumnFormula>
    </tableColumn>
    <tableColumn id="8" name="Check">
      <calculatedColumnFormula>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calculatedColumnFormula>
    </tableColumn>
    <tableColumn id="9" name="Notes"/>
  </tableColumns>
  <tableStyleInfo name="TableStyleLight1" showFirstColumn="0" showLastColumn="0" showRowStripes="0" showColumnStripes="0"/>
</table>
</file>

<file path=xl/tables/table5.xml><?xml version="1.0" encoding="utf-8"?>
<table xmlns="http://schemas.openxmlformats.org/spreadsheetml/2006/main" id="5" name="tblVerifyProjects" displayName="tblVerifyProjects" ref="B46:Y51" totalsRowShown="0">
  <tableColumns count="24">
    <tableColumn id="1" name="ID"/>
    <tableColumn id="2" name="Project"/>
    <tableColumn id="3" name="Owner"/>
    <tableColumn id="4" name="Category"/>
    <tableColumn id="5" name="Type"/>
    <tableColumn id="6" name="Stage"/>
    <tableColumn id="7" name="Start month"/>
    <tableColumn id="8" name="Baseline cost"/>
    <tableColumn id="9" name="Cost after"/>
    <tableColumn id="10" name="One-time cost"/>
    <tableColumn id="11" name="Recurring cost added"/>
    <tableColumn id="12" name="Counts in plan"/>
    <tableColumn id="13" name="Net annual savings">
      <calculatedColumnFormula>IF(tblVerifyProjects[[#This Row],[ID]]="","",tblVerifyProjects[[#This Row],[Baseline cost]]-tblVerifyProjects[[#This Row],[Cost after]]-tblVerifyProjects[[#This Row],[Recurring cost added]])</calculatedColumnFormula>
    </tableColumn>
    <tableColumn id="14" name="Payback (months)">
      <calculatedColumnFormula>IF(tblVerifyProjects[[#This Row],[ID]]="","",IF(tblVerifyProjects[[#This Row],[Net annual savings]]&gt;0,tblVerifyProjects[[#This Row],[One-time cost]]/(tblVerifyProjects[[#This Row],[Net annual savings]]/12),""))</calculatedColumnFormula>
    </tableColumn>
    <tableColumn id="15" name="Counted from">
      <calculatedColumnFormula>IF(tblVerifyProjects[[#This Row],[ID]]="","",MAX(DATE(YEAR(tblVerifyProjects[[#This Row],[Start month]]),MONTH(tblVerifyProjects[[#This Row],[Start month]]),1),$E$37))</calculatedColumnFormula>
    </tableColumn>
    <tableColumn id="16" name="Counted to">
      <calculatedColumnFormula>IF(tblVerifyProjects[[#This Row],[ID]]="","",IF($E$40&gt;0,MIN($E$38,EDATE(DATE(YEAR(tblVerifyProjects[[#This Row],[Start month]]),MONTH(tblVerifyProjects[[#This Row],[Start month]]),1),$E$40-1)),$E$38))</calculatedColumnFormula>
    </tableColumn>
    <tableColumn id="17" name="Plan for the year">
      <calculatedColumnFormula>IF(tblVerifyProjects[[#This Row],[ID]]="","",IF(tblVerifyProjects[[#This Row],[Counts in plan]]="Yes",tblVerifyProjects[[#This Row],[Net annual savings]]/12*MAX(0,(YEAR(tblVerifyProjects[[#This Row],[Counted to]])-YEAR(tblVerifyProjects[[#This Row],[Counted from]]))*12+MONTH(tblVerifyProjects[[#This Row],[Counted to]])-MONTH(tblVerifyProjects[[#This Row],[Counted from]])+1),0))</calculatedColumnFormula>
    </tableColumn>
    <tableColumn id="18" name="Plan to date">
      <calculatedColumnFormula>IF(tblVerifyProjects[[#This Row],[ID]]="","",IF(tblVerifyProjects[[#This Row],[Counts in plan]]="Yes",tblVerifyProjects[[#This Row],[Net annual savings]]/12*MAX(0,(YEAR(MIN(tblVerifyProjects[[#This Row],[Counted to]],$E$39))-YEAR(tblVerifyProjects[[#This Row],[Counted from]]))*12+MONTH(MIN(tblVerifyProjects[[#This Row],[Counted to]],$E$39))-MONTH(tblVerifyProjects[[#This Row],[Counted from]])+1),0))</calculatedColumnFormula>
    </tableColumn>
    <tableColumn id="19" name="Realized to date">
      <calculatedColumnFormula>IF(tblVerifyProjects[[#This Row],[ID]]="","",SUMIFS(tblVerifySavings[Realized savings],tblVerifySavings[Project ID],tblVerifyProjects[[#This Row],[ID]],tblVerifySavings[Month],"&gt;="&amp;$E$37,tblVerifySavings[Month],"&lt;"&amp;EDATE($E$39,1)))</calculatedColumnFormula>
    </tableColumn>
    <tableColumn id="20" name="Realization">
      <calculatedColumnFormula>IF(tblVerifyProjects[[#This Row],[ID]]="","",IF(tblVerifyProjects[[#This Row],[Plan to date]]&gt;0,tblVerifyProjects[[#This Row],[Realized to date]]/tblVerifyProjects[[#This Row],[Plan to date]],""))</calculatedColumnFormula>
    </tableColumn>
    <tableColumn id="21" name="Status">
      <calculatedColumnFormula>IF(NOT(ISNUMBER(tblVerifyProjects[[#This Row],[Realization]])),"",IF(tblVerifyProjects[[#This Row],[Realization]]&gt;=$E$41,"On target",IF(tblVerifyProjects[[#This Row],[Realization]]&gt;=$E$41*(1-0.1),"Near target","Below target")))</calculatedColumnFormula>
    </tableColumn>
    <tableColumn id="22" name="Forecast for the year">
      <calculatedColumnFormula>IF(tblVerifyProjects[[#This Row],[ID]]="","",tblVerifyProjects[[#This Row],[Realized to date]]+IF(tblVerifyProjects[[#This Row],[Counts in plan]]="Yes",tblVerifyProjects[[#This Row],[Net annual savings]]/12*MAX(0,(YEAR(tblVerifyProjects[[#This Row],[Counted to]])-YEAR(MAX(tblVerifyProjects[[#This Row],[Counted from]],EDATE($E$39,1))))*12+MONTH(tblVerifyProjects[[#This Row],[Counted to]])-MONTH(MAX(tblVerifyProjects[[#This Row],[Counted from]],EDATE($E$39,1)))+1),0))</calculatedColumnFormula>
    </tableColumn>
    <tableColumn id="23" name="Check">
      <calculatedColumnFormula>IF(tblVerifyProjects[[#This Row],[ID]]="","",IF(tblVerifyProjects[[#This Row],[Project]]="","Missing project",IF(tblVerifyProjects[[#This Row],[Category]]="","Missing category",IF(tblVerifyProjects[[#This Row],[Type]]="","Missing type",IF(tblVerifyProjects[[#This Row],[Stage]]="","Missing stage",IF(tblVerifyProjects[[#This Row],[Start month]]="","Missing start month",IF(tblVerifyProjects[[#This Row],[Baseline cost]]="","Missing baseline cost",IF(COUNTIFS(tblVerifyProjects[ID],tblVerifyProjects[[#This Row],[ID]])&gt;1,"Duplicate ID",IF(tblVerifyProjects[[#This Row],[Counts in plan]]="","Stage not on Setup list",IF(tblVerifyProjects[[#This Row],[Cost after]]&gt;tblVerifyProjects[[#This Row],[Baseline cost]],"Cost after above baseline",IF(AND(tblVerifyProjects[[#This Row],[Realized to date]]&gt;0,tblVerifyProjects[[#This Row],[Counts in plan]]="No"),"Savings logged at a stage not in plan","OK")))))))))))</calculatedColumnFormula>
    </tableColumn>
    <tableColumn id="24" name="Notes"/>
  </tableColumns>
  <tableStyleInfo name="TableStyleLight1" showFirstColumn="0" showLastColumn="0" showRowStripes="0" showColumnStripes="0"/>
</table>
</file>

<file path=xl/tables/table6.xml><?xml version="1.0" encoding="utf-8"?>
<table xmlns="http://schemas.openxmlformats.org/spreadsheetml/2006/main" id="6" name="tblVerifySavings" displayName="tblVerifySavings" ref="B55:J70" totalsRowShown="0">
  <tableColumns count="9">
    <tableColumn id="1" name="Month"/>
    <tableColumn id="2" name="Project ID"/>
    <tableColumn id="3" name="Realized savings"/>
    <tableColumn id="4" name="Validated by"/>
    <tableColumn id="5" name="Project"/>
    <tableColumn id="6" name="Category"/>
    <tableColumn id="7" name="Type"/>
    <tableColumn id="8" name="Check">
      <calculatedColumnFormula>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calculatedColumnFormula>
    </tableColumn>
    <tableColumn id="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st-savings-tracker" TargetMode="External"/><Relationship Id="rId2" Type="http://schemas.openxmlformats.org/officeDocument/2006/relationships/hyperlink" Target="https://www.mfgcalcs.com/calculators/manufacturing-cost-accounting-finance/manufacturing-ebitda-impact?utm_source=mfgcalcs-template&amp;utm_medium=xlsx&amp;utm_campaign=cost-savings-tracker" TargetMode="External"/><Relationship Id="rId3" Type="http://schemas.openxmlformats.org/officeDocument/2006/relationships/hyperlink" Target="https://www.mfgcalcs.com/templates/cost-savings-tracker?utm_source=mfgcalcs-template&amp;utm_medium=xlsx&amp;utm_campaign=cost-savings-tracker" TargetMode="External"/><Relationship Id="rId4" Type="http://schemas.openxmlformats.org/officeDocument/2006/relationships/hyperlink" Target="https://www.mfgcalcs.com/templates?utm_source=mfgcalcs-template&amp;utm_medium=xlsx&amp;utm_campaign=cost-savings-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st-savings-tracker"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st-savings-tracker"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st-savings-tracker" TargetMode="External"/><Relationship Id="rId2"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st-savings-tracker"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st-savings-tracker" TargetMode="External"/><Relationship Id="rId2" Type="http://schemas.openxmlformats.org/officeDocument/2006/relationships/hyperlink" Target="https://www.mfgcalcs.com/calculators/manufacturing-cost-accounting-finance/manufacturing-ebitda-impact?utm_source=mfgcalcs-template&amp;utm_medium=xlsx&amp;utm_campaign=cost-savings-track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cost-savings-tracker" TargetMode="External"/><Relationship Id="rId2" Type="http://schemas.openxmlformats.org/officeDocument/2006/relationships/table" Target="../tables/table5.xml"/><Relationship Id="rId3"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16.2"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21 of 21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Project Register'!A1" tooltip="Go to Project Register" display="Project Register"/>
    <hyperlink ref="C22" location="'Savings Log'!A1" tooltip="Go to Savings Log" display="Savings Log"/>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Cost Savings Tracker&amp;R&amp;8&amp;A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4"/>
  <sheetViews>
    <sheetView showGridLines="0" workbookViewId="0"/>
  </sheetViews>
  <sheetFormatPr defaultRowHeight="15"/>
  <cols>
    <col min="1" max="1" width="2.7109375" customWidth="1"/>
    <col min="2" max="2" width="32.7109375" customWidth="1"/>
    <col min="3" max="3" width="40.7109375" customWidth="1"/>
    <col min="4" max="4" width="14.7109375" customWidth="1"/>
  </cols>
  <sheetData>
    <row r="1" spans="1:5" ht="30" customHeight="1">
      <c r="A1" s="1" t="s">
        <v>0</v>
      </c>
      <c r="B1" s="1"/>
      <c r="C1" s="1"/>
      <c r="D1" s="1"/>
      <c r="E1" s="1"/>
    </row>
    <row r="2" spans="1:5" ht="21" customHeight="1">
      <c r="B2" s="2" t="s">
        <v>18</v>
      </c>
      <c r="C2" s="2"/>
      <c r="D2" s="3" t="s">
        <v>2</v>
      </c>
      <c r="E2" s="3"/>
    </row>
    <row r="3" spans="1:5" ht="6" customHeight="1"/>
    <row r="4" spans="1:5" ht="21" customHeight="1">
      <c r="B4" s="8" t="s">
        <v>67</v>
      </c>
      <c r="C4" s="8"/>
      <c r="D4" s="8"/>
    </row>
    <row r="5" spans="1:5" ht="5" customHeight="1"/>
    <row r="6" spans="1:5">
      <c r="B6" s="27" t="s">
        <v>68</v>
      </c>
      <c r="C6" s="28" t="s">
        <v>69</v>
      </c>
      <c r="D6" s="28"/>
    </row>
    <row r="7" spans="1:5">
      <c r="B7" s="27" t="s">
        <v>70</v>
      </c>
      <c r="C7" s="28" t="s">
        <v>71</v>
      </c>
      <c r="D7" s="28"/>
    </row>
    <row r="8" spans="1:5">
      <c r="B8" s="27" t="s">
        <v>72</v>
      </c>
      <c r="C8" s="29">
        <v>46023</v>
      </c>
      <c r="D8" s="7"/>
    </row>
    <row r="9" spans="1:5">
      <c r="B9" s="27" t="s">
        <v>73</v>
      </c>
      <c r="C9" s="30">
        <f>EDATE(FYStart,11)</f>
        <v>46357</v>
      </c>
      <c r="D9" s="7"/>
    </row>
    <row r="10" spans="1:5">
      <c r="B10" s="27" t="s">
        <v>74</v>
      </c>
      <c r="C10" s="29">
        <v>46266</v>
      </c>
      <c r="D10" s="7"/>
    </row>
    <row r="11" spans="1:5">
      <c r="B11" s="27" t="s">
        <v>75</v>
      </c>
      <c r="C11" s="31">
        <v>12</v>
      </c>
      <c r="D11" s="7" t="s">
        <v>76</v>
      </c>
    </row>
    <row r="12" spans="1:5">
      <c r="B12" s="27" t="s">
        <v>77</v>
      </c>
      <c r="C12" s="31">
        <v>260000</v>
      </c>
      <c r="D12" s="7" t="str">
        <f>Currency</f>
        <v>EUR</v>
      </c>
    </row>
    <row r="13" spans="1:5">
      <c r="B13" s="27" t="s">
        <v>78</v>
      </c>
      <c r="C13" s="32">
        <v>0.9</v>
      </c>
      <c r="D13" s="7"/>
    </row>
    <row r="15" spans="1:5" ht="48.6" customHeight="1">
      <c r="B15" s="25" t="s">
        <v>79</v>
      </c>
      <c r="C15" s="25"/>
      <c r="D15" s="25"/>
    </row>
    <row r="17" spans="2:4" ht="21" customHeight="1">
      <c r="B17" s="8" t="s">
        <v>80</v>
      </c>
      <c r="C17" s="8"/>
      <c r="D17" s="8"/>
    </row>
    <row r="18" spans="2:4" ht="5" customHeight="1"/>
    <row r="19" spans="2:4">
      <c r="B19" s="33" t="s">
        <v>81</v>
      </c>
      <c r="C19" s="33"/>
    </row>
    <row r="20" spans="2:4" ht="20" customHeight="1">
      <c r="B20" s="34" t="s">
        <v>62</v>
      </c>
      <c r="C20" s="34" t="s">
        <v>63</v>
      </c>
    </row>
    <row r="21" spans="2:4">
      <c r="B21" s="28" t="s">
        <v>82</v>
      </c>
      <c r="C21" s="28" t="s">
        <v>83</v>
      </c>
    </row>
    <row r="22" spans="2:4">
      <c r="B22" s="28" t="s">
        <v>84</v>
      </c>
      <c r="C22" s="28" t="s">
        <v>85</v>
      </c>
    </row>
    <row r="23" spans="2:4">
      <c r="B23" s="28" t="s">
        <v>86</v>
      </c>
      <c r="C23" s="28" t="s">
        <v>87</v>
      </c>
    </row>
    <row r="24" spans="2:4">
      <c r="B24" s="28" t="s">
        <v>88</v>
      </c>
      <c r="C24" s="28" t="s">
        <v>89</v>
      </c>
    </row>
    <row r="25" spans="2:4">
      <c r="B25" s="28" t="s">
        <v>90</v>
      </c>
      <c r="C25" s="28" t="s">
        <v>91</v>
      </c>
    </row>
    <row r="26" spans="2:4">
      <c r="B26" s="28" t="s">
        <v>92</v>
      </c>
      <c r="C26" s="28" t="s">
        <v>93</v>
      </c>
    </row>
    <row r="28" spans="2:4">
      <c r="B28" s="33" t="s">
        <v>94</v>
      </c>
      <c r="C28" s="33"/>
      <c r="D28" s="33"/>
    </row>
    <row r="29" spans="2:4" ht="20" customHeight="1">
      <c r="B29" s="34" t="s">
        <v>64</v>
      </c>
      <c r="C29" s="34" t="s">
        <v>65</v>
      </c>
      <c r="D29" s="34" t="s">
        <v>66</v>
      </c>
    </row>
    <row r="30" spans="2:4">
      <c r="B30" s="28" t="s">
        <v>95</v>
      </c>
      <c r="C30" s="28" t="s">
        <v>96</v>
      </c>
      <c r="D30" s="28" t="s">
        <v>97</v>
      </c>
    </row>
    <row r="31" spans="2:4">
      <c r="B31" s="28" t="s">
        <v>98</v>
      </c>
      <c r="C31" s="28" t="s">
        <v>99</v>
      </c>
      <c r="D31" s="28" t="s">
        <v>100</v>
      </c>
    </row>
    <row r="32" spans="2:4">
      <c r="B32" s="28" t="s">
        <v>101</v>
      </c>
      <c r="C32" s="28" t="s">
        <v>102</v>
      </c>
      <c r="D32" s="28" t="s">
        <v>100</v>
      </c>
    </row>
    <row r="33" spans="2:4">
      <c r="B33" s="28" t="s">
        <v>103</v>
      </c>
      <c r="C33" s="28" t="s">
        <v>104</v>
      </c>
      <c r="D33" s="28" t="s">
        <v>100</v>
      </c>
    </row>
    <row r="34" spans="2:4">
      <c r="B34" s="28" t="s">
        <v>105</v>
      </c>
      <c r="C34" s="28" t="s">
        <v>106</v>
      </c>
      <c r="D34" s="28" t="s">
        <v>100</v>
      </c>
    </row>
  </sheetData>
  <mergeCells count="10">
    <mergeCell ref="A1:E1"/>
    <mergeCell ref="B2:C2"/>
    <mergeCell ref="D2:E2"/>
    <mergeCell ref="B4:D4"/>
    <mergeCell ref="C6:D6"/>
    <mergeCell ref="C7:D7"/>
    <mergeCell ref="B15:D15"/>
    <mergeCell ref="B17:D17"/>
    <mergeCell ref="B19:C19"/>
    <mergeCell ref="B28:D28"/>
  </mergeCells>
  <dataValidations count="12">
    <dataValidation type="textLength" allowBlank="1" showInputMessage="1" showErrorMessage="1" errorTitle="Check this entry" error="Text up to 80 characters." promptTitle="Plant or business" prompt="Text up to 80 characters." sqref="C6">
      <formula1>0</formula1>
      <formula2>80</formula2>
    </dataValidation>
    <dataValidation type="textLength" allowBlank="1" showInputMessage="1" showErrorMessage="1" errorTitle="Check this entry" error="Text up to 12 characters." promptTitle="Currency label" prompt="Text shown with every amount, e.g. USD, INR, GBP, EUR, MXN. No exchange rate is applied. Text up to 12 characters." sqref="C7">
      <formula1>0</formula1>
      <formula2>12</formula2>
    </dataValidation>
    <dataValidation type="date" allowBlank="1" showInputMessage="1" showErrorMessage="1" errorTitle="Check this entry" error="Enter a date between 01 Jan 2000 and 31 Dec 2100." promptTitle="First month of the savings year" prompt="The 1st of the month your savings year starts (your financial year). Enter a date between 01 Jan 2000 and 31 Dec 2100." sqref="C8">
      <formula1>36526</formula1>
      <formula2>73415</formula2>
    </dataValidation>
    <dataValidation type="date" allowBlank="1" showInputMessage="1" showErrorMessage="1" errorTitle="Check this entry" error="Enter a date between 01 Jan 2000 and 31 Dec 2100." promptTitle="Report through (last closed m..." prompt="The 1st of the last month finance has closed. Plan to date and realized to date stop here. Enter a date between 01 Jan 2000 and 31 Dec 2100." sqref="C10">
      <formula1>36526</formula1>
      <formula2>73415</formula2>
    </dataValidation>
    <dataValidation type="whole" allowBlank="1" showInputMessage="1" showErrorMessage="1" errorTitle="Check this entry" error="Enter a whole number from 0 to 120." promptTitle="Months a saving counts from i..." prompt="Many companies count a saving for 12 months from its start, then it is in the budget. 0 = count to the end of the year. Enter a whole number from 0 to 120." sqref="C11">
      <formula1>0</formula1>
      <formula2>120</formula2>
    </dataValidation>
    <dataValidation type="decimal" allowBlank="1" showInputMessage="1" showErrorMessage="1" errorTitle="Check this entry" error="Enter a number of at least 0." promptTitle="Hard savings target for the year" prompt="The target your plant committed to. Only hard savings count against it. Enter a number of at least 0." sqref="C12">
      <formula1>0</formula1>
      <formula2>100000000000.0</formula2>
    </dataValidation>
    <dataValidation type="decimal" allowBlank="1" showInputMessage="1" showErrorMessage="1" errorTitle="Check this entry" error="Enter a percentage from 0% to 200% (type 85% or 0.85)." promptTitle="Realization target" prompt="Realized / plan to date that counts as on target. 'Near target' = within 10% below it. Enter a percentage from 0% to 200% (type 85% or 0.85)." sqref="C13">
      <formula1>0</formula1>
      <formula2>2</formula2>
    </dataValidation>
    <dataValidation type="textLength" allowBlank="1" showInputMessage="1" showErrorMessage="1" errorTitle="Check this entry" error="Text up to 40 characters." promptTitle="Category" prompt="Text up to 40 characters." sqref="B21:B126">
      <formula1>0</formula1>
      <formula2>40</formula2>
    </dataValidation>
    <dataValidation type="textLength" allowBlank="1" showInputMessage="1" showErrorMessage="1" errorTitle="Check this entry" error="Text up to 160 characters." promptTitle="Examples" prompt="Text up to 160 characters." sqref="C21:C126">
      <formula1>0</formula1>
      <formula2>160</formula2>
    </dataValidation>
    <dataValidation type="textLength" allowBlank="1" showInputMessage="1" showErrorMessage="1" errorTitle="Check this entry" error="Text up to 30 characters." promptTitle="Stage" prompt="Text up to 30 characters." sqref="B30:B134">
      <formula1>0</formula1>
      <formula2>30</formula2>
    </dataValidation>
    <dataValidation type="textLength" allowBlank="1" showInputMessage="1" showErrorMessage="1" errorTitle="Check this entry" error="Text up to 160 characters." promptTitle="Definition" prompt="Text up to 160 characters." sqref="C30:C134">
      <formula1>0</formula1>
      <formula2>160</formula2>
    </dataValidation>
    <dataValidation type="list" allowBlank="1" showInputMessage="1" showErrorMessage="1" errorTitle="Check this entry" error="Pick one of: Yes, No." promptTitle="Counts in plan" prompt="Yes: projects at this stage count in the plan and the forecast. Pick one of: Yes, No." sqref="D30:D134">
      <formula1>"Yes,No"</formula1>
    </dataValidation>
  </dataValidations>
  <hyperlinks>
    <hyperlink ref="D2" r:id="rId1" tooltip="Free manufacturing calculators and templates"/>
  </hyperlinks>
  <pageMargins left="0.4" right="0.4" top="0.7" bottom="0.65" header="0.3" footer="0.3"/>
  <pageSetup fitToHeight="0" orientation="portrait"/>
  <headerFooter>
    <oddHeader>&amp;L&amp;8MFG Calcs - Cost Savings Tracker&amp;R&amp;8&amp;A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Y20"/>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2" width="7.7109375" customWidth="1"/>
    <col min="3" max="3" width="30.7109375" customWidth="1"/>
    <col min="4" max="4" width="10.7109375" customWidth="1"/>
    <col min="5" max="5" width="15.7109375" customWidth="1"/>
    <col min="6" max="6" width="12.28515625" customWidth="1"/>
    <col min="7" max="7" width="11.28515625" customWidth="1"/>
    <col min="8" max="8" width="10.7109375" customWidth="1"/>
    <col min="9" max="9" width="11.7109375" customWidth="1"/>
    <col min="10" max="11" width="10.7109375" customWidth="1"/>
    <col min="12" max="12" width="11.28515625" customWidth="1"/>
    <col min="13" max="13" width="9.28515625" customWidth="1"/>
    <col min="14" max="14" width="11.28515625" customWidth="1"/>
    <col min="15" max="15" width="9.7109375" customWidth="1"/>
    <col min="16" max="17" width="10.28515625" customWidth="1"/>
    <col min="18" max="18" width="11.28515625" customWidth="1"/>
    <col min="19" max="20" width="10.7109375" customWidth="1"/>
    <col min="21" max="21" width="10.28515625" customWidth="1"/>
    <col min="22" max="22" width="12.28515625" customWidth="1"/>
    <col min="23" max="23" width="11.28515625" customWidth="1"/>
    <col min="24" max="24" width="24.7109375" customWidth="1"/>
    <col min="25" max="25" width="30.7109375" customWidth="1"/>
  </cols>
  <sheetData>
    <row r="1" spans="1:25" ht="30" customHeight="1" x14ac:dyDescent="0.25">
      <c r="A1" s="1" t="s">
        <v>0</v>
      </c>
      <c r="B1" s="1"/>
      <c r="C1" s="1"/>
      <c r="D1" s="1"/>
      <c r="E1" s="1"/>
      <c r="F1" s="1"/>
      <c r="G1" s="1"/>
      <c r="H1" s="1"/>
      <c r="I1" s="1"/>
      <c r="J1" s="1"/>
      <c r="K1" s="1"/>
      <c r="L1" s="1"/>
      <c r="M1" s="1"/>
      <c r="N1" s="1"/>
      <c r="O1" s="1"/>
      <c r="P1" s="1"/>
      <c r="Q1" s="1"/>
      <c r="R1" s="1"/>
      <c r="S1" s="1"/>
      <c r="T1" s="1"/>
      <c r="U1" s="1"/>
      <c r="V1" s="1"/>
      <c r="W1" s="1"/>
      <c r="X1" s="1"/>
      <c r="Y1" s="1"/>
    </row>
    <row r="2" spans="1:25" ht="21" customHeight="1" x14ac:dyDescent="0.25">
      <c r="B2" s="2" t="s">
        <v>20</v>
      </c>
      <c r="C2" s="2"/>
      <c r="D2" s="2"/>
      <c r="E2" s="2"/>
      <c r="F2" s="2"/>
      <c r="G2" s="2"/>
      <c r="H2" s="2"/>
      <c r="I2" s="2"/>
      <c r="J2" s="2"/>
      <c r="K2" s="2"/>
      <c r="L2" s="2"/>
      <c r="M2" s="2"/>
      <c r="N2" s="2"/>
      <c r="O2" s="2"/>
      <c r="P2" s="2"/>
      <c r="Q2" s="2"/>
      <c r="R2" s="2"/>
      <c r="S2" s="2"/>
      <c r="T2" s="2"/>
      <c r="U2" s="2"/>
      <c r="V2" s="2"/>
      <c r="W2" s="2"/>
      <c r="X2" s="2"/>
      <c r="Y2" s="3" t="s">
        <v>2</v>
      </c>
    </row>
    <row r="3" spans="1:25" ht="6" customHeight="1" x14ac:dyDescent="0.25"/>
    <row r="4" spans="1:25" ht="18" customHeight="1" x14ac:dyDescent="0.25">
      <c r="B4" s="35" t="s">
        <v>128</v>
      </c>
      <c r="C4" s="35"/>
      <c r="D4" s="35"/>
      <c r="E4" s="35"/>
      <c r="F4" s="35"/>
      <c r="G4" s="35"/>
      <c r="H4" s="35"/>
      <c r="I4" s="35"/>
      <c r="J4" s="35"/>
      <c r="K4" s="35"/>
      <c r="L4" s="35"/>
      <c r="M4" s="35"/>
      <c r="N4" s="35"/>
      <c r="O4" s="35"/>
      <c r="P4" s="35"/>
      <c r="Q4" s="35"/>
      <c r="R4" s="35"/>
      <c r="S4" s="35"/>
      <c r="T4" s="35"/>
      <c r="U4" s="35"/>
      <c r="V4" s="35"/>
      <c r="W4" s="35"/>
      <c r="X4" s="35"/>
      <c r="Y4" s="35"/>
    </row>
    <row r="5" spans="1:25" ht="14" customHeight="1" x14ac:dyDescent="0.25">
      <c r="B5" s="36"/>
      <c r="C5" s="36"/>
      <c r="D5" s="36"/>
      <c r="E5" s="36"/>
      <c r="F5" s="36"/>
      <c r="G5" s="36"/>
      <c r="H5" s="36"/>
      <c r="I5" s="36" t="str">
        <f>Currency&amp;"/yr"</f>
        <v>EUR/yr</v>
      </c>
      <c r="J5" s="36" t="str">
        <f>Currency&amp;"/yr"</f>
        <v>EUR/yr</v>
      </c>
      <c r="K5" s="36" t="str">
        <f>Currency</f>
        <v>EUR</v>
      </c>
      <c r="L5" s="36" t="str">
        <f>Currency&amp;"/yr"</f>
        <v>EUR/yr</v>
      </c>
      <c r="M5" s="36"/>
      <c r="N5" s="36" t="str">
        <f>Currency&amp;"/yr"</f>
        <v>EUR/yr</v>
      </c>
      <c r="O5" s="36"/>
      <c r="P5" s="36"/>
      <c r="Q5" s="36"/>
      <c r="R5" s="36" t="str">
        <f>Currency</f>
        <v>EUR</v>
      </c>
      <c r="S5" s="36" t="str">
        <f>Currency</f>
        <v>EUR</v>
      </c>
      <c r="T5" s="36" t="str">
        <f>Currency</f>
        <v>EUR</v>
      </c>
      <c r="U5" s="36"/>
      <c r="V5" s="36"/>
      <c r="W5" s="36" t="str">
        <f>Currency</f>
        <v>EUR</v>
      </c>
      <c r="X5" s="36"/>
      <c r="Y5" s="36"/>
    </row>
    <row r="6" spans="1:25" ht="32" customHeight="1" x14ac:dyDescent="0.25">
      <c r="B6" s="34" t="s">
        <v>107</v>
      </c>
      <c r="C6" s="34" t="s">
        <v>108</v>
      </c>
      <c r="D6" s="34" t="s">
        <v>109</v>
      </c>
      <c r="E6" s="34" t="s">
        <v>62</v>
      </c>
      <c r="F6" s="34" t="s">
        <v>110</v>
      </c>
      <c r="G6" s="34" t="s">
        <v>64</v>
      </c>
      <c r="H6" s="34" t="s">
        <v>111</v>
      </c>
      <c r="I6" s="34" t="s">
        <v>112</v>
      </c>
      <c r="J6" s="34" t="s">
        <v>113</v>
      </c>
      <c r="K6" s="34" t="s">
        <v>114</v>
      </c>
      <c r="L6" s="34" t="s">
        <v>115</v>
      </c>
      <c r="M6" s="34" t="s">
        <v>66</v>
      </c>
      <c r="N6" s="34" t="s">
        <v>116</v>
      </c>
      <c r="O6" s="34" t="s">
        <v>117</v>
      </c>
      <c r="P6" s="34" t="s">
        <v>118</v>
      </c>
      <c r="Q6" s="34" t="s">
        <v>119</v>
      </c>
      <c r="R6" s="34" t="s">
        <v>120</v>
      </c>
      <c r="S6" s="34" t="s">
        <v>121</v>
      </c>
      <c r="T6" s="34" t="s">
        <v>122</v>
      </c>
      <c r="U6" s="34" t="s">
        <v>123</v>
      </c>
      <c r="V6" s="34" t="s">
        <v>124</v>
      </c>
      <c r="W6" s="34" t="s">
        <v>125</v>
      </c>
      <c r="X6" s="34" t="s">
        <v>126</v>
      </c>
      <c r="Y6" s="34" t="s">
        <v>127</v>
      </c>
    </row>
    <row r="7" spans="1:25" x14ac:dyDescent="0.25">
      <c r="B7" s="28" t="s">
        <v>129</v>
      </c>
      <c r="C7" s="37" t="s">
        <v>130</v>
      </c>
      <c r="D7" s="28" t="s">
        <v>131</v>
      </c>
      <c r="E7" s="28" t="s">
        <v>82</v>
      </c>
      <c r="F7" s="28" t="s">
        <v>132</v>
      </c>
      <c r="G7" s="28" t="s">
        <v>105</v>
      </c>
      <c r="H7" s="29">
        <v>45931</v>
      </c>
      <c r="I7" s="31">
        <v>410000</v>
      </c>
      <c r="J7" s="31">
        <v>365000</v>
      </c>
      <c r="K7" s="31">
        <v>6000</v>
      </c>
      <c r="L7" s="31"/>
      <c r="M7" s="38" t="str">
        <f>IF(tblProjects[[#This Row],[ID]]="","",IFERROR(INDEX(tblStages[Counts in plan],MATCH(tblProjects[[#This Row],[Stage]],tblStages[Stage],0)),""))</f>
        <v>Yes</v>
      </c>
      <c r="N7" s="39">
        <f>IF(tblProjects[[#This Row],[ID]]="","",tblProjects[[#This Row],[Baseline cost]]-tblProjects[[#This Row],[Cost after]]-tblProjects[[#This Row],[Recurring cost added]])</f>
        <v>45000</v>
      </c>
      <c r="O7" s="40">
        <f>IF(tblProjects[[#This Row],[ID]]="","",IF(tblProjects[[#This Row],[Net annual savings]]&gt;0,tblProjects[[#This Row],[One-time cost]]/(tblProjects[[#This Row],[Net annual savings]]/12),""))</f>
        <v>1.6</v>
      </c>
      <c r="P7" s="30">
        <f>IF(tblProjects[[#This Row],[ID]]="","",MAX(DATE(YEAR(tblProjects[[#This Row],[Start month]]),MONTH(tblProjects[[#This Row],[Start month]]),1),FYStart))</f>
        <v>46023</v>
      </c>
      <c r="Q7" s="30">
        <f>IF(tblProjects[[#This Row],[ID]]="","",IF(CountMonths&gt;0,MIN(FYEnd,EDATE(DATE(YEAR(tblProjects[[#This Row],[Start month]]),MONTH(tblProjects[[#This Row],[Start month]]),1),CountMonths-1)),FYEnd))</f>
        <v>46266</v>
      </c>
      <c r="R7" s="39">
        <f>IF(tblProjects[[#This Row],[ID]]="","",IF(tblProjects[[#This Row],[Counts in plan]]="Yes",tblProjects[[#This Row],[Net annual savings]]/12*MAX(0,(YEAR(tblProjects[[#This Row],[Counted to]])-YEAR(tblProjects[[#This Row],[Counted from]]))*12+MONTH(tblProjects[[#This Row],[Counted to]])-MONTH(tblProjects[[#This Row],[Counted from]])+1),0))</f>
        <v>33750</v>
      </c>
      <c r="S7"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33750</v>
      </c>
      <c r="T7" s="39">
        <f>IF(tblProjects[[#This Row],[ID]]="","",SUMIFS(tblSavings[Realized savings],tblSavings[Project ID],tblProjects[[#This Row],[ID]],tblSavings[Month],"&gt;="&amp;FYStart,tblSavings[Month],"&lt;"&amp;EDATE(ReportMonth,1)))</f>
        <v>33370</v>
      </c>
      <c r="U7" s="41">
        <f>IF(tblProjects[[#This Row],[ID]]="","",IF(tblProjects[[#This Row],[Plan to date]]&gt;0,tblProjects[[#This Row],[Realized to date]]/tblProjects[[#This Row],[Plan to date]],""))</f>
        <v>0.988740740740741</v>
      </c>
      <c r="V7" s="42" t="str">
        <f>IF(NOT(ISNUMBER(tblProjects[[#This Row],[Realization]])),"",IF(tblProjects[[#This Row],[Realization]]&gt;=RealizationTarget,"On target",IF(tblProjects[[#This Row],[Realization]]&gt;=RealizationTarget*(1-0.1),"Near target","Below target")))</f>
        <v>On target</v>
      </c>
      <c r="W7"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33370</v>
      </c>
      <c r="X7"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7" s="37" t="s">
        <v>133</v>
      </c>
    </row>
    <row r="8" spans="1:25" x14ac:dyDescent="0.25">
      <c r="B8" s="28" t="s">
        <v>134</v>
      </c>
      <c r="C8" s="37" t="s">
        <v>135</v>
      </c>
      <c r="D8" s="28" t="s">
        <v>136</v>
      </c>
      <c r="E8" s="28" t="s">
        <v>82</v>
      </c>
      <c r="F8" s="28" t="s">
        <v>132</v>
      </c>
      <c r="G8" s="28" t="s">
        <v>105</v>
      </c>
      <c r="H8" s="29">
        <v>46054</v>
      </c>
      <c r="I8" s="31">
        <v>980000</v>
      </c>
      <c r="J8" s="31">
        <v>921000</v>
      </c>
      <c r="K8" s="31"/>
      <c r="L8" s="31"/>
      <c r="M8" s="38" t="str">
        <f>IF(tblProjects[[#This Row],[ID]]="","",IFERROR(INDEX(tblStages[Counts in plan],MATCH(tblProjects[[#This Row],[Stage]],tblStages[Stage],0)),""))</f>
        <v>Yes</v>
      </c>
      <c r="N8" s="39">
        <f>IF(tblProjects[[#This Row],[ID]]="","",tblProjects[[#This Row],[Baseline cost]]-tblProjects[[#This Row],[Cost after]]-tblProjects[[#This Row],[Recurring cost added]])</f>
        <v>59000</v>
      </c>
      <c r="O8" s="40">
        <f>IF(tblProjects[[#This Row],[ID]]="","",IF(tblProjects[[#This Row],[Net annual savings]]&gt;0,tblProjects[[#This Row],[One-time cost]]/(tblProjects[[#This Row],[Net annual savings]]/12),""))</f>
        <v>0</v>
      </c>
      <c r="P8" s="30">
        <f>IF(tblProjects[[#This Row],[ID]]="","",MAX(DATE(YEAR(tblProjects[[#This Row],[Start month]]),MONTH(tblProjects[[#This Row],[Start month]]),1),FYStart))</f>
        <v>46054</v>
      </c>
      <c r="Q8" s="30">
        <f>IF(tblProjects[[#This Row],[ID]]="","",IF(CountMonths&gt;0,MIN(FYEnd,EDATE(DATE(YEAR(tblProjects[[#This Row],[Start month]]),MONTH(tblProjects[[#This Row],[Start month]]),1),CountMonths-1)),FYEnd))</f>
        <v>46357</v>
      </c>
      <c r="R8" s="39">
        <f>IF(tblProjects[[#This Row],[ID]]="","",IF(tblProjects[[#This Row],[Counts in plan]]="Yes",tblProjects[[#This Row],[Net annual savings]]/12*MAX(0,(YEAR(tblProjects[[#This Row],[Counted to]])-YEAR(tblProjects[[#This Row],[Counted from]]))*12+MONTH(tblProjects[[#This Row],[Counted to]])-MONTH(tblProjects[[#This Row],[Counted from]])+1),0))</f>
        <v>54083.3333333333</v>
      </c>
      <c r="S8"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39333.3333333333</v>
      </c>
      <c r="T8" s="39">
        <f>IF(tblProjects[[#This Row],[ID]]="","",SUMIFS(tblSavings[Realized savings],tblSavings[Project ID],tblProjects[[#This Row],[ID]],tblSavings[Month],"&gt;="&amp;FYStart,tblSavings[Month],"&lt;"&amp;EDATE(ReportMonth,1)))</f>
        <v>39870</v>
      </c>
      <c r="U8" s="41">
        <f>IF(tblProjects[[#This Row],[ID]]="","",IF(tblProjects[[#This Row],[Plan to date]]&gt;0,tblProjects[[#This Row],[Realized to date]]/tblProjects[[#This Row],[Plan to date]],""))</f>
        <v>1.01364406779661</v>
      </c>
      <c r="V8" s="42" t="str">
        <f>IF(NOT(ISNUMBER(tblProjects[[#This Row],[Realization]])),"",IF(tblProjects[[#This Row],[Realization]]&gt;=RealizationTarget,"On target",IF(tblProjects[[#This Row],[Realization]]&gt;=RealizationTarget*(1-0.1),"Near target","Below target")))</f>
        <v>On target</v>
      </c>
      <c r="W8"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54620</v>
      </c>
      <c r="X8"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8" s="37" t="s">
        <v>137</v>
      </c>
    </row>
    <row r="9" spans="1:25" x14ac:dyDescent="0.25">
      <c r="B9" s="28" t="s">
        <v>138</v>
      </c>
      <c r="C9" s="37" t="s">
        <v>139</v>
      </c>
      <c r="D9" s="28" t="s">
        <v>140</v>
      </c>
      <c r="E9" s="28" t="s">
        <v>84</v>
      </c>
      <c r="F9" s="28" t="s">
        <v>132</v>
      </c>
      <c r="G9" s="28" t="s">
        <v>103</v>
      </c>
      <c r="H9" s="29">
        <v>46082</v>
      </c>
      <c r="I9" s="31">
        <v>168000</v>
      </c>
      <c r="J9" s="31">
        <v>112000</v>
      </c>
      <c r="K9" s="31">
        <v>48000</v>
      </c>
      <c r="L9" s="31">
        <v>3000</v>
      </c>
      <c r="M9" s="38" t="str">
        <f>IF(tblProjects[[#This Row],[ID]]="","",IFERROR(INDEX(tblStages[Counts in plan],MATCH(tblProjects[[#This Row],[Stage]],tblStages[Stage],0)),""))</f>
        <v>Yes</v>
      </c>
      <c r="N9" s="39">
        <f>IF(tblProjects[[#This Row],[ID]]="","",tblProjects[[#This Row],[Baseline cost]]-tblProjects[[#This Row],[Cost after]]-tblProjects[[#This Row],[Recurring cost added]])</f>
        <v>53000</v>
      </c>
      <c r="O9" s="40">
        <f>IF(tblProjects[[#This Row],[ID]]="","",IF(tblProjects[[#This Row],[Net annual savings]]&gt;0,tblProjects[[#This Row],[One-time cost]]/(tblProjects[[#This Row],[Net annual savings]]/12),""))</f>
        <v>10.8679245283019</v>
      </c>
      <c r="P9" s="30">
        <f>IF(tblProjects[[#This Row],[ID]]="","",MAX(DATE(YEAR(tblProjects[[#This Row],[Start month]]),MONTH(tblProjects[[#This Row],[Start month]]),1),FYStart))</f>
        <v>46082</v>
      </c>
      <c r="Q9" s="30">
        <f>IF(tblProjects[[#This Row],[ID]]="","",IF(CountMonths&gt;0,MIN(FYEnd,EDATE(DATE(YEAR(tblProjects[[#This Row],[Start month]]),MONTH(tblProjects[[#This Row],[Start month]]),1),CountMonths-1)),FYEnd))</f>
        <v>46357</v>
      </c>
      <c r="R9" s="39">
        <f>IF(tblProjects[[#This Row],[ID]]="","",IF(tblProjects[[#This Row],[Counts in plan]]="Yes",tblProjects[[#This Row],[Net annual savings]]/12*MAX(0,(YEAR(tblProjects[[#This Row],[Counted to]])-YEAR(tblProjects[[#This Row],[Counted from]]))*12+MONTH(tblProjects[[#This Row],[Counted to]])-MONTH(tblProjects[[#This Row],[Counted from]])+1),0))</f>
        <v>44166.6666666667</v>
      </c>
      <c r="S9"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30916.6666666667</v>
      </c>
      <c r="T9" s="39">
        <f>IF(tblProjects[[#This Row],[ID]]="","",SUMIFS(tblSavings[Realized savings],tblSavings[Project ID],tblProjects[[#This Row],[ID]],tblSavings[Month],"&gt;="&amp;FYStart,tblSavings[Month],"&lt;"&amp;EDATE(ReportMonth,1)))</f>
        <v>24180</v>
      </c>
      <c r="U9" s="41">
        <f>IF(tblProjects[[#This Row],[ID]]="","",IF(tblProjects[[#This Row],[Plan to date]]&gt;0,tblProjects[[#This Row],[Realized to date]]/tblProjects[[#This Row],[Plan to date]],""))</f>
        <v>0.782102425876011</v>
      </c>
      <c r="V9" s="42" t="str">
        <f>IF(NOT(ISNUMBER(tblProjects[[#This Row],[Realization]])),"",IF(tblProjects[[#This Row],[Realization]]&gt;=RealizationTarget,"On target",IF(tblProjects[[#This Row],[Realization]]&gt;=RealizationTarget*(1-0.1),"Near target","Below target")))</f>
        <v>Below target</v>
      </c>
      <c r="W9"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37430</v>
      </c>
      <c r="X9"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9" s="37" t="s">
        <v>137</v>
      </c>
    </row>
    <row r="10" spans="1:25" x14ac:dyDescent="0.25">
      <c r="B10" s="28" t="s">
        <v>141</v>
      </c>
      <c r="C10" s="37" t="s">
        <v>142</v>
      </c>
      <c r="D10" s="28" t="s">
        <v>143</v>
      </c>
      <c r="E10" s="28" t="s">
        <v>88</v>
      </c>
      <c r="F10" s="28" t="s">
        <v>132</v>
      </c>
      <c r="G10" s="28" t="s">
        <v>105</v>
      </c>
      <c r="H10" s="29">
        <v>46023</v>
      </c>
      <c r="I10" s="31">
        <v>96000</v>
      </c>
      <c r="J10" s="31">
        <v>78000</v>
      </c>
      <c r="K10" s="31">
        <v>4500</v>
      </c>
      <c r="L10" s="31">
        <v>1200</v>
      </c>
      <c r="M10" s="38" t="str">
        <f>IF(tblProjects[[#This Row],[ID]]="","",IFERROR(INDEX(tblStages[Counts in plan],MATCH(tblProjects[[#This Row],[Stage]],tblStages[Stage],0)),""))</f>
        <v>Yes</v>
      </c>
      <c r="N10" s="39">
        <f>IF(tblProjects[[#This Row],[ID]]="","",tblProjects[[#This Row],[Baseline cost]]-tblProjects[[#This Row],[Cost after]]-tblProjects[[#This Row],[Recurring cost added]])</f>
        <v>16800</v>
      </c>
      <c r="O10" s="40">
        <f>IF(tblProjects[[#This Row],[ID]]="","",IF(tblProjects[[#This Row],[Net annual savings]]&gt;0,tblProjects[[#This Row],[One-time cost]]/(tblProjects[[#This Row],[Net annual savings]]/12),""))</f>
        <v>3.21428571428571</v>
      </c>
      <c r="P10" s="30">
        <f>IF(tblProjects[[#This Row],[ID]]="","",MAX(DATE(YEAR(tblProjects[[#This Row],[Start month]]),MONTH(tblProjects[[#This Row],[Start month]]),1),FYStart))</f>
        <v>46023</v>
      </c>
      <c r="Q10" s="30">
        <f>IF(tblProjects[[#This Row],[ID]]="","",IF(CountMonths&gt;0,MIN(FYEnd,EDATE(DATE(YEAR(tblProjects[[#This Row],[Start month]]),MONTH(tblProjects[[#This Row],[Start month]]),1),CountMonths-1)),FYEnd))</f>
        <v>46357</v>
      </c>
      <c r="R10" s="39">
        <f>IF(tblProjects[[#This Row],[ID]]="","",IF(tblProjects[[#This Row],[Counts in plan]]="Yes",tblProjects[[#This Row],[Net annual savings]]/12*MAX(0,(YEAR(tblProjects[[#This Row],[Counted to]])-YEAR(tblProjects[[#This Row],[Counted from]]))*12+MONTH(tblProjects[[#This Row],[Counted to]])-MONTH(tblProjects[[#This Row],[Counted from]])+1),0))</f>
        <v>16800</v>
      </c>
      <c r="S10"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12600</v>
      </c>
      <c r="T10" s="39">
        <f>IF(tblProjects[[#This Row],[ID]]="","",SUMIFS(tblSavings[Realized savings],tblSavings[Project ID],tblProjects[[#This Row],[ID]],tblSavings[Month],"&gt;="&amp;FYStart,tblSavings[Month],"&lt;"&amp;EDATE(ReportMonth,1)))</f>
        <v>11300</v>
      </c>
      <c r="U10" s="41">
        <f>IF(tblProjects[[#This Row],[ID]]="","",IF(tblProjects[[#This Row],[Plan to date]]&gt;0,tblProjects[[#This Row],[Realized to date]]/tblProjects[[#This Row],[Plan to date]],""))</f>
        <v>0.896825396825397</v>
      </c>
      <c r="V10" s="42" t="str">
        <f>IF(NOT(ISNUMBER(tblProjects[[#This Row],[Realization]])),"",IF(tblProjects[[#This Row],[Realization]]&gt;=RealizationTarget,"On target",IF(tblProjects[[#This Row],[Realization]]&gt;=RealizationTarget*(1-0.1),"Near target","Below target")))</f>
        <v>Near target</v>
      </c>
      <c r="W10"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15500</v>
      </c>
      <c r="X10"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10" s="37" t="s">
        <v>137</v>
      </c>
    </row>
    <row r="11" spans="1:25" x14ac:dyDescent="0.25">
      <c r="B11" s="28" t="s">
        <v>144</v>
      </c>
      <c r="C11" s="37" t="s">
        <v>145</v>
      </c>
      <c r="D11" s="28" t="s">
        <v>143</v>
      </c>
      <c r="E11" s="28" t="s">
        <v>88</v>
      </c>
      <c r="F11" s="28" t="s">
        <v>132</v>
      </c>
      <c r="G11" s="28" t="s">
        <v>103</v>
      </c>
      <c r="H11" s="29">
        <v>46113</v>
      </c>
      <c r="I11" s="31">
        <v>42000</v>
      </c>
      <c r="J11" s="31">
        <v>24000</v>
      </c>
      <c r="K11" s="31">
        <v>31000</v>
      </c>
      <c r="L11" s="31"/>
      <c r="M11" s="38" t="str">
        <f>IF(tblProjects[[#This Row],[ID]]="","",IFERROR(INDEX(tblStages[Counts in plan],MATCH(tblProjects[[#This Row],[Stage]],tblStages[Stage],0)),""))</f>
        <v>Yes</v>
      </c>
      <c r="N11" s="39">
        <f>IF(tblProjects[[#This Row],[ID]]="","",tblProjects[[#This Row],[Baseline cost]]-tblProjects[[#This Row],[Cost after]]-tblProjects[[#This Row],[Recurring cost added]])</f>
        <v>18000</v>
      </c>
      <c r="O11" s="40">
        <f>IF(tblProjects[[#This Row],[ID]]="","",IF(tblProjects[[#This Row],[Net annual savings]]&gt;0,tblProjects[[#This Row],[One-time cost]]/(tblProjects[[#This Row],[Net annual savings]]/12),""))</f>
        <v>20.6666666666667</v>
      </c>
      <c r="P11" s="30">
        <f>IF(tblProjects[[#This Row],[ID]]="","",MAX(DATE(YEAR(tblProjects[[#This Row],[Start month]]),MONTH(tblProjects[[#This Row],[Start month]]),1),FYStart))</f>
        <v>46113</v>
      </c>
      <c r="Q11" s="30">
        <f>IF(tblProjects[[#This Row],[ID]]="","",IF(CountMonths&gt;0,MIN(FYEnd,EDATE(DATE(YEAR(tblProjects[[#This Row],[Start month]]),MONTH(tblProjects[[#This Row],[Start month]]),1),CountMonths-1)),FYEnd))</f>
        <v>46357</v>
      </c>
      <c r="R11" s="39">
        <f>IF(tblProjects[[#This Row],[ID]]="","",IF(tblProjects[[#This Row],[Counts in plan]]="Yes",tblProjects[[#This Row],[Net annual savings]]/12*MAX(0,(YEAR(tblProjects[[#This Row],[Counted to]])-YEAR(tblProjects[[#This Row],[Counted from]]))*12+MONTH(tblProjects[[#This Row],[Counted to]])-MONTH(tblProjects[[#This Row],[Counted from]])+1),0))</f>
        <v>13500</v>
      </c>
      <c r="S11"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9000</v>
      </c>
      <c r="T11" s="39">
        <f>IF(tblProjects[[#This Row],[ID]]="","",SUMIFS(tblSavings[Realized savings],tblSavings[Project ID],tblProjects[[#This Row],[ID]],tblSavings[Month],"&gt;="&amp;FYStart,tblSavings[Month],"&lt;"&amp;EDATE(ReportMonth,1)))</f>
        <v>8990</v>
      </c>
      <c r="U11" s="41">
        <f>IF(tblProjects[[#This Row],[ID]]="","",IF(tblProjects[[#This Row],[Plan to date]]&gt;0,tblProjects[[#This Row],[Realized to date]]/tblProjects[[#This Row],[Plan to date]],""))</f>
        <v>0.998888888888889</v>
      </c>
      <c r="V11" s="42" t="str">
        <f>IF(NOT(ISNUMBER(tblProjects[[#This Row],[Realization]])),"",IF(tblProjects[[#This Row],[Realization]]&gt;=RealizationTarget,"On target",IF(tblProjects[[#This Row],[Realization]]&gt;=RealizationTarget*(1-0.1),"Near target","Below target")))</f>
        <v>On target</v>
      </c>
      <c r="W11"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13490</v>
      </c>
      <c r="X11"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11" s="37" t="s">
        <v>137</v>
      </c>
    </row>
    <row r="12" spans="1:25" x14ac:dyDescent="0.25">
      <c r="B12" s="28" t="s">
        <v>146</v>
      </c>
      <c r="C12" s="37" t="s">
        <v>147</v>
      </c>
      <c r="D12" s="28" t="s">
        <v>148</v>
      </c>
      <c r="E12" s="28" t="s">
        <v>86</v>
      </c>
      <c r="F12" s="28" t="s">
        <v>132</v>
      </c>
      <c r="G12" s="28" t="s">
        <v>101</v>
      </c>
      <c r="H12" s="29">
        <v>46143</v>
      </c>
      <c r="I12" s="31">
        <v>88000</v>
      </c>
      <c r="J12" s="31">
        <v>52000</v>
      </c>
      <c r="K12" s="31">
        <v>9000</v>
      </c>
      <c r="L12" s="31"/>
      <c r="M12" s="38" t="str">
        <f>IF(tblProjects[[#This Row],[ID]]="","",IFERROR(INDEX(tblStages[Counts in plan],MATCH(tblProjects[[#This Row],[Stage]],tblStages[Stage],0)),""))</f>
        <v>Yes</v>
      </c>
      <c r="N12" s="39">
        <f>IF(tblProjects[[#This Row],[ID]]="","",tblProjects[[#This Row],[Baseline cost]]-tblProjects[[#This Row],[Cost after]]-tblProjects[[#This Row],[Recurring cost added]])</f>
        <v>36000</v>
      </c>
      <c r="O12" s="40">
        <f>IF(tblProjects[[#This Row],[ID]]="","",IF(tblProjects[[#This Row],[Net annual savings]]&gt;0,tblProjects[[#This Row],[One-time cost]]/(tblProjects[[#This Row],[Net annual savings]]/12),""))</f>
        <v>3</v>
      </c>
      <c r="P12" s="30">
        <f>IF(tblProjects[[#This Row],[ID]]="","",MAX(DATE(YEAR(tblProjects[[#This Row],[Start month]]),MONTH(tblProjects[[#This Row],[Start month]]),1),FYStart))</f>
        <v>46143</v>
      </c>
      <c r="Q12" s="30">
        <f>IF(tblProjects[[#This Row],[ID]]="","",IF(CountMonths&gt;0,MIN(FYEnd,EDATE(DATE(YEAR(tblProjects[[#This Row],[Start month]]),MONTH(tblProjects[[#This Row],[Start month]]),1),CountMonths-1)),FYEnd))</f>
        <v>46357</v>
      </c>
      <c r="R12" s="39">
        <f>IF(tblProjects[[#This Row],[ID]]="","",IF(tblProjects[[#This Row],[Counts in plan]]="Yes",tblProjects[[#This Row],[Net annual savings]]/12*MAX(0,(YEAR(tblProjects[[#This Row],[Counted to]])-YEAR(tblProjects[[#This Row],[Counted from]]))*12+MONTH(tblProjects[[#This Row],[Counted to]])-MONTH(tblProjects[[#This Row],[Counted from]])+1),0))</f>
        <v>24000</v>
      </c>
      <c r="S12"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15000</v>
      </c>
      <c r="T12" s="39">
        <f>IF(tblProjects[[#This Row],[ID]]="","",SUMIFS(tblSavings[Realized savings],tblSavings[Project ID],tblProjects[[#This Row],[ID]],tblSavings[Month],"&gt;="&amp;FYStart,tblSavings[Month],"&lt;"&amp;EDATE(ReportMonth,1)))</f>
        <v>8080</v>
      </c>
      <c r="U12" s="41">
        <f>IF(tblProjects[[#This Row],[ID]]="","",IF(tblProjects[[#This Row],[Plan to date]]&gt;0,tblProjects[[#This Row],[Realized to date]]/tblProjects[[#This Row],[Plan to date]],""))</f>
        <v>0.538666666666667</v>
      </c>
      <c r="V12" s="42" t="str">
        <f>IF(NOT(ISNUMBER(tblProjects[[#This Row],[Realization]])),"",IF(tblProjects[[#This Row],[Realization]]&gt;=RealizationTarget,"On target",IF(tblProjects[[#This Row],[Realization]]&gt;=RealizationTarget*(1-0.1),"Near target","Below target")))</f>
        <v>Below target</v>
      </c>
      <c r="W12"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17080</v>
      </c>
      <c r="X12"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12" s="37" t="s">
        <v>149</v>
      </c>
    </row>
    <row r="13" spans="1:25" x14ac:dyDescent="0.25">
      <c r="B13" s="28" t="s">
        <v>150</v>
      </c>
      <c r="C13" s="37" t="s">
        <v>151</v>
      </c>
      <c r="D13" s="28" t="s">
        <v>148</v>
      </c>
      <c r="E13" s="28" t="s">
        <v>86</v>
      </c>
      <c r="F13" s="28" t="s">
        <v>132</v>
      </c>
      <c r="G13" s="28" t="s">
        <v>101</v>
      </c>
      <c r="H13" s="29">
        <v>46204</v>
      </c>
      <c r="I13" s="31">
        <v>64000</v>
      </c>
      <c r="J13" s="31">
        <v>38000</v>
      </c>
      <c r="K13" s="31">
        <v>26000</v>
      </c>
      <c r="L13" s="31">
        <v>1500</v>
      </c>
      <c r="M13" s="38" t="str">
        <f>IF(tblProjects[[#This Row],[ID]]="","",IFERROR(INDEX(tblStages[Counts in plan],MATCH(tblProjects[[#This Row],[Stage]],tblStages[Stage],0)),""))</f>
        <v>Yes</v>
      </c>
      <c r="N13" s="39">
        <f>IF(tblProjects[[#This Row],[ID]]="","",tblProjects[[#This Row],[Baseline cost]]-tblProjects[[#This Row],[Cost after]]-tblProjects[[#This Row],[Recurring cost added]])</f>
        <v>24500</v>
      </c>
      <c r="O13" s="40">
        <f>IF(tblProjects[[#This Row],[ID]]="","",IF(tblProjects[[#This Row],[Net annual savings]]&gt;0,tblProjects[[#This Row],[One-time cost]]/(tblProjects[[#This Row],[Net annual savings]]/12),""))</f>
        <v>12.734693877551</v>
      </c>
      <c r="P13" s="30">
        <f>IF(tblProjects[[#This Row],[ID]]="","",MAX(DATE(YEAR(tblProjects[[#This Row],[Start month]]),MONTH(tblProjects[[#This Row],[Start month]]),1),FYStart))</f>
        <v>46204</v>
      </c>
      <c r="Q13" s="30">
        <f>IF(tblProjects[[#This Row],[ID]]="","",IF(CountMonths&gt;0,MIN(FYEnd,EDATE(DATE(YEAR(tblProjects[[#This Row],[Start month]]),MONTH(tblProjects[[#This Row],[Start month]]),1),CountMonths-1)),FYEnd))</f>
        <v>46357</v>
      </c>
      <c r="R13" s="39">
        <f>IF(tblProjects[[#This Row],[ID]]="","",IF(tblProjects[[#This Row],[Counts in plan]]="Yes",tblProjects[[#This Row],[Net annual savings]]/12*MAX(0,(YEAR(tblProjects[[#This Row],[Counted to]])-YEAR(tblProjects[[#This Row],[Counted from]]))*12+MONTH(tblProjects[[#This Row],[Counted to]])-MONTH(tblProjects[[#This Row],[Counted from]])+1),0))</f>
        <v>12250</v>
      </c>
      <c r="S13"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6125</v>
      </c>
      <c r="T13" s="39">
        <f>IF(tblProjects[[#This Row],[ID]]="","",SUMIFS(tblSavings[Realized savings],tblSavings[Project ID],tblProjects[[#This Row],[ID]],tblSavings[Month],"&gt;="&amp;FYStart,tblSavings[Month],"&lt;"&amp;EDATE(ReportMonth,1)))</f>
        <v>3640</v>
      </c>
      <c r="U13" s="41">
        <f>IF(tblProjects[[#This Row],[ID]]="","",IF(tblProjects[[#This Row],[Plan to date]]&gt;0,tblProjects[[#This Row],[Realized to date]]/tblProjects[[#This Row],[Plan to date]],""))</f>
        <v>0.594285714285714</v>
      </c>
      <c r="V13" s="42" t="str">
        <f>IF(NOT(ISNUMBER(tblProjects[[#This Row],[Realization]])),"",IF(tblProjects[[#This Row],[Realization]]&gt;=RealizationTarget,"On target",IF(tblProjects[[#This Row],[Realization]]&gt;=RealizationTarget*(1-0.1),"Near target","Below target")))</f>
        <v>Below target</v>
      </c>
      <c r="W13"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9765</v>
      </c>
      <c r="X13"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13" s="37" t="s">
        <v>137</v>
      </c>
    </row>
    <row r="14" spans="1:25" x14ac:dyDescent="0.25">
      <c r="B14" s="28" t="s">
        <v>152</v>
      </c>
      <c r="C14" s="37" t="s">
        <v>153</v>
      </c>
      <c r="D14" s="28" t="s">
        <v>136</v>
      </c>
      <c r="E14" s="28" t="s">
        <v>92</v>
      </c>
      <c r="F14" s="28" t="s">
        <v>132</v>
      </c>
      <c r="G14" s="28" t="s">
        <v>103</v>
      </c>
      <c r="H14" s="29">
        <v>46082</v>
      </c>
      <c r="I14" s="31">
        <v>75000</v>
      </c>
      <c r="J14" s="31">
        <v>51000</v>
      </c>
      <c r="K14" s="31">
        <v>18000</v>
      </c>
      <c r="L14" s="31">
        <v>2000</v>
      </c>
      <c r="M14" s="38" t="str">
        <f>IF(tblProjects[[#This Row],[ID]]="","",IFERROR(INDEX(tblStages[Counts in plan],MATCH(tblProjects[[#This Row],[Stage]],tblStages[Stage],0)),""))</f>
        <v>Yes</v>
      </c>
      <c r="N14" s="39">
        <f>IF(tblProjects[[#This Row],[ID]]="","",tblProjects[[#This Row],[Baseline cost]]-tblProjects[[#This Row],[Cost after]]-tblProjects[[#This Row],[Recurring cost added]])</f>
        <v>22000</v>
      </c>
      <c r="O14" s="40">
        <f>IF(tblProjects[[#This Row],[ID]]="","",IF(tblProjects[[#This Row],[Net annual savings]]&gt;0,tblProjects[[#This Row],[One-time cost]]/(tblProjects[[#This Row],[Net annual savings]]/12),""))</f>
        <v>9.81818181818182</v>
      </c>
      <c r="P14" s="30">
        <f>IF(tblProjects[[#This Row],[ID]]="","",MAX(DATE(YEAR(tblProjects[[#This Row],[Start month]]),MONTH(tblProjects[[#This Row],[Start month]]),1),FYStart))</f>
        <v>46082</v>
      </c>
      <c r="Q14" s="30">
        <f>IF(tblProjects[[#This Row],[ID]]="","",IF(CountMonths&gt;0,MIN(FYEnd,EDATE(DATE(YEAR(tblProjects[[#This Row],[Start month]]),MONTH(tblProjects[[#This Row],[Start month]]),1),CountMonths-1)),FYEnd))</f>
        <v>46357</v>
      </c>
      <c r="R14" s="39">
        <f>IF(tblProjects[[#This Row],[ID]]="","",IF(tblProjects[[#This Row],[Counts in plan]]="Yes",tblProjects[[#This Row],[Net annual savings]]/12*MAX(0,(YEAR(tblProjects[[#This Row],[Counted to]])-YEAR(tblProjects[[#This Row],[Counted from]]))*12+MONTH(tblProjects[[#This Row],[Counted to]])-MONTH(tblProjects[[#This Row],[Counted from]])+1),0))</f>
        <v>18333.3333333333</v>
      </c>
      <c r="S14"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12833.3333333333</v>
      </c>
      <c r="T14" s="39">
        <f>IF(tblProjects[[#This Row],[ID]]="","",SUMIFS(tblSavings[Realized savings],tblSavings[Project ID],tblProjects[[#This Row],[ID]],tblSavings[Month],"&gt;="&amp;FYStart,tblSavings[Month],"&lt;"&amp;EDATE(ReportMonth,1)))</f>
        <v>12100</v>
      </c>
      <c r="U14" s="41">
        <f>IF(tblProjects[[#This Row],[ID]]="","",IF(tblProjects[[#This Row],[Plan to date]]&gt;0,tblProjects[[#This Row],[Realized to date]]/tblProjects[[#This Row],[Plan to date]],""))</f>
        <v>0.942857142857143</v>
      </c>
      <c r="V14" s="42" t="str">
        <f>IF(NOT(ISNUMBER(tblProjects[[#This Row],[Realization]])),"",IF(tblProjects[[#This Row],[Realization]]&gt;=RealizationTarget,"On target",IF(tblProjects[[#This Row],[Realization]]&gt;=RealizationTarget*(1-0.1),"Near target","Below target")))</f>
        <v>On target</v>
      </c>
      <c r="W14"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17600</v>
      </c>
      <c r="X14"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14" s="37" t="s">
        <v>137</v>
      </c>
    </row>
    <row r="15" spans="1:25" x14ac:dyDescent="0.25">
      <c r="B15" s="28" t="s">
        <v>154</v>
      </c>
      <c r="C15" s="37" t="s">
        <v>155</v>
      </c>
      <c r="D15" s="28" t="s">
        <v>143</v>
      </c>
      <c r="E15" s="28" t="s">
        <v>90</v>
      </c>
      <c r="F15" s="28" t="s">
        <v>156</v>
      </c>
      <c r="G15" s="28" t="s">
        <v>105</v>
      </c>
      <c r="H15" s="29">
        <v>46054</v>
      </c>
      <c r="I15" s="31">
        <v>22000</v>
      </c>
      <c r="J15" s="31">
        <v>0</v>
      </c>
      <c r="K15" s="31"/>
      <c r="L15" s="31"/>
      <c r="M15" s="38" t="str">
        <f>IF(tblProjects[[#This Row],[ID]]="","",IFERROR(INDEX(tblStages[Counts in plan],MATCH(tblProjects[[#This Row],[Stage]],tblStages[Stage],0)),""))</f>
        <v>Yes</v>
      </c>
      <c r="N15" s="39">
        <f>IF(tblProjects[[#This Row],[ID]]="","",tblProjects[[#This Row],[Baseline cost]]-tblProjects[[#This Row],[Cost after]]-tblProjects[[#This Row],[Recurring cost added]])</f>
        <v>22000</v>
      </c>
      <c r="O15" s="40">
        <f>IF(tblProjects[[#This Row],[ID]]="","",IF(tblProjects[[#This Row],[Net annual savings]]&gt;0,tblProjects[[#This Row],[One-time cost]]/(tblProjects[[#This Row],[Net annual savings]]/12),""))</f>
        <v>0</v>
      </c>
      <c r="P15" s="30">
        <f>IF(tblProjects[[#This Row],[ID]]="","",MAX(DATE(YEAR(tblProjects[[#This Row],[Start month]]),MONTH(tblProjects[[#This Row],[Start month]]),1),FYStart))</f>
        <v>46054</v>
      </c>
      <c r="Q15" s="30">
        <f>IF(tblProjects[[#This Row],[ID]]="","",IF(CountMonths&gt;0,MIN(FYEnd,EDATE(DATE(YEAR(tblProjects[[#This Row],[Start month]]),MONTH(tblProjects[[#This Row],[Start month]]),1),CountMonths-1)),FYEnd))</f>
        <v>46357</v>
      </c>
      <c r="R15" s="39">
        <f>IF(tblProjects[[#This Row],[ID]]="","",IF(tblProjects[[#This Row],[Counts in plan]]="Yes",tblProjects[[#This Row],[Net annual savings]]/12*MAX(0,(YEAR(tblProjects[[#This Row],[Counted to]])-YEAR(tblProjects[[#This Row],[Counted from]]))*12+MONTH(tblProjects[[#This Row],[Counted to]])-MONTH(tblProjects[[#This Row],[Counted from]])+1),0))</f>
        <v>20166.6666666667</v>
      </c>
      <c r="S15"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14666.6666666667</v>
      </c>
      <c r="T15" s="39">
        <f>IF(tblProjects[[#This Row],[ID]]="","",SUMIFS(tblSavings[Realized savings],tblSavings[Project ID],tblProjects[[#This Row],[ID]],tblSavings[Month],"&gt;="&amp;FYStart,tblSavings[Month],"&lt;"&amp;EDATE(ReportMonth,1)))</f>
        <v>14690</v>
      </c>
      <c r="U15" s="41">
        <f>IF(tblProjects[[#This Row],[ID]]="","",IF(tblProjects[[#This Row],[Plan to date]]&gt;0,tblProjects[[#This Row],[Realized to date]]/tblProjects[[#This Row],[Plan to date]],""))</f>
        <v>1.00159090909091</v>
      </c>
      <c r="V15" s="42" t="str">
        <f>IF(NOT(ISNUMBER(tblProjects[[#This Row],[Realization]])),"",IF(tblProjects[[#This Row],[Realization]]&gt;=RealizationTarget,"On target",IF(tblProjects[[#This Row],[Realization]]&gt;=RealizationTarget*(1-0.1),"Near target","Below target")))</f>
        <v>On target</v>
      </c>
      <c r="W15"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20190</v>
      </c>
      <c r="X15"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15" s="37" t="s">
        <v>157</v>
      </c>
    </row>
    <row r="16" spans="1:25" x14ac:dyDescent="0.25">
      <c r="B16" s="28" t="s">
        <v>158</v>
      </c>
      <c r="C16" s="37" t="s">
        <v>159</v>
      </c>
      <c r="D16" s="28" t="s">
        <v>140</v>
      </c>
      <c r="E16" s="28" t="s">
        <v>84</v>
      </c>
      <c r="F16" s="28" t="s">
        <v>132</v>
      </c>
      <c r="G16" s="28" t="s">
        <v>101</v>
      </c>
      <c r="H16" s="29">
        <v>46174</v>
      </c>
      <c r="I16" s="31">
        <v>95000</v>
      </c>
      <c r="J16" s="31">
        <v>63000</v>
      </c>
      <c r="K16" s="31">
        <v>7500</v>
      </c>
      <c r="L16" s="31"/>
      <c r="M16" s="38" t="str">
        <f>IF(tblProjects[[#This Row],[ID]]="","",IFERROR(INDEX(tblStages[Counts in plan],MATCH(tblProjects[[#This Row],[Stage]],tblStages[Stage],0)),""))</f>
        <v>Yes</v>
      </c>
      <c r="N16" s="39">
        <f>IF(tblProjects[[#This Row],[ID]]="","",tblProjects[[#This Row],[Baseline cost]]-tblProjects[[#This Row],[Cost after]]-tblProjects[[#This Row],[Recurring cost added]])</f>
        <v>32000</v>
      </c>
      <c r="O16" s="40">
        <f>IF(tblProjects[[#This Row],[ID]]="","",IF(tblProjects[[#This Row],[Net annual savings]]&gt;0,tblProjects[[#This Row],[One-time cost]]/(tblProjects[[#This Row],[Net annual savings]]/12),""))</f>
        <v>2.8125</v>
      </c>
      <c r="P16" s="30">
        <f>IF(tblProjects[[#This Row],[ID]]="","",MAX(DATE(YEAR(tblProjects[[#This Row],[Start month]]),MONTH(tblProjects[[#This Row],[Start month]]),1),FYStart))</f>
        <v>46174</v>
      </c>
      <c r="Q16" s="30">
        <f>IF(tblProjects[[#This Row],[ID]]="","",IF(CountMonths&gt;0,MIN(FYEnd,EDATE(DATE(YEAR(tblProjects[[#This Row],[Start month]]),MONTH(tblProjects[[#This Row],[Start month]]),1),CountMonths-1)),FYEnd))</f>
        <v>46357</v>
      </c>
      <c r="R16" s="39">
        <f>IF(tblProjects[[#This Row],[ID]]="","",IF(tblProjects[[#This Row],[Counts in plan]]="Yes",tblProjects[[#This Row],[Net annual savings]]/12*MAX(0,(YEAR(tblProjects[[#This Row],[Counted to]])-YEAR(tblProjects[[#This Row],[Counted from]]))*12+MONTH(tblProjects[[#This Row],[Counted to]])-MONTH(tblProjects[[#This Row],[Counted from]])+1),0))</f>
        <v>18666.6666666667</v>
      </c>
      <c r="S16"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10666.6666666667</v>
      </c>
      <c r="T16" s="39">
        <f>IF(tblProjects[[#This Row],[ID]]="","",SUMIFS(tblSavings[Realized savings],tblSavings[Project ID],tblProjects[[#This Row],[ID]],tblSavings[Month],"&gt;="&amp;FYStart,tblSavings[Month],"&lt;"&amp;EDATE(ReportMonth,1)))</f>
        <v>7570</v>
      </c>
      <c r="U16" s="41">
        <f>IF(tblProjects[[#This Row],[ID]]="","",IF(tblProjects[[#This Row],[Plan to date]]&gt;0,tblProjects[[#This Row],[Realized to date]]/tblProjects[[#This Row],[Plan to date]],""))</f>
        <v>0.7096875</v>
      </c>
      <c r="V16" s="42" t="str">
        <f>IF(NOT(ISNUMBER(tblProjects[[#This Row],[Realization]])),"",IF(tblProjects[[#This Row],[Realization]]&gt;=RealizationTarget,"On target",IF(tblProjects[[#This Row],[Realization]]&gt;=RealizationTarget*(1-0.1),"Near target","Below target")))</f>
        <v>Below target</v>
      </c>
      <c r="W16"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15570</v>
      </c>
      <c r="X16"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16" s="37" t="s">
        <v>137</v>
      </c>
    </row>
    <row r="17" spans="2:25" x14ac:dyDescent="0.25">
      <c r="B17" s="28" t="s">
        <v>160</v>
      </c>
      <c r="C17" s="37" t="s">
        <v>161</v>
      </c>
      <c r="D17" s="28" t="s">
        <v>136</v>
      </c>
      <c r="E17" s="28" t="s">
        <v>92</v>
      </c>
      <c r="F17" s="28" t="s">
        <v>132</v>
      </c>
      <c r="G17" s="28" t="s">
        <v>98</v>
      </c>
      <c r="H17" s="29">
        <v>46296</v>
      </c>
      <c r="I17" s="31">
        <v>130000</v>
      </c>
      <c r="J17" s="31">
        <v>112000</v>
      </c>
      <c r="K17" s="31"/>
      <c r="L17" s="31"/>
      <c r="M17" s="38" t="str">
        <f>IF(tblProjects[[#This Row],[ID]]="","",IFERROR(INDEX(tblStages[Counts in plan],MATCH(tblProjects[[#This Row],[Stage]],tblStages[Stage],0)),""))</f>
        <v>Yes</v>
      </c>
      <c r="N17" s="39">
        <f>IF(tblProjects[[#This Row],[ID]]="","",tblProjects[[#This Row],[Baseline cost]]-tblProjects[[#This Row],[Cost after]]-tblProjects[[#This Row],[Recurring cost added]])</f>
        <v>18000</v>
      </c>
      <c r="O17" s="40">
        <f>IF(tblProjects[[#This Row],[ID]]="","",IF(tblProjects[[#This Row],[Net annual savings]]&gt;0,tblProjects[[#This Row],[One-time cost]]/(tblProjects[[#This Row],[Net annual savings]]/12),""))</f>
        <v>0</v>
      </c>
      <c r="P17" s="30">
        <f>IF(tblProjects[[#This Row],[ID]]="","",MAX(DATE(YEAR(tblProjects[[#This Row],[Start month]]),MONTH(tblProjects[[#This Row],[Start month]]),1),FYStart))</f>
        <v>46296</v>
      </c>
      <c r="Q17" s="30">
        <f>IF(tblProjects[[#This Row],[ID]]="","",IF(CountMonths&gt;0,MIN(FYEnd,EDATE(DATE(YEAR(tblProjects[[#This Row],[Start month]]),MONTH(tblProjects[[#This Row],[Start month]]),1),CountMonths-1)),FYEnd))</f>
        <v>46357</v>
      </c>
      <c r="R17" s="39">
        <f>IF(tblProjects[[#This Row],[ID]]="","",IF(tblProjects[[#This Row],[Counts in plan]]="Yes",tblProjects[[#This Row],[Net annual savings]]/12*MAX(0,(YEAR(tblProjects[[#This Row],[Counted to]])-YEAR(tblProjects[[#This Row],[Counted from]]))*12+MONTH(tblProjects[[#This Row],[Counted to]])-MONTH(tblProjects[[#This Row],[Counted from]])+1),0))</f>
        <v>4500</v>
      </c>
      <c r="S17"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0</v>
      </c>
      <c r="T17" s="39">
        <f>IF(tblProjects[[#This Row],[ID]]="","",SUMIFS(tblSavings[Realized savings],tblSavings[Project ID],tblProjects[[#This Row],[ID]],tblSavings[Month],"&gt;="&amp;FYStart,tblSavings[Month],"&lt;"&amp;EDATE(ReportMonth,1)))</f>
        <v>0</v>
      </c>
      <c r="U17" s="41">
        <f>IF(tblProjects[[#This Row],[ID]]="","",IF(tblProjects[[#This Row],[Plan to date]]&gt;0,tblProjects[[#This Row],[Realized to date]]/tblProjects[[#This Row],[Plan to date]],""))</f>
        <v/>
      </c>
      <c r="V17" s="42">
        <f>IF(NOT(ISNUMBER(tblProjects[[#This Row],[Realization]])),"",IF(tblProjects[[#This Row],[Realization]]&gt;=RealizationTarget,"On target",IF(tblProjects[[#This Row],[Realization]]&gt;=RealizationTarget*(1-0.1),"Near target","Below target")))</f>
        <v/>
      </c>
      <c r="W17"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4500</v>
      </c>
      <c r="X17"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17" s="37" t="s">
        <v>137</v>
      </c>
    </row>
    <row r="18" spans="2:25" x14ac:dyDescent="0.25">
      <c r="B18" s="28" t="s">
        <v>162</v>
      </c>
      <c r="C18" s="37" t="s">
        <v>163</v>
      </c>
      <c r="D18" s="28" t="s">
        <v>131</v>
      </c>
      <c r="E18" s="28" t="s">
        <v>82</v>
      </c>
      <c r="F18" s="28" t="s">
        <v>132</v>
      </c>
      <c r="G18" s="28" t="s">
        <v>98</v>
      </c>
      <c r="H18" s="29">
        <v>46327</v>
      </c>
      <c r="I18" s="31">
        <v>58000</v>
      </c>
      <c r="J18" s="31">
        <v>47000</v>
      </c>
      <c r="K18" s="31">
        <v>2500</v>
      </c>
      <c r="L18" s="31"/>
      <c r="M18" s="38" t="str">
        <f>IF(tblProjects[[#This Row],[ID]]="","",IFERROR(INDEX(tblStages[Counts in plan],MATCH(tblProjects[[#This Row],[Stage]],tblStages[Stage],0)),""))</f>
        <v>Yes</v>
      </c>
      <c r="N18" s="39">
        <f>IF(tblProjects[[#This Row],[ID]]="","",tblProjects[[#This Row],[Baseline cost]]-tblProjects[[#This Row],[Cost after]]-tblProjects[[#This Row],[Recurring cost added]])</f>
        <v>11000</v>
      </c>
      <c r="O18" s="40">
        <f>IF(tblProjects[[#This Row],[ID]]="","",IF(tblProjects[[#This Row],[Net annual savings]]&gt;0,tblProjects[[#This Row],[One-time cost]]/(tblProjects[[#This Row],[Net annual savings]]/12),""))</f>
        <v>2.72727272727273</v>
      </c>
      <c r="P18" s="30">
        <f>IF(tblProjects[[#This Row],[ID]]="","",MAX(DATE(YEAR(tblProjects[[#This Row],[Start month]]),MONTH(tblProjects[[#This Row],[Start month]]),1),FYStart))</f>
        <v>46327</v>
      </c>
      <c r="Q18" s="30">
        <f>IF(tblProjects[[#This Row],[ID]]="","",IF(CountMonths&gt;0,MIN(FYEnd,EDATE(DATE(YEAR(tblProjects[[#This Row],[Start month]]),MONTH(tblProjects[[#This Row],[Start month]]),1),CountMonths-1)),FYEnd))</f>
        <v>46357</v>
      </c>
      <c r="R18" s="39">
        <f>IF(tblProjects[[#This Row],[ID]]="","",IF(tblProjects[[#This Row],[Counts in plan]]="Yes",tblProjects[[#This Row],[Net annual savings]]/12*MAX(0,(YEAR(tblProjects[[#This Row],[Counted to]])-YEAR(tblProjects[[#This Row],[Counted from]]))*12+MONTH(tblProjects[[#This Row],[Counted to]])-MONTH(tblProjects[[#This Row],[Counted from]])+1),0))</f>
        <v>1833.33333333333</v>
      </c>
      <c r="S18"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0</v>
      </c>
      <c r="T18" s="39">
        <f>IF(tblProjects[[#This Row],[ID]]="","",SUMIFS(tblSavings[Realized savings],tblSavings[Project ID],tblProjects[[#This Row],[ID]],tblSavings[Month],"&gt;="&amp;FYStart,tblSavings[Month],"&lt;"&amp;EDATE(ReportMonth,1)))</f>
        <v>0</v>
      </c>
      <c r="U18" s="41">
        <f>IF(tblProjects[[#This Row],[ID]]="","",IF(tblProjects[[#This Row],[Plan to date]]&gt;0,tblProjects[[#This Row],[Realized to date]]/tblProjects[[#This Row],[Plan to date]],""))</f>
        <v/>
      </c>
      <c r="V18" s="42">
        <f>IF(NOT(ISNUMBER(tblProjects[[#This Row],[Realization]])),"",IF(tblProjects[[#This Row],[Realization]]&gt;=RealizationTarget,"On target",IF(tblProjects[[#This Row],[Realization]]&gt;=RealizationTarget*(1-0.1),"Near target","Below target")))</f>
        <v/>
      </c>
      <c r="W18"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1833.33333333333</v>
      </c>
      <c r="X18"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18" s="37" t="s">
        <v>137</v>
      </c>
    </row>
    <row r="19" spans="2:25" x14ac:dyDescent="0.25">
      <c r="B19" s="28" t="s">
        <v>164</v>
      </c>
      <c r="C19" s="37" t="s">
        <v>165</v>
      </c>
      <c r="D19" s="28" t="s">
        <v>143</v>
      </c>
      <c r="E19" s="28" t="s">
        <v>88</v>
      </c>
      <c r="F19" s="28" t="s">
        <v>132</v>
      </c>
      <c r="G19" s="28" t="s">
        <v>95</v>
      </c>
      <c r="H19" s="29">
        <v>46357</v>
      </c>
      <c r="I19" s="31">
        <v>36000</v>
      </c>
      <c r="J19" s="31">
        <v>14000</v>
      </c>
      <c r="K19" s="31">
        <v>40000</v>
      </c>
      <c r="L19" s="31"/>
      <c r="M19" s="38" t="str">
        <f>IF(tblProjects[[#This Row],[ID]]="","",IFERROR(INDEX(tblStages[Counts in plan],MATCH(tblProjects[[#This Row],[Stage]],tblStages[Stage],0)),""))</f>
        <v>No</v>
      </c>
      <c r="N19" s="39">
        <f>IF(tblProjects[[#This Row],[ID]]="","",tblProjects[[#This Row],[Baseline cost]]-tblProjects[[#This Row],[Cost after]]-tblProjects[[#This Row],[Recurring cost added]])</f>
        <v>22000</v>
      </c>
      <c r="O19" s="40">
        <f>IF(tblProjects[[#This Row],[ID]]="","",IF(tblProjects[[#This Row],[Net annual savings]]&gt;0,tblProjects[[#This Row],[One-time cost]]/(tblProjects[[#This Row],[Net annual savings]]/12),""))</f>
        <v>21.8181818181818</v>
      </c>
      <c r="P19" s="30">
        <f>IF(tblProjects[[#This Row],[ID]]="","",MAX(DATE(YEAR(tblProjects[[#This Row],[Start month]]),MONTH(tblProjects[[#This Row],[Start month]]),1),FYStart))</f>
        <v>46357</v>
      </c>
      <c r="Q19" s="30">
        <f>IF(tblProjects[[#This Row],[ID]]="","",IF(CountMonths&gt;0,MIN(FYEnd,EDATE(DATE(YEAR(tblProjects[[#This Row],[Start month]]),MONTH(tblProjects[[#This Row],[Start month]]),1),CountMonths-1)),FYEnd))</f>
        <v>46357</v>
      </c>
      <c r="R19" s="39">
        <f>IF(tblProjects[[#This Row],[ID]]="","",IF(tblProjects[[#This Row],[Counts in plan]]="Yes",tblProjects[[#This Row],[Net annual savings]]/12*MAX(0,(YEAR(tblProjects[[#This Row],[Counted to]])-YEAR(tblProjects[[#This Row],[Counted from]]))*12+MONTH(tblProjects[[#This Row],[Counted to]])-MONTH(tblProjects[[#This Row],[Counted from]])+1),0))</f>
        <v>0</v>
      </c>
      <c r="S19"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0</v>
      </c>
      <c r="T19" s="39">
        <f>IF(tblProjects[[#This Row],[ID]]="","",SUMIFS(tblSavings[Realized savings],tblSavings[Project ID],tblProjects[[#This Row],[ID]],tblSavings[Month],"&gt;="&amp;FYStart,tblSavings[Month],"&lt;"&amp;EDATE(ReportMonth,1)))</f>
        <v>0</v>
      </c>
      <c r="U19" s="41">
        <f>IF(tblProjects[[#This Row],[ID]]="","",IF(tblProjects[[#This Row],[Plan to date]]&gt;0,tblProjects[[#This Row],[Realized to date]]/tblProjects[[#This Row],[Plan to date]],""))</f>
        <v/>
      </c>
      <c r="V19" s="42">
        <f>IF(NOT(ISNUMBER(tblProjects[[#This Row],[Realization]])),"",IF(tblProjects[[#This Row],[Realization]]&gt;=RealizationTarget,"On target",IF(tblProjects[[#This Row],[Realization]]&gt;=RealizationTarget*(1-0.1),"Near target","Below target")))</f>
        <v/>
      </c>
      <c r="W19"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0</v>
      </c>
      <c r="X19"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19" s="37" t="s">
        <v>166</v>
      </c>
    </row>
    <row r="20" spans="2:25" x14ac:dyDescent="0.25">
      <c r="B20" s="28" t="s">
        <v>167</v>
      </c>
      <c r="C20" s="37" t="s">
        <v>168</v>
      </c>
      <c r="D20" s="28" t="s">
        <v>136</v>
      </c>
      <c r="E20" s="28" t="s">
        <v>92</v>
      </c>
      <c r="F20" s="28" t="s">
        <v>156</v>
      </c>
      <c r="G20" s="28" t="s">
        <v>105</v>
      </c>
      <c r="H20" s="29">
        <v>46023</v>
      </c>
      <c r="I20" s="31">
        <v>64000</v>
      </c>
      <c r="J20" s="31">
        <v>60000</v>
      </c>
      <c r="K20" s="31"/>
      <c r="L20" s="31"/>
      <c r="M20" s="38" t="str">
        <f>IF(tblProjects[[#This Row],[ID]]="","",IFERROR(INDEX(tblStages[Counts in plan],MATCH(tblProjects[[#This Row],[Stage]],tblStages[Stage],0)),""))</f>
        <v>Yes</v>
      </c>
      <c r="N20" s="39">
        <f>IF(tblProjects[[#This Row],[ID]]="","",tblProjects[[#This Row],[Baseline cost]]-tblProjects[[#This Row],[Cost after]]-tblProjects[[#This Row],[Recurring cost added]])</f>
        <v>4000</v>
      </c>
      <c r="O20" s="40">
        <f>IF(tblProjects[[#This Row],[ID]]="","",IF(tblProjects[[#This Row],[Net annual savings]]&gt;0,tblProjects[[#This Row],[One-time cost]]/(tblProjects[[#This Row],[Net annual savings]]/12),""))</f>
        <v>0</v>
      </c>
      <c r="P20" s="30">
        <f>IF(tblProjects[[#This Row],[ID]]="","",MAX(DATE(YEAR(tblProjects[[#This Row],[Start month]]),MONTH(tblProjects[[#This Row],[Start month]]),1),FYStart))</f>
        <v>46023</v>
      </c>
      <c r="Q20" s="30">
        <f>IF(tblProjects[[#This Row],[ID]]="","",IF(CountMonths&gt;0,MIN(FYEnd,EDATE(DATE(YEAR(tblProjects[[#This Row],[Start month]]),MONTH(tblProjects[[#This Row],[Start month]]),1),CountMonths-1)),FYEnd))</f>
        <v>46357</v>
      </c>
      <c r="R20" s="39">
        <f>IF(tblProjects[[#This Row],[ID]]="","",IF(tblProjects[[#This Row],[Counts in plan]]="Yes",tblProjects[[#This Row],[Net annual savings]]/12*MAX(0,(YEAR(tblProjects[[#This Row],[Counted to]])-YEAR(tblProjects[[#This Row],[Counted from]]))*12+MONTH(tblProjects[[#This Row],[Counted to]])-MONTH(tblProjects[[#This Row],[Counted from]])+1),0))</f>
        <v>4000</v>
      </c>
      <c r="S20" s="39">
        <f>IF(tblProjects[[#This Row],[ID]]="","",IF(tblProjects[[#This Row],[Counts in plan]]="Yes",tblProjects[[#This Row],[Net annual savings]]/12*MAX(0,(YEAR(MIN(tblProjects[[#This Row],[Counted to]],ReportMonth))-YEAR(tblProjects[[#This Row],[Counted from]]))*12+MONTH(MIN(tblProjects[[#This Row],[Counted to]],ReportMonth))-MONTH(tblProjects[[#This Row],[Counted from]])+1),0))</f>
        <v>3000</v>
      </c>
      <c r="T20" s="39">
        <f>IF(tblProjects[[#This Row],[ID]]="","",SUMIFS(tblSavings[Realized savings],tblSavings[Project ID],tblProjects[[#This Row],[ID]],tblSavings[Month],"&gt;="&amp;FYStart,tblSavings[Month],"&lt;"&amp;EDATE(ReportMonth,1)))</f>
        <v>2950</v>
      </c>
      <c r="U20" s="41">
        <f>IF(tblProjects[[#This Row],[ID]]="","",IF(tblProjects[[#This Row],[Plan to date]]&gt;0,tblProjects[[#This Row],[Realized to date]]/tblProjects[[#This Row],[Plan to date]],""))</f>
        <v>0.983333333333333</v>
      </c>
      <c r="V20" s="42" t="str">
        <f>IF(NOT(ISNUMBER(tblProjects[[#This Row],[Realization]])),"",IF(tblProjects[[#This Row],[Realization]]&gt;=RealizationTarget,"On target",IF(tblProjects[[#This Row],[Realization]]&gt;=RealizationTarget*(1-0.1),"Near target","Below target")))</f>
        <v>On target</v>
      </c>
      <c r="W20" s="39">
        <f>IF(tblProjects[[#This Row],[ID]]="","",tblProjects[[#This Row],[Realized to date]]+IF(tblProjects[[#This Row],[Counts in plan]]="Yes",tblProjects[[#This Row],[Net annual savings]]/12*MAX(0,(YEAR(tblProjects[[#This Row],[Counted to]])-YEAR(MAX(tblProjects[[#This Row],[Counted from]],EDATE(ReportMonth,1))))*12+MONTH(tblProjects[[#This Row],[Counted to]])-MONTH(MAX(tblProjects[[#This Row],[Counted from]],EDATE(ReportMonth,1)))+1),0))</f>
        <v>3950</v>
      </c>
      <c r="X20" s="43" t="str">
        <f>IF(tblProjects[[#This Row],[ID]]="","",IF(tblProjects[[#This Row],[Project]]="","Missing project",IF(tblProjects[[#This Row],[Category]]="","Missing category",IF(tblProjects[[#This Row],[Type]]="","Missing type",IF(tblProjects[[#This Row],[Stage]]="","Missing stage",IF(tblProjects[[#This Row],[Start month]]="","Missing start month",IF(tblProjects[[#This Row],[Baseline cost]]="","Missing baseline cost",IF(COUNTIFS(tblProjects[ID],tblProjects[[#This Row],[ID]])&gt;1,"Duplicate ID",IF(tblProjects[[#This Row],[Counts in plan]]="","Stage not on Setup list",IF(tblProjects[[#This Row],[Cost after]]&gt;tblProjects[[#This Row],[Baseline cost]],"Cost after above baseline",IF(AND(tblProjects[[#This Row],[Realized to date]]&gt;0,tblProjects[[#This Row],[Counts in plan]]="No"),"Savings logged at a stage not in plan","OK")))))))))))</f>
        <v>OK</v>
      </c>
      <c r="Y20" s="37" t="s">
        <v>169</v>
      </c>
    </row>
  </sheetData>
  <mergeCells count="3">
    <mergeCell ref="A1:Y1"/>
    <mergeCell ref="B2:X2"/>
    <mergeCell ref="B4:Y4"/>
  </mergeCells>
  <conditionalFormatting sqref="U7:U520">
    <cfRule type="expression" dxfId="3" priority="1" stopIfTrue="1">
      <formula>AND(ISNUMBER(U7),U7&gt;=(RealizationTarget))</formula>
    </cfRule>
    <cfRule type="expression" dxfId="4" priority="2" stopIfTrue="1">
      <formula>AND(ISNUMBER(U7),U7&gt;=(RealizationTarget)*(1-0.1))</formula>
    </cfRule>
    <cfRule type="expression" dxfId="5" priority="3">
      <formula>ISNUMBER(U7)</formula>
    </cfRule>
    <cfRule type="dataBar" priority="4">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V7:V520">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X7:X520">
    <cfRule type="expression" dxfId="3" priority="25">
      <formula>$X7="OK"</formula>
    </cfRule>
    <cfRule type="expression" dxfId="1" priority="26">
      <formula>AND($X7&lt;&gt;"",$X7&lt;&gt;"OK")</formula>
    </cfRule>
  </conditionalFormatting>
  <dataValidations count="12">
    <dataValidation type="textLength" allowBlank="1" showInputMessage="1" showErrorMessage="1" errorTitle="Check this entry" error="Text up to 20 characters." promptTitle="ID" prompt="A short unique code, e.g. CS-15. The Savings Log refers to it. Text up to 20 characters." sqref="B7:B520">
      <formula1>0</formula1>
      <formula2>20</formula2>
    </dataValidation>
    <dataValidation type="textLength" allowBlank="1" showInputMessage="1" showErrorMessage="1" errorTitle="Check this entry" error="Text up to 120 characters." promptTitle="Project" prompt="Text up to 120 characters." sqref="C7:C520">
      <formula1>0</formula1>
      <formula2>120</formula2>
    </dataValidation>
    <dataValidation type="textLength" allowBlank="1" showInputMessage="1" showErrorMessage="1" errorTitle="Check this entry" error="Text up to 60 characters." promptTitle="Owner" prompt="Text up to 60 characters." sqref="D7:D520">
      <formula1>0</formula1>
      <formula2>60</formula2>
    </dataValidation>
    <dataValidation type="list" allowBlank="1" showInputMessage="1" showErrorMessage="1" errorTitle="Check this entry" error="Pick from the list (edit the list on Setup: Categories)." promptTitle="Category" prompt="Pick from the list (edit the list on Setup: Categories)." sqref="E7:E520">
      <formula1>Categories</formula1>
    </dataValidation>
    <dataValidation type="list" allowBlank="1" showInputMessage="1" showErrorMessage="1" errorTitle="Check this entry" error="Pick one of: Hard saving, Cost avoidance." promptTitle="Type" prompt="Hard saving: cost falls in the accounts. Cost avoidance: a rise that did not happen (not counted against the target). Pick one of: Hard saving, Cost avoidance." sqref="F7:F520">
      <formula1>"Hard saving,Cost avoidance"</formula1>
    </dataValidation>
    <dataValidation type="list" allowBlank="1" showInputMessage="1" showErrorMessage="1" errorTitle="Check this entry" error="Pick from the list (edit the list on Setup: Stages)." promptTitle="Stage" prompt="Pick from the list (edit the list on Setup: Stages)." sqref="G7:G520">
      <formula1>Stages</formula1>
    </dataValidation>
    <dataValidation type="date" allowBlank="1" showInputMessage="1" showErrorMessage="1" errorTitle="Check this entry" error="Enter a date between 01 Jan 2000 and 31 Dec 2100." promptTitle="Start month" prompt="First month the saving runs. Any day of the month counts as the whole month. Enter a date between 01 Jan 2000 and 31 Dec 2100." sqref="H7:H520">
      <formula1>36526</formula1>
      <formula2>73415</formula2>
    </dataValidation>
    <dataValidation type="decimal" allowBlank="1" showInputMessage="1" showErrorMessage="1" errorTitle="Check this entry" error="Enter a number of at least 0." promptTitle="Baseline cost" prompt="What this cost runs at per year before the change (price x volume, hours x rate...). Enter a number of at least 0." sqref="I7:I520">
      <formula1>0</formula1>
      <formula2>100000000000.0</formula2>
    </dataValidation>
    <dataValidation type="decimal" allowBlank="1" showInputMessage="1" showErrorMessage="1" errorTitle="Check this entry" error="Enter a number of at least 0." promptTitle="Cost after" prompt="The same cost per year after the change, at the same volume. Enter a number of at least 0." sqref="J7:J520">
      <formula1>0</formula1>
      <formula2>100000000000.0</formula2>
    </dataValidation>
    <dataValidation type="decimal" allowBlank="1" showInputMessage="1" showErrorMessage="1" errorTitle="Check this entry" error="Enter a number of at least 0." promptTitle="One-time cost" prompt="Implementation cost: equipment, tooling, trials, consultants. Enter a number of at least 0." sqref="K7:K520">
      <formula1>0</formula1>
      <formula2>100000000000.0</formula2>
    </dataValidation>
    <dataValidation type="decimal" allowBlank="1" showInputMessage="1" showErrorMessage="1" errorTitle="Check this entry" error="Enter a number of at least 0." promptTitle="Recurring cost added" prompt="Running costs the change adds each year (service, licences, consumables). Enter a number of at least 0." sqref="L7:L520">
      <formula1>0</formula1>
      <formula2>100000000000.0</formula2>
    </dataValidation>
    <dataValidation type="textLength" allowBlank="1" showInputMessage="1" showErrorMessage="1" errorTitle="Check this entry" error="Text up to 255 characters." promptTitle="Notes" prompt="Text up to 255 characters." sqref="Y7:Y520">
      <formula1>0</formula1>
      <formula2>255</formula2>
    </dataValidation>
  </dataValidations>
  <hyperlinks>
    <hyperlink ref="Y2" r:id="rId1" tooltip="Free manufacturing calculators and templates"/>
  </hyperlinks>
  <pageMargins left="0.4" right="0.4" top="0.7" bottom="0.65" header="0.3" footer="0.3"/>
  <pageSetup fitToHeight="0" orientation="landscape"/>
  <headerFooter>
    <oddHeader>&amp;L&amp;8MFG Calcs - Cost Savings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U7:U520</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J81"/>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3" width="10.7109375" customWidth="1"/>
    <col min="4" max="4" width="12.7109375" customWidth="1"/>
    <col min="5" max="5" width="22.7109375" customWidth="1"/>
    <col min="6" max="6" width="30.7109375" customWidth="1"/>
    <col min="7" max="7" width="20.7109375" customWidth="1"/>
    <col min="8" max="8" width="13.7109375" customWidth="1"/>
    <col min="9" max="9" width="24.7109375" customWidth="1"/>
    <col min="10" max="10" width="26.7109375" customWidth="1"/>
  </cols>
  <sheetData>
    <row r="1" spans="1:10" ht="30" customHeight="1">
      <c r="A1" s="1" t="s">
        <v>0</v>
      </c>
      <c r="B1" s="1"/>
      <c r="C1" s="1"/>
      <c r="D1" s="1"/>
      <c r="E1" s="1"/>
      <c r="F1" s="1"/>
      <c r="G1" s="1"/>
      <c r="H1" s="1"/>
      <c r="I1" s="1"/>
      <c r="J1" s="1"/>
    </row>
    <row r="2" spans="1:10" ht="21" customHeight="1">
      <c r="B2" s="2" t="s">
        <v>22</v>
      </c>
      <c r="C2" s="2"/>
      <c r="D2" s="2"/>
      <c r="E2" s="2"/>
      <c r="F2" s="2"/>
      <c r="G2" s="2"/>
      <c r="H2" s="2"/>
      <c r="I2" s="2"/>
      <c r="J2" s="3" t="s">
        <v>2</v>
      </c>
    </row>
    <row r="3" spans="1:10" ht="6" customHeight="1"/>
    <row r="4" spans="1:10" ht="29.76" customHeight="1">
      <c r="B4" s="35" t="s">
        <v>174</v>
      </c>
      <c r="C4" s="35"/>
      <c r="D4" s="35"/>
      <c r="E4" s="35"/>
      <c r="F4" s="35"/>
      <c r="G4" s="35"/>
      <c r="H4" s="35"/>
      <c r="I4" s="35"/>
      <c r="J4" s="35"/>
    </row>
    <row r="5" spans="1:10" ht="14" customHeight="1">
      <c r="B5" s="36"/>
      <c r="C5" s="36"/>
      <c r="D5" s="36" t="str">
        <f>Currency</f>
        <v>EUR</v>
      </c>
      <c r="E5" s="36"/>
      <c r="F5" s="36"/>
      <c r="G5" s="36"/>
      <c r="H5" s="36"/>
      <c r="I5" s="36"/>
      <c r="J5" s="36"/>
    </row>
    <row r="6" spans="1:10" ht="32" customHeight="1">
      <c r="B6" s="34" t="s">
        <v>170</v>
      </c>
      <c r="C6" s="34" t="s">
        <v>171</v>
      </c>
      <c r="D6" s="34" t="s">
        <v>172</v>
      </c>
      <c r="E6" s="34" t="s">
        <v>173</v>
      </c>
      <c r="F6" s="34" t="s">
        <v>108</v>
      </c>
      <c r="G6" s="34" t="s">
        <v>62</v>
      </c>
      <c r="H6" s="34" t="s">
        <v>110</v>
      </c>
      <c r="I6" s="34" t="s">
        <v>126</v>
      </c>
      <c r="J6" s="34" t="s">
        <v>127</v>
      </c>
    </row>
    <row r="7" spans="1:10">
      <c r="B7" s="29">
        <v>46023</v>
      </c>
      <c r="C7" s="28" t="s">
        <v>129</v>
      </c>
      <c r="D7" s="31">
        <v>3820</v>
      </c>
      <c r="E7" s="28" t="s">
        <v>175</v>
      </c>
      <c r="F7" s="38" t="str">
        <f>IF(tblSavings[[#This Row],[Month]]="","",IFERROR(INDEX(tblProjects[Project],MATCH(tblSavings[[#This Row],[Project ID]],tblProjects[ID],0)),""))</f>
        <v>Regrind ratio up to 15% on PP housings</v>
      </c>
      <c r="G7" s="38" t="str">
        <f>IF(tblSavings[[#This Row],[Month]]="","",IFERROR(INDEX(tblProjects[Category],MATCH(tblSavings[[#This Row],[Project ID]],tblProjects[ID],0)),""))</f>
        <v>Material and procurement</v>
      </c>
      <c r="H7" s="38" t="str">
        <f>IF(tblSavings[[#This Row],[Month]]="","",IFERROR(INDEX(tblProjects[Type],MATCH(tblSavings[[#This Row],[Project ID]],tblProjects[ID],0)),""))</f>
        <v>Hard saving</v>
      </c>
      <c r="I7"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 s="28" t="s">
        <v>137</v>
      </c>
    </row>
    <row r="8" spans="1:10">
      <c r="B8" s="29">
        <v>46023</v>
      </c>
      <c r="C8" s="28" t="s">
        <v>141</v>
      </c>
      <c r="D8" s="31">
        <v>1340</v>
      </c>
      <c r="E8" s="28" t="s">
        <v>175</v>
      </c>
      <c r="F8" s="38" t="str">
        <f>IF(tblSavings[[#This Row],[Month]]="","",IFERROR(INDEX(tblProjects[Project],MATCH(tblSavings[[#This Row],[Project ID]],tblProjects[ID],0)),""))</f>
        <v>Compressed air leak programme</v>
      </c>
      <c r="G8" s="38" t="str">
        <f>IF(tblSavings[[#This Row],[Month]]="","",IFERROR(INDEX(tblProjects[Category],MATCH(tblSavings[[#This Row],[Project ID]],tblProjects[ID],0)),""))</f>
        <v>Energy</v>
      </c>
      <c r="H8" s="38" t="str">
        <f>IF(tblSavings[[#This Row],[Month]]="","",IFERROR(INDEX(tblProjects[Type],MATCH(tblSavings[[#This Row],[Project ID]],tblProjects[ID],0)),""))</f>
        <v>Hard saving</v>
      </c>
      <c r="I8"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8" s="28" t="s">
        <v>137</v>
      </c>
    </row>
    <row r="9" spans="1:10">
      <c r="B9" s="29">
        <v>46023</v>
      </c>
      <c r="C9" s="28" t="s">
        <v>167</v>
      </c>
      <c r="D9" s="31">
        <v>340</v>
      </c>
      <c r="E9" s="28" t="s">
        <v>175</v>
      </c>
      <c r="F9" s="38" t="str">
        <f>IF(tblSavings[[#This Row],[Month]]="","",IFERROR(INDEX(tblProjects[Project],MATCH(tblSavings[[#This Row],[Project ID]],tblProjects[ID],0)),""))</f>
        <v>Carton price increase avoided</v>
      </c>
      <c r="G9" s="38" t="str">
        <f>IF(tblSavings[[#This Row],[Month]]="","",IFERROR(INDEX(tblProjects[Category],MATCH(tblSavings[[#This Row],[Project ID]],tblProjects[ID],0)),""))</f>
        <v>Logistics and packaging</v>
      </c>
      <c r="H9" s="38" t="str">
        <f>IF(tblSavings[[#This Row],[Month]]="","",IFERROR(INDEX(tblProjects[Type],MATCH(tblSavings[[#This Row],[Project ID]],tblProjects[ID],0)),""))</f>
        <v>Cost avoidance</v>
      </c>
      <c r="I9"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9" s="28" t="s">
        <v>137</v>
      </c>
    </row>
    <row r="10" spans="1:10">
      <c r="B10" s="29">
        <v>46054</v>
      </c>
      <c r="C10" s="28" t="s">
        <v>129</v>
      </c>
      <c r="D10" s="31">
        <v>3860</v>
      </c>
      <c r="E10" s="28" t="s">
        <v>175</v>
      </c>
      <c r="F10" s="38" t="str">
        <f>IF(tblSavings[[#This Row],[Month]]="","",IFERROR(INDEX(tblProjects[Project],MATCH(tblSavings[[#This Row],[Project ID]],tblProjects[ID],0)),""))</f>
        <v>Regrind ratio up to 15% on PP housings</v>
      </c>
      <c r="G10" s="38" t="str">
        <f>IF(tblSavings[[#This Row],[Month]]="","",IFERROR(INDEX(tblProjects[Category],MATCH(tblSavings[[#This Row],[Project ID]],tblProjects[ID],0)),""))</f>
        <v>Material and procurement</v>
      </c>
      <c r="H10" s="38" t="str">
        <f>IF(tblSavings[[#This Row],[Month]]="","",IFERROR(INDEX(tblProjects[Type],MATCH(tblSavings[[#This Row],[Project ID]],tblProjects[ID],0)),""))</f>
        <v>Hard saving</v>
      </c>
      <c r="I10"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10" s="28" t="s">
        <v>137</v>
      </c>
    </row>
    <row r="11" spans="1:10">
      <c r="B11" s="29">
        <v>46054</v>
      </c>
      <c r="C11" s="28" t="s">
        <v>134</v>
      </c>
      <c r="D11" s="31">
        <v>5270</v>
      </c>
      <c r="E11" s="28" t="s">
        <v>175</v>
      </c>
      <c r="F11" s="38" t="str">
        <f>IF(tblSavings[[#This Row],[Month]]="","",IFERROR(INDEX(tblProjects[Project],MATCH(tblSavings[[#This Row],[Project ID]],tblProjects[ID],0)),""))</f>
        <v>ABS resin price renegotiation</v>
      </c>
      <c r="G11" s="38" t="str">
        <f>IF(tblSavings[[#This Row],[Month]]="","",IFERROR(INDEX(tblProjects[Category],MATCH(tblSavings[[#This Row],[Project ID]],tblProjects[ID],0)),""))</f>
        <v>Material and procurement</v>
      </c>
      <c r="H11" s="38" t="str">
        <f>IF(tblSavings[[#This Row],[Month]]="","",IFERROR(INDEX(tblProjects[Type],MATCH(tblSavings[[#This Row],[Project ID]],tblProjects[ID],0)),""))</f>
        <v>Hard saving</v>
      </c>
      <c r="I11"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11" s="28" t="s">
        <v>137</v>
      </c>
    </row>
    <row r="12" spans="1:10">
      <c r="B12" s="29">
        <v>46054</v>
      </c>
      <c r="C12" s="28" t="s">
        <v>141</v>
      </c>
      <c r="D12" s="31">
        <v>1250</v>
      </c>
      <c r="E12" s="28" t="s">
        <v>175</v>
      </c>
      <c r="F12" s="38" t="str">
        <f>IF(tblSavings[[#This Row],[Month]]="","",IFERROR(INDEX(tblProjects[Project],MATCH(tblSavings[[#This Row],[Project ID]],tblProjects[ID],0)),""))</f>
        <v>Compressed air leak programme</v>
      </c>
      <c r="G12" s="38" t="str">
        <f>IF(tblSavings[[#This Row],[Month]]="","",IFERROR(INDEX(tblProjects[Category],MATCH(tblSavings[[#This Row],[Project ID]],tblProjects[ID],0)),""))</f>
        <v>Energy</v>
      </c>
      <c r="H12" s="38" t="str">
        <f>IF(tblSavings[[#This Row],[Month]]="","",IFERROR(INDEX(tblProjects[Type],MATCH(tblSavings[[#This Row],[Project ID]],tblProjects[ID],0)),""))</f>
        <v>Hard saving</v>
      </c>
      <c r="I12"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12" s="28" t="s">
        <v>137</v>
      </c>
    </row>
    <row r="13" spans="1:10">
      <c r="B13" s="29">
        <v>46054</v>
      </c>
      <c r="C13" s="28" t="s">
        <v>154</v>
      </c>
      <c r="D13" s="31">
        <v>1800</v>
      </c>
      <c r="E13" s="28" t="s">
        <v>175</v>
      </c>
      <c r="F13" s="38" t="str">
        <f>IF(tblSavings[[#This Row],[Month]]="","",IFERROR(INDEX(tblProjects[Project],MATCH(tblSavings[[#This Row],[Project ID]],tblProjects[ID],0)),""))</f>
        <v>Chiller preventive maintenance</v>
      </c>
      <c r="G13" s="38" t="str">
        <f>IF(tblSavings[[#This Row],[Month]]="","",IFERROR(INDEX(tblProjects[Category],MATCH(tblSavings[[#This Row],[Project ID]],tblProjects[ID],0)),""))</f>
        <v>Maintenance</v>
      </c>
      <c r="H13" s="38" t="str">
        <f>IF(tblSavings[[#This Row],[Month]]="","",IFERROR(INDEX(tblProjects[Type],MATCH(tblSavings[[#This Row],[Project ID]],tblProjects[ID],0)),""))</f>
        <v>Cost avoidance</v>
      </c>
      <c r="I13"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13" s="28" t="s">
        <v>137</v>
      </c>
    </row>
    <row r="14" spans="1:10">
      <c r="B14" s="29">
        <v>46054</v>
      </c>
      <c r="C14" s="28" t="s">
        <v>167</v>
      </c>
      <c r="D14" s="31">
        <v>320</v>
      </c>
      <c r="E14" s="28" t="s">
        <v>175</v>
      </c>
      <c r="F14" s="38" t="str">
        <f>IF(tblSavings[[#This Row],[Month]]="","",IFERROR(INDEX(tblProjects[Project],MATCH(tblSavings[[#This Row],[Project ID]],tblProjects[ID],0)),""))</f>
        <v>Carton price increase avoided</v>
      </c>
      <c r="G14" s="38" t="str">
        <f>IF(tblSavings[[#This Row],[Month]]="","",IFERROR(INDEX(tblProjects[Category],MATCH(tblSavings[[#This Row],[Project ID]],tblProjects[ID],0)),""))</f>
        <v>Logistics and packaging</v>
      </c>
      <c r="H14" s="38" t="str">
        <f>IF(tblSavings[[#This Row],[Month]]="","",IFERROR(INDEX(tblProjects[Type],MATCH(tblSavings[[#This Row],[Project ID]],tblProjects[ID],0)),""))</f>
        <v>Cost avoidance</v>
      </c>
      <c r="I14"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14" s="28" t="s">
        <v>137</v>
      </c>
    </row>
    <row r="15" spans="1:10">
      <c r="B15" s="29">
        <v>46082</v>
      </c>
      <c r="C15" s="28" t="s">
        <v>129</v>
      </c>
      <c r="D15" s="31">
        <v>3870</v>
      </c>
      <c r="E15" s="28" t="s">
        <v>175</v>
      </c>
      <c r="F15" s="38" t="str">
        <f>IF(tblSavings[[#This Row],[Month]]="","",IFERROR(INDEX(tblProjects[Project],MATCH(tblSavings[[#This Row],[Project ID]],tblProjects[ID],0)),""))</f>
        <v>Regrind ratio up to 15% on PP housings</v>
      </c>
      <c r="G15" s="38" t="str">
        <f>IF(tblSavings[[#This Row],[Month]]="","",IFERROR(INDEX(tblProjects[Category],MATCH(tblSavings[[#This Row],[Project ID]],tblProjects[ID],0)),""))</f>
        <v>Material and procurement</v>
      </c>
      <c r="H15" s="38" t="str">
        <f>IF(tblSavings[[#This Row],[Month]]="","",IFERROR(INDEX(tblProjects[Type],MATCH(tblSavings[[#This Row],[Project ID]],tblProjects[ID],0)),""))</f>
        <v>Hard saving</v>
      </c>
      <c r="I15"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15" s="28" t="s">
        <v>137</v>
      </c>
    </row>
    <row r="16" spans="1:10">
      <c r="B16" s="29">
        <v>46082</v>
      </c>
      <c r="C16" s="28" t="s">
        <v>134</v>
      </c>
      <c r="D16" s="31">
        <v>4870</v>
      </c>
      <c r="E16" s="28" t="s">
        <v>175</v>
      </c>
      <c r="F16" s="38" t="str">
        <f>IF(tblSavings[[#This Row],[Month]]="","",IFERROR(INDEX(tblProjects[Project],MATCH(tblSavings[[#This Row],[Project ID]],tblProjects[ID],0)),""))</f>
        <v>ABS resin price renegotiation</v>
      </c>
      <c r="G16" s="38" t="str">
        <f>IF(tblSavings[[#This Row],[Month]]="","",IFERROR(INDEX(tblProjects[Category],MATCH(tblSavings[[#This Row],[Project ID]],tblProjects[ID],0)),""))</f>
        <v>Material and procurement</v>
      </c>
      <c r="H16" s="38" t="str">
        <f>IF(tblSavings[[#This Row],[Month]]="","",IFERROR(INDEX(tblProjects[Type],MATCH(tblSavings[[#This Row],[Project ID]],tblProjects[ID],0)),""))</f>
        <v>Hard saving</v>
      </c>
      <c r="I16"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16" s="28" t="s">
        <v>137</v>
      </c>
    </row>
    <row r="17" spans="2:10">
      <c r="B17" s="29">
        <v>46082</v>
      </c>
      <c r="C17" s="28" t="s">
        <v>138</v>
      </c>
      <c r="D17" s="31">
        <v>2350</v>
      </c>
      <c r="E17" s="28" t="s">
        <v>175</v>
      </c>
      <c r="F17" s="38" t="str">
        <f>IF(tblSavings[[#This Row],[Month]]="","",IFERROR(INDEX(tblProjects[Project],MATCH(tblSavings[[#This Row],[Project ID]],tblProjects[ID],0)),""))</f>
        <v>Sprue picker robots, presses 7 to 9</v>
      </c>
      <c r="G17" s="38" t="str">
        <f>IF(tblSavings[[#This Row],[Month]]="","",IFERROR(INDEX(tblProjects[Category],MATCH(tblSavings[[#This Row],[Project ID]],tblProjects[ID],0)),""))</f>
        <v>Labour and productivity</v>
      </c>
      <c r="H17" s="38" t="str">
        <f>IF(tblSavings[[#This Row],[Month]]="","",IFERROR(INDEX(tblProjects[Type],MATCH(tblSavings[[#This Row],[Project ID]],tblProjects[ID],0)),""))</f>
        <v>Hard saving</v>
      </c>
      <c r="I17"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17" s="28" t="s">
        <v>137</v>
      </c>
    </row>
    <row r="18" spans="2:10">
      <c r="B18" s="29">
        <v>46082</v>
      </c>
      <c r="C18" s="28" t="s">
        <v>141</v>
      </c>
      <c r="D18" s="31">
        <v>1220</v>
      </c>
      <c r="E18" s="28" t="s">
        <v>175</v>
      </c>
      <c r="F18" s="38" t="str">
        <f>IF(tblSavings[[#This Row],[Month]]="","",IFERROR(INDEX(tblProjects[Project],MATCH(tblSavings[[#This Row],[Project ID]],tblProjects[ID],0)),""))</f>
        <v>Compressed air leak programme</v>
      </c>
      <c r="G18" s="38" t="str">
        <f>IF(tblSavings[[#This Row],[Month]]="","",IFERROR(INDEX(tblProjects[Category],MATCH(tblSavings[[#This Row],[Project ID]],tblProjects[ID],0)),""))</f>
        <v>Energy</v>
      </c>
      <c r="H18" s="38" t="str">
        <f>IF(tblSavings[[#This Row],[Month]]="","",IFERROR(INDEX(tblProjects[Type],MATCH(tblSavings[[#This Row],[Project ID]],tblProjects[ID],0)),""))</f>
        <v>Hard saving</v>
      </c>
      <c r="I18"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18" s="28" t="s">
        <v>137</v>
      </c>
    </row>
    <row r="19" spans="2:10">
      <c r="B19" s="29">
        <v>46082</v>
      </c>
      <c r="C19" s="28" t="s">
        <v>152</v>
      </c>
      <c r="D19" s="31">
        <v>1780</v>
      </c>
      <c r="E19" s="28" t="s">
        <v>175</v>
      </c>
      <c r="F19" s="38" t="str">
        <f>IF(tblSavings[[#This Row],[Month]]="","",IFERROR(INDEX(tblProjects[Project],MATCH(tblSavings[[#This Row],[Project ID]],tblProjects[ID],0)),""))</f>
        <v>Returnable packaging, key customer</v>
      </c>
      <c r="G19" s="38" t="str">
        <f>IF(tblSavings[[#This Row],[Month]]="","",IFERROR(INDEX(tblProjects[Category],MATCH(tblSavings[[#This Row],[Project ID]],tblProjects[ID],0)),""))</f>
        <v>Logistics and packaging</v>
      </c>
      <c r="H19" s="38" t="str">
        <f>IF(tblSavings[[#This Row],[Month]]="","",IFERROR(INDEX(tblProjects[Type],MATCH(tblSavings[[#This Row],[Project ID]],tblProjects[ID],0)),""))</f>
        <v>Hard saving</v>
      </c>
      <c r="I19"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19" s="28" t="s">
        <v>137</v>
      </c>
    </row>
    <row r="20" spans="2:10">
      <c r="B20" s="29">
        <v>46082</v>
      </c>
      <c r="C20" s="28" t="s">
        <v>154</v>
      </c>
      <c r="D20" s="31">
        <v>1750</v>
      </c>
      <c r="E20" s="28" t="s">
        <v>175</v>
      </c>
      <c r="F20" s="38" t="str">
        <f>IF(tblSavings[[#This Row],[Month]]="","",IFERROR(INDEX(tblProjects[Project],MATCH(tblSavings[[#This Row],[Project ID]],tblProjects[ID],0)),""))</f>
        <v>Chiller preventive maintenance</v>
      </c>
      <c r="G20" s="38" t="str">
        <f>IF(tblSavings[[#This Row],[Month]]="","",IFERROR(INDEX(tblProjects[Category],MATCH(tblSavings[[#This Row],[Project ID]],tblProjects[ID],0)),""))</f>
        <v>Maintenance</v>
      </c>
      <c r="H20" s="38" t="str">
        <f>IF(tblSavings[[#This Row],[Month]]="","",IFERROR(INDEX(tblProjects[Type],MATCH(tblSavings[[#This Row],[Project ID]],tblProjects[ID],0)),""))</f>
        <v>Cost avoidance</v>
      </c>
      <c r="I20"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20" s="28" t="s">
        <v>137</v>
      </c>
    </row>
    <row r="21" spans="2:10">
      <c r="B21" s="29">
        <v>46082</v>
      </c>
      <c r="C21" s="28" t="s">
        <v>167</v>
      </c>
      <c r="D21" s="31">
        <v>340</v>
      </c>
      <c r="E21" s="28" t="s">
        <v>175</v>
      </c>
      <c r="F21" s="38" t="str">
        <f>IF(tblSavings[[#This Row],[Month]]="","",IFERROR(INDEX(tblProjects[Project],MATCH(tblSavings[[#This Row],[Project ID]],tblProjects[ID],0)),""))</f>
        <v>Carton price increase avoided</v>
      </c>
      <c r="G21" s="38" t="str">
        <f>IF(tblSavings[[#This Row],[Month]]="","",IFERROR(INDEX(tblProjects[Category],MATCH(tblSavings[[#This Row],[Project ID]],tblProjects[ID],0)),""))</f>
        <v>Logistics and packaging</v>
      </c>
      <c r="H21" s="38" t="str">
        <f>IF(tblSavings[[#This Row],[Month]]="","",IFERROR(INDEX(tblProjects[Type],MATCH(tblSavings[[#This Row],[Project ID]],tblProjects[ID],0)),""))</f>
        <v>Cost avoidance</v>
      </c>
      <c r="I21"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21" s="28" t="s">
        <v>137</v>
      </c>
    </row>
    <row r="22" spans="2:10">
      <c r="B22" s="29">
        <v>46113</v>
      </c>
      <c r="C22" s="28" t="s">
        <v>129</v>
      </c>
      <c r="D22" s="31">
        <v>3540</v>
      </c>
      <c r="E22" s="28" t="s">
        <v>175</v>
      </c>
      <c r="F22" s="38" t="str">
        <f>IF(tblSavings[[#This Row],[Month]]="","",IFERROR(INDEX(tblProjects[Project],MATCH(tblSavings[[#This Row],[Project ID]],tblProjects[ID],0)),""))</f>
        <v>Regrind ratio up to 15% on PP housings</v>
      </c>
      <c r="G22" s="38" t="str">
        <f>IF(tblSavings[[#This Row],[Month]]="","",IFERROR(INDEX(tblProjects[Category],MATCH(tblSavings[[#This Row],[Project ID]],tblProjects[ID],0)),""))</f>
        <v>Material and procurement</v>
      </c>
      <c r="H22" s="38" t="str">
        <f>IF(tblSavings[[#This Row],[Month]]="","",IFERROR(INDEX(tblProjects[Type],MATCH(tblSavings[[#This Row],[Project ID]],tblProjects[ID],0)),""))</f>
        <v>Hard saving</v>
      </c>
      <c r="I22"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22" s="28" t="s">
        <v>137</v>
      </c>
    </row>
    <row r="23" spans="2:10">
      <c r="B23" s="29">
        <v>46113</v>
      </c>
      <c r="C23" s="28" t="s">
        <v>134</v>
      </c>
      <c r="D23" s="31">
        <v>4800</v>
      </c>
      <c r="E23" s="28" t="s">
        <v>175</v>
      </c>
      <c r="F23" s="38" t="str">
        <f>IF(tblSavings[[#This Row],[Month]]="","",IFERROR(INDEX(tblProjects[Project],MATCH(tblSavings[[#This Row],[Project ID]],tblProjects[ID],0)),""))</f>
        <v>ABS resin price renegotiation</v>
      </c>
      <c r="G23" s="38" t="str">
        <f>IF(tblSavings[[#This Row],[Month]]="","",IFERROR(INDEX(tblProjects[Category],MATCH(tblSavings[[#This Row],[Project ID]],tblProjects[ID],0)),""))</f>
        <v>Material and procurement</v>
      </c>
      <c r="H23" s="38" t="str">
        <f>IF(tblSavings[[#This Row],[Month]]="","",IFERROR(INDEX(tblProjects[Type],MATCH(tblSavings[[#This Row],[Project ID]],tblProjects[ID],0)),""))</f>
        <v>Hard saving</v>
      </c>
      <c r="I23"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23" s="28" t="s">
        <v>137</v>
      </c>
    </row>
    <row r="24" spans="2:10">
      <c r="B24" s="29">
        <v>46113</v>
      </c>
      <c r="C24" s="28" t="s">
        <v>138</v>
      </c>
      <c r="D24" s="31">
        <v>3030</v>
      </c>
      <c r="E24" s="28" t="s">
        <v>175</v>
      </c>
      <c r="F24" s="38" t="str">
        <f>IF(tblSavings[[#This Row],[Month]]="","",IFERROR(INDEX(tblProjects[Project],MATCH(tblSavings[[#This Row],[Project ID]],tblProjects[ID],0)),""))</f>
        <v>Sprue picker robots, presses 7 to 9</v>
      </c>
      <c r="G24" s="38" t="str">
        <f>IF(tblSavings[[#This Row],[Month]]="","",IFERROR(INDEX(tblProjects[Category],MATCH(tblSavings[[#This Row],[Project ID]],tblProjects[ID],0)),""))</f>
        <v>Labour and productivity</v>
      </c>
      <c r="H24" s="38" t="str">
        <f>IF(tblSavings[[#This Row],[Month]]="","",IFERROR(INDEX(tblProjects[Type],MATCH(tblSavings[[#This Row],[Project ID]],tblProjects[ID],0)),""))</f>
        <v>Hard saving</v>
      </c>
      <c r="I24"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24" s="28" t="s">
        <v>137</v>
      </c>
    </row>
    <row r="25" spans="2:10">
      <c r="B25" s="29">
        <v>46113</v>
      </c>
      <c r="C25" s="28" t="s">
        <v>141</v>
      </c>
      <c r="D25" s="31">
        <v>1220</v>
      </c>
      <c r="E25" s="28" t="s">
        <v>175</v>
      </c>
      <c r="F25" s="38" t="str">
        <f>IF(tblSavings[[#This Row],[Month]]="","",IFERROR(INDEX(tblProjects[Project],MATCH(tblSavings[[#This Row],[Project ID]],tblProjects[ID],0)),""))</f>
        <v>Compressed air leak programme</v>
      </c>
      <c r="G25" s="38" t="str">
        <f>IF(tblSavings[[#This Row],[Month]]="","",IFERROR(INDEX(tblProjects[Category],MATCH(tblSavings[[#This Row],[Project ID]],tblProjects[ID],0)),""))</f>
        <v>Energy</v>
      </c>
      <c r="H25" s="38" t="str">
        <f>IF(tblSavings[[#This Row],[Month]]="","",IFERROR(INDEX(tblProjects[Type],MATCH(tblSavings[[#This Row],[Project ID]],tblProjects[ID],0)),""))</f>
        <v>Hard saving</v>
      </c>
      <c r="I25"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25" s="28" t="s">
        <v>137</v>
      </c>
    </row>
    <row r="26" spans="2:10">
      <c r="B26" s="29">
        <v>46113</v>
      </c>
      <c r="C26" s="28" t="s">
        <v>144</v>
      </c>
      <c r="D26" s="31">
        <v>1510</v>
      </c>
      <c r="E26" s="28" t="s">
        <v>175</v>
      </c>
      <c r="F26" s="38" t="str">
        <f>IF(tblSavings[[#This Row],[Month]]="","",IFERROR(INDEX(tblProjects[Project],MATCH(tblSavings[[#This Row],[Project ID]],tblProjects[ID],0)),""))</f>
        <v>LED high-bay lighting</v>
      </c>
      <c r="G26" s="38" t="str">
        <f>IF(tblSavings[[#This Row],[Month]]="","",IFERROR(INDEX(tblProjects[Category],MATCH(tblSavings[[#This Row],[Project ID]],tblProjects[ID],0)),""))</f>
        <v>Energy</v>
      </c>
      <c r="H26" s="38" t="str">
        <f>IF(tblSavings[[#This Row],[Month]]="","",IFERROR(INDEX(tblProjects[Type],MATCH(tblSavings[[#This Row],[Project ID]],tblProjects[ID],0)),""))</f>
        <v>Hard saving</v>
      </c>
      <c r="I26"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26" s="28" t="s">
        <v>137</v>
      </c>
    </row>
    <row r="27" spans="2:10">
      <c r="B27" s="29">
        <v>46113</v>
      </c>
      <c r="C27" s="28" t="s">
        <v>152</v>
      </c>
      <c r="D27" s="31">
        <v>1650</v>
      </c>
      <c r="E27" s="28" t="s">
        <v>175</v>
      </c>
      <c r="F27" s="38" t="str">
        <f>IF(tblSavings[[#This Row],[Month]]="","",IFERROR(INDEX(tblProjects[Project],MATCH(tblSavings[[#This Row],[Project ID]],tblProjects[ID],0)),""))</f>
        <v>Returnable packaging, key customer</v>
      </c>
      <c r="G27" s="38" t="str">
        <f>IF(tblSavings[[#This Row],[Month]]="","",IFERROR(INDEX(tblProjects[Category],MATCH(tblSavings[[#This Row],[Project ID]],tblProjects[ID],0)),""))</f>
        <v>Logistics and packaging</v>
      </c>
      <c r="H27" s="38" t="str">
        <f>IF(tblSavings[[#This Row],[Month]]="","",IFERROR(INDEX(tblProjects[Type],MATCH(tblSavings[[#This Row],[Project ID]],tblProjects[ID],0)),""))</f>
        <v>Hard saving</v>
      </c>
      <c r="I27"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27" s="28" t="s">
        <v>137</v>
      </c>
    </row>
    <row r="28" spans="2:10">
      <c r="B28" s="29">
        <v>46113</v>
      </c>
      <c r="C28" s="28" t="s">
        <v>154</v>
      </c>
      <c r="D28" s="31">
        <v>1820</v>
      </c>
      <c r="E28" s="28" t="s">
        <v>175</v>
      </c>
      <c r="F28" s="38" t="str">
        <f>IF(tblSavings[[#This Row],[Month]]="","",IFERROR(INDEX(tblProjects[Project],MATCH(tblSavings[[#This Row],[Project ID]],tblProjects[ID],0)),""))</f>
        <v>Chiller preventive maintenance</v>
      </c>
      <c r="G28" s="38" t="str">
        <f>IF(tblSavings[[#This Row],[Month]]="","",IFERROR(INDEX(tblProjects[Category],MATCH(tblSavings[[#This Row],[Project ID]],tblProjects[ID],0)),""))</f>
        <v>Maintenance</v>
      </c>
      <c r="H28" s="38" t="str">
        <f>IF(tblSavings[[#This Row],[Month]]="","",IFERROR(INDEX(tblProjects[Type],MATCH(tblSavings[[#This Row],[Project ID]],tblProjects[ID],0)),""))</f>
        <v>Cost avoidance</v>
      </c>
      <c r="I28"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28" s="28" t="s">
        <v>137</v>
      </c>
    </row>
    <row r="29" spans="2:10">
      <c r="B29" s="29">
        <v>46113</v>
      </c>
      <c r="C29" s="28" t="s">
        <v>167</v>
      </c>
      <c r="D29" s="31">
        <v>320</v>
      </c>
      <c r="E29" s="28" t="s">
        <v>175</v>
      </c>
      <c r="F29" s="38" t="str">
        <f>IF(tblSavings[[#This Row],[Month]]="","",IFERROR(INDEX(tblProjects[Project],MATCH(tblSavings[[#This Row],[Project ID]],tblProjects[ID],0)),""))</f>
        <v>Carton price increase avoided</v>
      </c>
      <c r="G29" s="38" t="str">
        <f>IF(tblSavings[[#This Row],[Month]]="","",IFERROR(INDEX(tblProjects[Category],MATCH(tblSavings[[#This Row],[Project ID]],tblProjects[ID],0)),""))</f>
        <v>Logistics and packaging</v>
      </c>
      <c r="H29" s="38" t="str">
        <f>IF(tblSavings[[#This Row],[Month]]="","",IFERROR(INDEX(tblProjects[Type],MATCH(tblSavings[[#This Row],[Project ID]],tblProjects[ID],0)),""))</f>
        <v>Cost avoidance</v>
      </c>
      <c r="I29"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29" s="28" t="s">
        <v>137</v>
      </c>
    </row>
    <row r="30" spans="2:10">
      <c r="B30" s="29">
        <v>46143</v>
      </c>
      <c r="C30" s="28" t="s">
        <v>129</v>
      </c>
      <c r="D30" s="31">
        <v>3660</v>
      </c>
      <c r="E30" s="28" t="s">
        <v>175</v>
      </c>
      <c r="F30" s="38" t="str">
        <f>IF(tblSavings[[#This Row],[Month]]="","",IFERROR(INDEX(tblProjects[Project],MATCH(tblSavings[[#This Row],[Project ID]],tblProjects[ID],0)),""))</f>
        <v>Regrind ratio up to 15% on PP housings</v>
      </c>
      <c r="G30" s="38" t="str">
        <f>IF(tblSavings[[#This Row],[Month]]="","",IFERROR(INDEX(tblProjects[Category],MATCH(tblSavings[[#This Row],[Project ID]],tblProjects[ID],0)),""))</f>
        <v>Material and procurement</v>
      </c>
      <c r="H30" s="38" t="str">
        <f>IF(tblSavings[[#This Row],[Month]]="","",IFERROR(INDEX(tblProjects[Type],MATCH(tblSavings[[#This Row],[Project ID]],tblProjects[ID],0)),""))</f>
        <v>Hard saving</v>
      </c>
      <c r="I30"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30" s="28" t="s">
        <v>137</v>
      </c>
    </row>
    <row r="31" spans="2:10">
      <c r="B31" s="29">
        <v>46143</v>
      </c>
      <c r="C31" s="28" t="s">
        <v>134</v>
      </c>
      <c r="D31" s="31">
        <v>4870</v>
      </c>
      <c r="E31" s="28" t="s">
        <v>175</v>
      </c>
      <c r="F31" s="38" t="str">
        <f>IF(tblSavings[[#This Row],[Month]]="","",IFERROR(INDEX(tblProjects[Project],MATCH(tblSavings[[#This Row],[Project ID]],tblProjects[ID],0)),""))</f>
        <v>ABS resin price renegotiation</v>
      </c>
      <c r="G31" s="38" t="str">
        <f>IF(tblSavings[[#This Row],[Month]]="","",IFERROR(INDEX(tblProjects[Category],MATCH(tblSavings[[#This Row],[Project ID]],tblProjects[ID],0)),""))</f>
        <v>Material and procurement</v>
      </c>
      <c r="H31" s="38" t="str">
        <f>IF(tblSavings[[#This Row],[Month]]="","",IFERROR(INDEX(tblProjects[Type],MATCH(tblSavings[[#This Row],[Project ID]],tblProjects[ID],0)),""))</f>
        <v>Hard saving</v>
      </c>
      <c r="I31"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31" s="28" t="s">
        <v>137</v>
      </c>
    </row>
    <row r="32" spans="2:10">
      <c r="B32" s="29">
        <v>46143</v>
      </c>
      <c r="C32" s="28" t="s">
        <v>138</v>
      </c>
      <c r="D32" s="31">
        <v>3760</v>
      </c>
      <c r="E32" s="28" t="s">
        <v>175</v>
      </c>
      <c r="F32" s="38" t="str">
        <f>IF(tblSavings[[#This Row],[Month]]="","",IFERROR(INDEX(tblProjects[Project],MATCH(tblSavings[[#This Row],[Project ID]],tblProjects[ID],0)),""))</f>
        <v>Sprue picker robots, presses 7 to 9</v>
      </c>
      <c r="G32" s="38" t="str">
        <f>IF(tblSavings[[#This Row],[Month]]="","",IFERROR(INDEX(tblProjects[Category],MATCH(tblSavings[[#This Row],[Project ID]],tblProjects[ID],0)),""))</f>
        <v>Labour and productivity</v>
      </c>
      <c r="H32" s="38" t="str">
        <f>IF(tblSavings[[#This Row],[Month]]="","",IFERROR(INDEX(tblProjects[Type],MATCH(tblSavings[[#This Row],[Project ID]],tblProjects[ID],0)),""))</f>
        <v>Hard saving</v>
      </c>
      <c r="I32"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32" s="28" t="s">
        <v>137</v>
      </c>
    </row>
    <row r="33" spans="2:10">
      <c r="B33" s="29">
        <v>46143</v>
      </c>
      <c r="C33" s="28" t="s">
        <v>141</v>
      </c>
      <c r="D33" s="31">
        <v>1200</v>
      </c>
      <c r="E33" s="28" t="s">
        <v>175</v>
      </c>
      <c r="F33" s="38" t="str">
        <f>IF(tblSavings[[#This Row],[Month]]="","",IFERROR(INDEX(tblProjects[Project],MATCH(tblSavings[[#This Row],[Project ID]],tblProjects[ID],0)),""))</f>
        <v>Compressed air leak programme</v>
      </c>
      <c r="G33" s="38" t="str">
        <f>IF(tblSavings[[#This Row],[Month]]="","",IFERROR(INDEX(tblProjects[Category],MATCH(tblSavings[[#This Row],[Project ID]],tblProjects[ID],0)),""))</f>
        <v>Energy</v>
      </c>
      <c r="H33" s="38" t="str">
        <f>IF(tblSavings[[#This Row],[Month]]="","",IFERROR(INDEX(tblProjects[Type],MATCH(tblSavings[[#This Row],[Project ID]],tblProjects[ID],0)),""))</f>
        <v>Hard saving</v>
      </c>
      <c r="I33"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33" s="28" t="s">
        <v>137</v>
      </c>
    </row>
    <row r="34" spans="2:10">
      <c r="B34" s="29">
        <v>46143</v>
      </c>
      <c r="C34" s="28" t="s">
        <v>144</v>
      </c>
      <c r="D34" s="31">
        <v>1530</v>
      </c>
      <c r="E34" s="28" t="s">
        <v>175</v>
      </c>
      <c r="F34" s="38" t="str">
        <f>IF(tblSavings[[#This Row],[Month]]="","",IFERROR(INDEX(tblProjects[Project],MATCH(tblSavings[[#This Row],[Project ID]],tblProjects[ID],0)),""))</f>
        <v>LED high-bay lighting</v>
      </c>
      <c r="G34" s="38" t="str">
        <f>IF(tblSavings[[#This Row],[Month]]="","",IFERROR(INDEX(tblProjects[Category],MATCH(tblSavings[[#This Row],[Project ID]],tblProjects[ID],0)),""))</f>
        <v>Energy</v>
      </c>
      <c r="H34" s="38" t="str">
        <f>IF(tblSavings[[#This Row],[Month]]="","",IFERROR(INDEX(tblProjects[Type],MATCH(tblSavings[[#This Row],[Project ID]],tblProjects[ID],0)),""))</f>
        <v>Hard saving</v>
      </c>
      <c r="I34"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34" s="28" t="s">
        <v>137</v>
      </c>
    </row>
    <row r="35" spans="2:10">
      <c r="B35" s="29">
        <v>46143</v>
      </c>
      <c r="C35" s="28" t="s">
        <v>146</v>
      </c>
      <c r="D35" s="31">
        <v>1580</v>
      </c>
      <c r="E35" s="28" t="s">
        <v>175</v>
      </c>
      <c r="F35" s="38" t="str">
        <f>IF(tblSavings[[#This Row],[Month]]="","",IFERROR(INDEX(tblProjects[Project],MATCH(tblSavings[[#This Row],[Project ID]],tblProjects[ID],0)),""))</f>
        <v>Door handle scrap reduction (DOE)</v>
      </c>
      <c r="G35" s="38" t="str">
        <f>IF(tblSavings[[#This Row],[Month]]="","",IFERROR(INDEX(tblProjects[Category],MATCH(tblSavings[[#This Row],[Project ID]],tblProjects[ID],0)),""))</f>
        <v>Scrap and quality</v>
      </c>
      <c r="H35" s="38" t="str">
        <f>IF(tblSavings[[#This Row],[Month]]="","",IFERROR(INDEX(tblProjects[Type],MATCH(tblSavings[[#This Row],[Project ID]],tblProjects[ID],0)),""))</f>
        <v>Hard saving</v>
      </c>
      <c r="I35"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35" s="28" t="s">
        <v>137</v>
      </c>
    </row>
    <row r="36" spans="2:10">
      <c r="B36" s="29">
        <v>46143</v>
      </c>
      <c r="C36" s="28" t="s">
        <v>152</v>
      </c>
      <c r="D36" s="31">
        <v>1630</v>
      </c>
      <c r="E36" s="28" t="s">
        <v>175</v>
      </c>
      <c r="F36" s="38" t="str">
        <f>IF(tblSavings[[#This Row],[Month]]="","",IFERROR(INDEX(tblProjects[Project],MATCH(tblSavings[[#This Row],[Project ID]],tblProjects[ID],0)),""))</f>
        <v>Returnable packaging, key customer</v>
      </c>
      <c r="G36" s="38" t="str">
        <f>IF(tblSavings[[#This Row],[Month]]="","",IFERROR(INDEX(tblProjects[Category],MATCH(tblSavings[[#This Row],[Project ID]],tblProjects[ID],0)),""))</f>
        <v>Logistics and packaging</v>
      </c>
      <c r="H36" s="38" t="str">
        <f>IF(tblSavings[[#This Row],[Month]]="","",IFERROR(INDEX(tblProjects[Type],MATCH(tblSavings[[#This Row],[Project ID]],tblProjects[ID],0)),""))</f>
        <v>Hard saving</v>
      </c>
      <c r="I36"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36" s="28" t="s">
        <v>137</v>
      </c>
    </row>
    <row r="37" spans="2:10">
      <c r="B37" s="29">
        <v>46143</v>
      </c>
      <c r="C37" s="28" t="s">
        <v>154</v>
      </c>
      <c r="D37" s="31">
        <v>1860</v>
      </c>
      <c r="E37" s="28" t="s">
        <v>175</v>
      </c>
      <c r="F37" s="38" t="str">
        <f>IF(tblSavings[[#This Row],[Month]]="","",IFERROR(INDEX(tblProjects[Project],MATCH(tblSavings[[#This Row],[Project ID]],tblProjects[ID],0)),""))</f>
        <v>Chiller preventive maintenance</v>
      </c>
      <c r="G37" s="38" t="str">
        <f>IF(tblSavings[[#This Row],[Month]]="","",IFERROR(INDEX(tblProjects[Category],MATCH(tblSavings[[#This Row],[Project ID]],tblProjects[ID],0)),""))</f>
        <v>Maintenance</v>
      </c>
      <c r="H37" s="38" t="str">
        <f>IF(tblSavings[[#This Row],[Month]]="","",IFERROR(INDEX(tblProjects[Type],MATCH(tblSavings[[#This Row],[Project ID]],tblProjects[ID],0)),""))</f>
        <v>Cost avoidance</v>
      </c>
      <c r="I37"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37" s="28" t="s">
        <v>137</v>
      </c>
    </row>
    <row r="38" spans="2:10">
      <c r="B38" s="29">
        <v>46143</v>
      </c>
      <c r="C38" s="28" t="s">
        <v>167</v>
      </c>
      <c r="D38" s="31">
        <v>310</v>
      </c>
      <c r="E38" s="28" t="s">
        <v>175</v>
      </c>
      <c r="F38" s="38" t="str">
        <f>IF(tblSavings[[#This Row],[Month]]="","",IFERROR(INDEX(tblProjects[Project],MATCH(tblSavings[[#This Row],[Project ID]],tblProjects[ID],0)),""))</f>
        <v>Carton price increase avoided</v>
      </c>
      <c r="G38" s="38" t="str">
        <f>IF(tblSavings[[#This Row],[Month]]="","",IFERROR(INDEX(tblProjects[Category],MATCH(tblSavings[[#This Row],[Project ID]],tblProjects[ID],0)),""))</f>
        <v>Logistics and packaging</v>
      </c>
      <c r="H38" s="38" t="str">
        <f>IF(tblSavings[[#This Row],[Month]]="","",IFERROR(INDEX(tblProjects[Type],MATCH(tblSavings[[#This Row],[Project ID]],tblProjects[ID],0)),""))</f>
        <v>Cost avoidance</v>
      </c>
      <c r="I38"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38" s="28" t="s">
        <v>137</v>
      </c>
    </row>
    <row r="39" spans="2:10">
      <c r="B39" s="29">
        <v>46174</v>
      </c>
      <c r="C39" s="28" t="s">
        <v>129</v>
      </c>
      <c r="D39" s="31">
        <v>3500</v>
      </c>
      <c r="E39" s="28" t="s">
        <v>175</v>
      </c>
      <c r="F39" s="38" t="str">
        <f>IF(tblSavings[[#This Row],[Month]]="","",IFERROR(INDEX(tblProjects[Project],MATCH(tblSavings[[#This Row],[Project ID]],tblProjects[ID],0)),""))</f>
        <v>Regrind ratio up to 15% on PP housings</v>
      </c>
      <c r="G39" s="38" t="str">
        <f>IF(tblSavings[[#This Row],[Month]]="","",IFERROR(INDEX(tblProjects[Category],MATCH(tblSavings[[#This Row],[Project ID]],tblProjects[ID],0)),""))</f>
        <v>Material and procurement</v>
      </c>
      <c r="H39" s="38" t="str">
        <f>IF(tblSavings[[#This Row],[Month]]="","",IFERROR(INDEX(tblProjects[Type],MATCH(tblSavings[[#This Row],[Project ID]],tblProjects[ID],0)),""))</f>
        <v>Hard saving</v>
      </c>
      <c r="I39"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39" s="28" t="s">
        <v>137</v>
      </c>
    </row>
    <row r="40" spans="2:10">
      <c r="B40" s="29">
        <v>46174</v>
      </c>
      <c r="C40" s="28" t="s">
        <v>134</v>
      </c>
      <c r="D40" s="31">
        <v>4940</v>
      </c>
      <c r="E40" s="28" t="s">
        <v>175</v>
      </c>
      <c r="F40" s="38" t="str">
        <f>IF(tblSavings[[#This Row],[Month]]="","",IFERROR(INDEX(tblProjects[Project],MATCH(tblSavings[[#This Row],[Project ID]],tblProjects[ID],0)),""))</f>
        <v>ABS resin price renegotiation</v>
      </c>
      <c r="G40" s="38" t="str">
        <f>IF(tblSavings[[#This Row],[Month]]="","",IFERROR(INDEX(tblProjects[Category],MATCH(tblSavings[[#This Row],[Project ID]],tblProjects[ID],0)),""))</f>
        <v>Material and procurement</v>
      </c>
      <c r="H40" s="38" t="str">
        <f>IF(tblSavings[[#This Row],[Month]]="","",IFERROR(INDEX(tblProjects[Type],MATCH(tblSavings[[#This Row],[Project ID]],tblProjects[ID],0)),""))</f>
        <v>Hard saving</v>
      </c>
      <c r="I40"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40" s="28" t="s">
        <v>137</v>
      </c>
    </row>
    <row r="41" spans="2:10">
      <c r="B41" s="29">
        <v>46174</v>
      </c>
      <c r="C41" s="28" t="s">
        <v>138</v>
      </c>
      <c r="D41" s="31">
        <v>3980</v>
      </c>
      <c r="E41" s="28" t="s">
        <v>175</v>
      </c>
      <c r="F41" s="38" t="str">
        <f>IF(tblSavings[[#This Row],[Month]]="","",IFERROR(INDEX(tblProjects[Project],MATCH(tblSavings[[#This Row],[Project ID]],tblProjects[ID],0)),""))</f>
        <v>Sprue picker robots, presses 7 to 9</v>
      </c>
      <c r="G41" s="38" t="str">
        <f>IF(tblSavings[[#This Row],[Month]]="","",IFERROR(INDEX(tblProjects[Category],MATCH(tblSavings[[#This Row],[Project ID]],tblProjects[ID],0)),""))</f>
        <v>Labour and productivity</v>
      </c>
      <c r="H41" s="38" t="str">
        <f>IF(tblSavings[[#This Row],[Month]]="","",IFERROR(INDEX(tblProjects[Type],MATCH(tblSavings[[#This Row],[Project ID]],tblProjects[ID],0)),""))</f>
        <v>Hard saving</v>
      </c>
      <c r="I41"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41" s="28" t="s">
        <v>137</v>
      </c>
    </row>
    <row r="42" spans="2:10">
      <c r="B42" s="29">
        <v>46174</v>
      </c>
      <c r="C42" s="28" t="s">
        <v>141</v>
      </c>
      <c r="D42" s="31">
        <v>1260</v>
      </c>
      <c r="E42" s="28" t="s">
        <v>175</v>
      </c>
      <c r="F42" s="38" t="str">
        <f>IF(tblSavings[[#This Row],[Month]]="","",IFERROR(INDEX(tblProjects[Project],MATCH(tblSavings[[#This Row],[Project ID]],tblProjects[ID],0)),""))</f>
        <v>Compressed air leak programme</v>
      </c>
      <c r="G42" s="38" t="str">
        <f>IF(tblSavings[[#This Row],[Month]]="","",IFERROR(INDEX(tblProjects[Category],MATCH(tblSavings[[#This Row],[Project ID]],tblProjects[ID],0)),""))</f>
        <v>Energy</v>
      </c>
      <c r="H42" s="38" t="str">
        <f>IF(tblSavings[[#This Row],[Month]]="","",IFERROR(INDEX(tblProjects[Type],MATCH(tblSavings[[#This Row],[Project ID]],tblProjects[ID],0)),""))</f>
        <v>Hard saving</v>
      </c>
      <c r="I42"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42" s="28" t="s">
        <v>137</v>
      </c>
    </row>
    <row r="43" spans="2:10">
      <c r="B43" s="29">
        <v>46174</v>
      </c>
      <c r="C43" s="28" t="s">
        <v>144</v>
      </c>
      <c r="D43" s="31">
        <v>1550</v>
      </c>
      <c r="E43" s="28" t="s">
        <v>175</v>
      </c>
      <c r="F43" s="38" t="str">
        <f>IF(tblSavings[[#This Row],[Month]]="","",IFERROR(INDEX(tblProjects[Project],MATCH(tblSavings[[#This Row],[Project ID]],tblProjects[ID],0)),""))</f>
        <v>LED high-bay lighting</v>
      </c>
      <c r="G43" s="38" t="str">
        <f>IF(tblSavings[[#This Row],[Month]]="","",IFERROR(INDEX(tblProjects[Category],MATCH(tblSavings[[#This Row],[Project ID]],tblProjects[ID],0)),""))</f>
        <v>Energy</v>
      </c>
      <c r="H43" s="38" t="str">
        <f>IF(tblSavings[[#This Row],[Month]]="","",IFERROR(INDEX(tblProjects[Type],MATCH(tblSavings[[#This Row],[Project ID]],tblProjects[ID],0)),""))</f>
        <v>Hard saving</v>
      </c>
      <c r="I43"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43" s="28" t="s">
        <v>137</v>
      </c>
    </row>
    <row r="44" spans="2:10">
      <c r="B44" s="29">
        <v>46174</v>
      </c>
      <c r="C44" s="28" t="s">
        <v>146</v>
      </c>
      <c r="D44" s="31">
        <v>1650</v>
      </c>
      <c r="E44" s="28" t="s">
        <v>175</v>
      </c>
      <c r="F44" s="38" t="str">
        <f>IF(tblSavings[[#This Row],[Month]]="","",IFERROR(INDEX(tblProjects[Project],MATCH(tblSavings[[#This Row],[Project ID]],tblProjects[ID],0)),""))</f>
        <v>Door handle scrap reduction (DOE)</v>
      </c>
      <c r="G44" s="38" t="str">
        <f>IF(tblSavings[[#This Row],[Month]]="","",IFERROR(INDEX(tblProjects[Category],MATCH(tblSavings[[#This Row],[Project ID]],tblProjects[ID],0)),""))</f>
        <v>Scrap and quality</v>
      </c>
      <c r="H44" s="38" t="str">
        <f>IF(tblSavings[[#This Row],[Month]]="","",IFERROR(INDEX(tblProjects[Type],MATCH(tblSavings[[#This Row],[Project ID]],tblProjects[ID],0)),""))</f>
        <v>Hard saving</v>
      </c>
      <c r="I44"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44" s="28" t="s">
        <v>137</v>
      </c>
    </row>
    <row r="45" spans="2:10">
      <c r="B45" s="29">
        <v>46174</v>
      </c>
      <c r="C45" s="28" t="s">
        <v>152</v>
      </c>
      <c r="D45" s="31">
        <v>1670</v>
      </c>
      <c r="E45" s="28" t="s">
        <v>175</v>
      </c>
      <c r="F45" s="38" t="str">
        <f>IF(tblSavings[[#This Row],[Month]]="","",IFERROR(INDEX(tblProjects[Project],MATCH(tblSavings[[#This Row],[Project ID]],tblProjects[ID],0)),""))</f>
        <v>Returnable packaging, key customer</v>
      </c>
      <c r="G45" s="38" t="str">
        <f>IF(tblSavings[[#This Row],[Month]]="","",IFERROR(INDEX(tblProjects[Category],MATCH(tblSavings[[#This Row],[Project ID]],tblProjects[ID],0)),""))</f>
        <v>Logistics and packaging</v>
      </c>
      <c r="H45" s="38" t="str">
        <f>IF(tblSavings[[#This Row],[Month]]="","",IFERROR(INDEX(tblProjects[Type],MATCH(tblSavings[[#This Row],[Project ID]],tblProjects[ID],0)),""))</f>
        <v>Hard saving</v>
      </c>
      <c r="I45"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45" s="28" t="s">
        <v>137</v>
      </c>
    </row>
    <row r="46" spans="2:10">
      <c r="B46" s="29">
        <v>46174</v>
      </c>
      <c r="C46" s="28" t="s">
        <v>154</v>
      </c>
      <c r="D46" s="31">
        <v>1880</v>
      </c>
      <c r="E46" s="28" t="s">
        <v>175</v>
      </c>
      <c r="F46" s="38" t="str">
        <f>IF(tblSavings[[#This Row],[Month]]="","",IFERROR(INDEX(tblProjects[Project],MATCH(tblSavings[[#This Row],[Project ID]],tblProjects[ID],0)),""))</f>
        <v>Chiller preventive maintenance</v>
      </c>
      <c r="G46" s="38" t="str">
        <f>IF(tblSavings[[#This Row],[Month]]="","",IFERROR(INDEX(tblProjects[Category],MATCH(tblSavings[[#This Row],[Project ID]],tblProjects[ID],0)),""))</f>
        <v>Maintenance</v>
      </c>
      <c r="H46" s="38" t="str">
        <f>IF(tblSavings[[#This Row],[Month]]="","",IFERROR(INDEX(tblProjects[Type],MATCH(tblSavings[[#This Row],[Project ID]],tblProjects[ID],0)),""))</f>
        <v>Cost avoidance</v>
      </c>
      <c r="I46"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46" s="28" t="s">
        <v>137</v>
      </c>
    </row>
    <row r="47" spans="2:10">
      <c r="B47" s="29">
        <v>46174</v>
      </c>
      <c r="C47" s="28" t="s">
        <v>158</v>
      </c>
      <c r="D47" s="31">
        <v>1310</v>
      </c>
      <c r="E47" s="28" t="s">
        <v>175</v>
      </c>
      <c r="F47" s="38" t="str">
        <f>IF(tblSavings[[#This Row],[Month]]="","",IFERROR(INDEX(tblProjects[Project],MATCH(tblSavings[[#This Row],[Project ID]],tblProjects[ID],0)),""))</f>
        <v>SMED on the 300 t presses</v>
      </c>
      <c r="G47" s="38" t="str">
        <f>IF(tblSavings[[#This Row],[Month]]="","",IFERROR(INDEX(tblProjects[Category],MATCH(tblSavings[[#This Row],[Project ID]],tblProjects[ID],0)),""))</f>
        <v>Labour and productivity</v>
      </c>
      <c r="H47" s="38" t="str">
        <f>IF(tblSavings[[#This Row],[Month]]="","",IFERROR(INDEX(tblProjects[Type],MATCH(tblSavings[[#This Row],[Project ID]],tblProjects[ID],0)),""))</f>
        <v>Hard saving</v>
      </c>
      <c r="I47"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47" s="28" t="s">
        <v>137</v>
      </c>
    </row>
    <row r="48" spans="2:10">
      <c r="B48" s="29">
        <v>46174</v>
      </c>
      <c r="C48" s="28" t="s">
        <v>167</v>
      </c>
      <c r="D48" s="31">
        <v>350</v>
      </c>
      <c r="E48" s="28" t="s">
        <v>175</v>
      </c>
      <c r="F48" s="38" t="str">
        <f>IF(tblSavings[[#This Row],[Month]]="","",IFERROR(INDEX(tblProjects[Project],MATCH(tblSavings[[#This Row],[Project ID]],tblProjects[ID],0)),""))</f>
        <v>Carton price increase avoided</v>
      </c>
      <c r="G48" s="38" t="str">
        <f>IF(tblSavings[[#This Row],[Month]]="","",IFERROR(INDEX(tblProjects[Category],MATCH(tblSavings[[#This Row],[Project ID]],tblProjects[ID],0)),""))</f>
        <v>Logistics and packaging</v>
      </c>
      <c r="H48" s="38" t="str">
        <f>IF(tblSavings[[#This Row],[Month]]="","",IFERROR(INDEX(tblProjects[Type],MATCH(tblSavings[[#This Row],[Project ID]],tblProjects[ID],0)),""))</f>
        <v>Cost avoidance</v>
      </c>
      <c r="I48"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48" s="28" t="s">
        <v>137</v>
      </c>
    </row>
    <row r="49" spans="2:10">
      <c r="B49" s="29">
        <v>46204</v>
      </c>
      <c r="C49" s="28" t="s">
        <v>129</v>
      </c>
      <c r="D49" s="31">
        <v>3700</v>
      </c>
      <c r="E49" s="28" t="s">
        <v>175</v>
      </c>
      <c r="F49" s="38" t="str">
        <f>IF(tblSavings[[#This Row],[Month]]="","",IFERROR(INDEX(tblProjects[Project],MATCH(tblSavings[[#This Row],[Project ID]],tblProjects[ID],0)),""))</f>
        <v>Regrind ratio up to 15% on PP housings</v>
      </c>
      <c r="G49" s="38" t="str">
        <f>IF(tblSavings[[#This Row],[Month]]="","",IFERROR(INDEX(tblProjects[Category],MATCH(tblSavings[[#This Row],[Project ID]],tblProjects[ID],0)),""))</f>
        <v>Material and procurement</v>
      </c>
      <c r="H49" s="38" t="str">
        <f>IF(tblSavings[[#This Row],[Month]]="","",IFERROR(INDEX(tblProjects[Type],MATCH(tblSavings[[#This Row],[Project ID]],tblProjects[ID],0)),""))</f>
        <v>Hard saving</v>
      </c>
      <c r="I49"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49" s="28" t="s">
        <v>137</v>
      </c>
    </row>
    <row r="50" spans="2:10">
      <c r="B50" s="29">
        <v>46204</v>
      </c>
      <c r="C50" s="28" t="s">
        <v>134</v>
      </c>
      <c r="D50" s="31">
        <v>4760</v>
      </c>
      <c r="E50" s="28" t="s">
        <v>175</v>
      </c>
      <c r="F50" s="38" t="str">
        <f>IF(tblSavings[[#This Row],[Month]]="","",IFERROR(INDEX(tblProjects[Project],MATCH(tblSavings[[#This Row],[Project ID]],tblProjects[ID],0)),""))</f>
        <v>ABS resin price renegotiation</v>
      </c>
      <c r="G50" s="38" t="str">
        <f>IF(tblSavings[[#This Row],[Month]]="","",IFERROR(INDEX(tblProjects[Category],MATCH(tblSavings[[#This Row],[Project ID]],tblProjects[ID],0)),""))</f>
        <v>Material and procurement</v>
      </c>
      <c r="H50" s="38" t="str">
        <f>IF(tblSavings[[#This Row],[Month]]="","",IFERROR(INDEX(tblProjects[Type],MATCH(tblSavings[[#This Row],[Project ID]],tblProjects[ID],0)),""))</f>
        <v>Hard saving</v>
      </c>
      <c r="I50"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50" s="28" t="s">
        <v>137</v>
      </c>
    </row>
    <row r="51" spans="2:10">
      <c r="B51" s="29">
        <v>46204</v>
      </c>
      <c r="C51" s="28" t="s">
        <v>138</v>
      </c>
      <c r="D51" s="31">
        <v>3700</v>
      </c>
      <c r="E51" s="28" t="s">
        <v>175</v>
      </c>
      <c r="F51" s="38" t="str">
        <f>IF(tblSavings[[#This Row],[Month]]="","",IFERROR(INDEX(tblProjects[Project],MATCH(tblSavings[[#This Row],[Project ID]],tblProjects[ID],0)),""))</f>
        <v>Sprue picker robots, presses 7 to 9</v>
      </c>
      <c r="G51" s="38" t="str">
        <f>IF(tblSavings[[#This Row],[Month]]="","",IFERROR(INDEX(tblProjects[Category],MATCH(tblSavings[[#This Row],[Project ID]],tblProjects[ID],0)),""))</f>
        <v>Labour and productivity</v>
      </c>
      <c r="H51" s="38" t="str">
        <f>IF(tblSavings[[#This Row],[Month]]="","",IFERROR(INDEX(tblProjects[Type],MATCH(tblSavings[[#This Row],[Project ID]],tblProjects[ID],0)),""))</f>
        <v>Hard saving</v>
      </c>
      <c r="I51"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51" s="28" t="s">
        <v>137</v>
      </c>
    </row>
    <row r="52" spans="2:10">
      <c r="B52" s="29">
        <v>46204</v>
      </c>
      <c r="C52" s="28" t="s">
        <v>141</v>
      </c>
      <c r="D52" s="31">
        <v>1220</v>
      </c>
      <c r="E52" s="28" t="s">
        <v>175</v>
      </c>
      <c r="F52" s="38" t="str">
        <f>IF(tblSavings[[#This Row],[Month]]="","",IFERROR(INDEX(tblProjects[Project],MATCH(tblSavings[[#This Row],[Project ID]],tblProjects[ID],0)),""))</f>
        <v>Compressed air leak programme</v>
      </c>
      <c r="G52" s="38" t="str">
        <f>IF(tblSavings[[#This Row],[Month]]="","",IFERROR(INDEX(tblProjects[Category],MATCH(tblSavings[[#This Row],[Project ID]],tblProjects[ID],0)),""))</f>
        <v>Energy</v>
      </c>
      <c r="H52" s="38" t="str">
        <f>IF(tblSavings[[#This Row],[Month]]="","",IFERROR(INDEX(tblProjects[Type],MATCH(tblSavings[[#This Row],[Project ID]],tblProjects[ID],0)),""))</f>
        <v>Hard saving</v>
      </c>
      <c r="I52"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52" s="28" t="s">
        <v>137</v>
      </c>
    </row>
    <row r="53" spans="2:10">
      <c r="B53" s="29">
        <v>46204</v>
      </c>
      <c r="C53" s="28" t="s">
        <v>144</v>
      </c>
      <c r="D53" s="31">
        <v>1520</v>
      </c>
      <c r="E53" s="28" t="s">
        <v>175</v>
      </c>
      <c r="F53" s="38" t="str">
        <f>IF(tblSavings[[#This Row],[Month]]="","",IFERROR(INDEX(tblProjects[Project],MATCH(tblSavings[[#This Row],[Project ID]],tblProjects[ID],0)),""))</f>
        <v>LED high-bay lighting</v>
      </c>
      <c r="G53" s="38" t="str">
        <f>IF(tblSavings[[#This Row],[Month]]="","",IFERROR(INDEX(tblProjects[Category],MATCH(tblSavings[[#This Row],[Project ID]],tblProjects[ID],0)),""))</f>
        <v>Energy</v>
      </c>
      <c r="H53" s="38" t="str">
        <f>IF(tblSavings[[#This Row],[Month]]="","",IFERROR(INDEX(tblProjects[Type],MATCH(tblSavings[[#This Row],[Project ID]],tblProjects[ID],0)),""))</f>
        <v>Hard saving</v>
      </c>
      <c r="I53"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53" s="28" t="s">
        <v>137</v>
      </c>
    </row>
    <row r="54" spans="2:10">
      <c r="B54" s="29">
        <v>46204</v>
      </c>
      <c r="C54" s="28" t="s">
        <v>146</v>
      </c>
      <c r="D54" s="31">
        <v>1710</v>
      </c>
      <c r="E54" s="28" t="s">
        <v>175</v>
      </c>
      <c r="F54" s="38" t="str">
        <f>IF(tblSavings[[#This Row],[Month]]="","",IFERROR(INDEX(tblProjects[Project],MATCH(tblSavings[[#This Row],[Project ID]],tblProjects[ID],0)),""))</f>
        <v>Door handle scrap reduction (DOE)</v>
      </c>
      <c r="G54" s="38" t="str">
        <f>IF(tblSavings[[#This Row],[Month]]="","",IFERROR(INDEX(tblProjects[Category],MATCH(tblSavings[[#This Row],[Project ID]],tblProjects[ID],0)),""))</f>
        <v>Scrap and quality</v>
      </c>
      <c r="H54" s="38" t="str">
        <f>IF(tblSavings[[#This Row],[Month]]="","",IFERROR(INDEX(tblProjects[Type],MATCH(tblSavings[[#This Row],[Project ID]],tblProjects[ID],0)),""))</f>
        <v>Hard saving</v>
      </c>
      <c r="I54"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54" s="28" t="s">
        <v>137</v>
      </c>
    </row>
    <row r="55" spans="2:10">
      <c r="B55" s="29">
        <v>46204</v>
      </c>
      <c r="C55" s="28" t="s">
        <v>150</v>
      </c>
      <c r="D55" s="31">
        <v>890</v>
      </c>
      <c r="E55" s="28" t="s">
        <v>175</v>
      </c>
      <c r="F55" s="38" t="str">
        <f>IF(tblSavings[[#This Row],[Month]]="","",IFERROR(INDEX(tblProjects[Project],MATCH(tblSavings[[#This Row],[Project ID]],tblProjects[ID],0)),""))</f>
        <v>Hot runner conversion, clip mould</v>
      </c>
      <c r="G55" s="38" t="str">
        <f>IF(tblSavings[[#This Row],[Month]]="","",IFERROR(INDEX(tblProjects[Category],MATCH(tblSavings[[#This Row],[Project ID]],tblProjects[ID],0)),""))</f>
        <v>Scrap and quality</v>
      </c>
      <c r="H55" s="38" t="str">
        <f>IF(tblSavings[[#This Row],[Month]]="","",IFERROR(INDEX(tblProjects[Type],MATCH(tblSavings[[#This Row],[Project ID]],tblProjects[ID],0)),""))</f>
        <v>Hard saving</v>
      </c>
      <c r="I55"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55" s="28" t="s">
        <v>137</v>
      </c>
    </row>
    <row r="56" spans="2:10">
      <c r="B56" s="29">
        <v>46204</v>
      </c>
      <c r="C56" s="28" t="s">
        <v>152</v>
      </c>
      <c r="D56" s="31">
        <v>1670</v>
      </c>
      <c r="E56" s="28" t="s">
        <v>175</v>
      </c>
      <c r="F56" s="38" t="str">
        <f>IF(tblSavings[[#This Row],[Month]]="","",IFERROR(INDEX(tblProjects[Project],MATCH(tblSavings[[#This Row],[Project ID]],tblProjects[ID],0)),""))</f>
        <v>Returnable packaging, key customer</v>
      </c>
      <c r="G56" s="38" t="str">
        <f>IF(tblSavings[[#This Row],[Month]]="","",IFERROR(INDEX(tblProjects[Category],MATCH(tblSavings[[#This Row],[Project ID]],tblProjects[ID],0)),""))</f>
        <v>Logistics and packaging</v>
      </c>
      <c r="H56" s="38" t="str">
        <f>IF(tblSavings[[#This Row],[Month]]="","",IFERROR(INDEX(tblProjects[Type],MATCH(tblSavings[[#This Row],[Project ID]],tblProjects[ID],0)),""))</f>
        <v>Hard saving</v>
      </c>
      <c r="I56"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56" s="28" t="s">
        <v>137</v>
      </c>
    </row>
    <row r="57" spans="2:10">
      <c r="B57" s="29">
        <v>46204</v>
      </c>
      <c r="C57" s="28" t="s">
        <v>154</v>
      </c>
      <c r="D57" s="31">
        <v>1900</v>
      </c>
      <c r="E57" s="28" t="s">
        <v>175</v>
      </c>
      <c r="F57" s="38" t="str">
        <f>IF(tblSavings[[#This Row],[Month]]="","",IFERROR(INDEX(tblProjects[Project],MATCH(tblSavings[[#This Row],[Project ID]],tblProjects[ID],0)),""))</f>
        <v>Chiller preventive maintenance</v>
      </c>
      <c r="G57" s="38" t="str">
        <f>IF(tblSavings[[#This Row],[Month]]="","",IFERROR(INDEX(tblProjects[Category],MATCH(tblSavings[[#This Row],[Project ID]],tblProjects[ID],0)),""))</f>
        <v>Maintenance</v>
      </c>
      <c r="H57" s="38" t="str">
        <f>IF(tblSavings[[#This Row],[Month]]="","",IFERROR(INDEX(tblProjects[Type],MATCH(tblSavings[[#This Row],[Project ID]],tblProjects[ID],0)),""))</f>
        <v>Cost avoidance</v>
      </c>
      <c r="I57"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57" s="28" t="s">
        <v>137</v>
      </c>
    </row>
    <row r="58" spans="2:10">
      <c r="B58" s="29">
        <v>46204</v>
      </c>
      <c r="C58" s="28" t="s">
        <v>158</v>
      </c>
      <c r="D58" s="31">
        <v>1700</v>
      </c>
      <c r="E58" s="28" t="s">
        <v>175</v>
      </c>
      <c r="F58" s="38" t="str">
        <f>IF(tblSavings[[#This Row],[Month]]="","",IFERROR(INDEX(tblProjects[Project],MATCH(tblSavings[[#This Row],[Project ID]],tblProjects[ID],0)),""))</f>
        <v>SMED on the 300 t presses</v>
      </c>
      <c r="G58" s="38" t="str">
        <f>IF(tblSavings[[#This Row],[Month]]="","",IFERROR(INDEX(tblProjects[Category],MATCH(tblSavings[[#This Row],[Project ID]],tblProjects[ID],0)),""))</f>
        <v>Labour and productivity</v>
      </c>
      <c r="H58" s="38" t="str">
        <f>IF(tblSavings[[#This Row],[Month]]="","",IFERROR(INDEX(tblProjects[Type],MATCH(tblSavings[[#This Row],[Project ID]],tblProjects[ID],0)),""))</f>
        <v>Hard saving</v>
      </c>
      <c r="I58"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58" s="28" t="s">
        <v>137</v>
      </c>
    </row>
    <row r="59" spans="2:10">
      <c r="B59" s="29">
        <v>46204</v>
      </c>
      <c r="C59" s="28" t="s">
        <v>167</v>
      </c>
      <c r="D59" s="31">
        <v>330</v>
      </c>
      <c r="E59" s="28" t="s">
        <v>175</v>
      </c>
      <c r="F59" s="38" t="str">
        <f>IF(tblSavings[[#This Row],[Month]]="","",IFERROR(INDEX(tblProjects[Project],MATCH(tblSavings[[#This Row],[Project ID]],tblProjects[ID],0)),""))</f>
        <v>Carton price increase avoided</v>
      </c>
      <c r="G59" s="38" t="str">
        <f>IF(tblSavings[[#This Row],[Month]]="","",IFERROR(INDEX(tblProjects[Category],MATCH(tblSavings[[#This Row],[Project ID]],tblProjects[ID],0)),""))</f>
        <v>Logistics and packaging</v>
      </c>
      <c r="H59" s="38" t="str">
        <f>IF(tblSavings[[#This Row],[Month]]="","",IFERROR(INDEX(tblProjects[Type],MATCH(tblSavings[[#This Row],[Project ID]],tblProjects[ID],0)),""))</f>
        <v>Cost avoidance</v>
      </c>
      <c r="I59"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59" s="28" t="s">
        <v>137</v>
      </c>
    </row>
    <row r="60" spans="2:10">
      <c r="B60" s="29">
        <v>46235</v>
      </c>
      <c r="C60" s="28" t="s">
        <v>129</v>
      </c>
      <c r="D60" s="31">
        <v>3640</v>
      </c>
      <c r="E60" s="28" t="s">
        <v>175</v>
      </c>
      <c r="F60" s="38" t="str">
        <f>IF(tblSavings[[#This Row],[Month]]="","",IFERROR(INDEX(tblProjects[Project],MATCH(tblSavings[[#This Row],[Project ID]],tblProjects[ID],0)),""))</f>
        <v>Regrind ratio up to 15% on PP housings</v>
      </c>
      <c r="G60" s="38" t="str">
        <f>IF(tblSavings[[#This Row],[Month]]="","",IFERROR(INDEX(tblProjects[Category],MATCH(tblSavings[[#This Row],[Project ID]],tblProjects[ID],0)),""))</f>
        <v>Material and procurement</v>
      </c>
      <c r="H60" s="38" t="str">
        <f>IF(tblSavings[[#This Row],[Month]]="","",IFERROR(INDEX(tblProjects[Type],MATCH(tblSavings[[#This Row],[Project ID]],tblProjects[ID],0)),""))</f>
        <v>Hard saving</v>
      </c>
      <c r="I60"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60" s="28" t="s">
        <v>137</v>
      </c>
    </row>
    <row r="61" spans="2:10">
      <c r="B61" s="29">
        <v>46235</v>
      </c>
      <c r="C61" s="28" t="s">
        <v>134</v>
      </c>
      <c r="D61" s="31">
        <v>5280</v>
      </c>
      <c r="E61" s="28" t="s">
        <v>175</v>
      </c>
      <c r="F61" s="38" t="str">
        <f>IF(tblSavings[[#This Row],[Month]]="","",IFERROR(INDEX(tblProjects[Project],MATCH(tblSavings[[#This Row],[Project ID]],tblProjects[ID],0)),""))</f>
        <v>ABS resin price renegotiation</v>
      </c>
      <c r="G61" s="38" t="str">
        <f>IF(tblSavings[[#This Row],[Month]]="","",IFERROR(INDEX(tblProjects[Category],MATCH(tblSavings[[#This Row],[Project ID]],tblProjects[ID],0)),""))</f>
        <v>Material and procurement</v>
      </c>
      <c r="H61" s="38" t="str">
        <f>IF(tblSavings[[#This Row],[Month]]="","",IFERROR(INDEX(tblProjects[Type],MATCH(tblSavings[[#This Row],[Project ID]],tblProjects[ID],0)),""))</f>
        <v>Hard saving</v>
      </c>
      <c r="I61"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61" s="28" t="s">
        <v>137</v>
      </c>
    </row>
    <row r="62" spans="2:10">
      <c r="B62" s="29">
        <v>46235</v>
      </c>
      <c r="C62" s="28" t="s">
        <v>138</v>
      </c>
      <c r="D62" s="31">
        <v>3670</v>
      </c>
      <c r="E62" s="28" t="s">
        <v>175</v>
      </c>
      <c r="F62" s="38" t="str">
        <f>IF(tblSavings[[#This Row],[Month]]="","",IFERROR(INDEX(tblProjects[Project],MATCH(tblSavings[[#This Row],[Project ID]],tblProjects[ID],0)),""))</f>
        <v>Sprue picker robots, presses 7 to 9</v>
      </c>
      <c r="G62" s="38" t="str">
        <f>IF(tblSavings[[#This Row],[Month]]="","",IFERROR(INDEX(tblProjects[Category],MATCH(tblSavings[[#This Row],[Project ID]],tblProjects[ID],0)),""))</f>
        <v>Labour and productivity</v>
      </c>
      <c r="H62" s="38" t="str">
        <f>IF(tblSavings[[#This Row],[Month]]="","",IFERROR(INDEX(tblProjects[Type],MATCH(tblSavings[[#This Row],[Project ID]],tblProjects[ID],0)),""))</f>
        <v>Hard saving</v>
      </c>
      <c r="I62"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62" s="28" t="s">
        <v>137</v>
      </c>
    </row>
    <row r="63" spans="2:10">
      <c r="B63" s="29">
        <v>46235</v>
      </c>
      <c r="C63" s="28" t="s">
        <v>141</v>
      </c>
      <c r="D63" s="31">
        <v>1350</v>
      </c>
      <c r="E63" s="28" t="s">
        <v>175</v>
      </c>
      <c r="F63" s="38" t="str">
        <f>IF(tblSavings[[#This Row],[Month]]="","",IFERROR(INDEX(tblProjects[Project],MATCH(tblSavings[[#This Row],[Project ID]],tblProjects[ID],0)),""))</f>
        <v>Compressed air leak programme</v>
      </c>
      <c r="G63" s="38" t="str">
        <f>IF(tblSavings[[#This Row],[Month]]="","",IFERROR(INDEX(tblProjects[Category],MATCH(tblSavings[[#This Row],[Project ID]],tblProjects[ID],0)),""))</f>
        <v>Energy</v>
      </c>
      <c r="H63" s="38" t="str">
        <f>IF(tblSavings[[#This Row],[Month]]="","",IFERROR(INDEX(tblProjects[Type],MATCH(tblSavings[[#This Row],[Project ID]],tblProjects[ID],0)),""))</f>
        <v>Hard saving</v>
      </c>
      <c r="I63"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63" s="28" t="s">
        <v>137</v>
      </c>
    </row>
    <row r="64" spans="2:10">
      <c r="B64" s="29">
        <v>46235</v>
      </c>
      <c r="C64" s="28" t="s">
        <v>144</v>
      </c>
      <c r="D64" s="31">
        <v>1450</v>
      </c>
      <c r="E64" s="28" t="s">
        <v>175</v>
      </c>
      <c r="F64" s="38" t="str">
        <f>IF(tblSavings[[#This Row],[Month]]="","",IFERROR(INDEX(tblProjects[Project],MATCH(tblSavings[[#This Row],[Project ID]],tblProjects[ID],0)),""))</f>
        <v>LED high-bay lighting</v>
      </c>
      <c r="G64" s="38" t="str">
        <f>IF(tblSavings[[#This Row],[Month]]="","",IFERROR(INDEX(tblProjects[Category],MATCH(tblSavings[[#This Row],[Project ID]],tblProjects[ID],0)),""))</f>
        <v>Energy</v>
      </c>
      <c r="H64" s="38" t="str">
        <f>IF(tblSavings[[#This Row],[Month]]="","",IFERROR(INDEX(tblProjects[Type],MATCH(tblSavings[[#This Row],[Project ID]],tblProjects[ID],0)),""))</f>
        <v>Hard saving</v>
      </c>
      <c r="I64"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64" s="28" t="s">
        <v>137</v>
      </c>
    </row>
    <row r="65" spans="2:10">
      <c r="B65" s="29">
        <v>46235</v>
      </c>
      <c r="C65" s="28" t="s">
        <v>146</v>
      </c>
      <c r="D65" s="31">
        <v>1600</v>
      </c>
      <c r="E65" s="28" t="s">
        <v>175</v>
      </c>
      <c r="F65" s="38" t="str">
        <f>IF(tblSavings[[#This Row],[Month]]="","",IFERROR(INDEX(tblProjects[Project],MATCH(tblSavings[[#This Row],[Project ID]],tblProjects[ID],0)),""))</f>
        <v>Door handle scrap reduction (DOE)</v>
      </c>
      <c r="G65" s="38" t="str">
        <f>IF(tblSavings[[#This Row],[Month]]="","",IFERROR(INDEX(tblProjects[Category],MATCH(tblSavings[[#This Row],[Project ID]],tblProjects[ID],0)),""))</f>
        <v>Scrap and quality</v>
      </c>
      <c r="H65" s="38" t="str">
        <f>IF(tblSavings[[#This Row],[Month]]="","",IFERROR(INDEX(tblProjects[Type],MATCH(tblSavings[[#This Row],[Project ID]],tblProjects[ID],0)),""))</f>
        <v>Hard saving</v>
      </c>
      <c r="I65"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65" s="28" t="s">
        <v>137</v>
      </c>
    </row>
    <row r="66" spans="2:10">
      <c r="B66" s="29">
        <v>46235</v>
      </c>
      <c r="C66" s="28" t="s">
        <v>150</v>
      </c>
      <c r="D66" s="31">
        <v>1220</v>
      </c>
      <c r="E66" s="28" t="s">
        <v>175</v>
      </c>
      <c r="F66" s="38" t="str">
        <f>IF(tblSavings[[#This Row],[Month]]="","",IFERROR(INDEX(tblProjects[Project],MATCH(tblSavings[[#This Row],[Project ID]],tblProjects[ID],0)),""))</f>
        <v>Hot runner conversion, clip mould</v>
      </c>
      <c r="G66" s="38" t="str">
        <f>IF(tblSavings[[#This Row],[Month]]="","",IFERROR(INDEX(tblProjects[Category],MATCH(tblSavings[[#This Row],[Project ID]],tblProjects[ID],0)),""))</f>
        <v>Scrap and quality</v>
      </c>
      <c r="H66" s="38" t="str">
        <f>IF(tblSavings[[#This Row],[Month]]="","",IFERROR(INDEX(tblProjects[Type],MATCH(tblSavings[[#This Row],[Project ID]],tblProjects[ID],0)),""))</f>
        <v>Hard saving</v>
      </c>
      <c r="I66"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66" s="28" t="s">
        <v>137</v>
      </c>
    </row>
    <row r="67" spans="2:10">
      <c r="B67" s="29">
        <v>46235</v>
      </c>
      <c r="C67" s="28" t="s">
        <v>152</v>
      </c>
      <c r="D67" s="31">
        <v>1860</v>
      </c>
      <c r="E67" s="28" t="s">
        <v>175</v>
      </c>
      <c r="F67" s="38" t="str">
        <f>IF(tblSavings[[#This Row],[Month]]="","",IFERROR(INDEX(tblProjects[Project],MATCH(tblSavings[[#This Row],[Project ID]],tblProjects[ID],0)),""))</f>
        <v>Returnable packaging, key customer</v>
      </c>
      <c r="G67" s="38" t="str">
        <f>IF(tblSavings[[#This Row],[Month]]="","",IFERROR(INDEX(tblProjects[Category],MATCH(tblSavings[[#This Row],[Project ID]],tblProjects[ID],0)),""))</f>
        <v>Logistics and packaging</v>
      </c>
      <c r="H67" s="38" t="str">
        <f>IF(tblSavings[[#This Row],[Month]]="","",IFERROR(INDEX(tblProjects[Type],MATCH(tblSavings[[#This Row],[Project ID]],tblProjects[ID],0)),""))</f>
        <v>Hard saving</v>
      </c>
      <c r="I67"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67" s="28" t="s">
        <v>137</v>
      </c>
    </row>
    <row r="68" spans="2:10">
      <c r="B68" s="29">
        <v>46235</v>
      </c>
      <c r="C68" s="28" t="s">
        <v>154</v>
      </c>
      <c r="D68" s="31">
        <v>1900</v>
      </c>
      <c r="E68" s="28" t="s">
        <v>175</v>
      </c>
      <c r="F68" s="38" t="str">
        <f>IF(tblSavings[[#This Row],[Month]]="","",IFERROR(INDEX(tblProjects[Project],MATCH(tblSavings[[#This Row],[Project ID]],tblProjects[ID],0)),""))</f>
        <v>Chiller preventive maintenance</v>
      </c>
      <c r="G68" s="38" t="str">
        <f>IF(tblSavings[[#This Row],[Month]]="","",IFERROR(INDEX(tblProjects[Category],MATCH(tblSavings[[#This Row],[Project ID]],tblProjects[ID],0)),""))</f>
        <v>Maintenance</v>
      </c>
      <c r="H68" s="38" t="str">
        <f>IF(tblSavings[[#This Row],[Month]]="","",IFERROR(INDEX(tblProjects[Type],MATCH(tblSavings[[#This Row],[Project ID]],tblProjects[ID],0)),""))</f>
        <v>Cost avoidance</v>
      </c>
      <c r="I68"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68" s="28" t="s">
        <v>137</v>
      </c>
    </row>
    <row r="69" spans="2:10">
      <c r="B69" s="29">
        <v>46235</v>
      </c>
      <c r="C69" s="28" t="s">
        <v>158</v>
      </c>
      <c r="D69" s="31">
        <v>2280</v>
      </c>
      <c r="E69" s="28" t="s">
        <v>175</v>
      </c>
      <c r="F69" s="38" t="str">
        <f>IF(tblSavings[[#This Row],[Month]]="","",IFERROR(INDEX(tblProjects[Project],MATCH(tblSavings[[#This Row],[Project ID]],tblProjects[ID],0)),""))</f>
        <v>SMED on the 300 t presses</v>
      </c>
      <c r="G69" s="38" t="str">
        <f>IF(tblSavings[[#This Row],[Month]]="","",IFERROR(INDEX(tblProjects[Category],MATCH(tblSavings[[#This Row],[Project ID]],tblProjects[ID],0)),""))</f>
        <v>Labour and productivity</v>
      </c>
      <c r="H69" s="38" t="str">
        <f>IF(tblSavings[[#This Row],[Month]]="","",IFERROR(INDEX(tblProjects[Type],MATCH(tblSavings[[#This Row],[Project ID]],tblProjects[ID],0)),""))</f>
        <v>Hard saving</v>
      </c>
      <c r="I69"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69" s="28" t="s">
        <v>137</v>
      </c>
    </row>
    <row r="70" spans="2:10">
      <c r="B70" s="29">
        <v>46235</v>
      </c>
      <c r="C70" s="28" t="s">
        <v>167</v>
      </c>
      <c r="D70" s="31">
        <v>320</v>
      </c>
      <c r="E70" s="28" t="s">
        <v>175</v>
      </c>
      <c r="F70" s="38" t="str">
        <f>IF(tblSavings[[#This Row],[Month]]="","",IFERROR(INDEX(tblProjects[Project],MATCH(tblSavings[[#This Row],[Project ID]],tblProjects[ID],0)),""))</f>
        <v>Carton price increase avoided</v>
      </c>
      <c r="G70" s="38" t="str">
        <f>IF(tblSavings[[#This Row],[Month]]="","",IFERROR(INDEX(tblProjects[Category],MATCH(tblSavings[[#This Row],[Project ID]],tblProjects[ID],0)),""))</f>
        <v>Logistics and packaging</v>
      </c>
      <c r="H70" s="38" t="str">
        <f>IF(tblSavings[[#This Row],[Month]]="","",IFERROR(INDEX(tblProjects[Type],MATCH(tblSavings[[#This Row],[Project ID]],tblProjects[ID],0)),""))</f>
        <v>Cost avoidance</v>
      </c>
      <c r="I70"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0" s="28" t="s">
        <v>137</v>
      </c>
    </row>
    <row r="71" spans="2:10">
      <c r="B71" s="29">
        <v>46266</v>
      </c>
      <c r="C71" s="28" t="s">
        <v>129</v>
      </c>
      <c r="D71" s="31">
        <v>3780</v>
      </c>
      <c r="E71" s="28" t="s">
        <v>176</v>
      </c>
      <c r="F71" s="38" t="str">
        <f>IF(tblSavings[[#This Row],[Month]]="","",IFERROR(INDEX(tblProjects[Project],MATCH(tblSavings[[#This Row],[Project ID]],tblProjects[ID],0)),""))</f>
        <v>Regrind ratio up to 15% on PP housings</v>
      </c>
      <c r="G71" s="38" t="str">
        <f>IF(tblSavings[[#This Row],[Month]]="","",IFERROR(INDEX(tblProjects[Category],MATCH(tblSavings[[#This Row],[Project ID]],tblProjects[ID],0)),""))</f>
        <v>Material and procurement</v>
      </c>
      <c r="H71" s="38" t="str">
        <f>IF(tblSavings[[#This Row],[Month]]="","",IFERROR(INDEX(tblProjects[Type],MATCH(tblSavings[[#This Row],[Project ID]],tblProjects[ID],0)),""))</f>
        <v>Hard saving</v>
      </c>
      <c r="I71"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1" s="28" t="s">
        <v>137</v>
      </c>
    </row>
    <row r="72" spans="2:10">
      <c r="B72" s="29">
        <v>46266</v>
      </c>
      <c r="C72" s="28" t="s">
        <v>134</v>
      </c>
      <c r="D72" s="31">
        <v>5080</v>
      </c>
      <c r="E72" s="28" t="s">
        <v>176</v>
      </c>
      <c r="F72" s="38" t="str">
        <f>IF(tblSavings[[#This Row],[Month]]="","",IFERROR(INDEX(tblProjects[Project],MATCH(tblSavings[[#This Row],[Project ID]],tblProjects[ID],0)),""))</f>
        <v>ABS resin price renegotiation</v>
      </c>
      <c r="G72" s="38" t="str">
        <f>IF(tblSavings[[#This Row],[Month]]="","",IFERROR(INDEX(tblProjects[Category],MATCH(tblSavings[[#This Row],[Project ID]],tblProjects[ID],0)),""))</f>
        <v>Material and procurement</v>
      </c>
      <c r="H72" s="38" t="str">
        <f>IF(tblSavings[[#This Row],[Month]]="","",IFERROR(INDEX(tblProjects[Type],MATCH(tblSavings[[#This Row],[Project ID]],tblProjects[ID],0)),""))</f>
        <v>Hard saving</v>
      </c>
      <c r="I72"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2" s="28" t="s">
        <v>137</v>
      </c>
    </row>
    <row r="73" spans="2:10">
      <c r="B73" s="29">
        <v>46266</v>
      </c>
      <c r="C73" s="28" t="s">
        <v>138</v>
      </c>
      <c r="D73" s="31">
        <v>3690</v>
      </c>
      <c r="E73" s="28" t="s">
        <v>176</v>
      </c>
      <c r="F73" s="38" t="str">
        <f>IF(tblSavings[[#This Row],[Month]]="","",IFERROR(INDEX(tblProjects[Project],MATCH(tblSavings[[#This Row],[Project ID]],tblProjects[ID],0)),""))</f>
        <v>Sprue picker robots, presses 7 to 9</v>
      </c>
      <c r="G73" s="38" t="str">
        <f>IF(tblSavings[[#This Row],[Month]]="","",IFERROR(INDEX(tblProjects[Category],MATCH(tblSavings[[#This Row],[Project ID]],tblProjects[ID],0)),""))</f>
        <v>Labour and productivity</v>
      </c>
      <c r="H73" s="38" t="str">
        <f>IF(tblSavings[[#This Row],[Month]]="","",IFERROR(INDEX(tblProjects[Type],MATCH(tblSavings[[#This Row],[Project ID]],tblProjects[ID],0)),""))</f>
        <v>Hard saving</v>
      </c>
      <c r="I73"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3" s="28" t="s">
        <v>137</v>
      </c>
    </row>
    <row r="74" spans="2:10">
      <c r="B74" s="29">
        <v>46266</v>
      </c>
      <c r="C74" s="28" t="s">
        <v>141</v>
      </c>
      <c r="D74" s="31">
        <v>1240</v>
      </c>
      <c r="E74" s="28" t="s">
        <v>176</v>
      </c>
      <c r="F74" s="38" t="str">
        <f>IF(tblSavings[[#This Row],[Month]]="","",IFERROR(INDEX(tblProjects[Project],MATCH(tblSavings[[#This Row],[Project ID]],tblProjects[ID],0)),""))</f>
        <v>Compressed air leak programme</v>
      </c>
      <c r="G74" s="38" t="str">
        <f>IF(tblSavings[[#This Row],[Month]]="","",IFERROR(INDEX(tblProjects[Category],MATCH(tblSavings[[#This Row],[Project ID]],tblProjects[ID],0)),""))</f>
        <v>Energy</v>
      </c>
      <c r="H74" s="38" t="str">
        <f>IF(tblSavings[[#This Row],[Month]]="","",IFERROR(INDEX(tblProjects[Type],MATCH(tblSavings[[#This Row],[Project ID]],tblProjects[ID],0)),""))</f>
        <v>Hard saving</v>
      </c>
      <c r="I74"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4" s="28" t="s">
        <v>137</v>
      </c>
    </row>
    <row r="75" spans="2:10">
      <c r="B75" s="29">
        <v>46266</v>
      </c>
      <c r="C75" s="28" t="s">
        <v>144</v>
      </c>
      <c r="D75" s="31">
        <v>1430</v>
      </c>
      <c r="E75" s="28" t="s">
        <v>176</v>
      </c>
      <c r="F75" s="38" t="str">
        <f>IF(tblSavings[[#This Row],[Month]]="","",IFERROR(INDEX(tblProjects[Project],MATCH(tblSavings[[#This Row],[Project ID]],tblProjects[ID],0)),""))</f>
        <v>LED high-bay lighting</v>
      </c>
      <c r="G75" s="38" t="str">
        <f>IF(tblSavings[[#This Row],[Month]]="","",IFERROR(INDEX(tblProjects[Category],MATCH(tblSavings[[#This Row],[Project ID]],tblProjects[ID],0)),""))</f>
        <v>Energy</v>
      </c>
      <c r="H75" s="38" t="str">
        <f>IF(tblSavings[[#This Row],[Month]]="","",IFERROR(INDEX(tblProjects[Type],MATCH(tblSavings[[#This Row],[Project ID]],tblProjects[ID],0)),""))</f>
        <v>Hard saving</v>
      </c>
      <c r="I75"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5" s="28" t="s">
        <v>137</v>
      </c>
    </row>
    <row r="76" spans="2:10">
      <c r="B76" s="29">
        <v>46266</v>
      </c>
      <c r="C76" s="28" t="s">
        <v>146</v>
      </c>
      <c r="D76" s="31">
        <v>1540</v>
      </c>
      <c r="E76" s="28" t="s">
        <v>176</v>
      </c>
      <c r="F76" s="38" t="str">
        <f>IF(tblSavings[[#This Row],[Month]]="","",IFERROR(INDEX(tblProjects[Project],MATCH(tblSavings[[#This Row],[Project ID]],tblProjects[ID],0)),""))</f>
        <v>Door handle scrap reduction (DOE)</v>
      </c>
      <c r="G76" s="38" t="str">
        <f>IF(tblSavings[[#This Row],[Month]]="","",IFERROR(INDEX(tblProjects[Category],MATCH(tblSavings[[#This Row],[Project ID]],tblProjects[ID],0)),""))</f>
        <v>Scrap and quality</v>
      </c>
      <c r="H76" s="38" t="str">
        <f>IF(tblSavings[[#This Row],[Month]]="","",IFERROR(INDEX(tblProjects[Type],MATCH(tblSavings[[#This Row],[Project ID]],tblProjects[ID],0)),""))</f>
        <v>Hard saving</v>
      </c>
      <c r="I76"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6" s="28" t="s">
        <v>137</v>
      </c>
    </row>
    <row r="77" spans="2:10">
      <c r="B77" s="29">
        <v>46266</v>
      </c>
      <c r="C77" s="28" t="s">
        <v>150</v>
      </c>
      <c r="D77" s="31">
        <v>1530</v>
      </c>
      <c r="E77" s="28" t="s">
        <v>176</v>
      </c>
      <c r="F77" s="38" t="str">
        <f>IF(tblSavings[[#This Row],[Month]]="","",IFERROR(INDEX(tblProjects[Project],MATCH(tblSavings[[#This Row],[Project ID]],tblProjects[ID],0)),""))</f>
        <v>Hot runner conversion, clip mould</v>
      </c>
      <c r="G77" s="38" t="str">
        <f>IF(tblSavings[[#This Row],[Month]]="","",IFERROR(INDEX(tblProjects[Category],MATCH(tblSavings[[#This Row],[Project ID]],tblProjects[ID],0)),""))</f>
        <v>Scrap and quality</v>
      </c>
      <c r="H77" s="38" t="str">
        <f>IF(tblSavings[[#This Row],[Month]]="","",IFERROR(INDEX(tblProjects[Type],MATCH(tblSavings[[#This Row],[Project ID]],tblProjects[ID],0)),""))</f>
        <v>Hard saving</v>
      </c>
      <c r="I77"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7" s="28" t="s">
        <v>137</v>
      </c>
    </row>
    <row r="78" spans="2:10">
      <c r="B78" s="29">
        <v>46266</v>
      </c>
      <c r="C78" s="28" t="s">
        <v>152</v>
      </c>
      <c r="D78" s="31">
        <v>1840</v>
      </c>
      <c r="E78" s="28" t="s">
        <v>176</v>
      </c>
      <c r="F78" s="38" t="str">
        <f>IF(tblSavings[[#This Row],[Month]]="","",IFERROR(INDEX(tblProjects[Project],MATCH(tblSavings[[#This Row],[Project ID]],tblProjects[ID],0)),""))</f>
        <v>Returnable packaging, key customer</v>
      </c>
      <c r="G78" s="38" t="str">
        <f>IF(tblSavings[[#This Row],[Month]]="","",IFERROR(INDEX(tblProjects[Category],MATCH(tblSavings[[#This Row],[Project ID]],tblProjects[ID],0)),""))</f>
        <v>Logistics and packaging</v>
      </c>
      <c r="H78" s="38" t="str">
        <f>IF(tblSavings[[#This Row],[Month]]="","",IFERROR(INDEX(tblProjects[Type],MATCH(tblSavings[[#This Row],[Project ID]],tblProjects[ID],0)),""))</f>
        <v>Hard saving</v>
      </c>
      <c r="I78"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8" s="28" t="s">
        <v>137</v>
      </c>
    </row>
    <row r="79" spans="2:10">
      <c r="B79" s="29">
        <v>46266</v>
      </c>
      <c r="C79" s="28" t="s">
        <v>154</v>
      </c>
      <c r="D79" s="31">
        <v>1780</v>
      </c>
      <c r="E79" s="28" t="s">
        <v>176</v>
      </c>
      <c r="F79" s="38" t="str">
        <f>IF(tblSavings[[#This Row],[Month]]="","",IFERROR(INDEX(tblProjects[Project],MATCH(tblSavings[[#This Row],[Project ID]],tblProjects[ID],0)),""))</f>
        <v>Chiller preventive maintenance</v>
      </c>
      <c r="G79" s="38" t="str">
        <f>IF(tblSavings[[#This Row],[Month]]="","",IFERROR(INDEX(tblProjects[Category],MATCH(tblSavings[[#This Row],[Project ID]],tblProjects[ID],0)),""))</f>
        <v>Maintenance</v>
      </c>
      <c r="H79" s="38" t="str">
        <f>IF(tblSavings[[#This Row],[Month]]="","",IFERROR(INDEX(tblProjects[Type],MATCH(tblSavings[[#This Row],[Project ID]],tblProjects[ID],0)),""))</f>
        <v>Cost avoidance</v>
      </c>
      <c r="I79"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79" s="28" t="s">
        <v>137</v>
      </c>
    </row>
    <row r="80" spans="2:10">
      <c r="B80" s="29">
        <v>46266</v>
      </c>
      <c r="C80" s="28" t="s">
        <v>158</v>
      </c>
      <c r="D80" s="31">
        <v>2280</v>
      </c>
      <c r="E80" s="28" t="s">
        <v>176</v>
      </c>
      <c r="F80" s="38" t="str">
        <f>IF(tblSavings[[#This Row],[Month]]="","",IFERROR(INDEX(tblProjects[Project],MATCH(tblSavings[[#This Row],[Project ID]],tblProjects[ID],0)),""))</f>
        <v>SMED on the 300 t presses</v>
      </c>
      <c r="G80" s="38" t="str">
        <f>IF(tblSavings[[#This Row],[Month]]="","",IFERROR(INDEX(tblProjects[Category],MATCH(tblSavings[[#This Row],[Project ID]],tblProjects[ID],0)),""))</f>
        <v>Labour and productivity</v>
      </c>
      <c r="H80" s="38" t="str">
        <f>IF(tblSavings[[#This Row],[Month]]="","",IFERROR(INDEX(tblProjects[Type],MATCH(tblSavings[[#This Row],[Project ID]],tblProjects[ID],0)),""))</f>
        <v>Hard saving</v>
      </c>
      <c r="I80"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80" s="28" t="s">
        <v>137</v>
      </c>
    </row>
    <row r="81" spans="2:10">
      <c r="B81" s="29">
        <v>46266</v>
      </c>
      <c r="C81" s="28" t="s">
        <v>167</v>
      </c>
      <c r="D81" s="31">
        <v>320</v>
      </c>
      <c r="E81" s="28" t="s">
        <v>176</v>
      </c>
      <c r="F81" s="38" t="str">
        <f>IF(tblSavings[[#This Row],[Month]]="","",IFERROR(INDEX(tblProjects[Project],MATCH(tblSavings[[#This Row],[Project ID]],tblProjects[ID],0)),""))</f>
        <v>Carton price increase avoided</v>
      </c>
      <c r="G81" s="38" t="str">
        <f>IF(tblSavings[[#This Row],[Month]]="","",IFERROR(INDEX(tblProjects[Category],MATCH(tblSavings[[#This Row],[Project ID]],tblProjects[ID],0)),""))</f>
        <v>Logistics and packaging</v>
      </c>
      <c r="H81" s="38" t="str">
        <f>IF(tblSavings[[#This Row],[Month]]="","",IFERROR(INDEX(tblProjects[Type],MATCH(tblSavings[[#This Row],[Project ID]],tblProjects[ID],0)),""))</f>
        <v>Cost avoidance</v>
      </c>
      <c r="I81" s="43" t="str">
        <f>IF(tblSavings[[#This Row],[Month]]="","",IF(tblSavings[[#This Row],[Project ID]]="","Missing project id",IF(tblSavings[[#This Row],[Realized savings]]="","Missing realized savings",IF(tblSavings[[#This Row],[Project]]="","ID not on the register",IF(COUNTIFS(tblSavings[Project ID],tblSavings[[#This Row],[Project ID]],tblSavings[Month],"&gt;="&amp;DATE(YEAR(tblSavings[[#This Row],[Month]]),MONTH(tblSavings[[#This Row],[Month]]),1),tblSavings[Month],"&lt;"&amp;EDATE(DATE(YEAR(tblSavings[[#This Row],[Month]]),MONTH(tblSavings[[#This Row],[Month]]),1),1))&gt;1,"Two rows for one month",IF(tblSavings[[#This Row],[Month]]&gt;=EDATE(ReportMonth,1),"After the report month","OK"))))))</f>
        <v>OK</v>
      </c>
      <c r="J81" s="28" t="s">
        <v>137</v>
      </c>
    </row>
  </sheetData>
  <mergeCells count="3">
    <mergeCell ref="A1:J1"/>
    <mergeCell ref="B2:I2"/>
    <mergeCell ref="B4:J4"/>
  </mergeCells>
  <conditionalFormatting sqref="I7:I581">
    <cfRule type="expression" dxfId="3" priority="1">
      <formula>$I7="OK"</formula>
    </cfRule>
    <cfRule type="expression" dxfId="1" priority="2">
      <formula>AND($I7&lt;&gt;"",$I7&lt;&gt;"OK")</formula>
    </cfRule>
  </conditionalFormatting>
  <dataValidations count="5">
    <dataValidation type="date" allowBlank="1" showInputMessage="1" showErrorMessage="1" errorTitle="Check this entry" error="Enter a date between 01 Jan 2000 and 31 Dec 2100." promptTitle="Month" prompt="The month the saving was realized (any day of the month). Enter a date between 01 Jan 2000 and 31 Dec 2100." sqref="B7:B581">
      <formula1>36526</formula1>
      <formula2>73415</formula2>
    </dataValidation>
    <dataValidation type="list" allowBlank="1" showInputMessage="1" showErrorMessage="1" errorTitle="Check this entry" error="Pick from the list (edit the list on Setup: ProjectIDs)." promptTitle="Project ID" prompt="Pick from the list (edit the list on Setup: ProjectIDs)." sqref="C7:C581">
      <formula1>ProjectIDs</formula1>
    </dataValidation>
    <dataValidation type="decimal" allowBlank="1" showInputMessage="1" showErrorMessage="1" errorTitle="Check this entry" error="Enter a number of at least -100,000,000,000." promptTitle="Realized savings" prompt="The saving realized in the month, as validated. Negative if the change cost more that month. Enter a number of at least -100,000,000,000." sqref="D7:D581">
      <formula1>-100000000000.0</formula1>
      <formula2>100000000000.0</formula2>
    </dataValidation>
    <dataValidation type="textLength" allowBlank="1" showInputMessage="1" showErrorMessage="1" errorTitle="Check this entry" error="Text up to 60 characters." promptTitle="Validated by" prompt="Who confirmed the figure (e.g. the plant controller). Text up to 60 characters." sqref="E7:E581">
      <formula1>0</formula1>
      <formula2>60</formula2>
    </dataValidation>
    <dataValidation type="textLength" allowBlank="1" showInputMessage="1" showErrorMessage="1" errorTitle="Check this entry" error="Text up to 255 characters." promptTitle="Notes" prompt="Text up to 255 characters." sqref="J7:J581">
      <formula1>0</formula1>
      <formula2>255</formula2>
    </dataValidation>
  </dataValidations>
  <hyperlinks>
    <hyperlink ref="J2" r:id="rId1" tooltip="Free manufacturing calculators and templates"/>
  </hyperlinks>
  <pageMargins left="0.4" right="0.4" top="0.7" bottom="0.65" header="0.3" footer="0.3"/>
  <pageSetup fitToHeight="0" orientation="landscape"/>
  <headerFooter>
    <oddHeader>&amp;L&amp;8MFG Calcs - Cost Savings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sheetPr>
    <tabColor rgb="FF1BA37A"/>
    <pageSetUpPr fitToPage="1"/>
  </sheetPr>
  <dimension ref="A1:L71"/>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ht="20" customHeight="1">
      <c r="B4" s="44" t="str">
        <f>PlantName</f>
        <v>Brennan Moulded Products (example)</v>
      </c>
      <c r="C4" s="44"/>
      <c r="D4" s="44"/>
      <c r="E4" s="44"/>
      <c r="F4" s="44"/>
      <c r="G4" s="44"/>
      <c r="H4" s="44"/>
      <c r="I4" s="44"/>
      <c r="J4" s="44"/>
      <c r="K4" s="44"/>
      <c r="L4" s="44"/>
    </row>
    <row r="5" spans="1:12">
      <c r="B5" s="27" t="s">
        <v>177</v>
      </c>
      <c r="C5" s="27"/>
      <c r="D5" s="30">
        <f>FYStart</f>
        <v>46023</v>
      </c>
      <c r="F5" s="27" t="s">
        <v>178</v>
      </c>
      <c r="G5" s="27"/>
      <c r="H5" s="30">
        <f>ReportMonth</f>
        <v>46266</v>
      </c>
      <c r="J5" s="27" t="str">
        <f>"Target ("&amp;Currency&amp;")"</f>
        <v>Target (EUR)</v>
      </c>
      <c r="K5" s="27"/>
      <c r="L5" s="39">
        <f>TargetSavings</f>
        <v>260000</v>
      </c>
    </row>
    <row r="7" spans="1:12" ht="18" customHeight="1">
      <c r="B7" s="45" t="str">
        <f>"HARD SAVINGS TO DATE ("&amp;Currency&amp;")"</f>
        <v>HARD SAVINGS TO DATE (EUR)</v>
      </c>
      <c r="C7" s="45"/>
      <c r="D7" s="45" t="s">
        <v>179</v>
      </c>
      <c r="E7" s="45"/>
      <c r="F7" s="45"/>
      <c r="G7" s="45" t="str">
        <f>"YEAR-END FORECAST ("&amp;Currency&amp;")"</f>
        <v>YEAR-END FORECAST (EUR)</v>
      </c>
      <c r="H7" s="45"/>
      <c r="I7" s="45"/>
      <c r="J7" s="45" t="str">
        <f>"STILL TO FIND ("&amp;Currency&amp;")"</f>
        <v>STILL TO FIND (EUR)</v>
      </c>
      <c r="K7" s="45"/>
      <c r="L7" s="45"/>
    </row>
    <row r="8" spans="1:12" ht="21" customHeight="1">
      <c r="B8" s="46">
        <f>SUMIFS(tblProjects[Realized to date],tblProjects[Type],"Hard saving")</f>
        <v>149100</v>
      </c>
      <c r="C8" s="46"/>
      <c r="D8" s="47">
        <f>IF((SUMIFS(tblProjects[Plan to date],tblProjects[Type],"Hard saving"))=0,"",(SUMIFS(tblProjects[Realized to date],tblProjects[Type],"Hard saving"))/(SUMIFS(tblProjects[Plan to date],tblProjects[Type],"Hard saving")))</f>
        <v>0.875899544720223</v>
      </c>
      <c r="E8" s="47"/>
      <c r="F8" s="47"/>
      <c r="G8" s="46">
        <f>SUMIFS(tblProjects[Forecast for the year],tblProjects[Type],"Hard saving")</f>
        <v>220758.333333333</v>
      </c>
      <c r="H8" s="46"/>
      <c r="I8" s="46"/>
      <c r="J8" s="46">
        <f>MAX(0,TargetSavings-SUMIFS(tblProjects[Forecast for the year],tblProjects[Type],"Hard saving"))</f>
        <v>39241.6666666667</v>
      </c>
      <c r="K8" s="46"/>
      <c r="L8" s="46"/>
    </row>
    <row r="9" spans="1:12" ht="21" customHeight="1">
      <c r="B9" s="46"/>
      <c r="C9" s="46"/>
      <c r="D9" s="47"/>
      <c r="E9" s="47"/>
      <c r="F9" s="47"/>
      <c r="G9" s="46"/>
      <c r="H9" s="46"/>
      <c r="I9" s="46"/>
      <c r="J9" s="46"/>
      <c r="K9" s="46"/>
      <c r="L9" s="46"/>
    </row>
    <row r="10" spans="1:12">
      <c r="B10" s="48">
        <f>SUMIFS(tblProjects[Plan to date],tblProjects[Type],"Hard saving")</f>
        <v>170225</v>
      </c>
      <c r="C10" s="48"/>
      <c r="D10" s="49">
        <f>RealizationTarget</f>
        <v>0.9</v>
      </c>
      <c r="E10" s="49"/>
      <c r="F10" s="49"/>
      <c r="G10" s="50">
        <f>TargetSavings</f>
        <v>260000</v>
      </c>
      <c r="H10" s="50"/>
      <c r="I10" s="50"/>
      <c r="J10" s="51" t="s">
        <v>180</v>
      </c>
      <c r="K10" s="51"/>
      <c r="L10" s="51"/>
    </row>
    <row r="11" spans="1:12" ht="18" customHeight="1">
      <c r="B11" s="52" t="str">
        <f>IF(NOT(ISNUMBER(KpiReal)),"No data",IF(KpiReal&gt;=(SUMIFS(tblProjects[Plan to date],tblProjects[Type],"Hard saving")*RealizationTarget),"On target",IF(KpiReal&gt;=(SUMIFS(tblProjects[Plan to date],tblProjects[Type],"Hard saving")*RealizationTarget*0.9),"Near target","Below target")))</f>
        <v>Near target</v>
      </c>
      <c r="C11" s="52"/>
      <c r="D11" s="52" t="str">
        <f>IF(NOT(ISNUMBER(KpiRate)),"No data",IF(KpiRate&gt;=(RealizationTarget),"On target",IF(KpiRate&gt;=(RealizationTarget)*(1-0.1),"Near target","Below target")))</f>
        <v>Near target</v>
      </c>
      <c r="E11" s="52"/>
      <c r="F11" s="52"/>
      <c r="G11" s="52" t="str">
        <f>IF(NOT(ISNUMBER(KpiForecast)),"No data",IF(KpiForecast&gt;=(TargetSavings),"On target",IF(KpiForecast&gt;=(TargetSavings)*(1-0.05),"Near target","Below target")))</f>
        <v>Below target</v>
      </c>
      <c r="H11" s="52"/>
      <c r="I11" s="52"/>
      <c r="J11" s="52"/>
      <c r="K11" s="52"/>
      <c r="L11" s="52"/>
    </row>
    <row r="31" spans="2:12" ht="18" customHeight="1">
      <c r="B31" s="45" t="str">
        <f>"COST AVOIDANCE, YEAR TO DATE ("&amp;Currency&amp;")"</f>
        <v>COST AVOIDANCE, YEAR TO DATE (EUR)</v>
      </c>
      <c r="C31" s="45"/>
      <c r="D31" s="45" t="str">
        <f>"ANNUAL RUN RATE IN PLAN ("&amp;Currency&amp;")"</f>
        <v>ANNUAL RUN RATE IN PLAN (EUR)</v>
      </c>
      <c r="E31" s="45"/>
      <c r="F31" s="45"/>
      <c r="G31" s="45" t="str">
        <f>"ONE-TIME COST IN PLAN ("&amp;Currency&amp;")"</f>
        <v>ONE-TIME COST IN PLAN (EUR)</v>
      </c>
      <c r="H31" s="45"/>
      <c r="I31" s="45"/>
      <c r="J31" s="45" t="s">
        <v>181</v>
      </c>
      <c r="K31" s="45"/>
      <c r="L31" s="45"/>
    </row>
    <row r="32" spans="2:12" ht="21" customHeight="1">
      <c r="B32" s="46">
        <f>SUMIFS(tblProjects[Realized to date],tblProjects[Type],"Cost avoidance")</f>
        <v>17640</v>
      </c>
      <c r="C32" s="46"/>
      <c r="D32" s="46">
        <f>SUMIFS(tblProjects[Net annual savings],tblProjects[Type],"Hard saving",tblProjects[Counts in plan],"Yes")</f>
        <v>335300</v>
      </c>
      <c r="E32" s="46"/>
      <c r="F32" s="46"/>
      <c r="G32" s="46">
        <f>SUMIFS(tblProjects[One-time cost],tblProjects[Counts in plan],"Yes")</f>
        <v>152500</v>
      </c>
      <c r="H32" s="46"/>
      <c r="I32" s="46"/>
      <c r="J32" s="46">
        <f>COUNTIF(tblProjects[Status],"Below target")</f>
        <v>4</v>
      </c>
      <c r="K32" s="46"/>
      <c r="L32" s="46"/>
    </row>
    <row r="33" spans="2:12" ht="21" customHeight="1">
      <c r="B33" s="46"/>
      <c r="C33" s="46"/>
      <c r="D33" s="46"/>
      <c r="E33" s="46"/>
      <c r="F33" s="46"/>
      <c r="G33" s="46"/>
      <c r="H33" s="46"/>
      <c r="I33" s="46"/>
      <c r="J33" s="46"/>
      <c r="K33" s="46"/>
      <c r="L33" s="46"/>
    </row>
    <row r="34" spans="2:12">
      <c r="B34" s="51" t="s">
        <v>182</v>
      </c>
      <c r="C34" s="51"/>
      <c r="D34" s="51" t="s">
        <v>183</v>
      </c>
      <c r="E34" s="51"/>
      <c r="F34" s="51"/>
      <c r="G34" s="51" t="s">
        <v>184</v>
      </c>
      <c r="H34" s="51"/>
      <c r="I34" s="51"/>
      <c r="J34" s="51" t="s">
        <v>185</v>
      </c>
      <c r="K34" s="51"/>
      <c r="L34" s="51"/>
    </row>
    <row r="35" spans="2:12" ht="18" customHeight="1">
      <c r="B35" s="52"/>
      <c r="C35" s="52"/>
      <c r="D35" s="52"/>
      <c r="E35" s="52"/>
      <c r="F35" s="52"/>
      <c r="G35" s="52"/>
      <c r="H35" s="52"/>
      <c r="I35" s="52"/>
      <c r="J35" s="52"/>
      <c r="K35" s="52"/>
      <c r="L35" s="52"/>
    </row>
    <row r="37" spans="2:12">
      <c r="B37" s="33" t="s">
        <v>186</v>
      </c>
      <c r="C37" s="33"/>
      <c r="D37" s="33"/>
      <c r="E37" s="33"/>
      <c r="F37" s="33"/>
      <c r="G37" s="33"/>
      <c r="H37" s="33"/>
      <c r="I37" s="33"/>
    </row>
    <row r="38" spans="2:12" ht="45.5" customHeight="1">
      <c r="B38" s="53" t="s">
        <v>62</v>
      </c>
      <c r="C38" s="34" t="s">
        <v>187</v>
      </c>
      <c r="D38" s="34" t="s">
        <v>188</v>
      </c>
      <c r="E38" s="34" t="s">
        <v>121</v>
      </c>
      <c r="F38" s="34" t="s">
        <v>122</v>
      </c>
      <c r="G38" s="34" t="s">
        <v>123</v>
      </c>
      <c r="H38" s="34" t="s">
        <v>189</v>
      </c>
      <c r="I38" s="34" t="s">
        <v>190</v>
      </c>
    </row>
    <row r="39" spans="2:12">
      <c r="B39" s="54" t="str">
        <f>IFERROR(INDEX(tblCategories[Category],1)&amp;"","")</f>
        <v>Material and procurement</v>
      </c>
      <c r="C39" s="39">
        <f>IF($B$39="","",COUNTIFS(tblProjects[Category],$B$39))</f>
        <v>3</v>
      </c>
      <c r="D39" s="39">
        <f>IF($B$39="","",SUMIFS(tblProjects[Net annual savings],tblProjects[Category],$B$39,tblProjects[Type],"Hard saving",tblProjects[Counts in plan],"Yes"))</f>
        <v>115000</v>
      </c>
      <c r="E39" s="39">
        <f>IF($B$39="","",SUMIFS(tblProjects[Plan to date],tblProjects[Category],$B$39,tblProjects[Type],"Hard saving"))</f>
        <v>73083.3333333333</v>
      </c>
      <c r="F39" s="39">
        <f>IF($B$39="","",SUMIFS(tblProjects[Realized to date],tblProjects[Category],$B$39,tblProjects[Type],"Hard saving"))</f>
        <v>73240</v>
      </c>
      <c r="G39" s="41">
        <f>IF($B$39="","",IF(($E$39)=0,"",($F$39)/($E$39)))</f>
        <v>1.00214367160775</v>
      </c>
      <c r="H39" s="39">
        <f>IF($B$39="","",SUMIFS(tblProjects[Forecast for the year],tblProjects[Category],$B$39,tblProjects[Type],"Hard saving"))</f>
        <v>89823.3333333333</v>
      </c>
      <c r="I39" s="39">
        <f>IF($B$39="","",SUMIFS(tblProjects[Realized to date],tblProjects[Category],$B$39,tblProjects[Type],"Cost avoidance"))</f>
        <v>0</v>
      </c>
    </row>
    <row r="40" spans="2:12">
      <c r="B40" s="54" t="str">
        <f>IFERROR(INDEX(tblCategories[Category],2)&amp;"","")</f>
        <v>Labour and productivity</v>
      </c>
      <c r="C40" s="39">
        <f>IF($B$40="","",COUNTIFS(tblProjects[Category],$B$40))</f>
        <v>2</v>
      </c>
      <c r="D40" s="39">
        <f>IF($B$40="","",SUMIFS(tblProjects[Net annual savings],tblProjects[Category],$B$40,tblProjects[Type],"Hard saving",tblProjects[Counts in plan],"Yes"))</f>
        <v>85000</v>
      </c>
      <c r="E40" s="39">
        <f>IF($B$40="","",SUMIFS(tblProjects[Plan to date],tblProjects[Category],$B$40,tblProjects[Type],"Hard saving"))</f>
        <v>41583.3333333333</v>
      </c>
      <c r="F40" s="39">
        <f>IF($B$40="","",SUMIFS(tblProjects[Realized to date],tblProjects[Category],$B$40,tblProjects[Type],"Hard saving"))</f>
        <v>31750</v>
      </c>
      <c r="G40" s="41">
        <f>IF($B$40="","",IF(($E$40)=0,"",($F$40)/($E$40)))</f>
        <v>0.763527054108216</v>
      </c>
      <c r="H40" s="39">
        <f>IF($B$40="","",SUMIFS(tblProjects[Forecast for the year],tblProjects[Category],$B$40,tblProjects[Type],"Hard saving"))</f>
        <v>53000</v>
      </c>
      <c r="I40" s="39">
        <f>IF($B$40="","",SUMIFS(tblProjects[Realized to date],tblProjects[Category],$B$40,tblProjects[Type],"Cost avoidance"))</f>
        <v>0</v>
      </c>
    </row>
    <row r="41" spans="2:12">
      <c r="B41" s="54" t="str">
        <f>IFERROR(INDEX(tblCategories[Category],3)&amp;"","")</f>
        <v>Scrap and quality</v>
      </c>
      <c r="C41" s="39">
        <f>IF($B$41="","",COUNTIFS(tblProjects[Category],$B$41))</f>
        <v>2</v>
      </c>
      <c r="D41" s="39">
        <f>IF($B$41="","",SUMIFS(tblProjects[Net annual savings],tblProjects[Category],$B$41,tblProjects[Type],"Hard saving",tblProjects[Counts in plan],"Yes"))</f>
        <v>60500</v>
      </c>
      <c r="E41" s="39">
        <f>IF($B$41="","",SUMIFS(tblProjects[Plan to date],tblProjects[Category],$B$41,tblProjects[Type],"Hard saving"))</f>
        <v>21125</v>
      </c>
      <c r="F41" s="39">
        <f>IF($B$41="","",SUMIFS(tblProjects[Realized to date],tblProjects[Category],$B$41,tblProjects[Type],"Hard saving"))</f>
        <v>11720</v>
      </c>
      <c r="G41" s="41">
        <f>IF($B$41="","",IF(($E$41)=0,"",($F$41)/($E$41)))</f>
        <v>0.554792899408284</v>
      </c>
      <c r="H41" s="39">
        <f>IF($B$41="","",SUMIFS(tblProjects[Forecast for the year],tblProjects[Category],$B$41,tblProjects[Type],"Hard saving"))</f>
        <v>26845</v>
      </c>
      <c r="I41" s="39">
        <f>IF($B$41="","",SUMIFS(tblProjects[Realized to date],tblProjects[Category],$B$41,tblProjects[Type],"Cost avoidance"))</f>
        <v>0</v>
      </c>
    </row>
    <row r="42" spans="2:12">
      <c r="B42" s="54" t="str">
        <f>IFERROR(INDEX(tblCategories[Category],4)&amp;"","")</f>
        <v>Energy</v>
      </c>
      <c r="C42" s="39">
        <f>IF($B$42="","",COUNTIFS(tblProjects[Category],$B$42))</f>
        <v>3</v>
      </c>
      <c r="D42" s="39">
        <f>IF($B$42="","",SUMIFS(tblProjects[Net annual savings],tblProjects[Category],$B$42,tblProjects[Type],"Hard saving",tblProjects[Counts in plan],"Yes"))</f>
        <v>34800</v>
      </c>
      <c r="E42" s="39">
        <f>IF($B$42="","",SUMIFS(tblProjects[Plan to date],tblProjects[Category],$B$42,tblProjects[Type],"Hard saving"))</f>
        <v>21600</v>
      </c>
      <c r="F42" s="39">
        <f>IF($B$42="","",SUMIFS(tblProjects[Realized to date],tblProjects[Category],$B$42,tblProjects[Type],"Hard saving"))</f>
        <v>20290</v>
      </c>
      <c r="G42" s="41">
        <f>IF($B$42="","",IF(($E$42)=0,"",($F$42)/($E$42)))</f>
        <v>0.939351851851852</v>
      </c>
      <c r="H42" s="39">
        <f>IF($B$42="","",SUMIFS(tblProjects[Forecast for the year],tblProjects[Category],$B$42,tblProjects[Type],"Hard saving"))</f>
        <v>28990</v>
      </c>
      <c r="I42" s="39">
        <f>IF($B$42="","",SUMIFS(tblProjects[Realized to date],tblProjects[Category],$B$42,tblProjects[Type],"Cost avoidance"))</f>
        <v>0</v>
      </c>
    </row>
    <row r="43" spans="2:12">
      <c r="B43" s="54" t="str">
        <f>IFERROR(INDEX(tblCategories[Category],5)&amp;"","")</f>
        <v>Maintenance</v>
      </c>
      <c r="C43" s="39">
        <f>IF($B$43="","",COUNTIFS(tblProjects[Category],$B$43))</f>
        <v>1</v>
      </c>
      <c r="D43" s="39">
        <f>IF($B$43="","",SUMIFS(tblProjects[Net annual savings],tblProjects[Category],$B$43,tblProjects[Type],"Hard saving",tblProjects[Counts in plan],"Yes"))</f>
        <v>0</v>
      </c>
      <c r="E43" s="39">
        <f>IF($B$43="","",SUMIFS(tblProjects[Plan to date],tblProjects[Category],$B$43,tblProjects[Type],"Hard saving"))</f>
        <v>0</v>
      </c>
      <c r="F43" s="39">
        <f>IF($B$43="","",SUMIFS(tblProjects[Realized to date],tblProjects[Category],$B$43,tblProjects[Type],"Hard saving"))</f>
        <v>0</v>
      </c>
      <c r="G43" s="41">
        <f>IF($B$43="","",IF(($E$43)=0,"",($F$43)/($E$43)))</f>
        <v/>
      </c>
      <c r="H43" s="39">
        <f>IF($B$43="","",SUMIFS(tblProjects[Forecast for the year],tblProjects[Category],$B$43,tblProjects[Type],"Hard saving"))</f>
        <v>0</v>
      </c>
      <c r="I43" s="39">
        <f>IF($B$43="","",SUMIFS(tblProjects[Realized to date],tblProjects[Category],$B$43,tblProjects[Type],"Cost avoidance"))</f>
        <v>14690</v>
      </c>
    </row>
    <row r="44" spans="2:12">
      <c r="B44" s="54" t="str">
        <f>IFERROR(INDEX(tblCategories[Category],6)&amp;"","")</f>
        <v>Logistics and packaging</v>
      </c>
      <c r="C44" s="39">
        <f>IF($B$44="","",COUNTIFS(tblProjects[Category],$B$44))</f>
        <v>3</v>
      </c>
      <c r="D44" s="39">
        <f>IF($B$44="","",SUMIFS(tblProjects[Net annual savings],tblProjects[Category],$B$44,tblProjects[Type],"Hard saving",tblProjects[Counts in plan],"Yes"))</f>
        <v>40000</v>
      </c>
      <c r="E44" s="39">
        <f>IF($B$44="","",SUMIFS(tblProjects[Plan to date],tblProjects[Category],$B$44,tblProjects[Type],"Hard saving"))</f>
        <v>12833.3333333333</v>
      </c>
      <c r="F44" s="39">
        <f>IF($B$44="","",SUMIFS(tblProjects[Realized to date],tblProjects[Category],$B$44,tblProjects[Type],"Hard saving"))</f>
        <v>12100</v>
      </c>
      <c r="G44" s="41">
        <f>IF($B$44="","",IF(($E$44)=0,"",($F$44)/($E$44)))</f>
        <v>0.942857142857143</v>
      </c>
      <c r="H44" s="39">
        <f>IF($B$44="","",SUMIFS(tblProjects[Forecast for the year],tblProjects[Category],$B$44,tblProjects[Type],"Hard saving"))</f>
        <v>22100</v>
      </c>
      <c r="I44" s="39">
        <f>IF($B$44="","",SUMIFS(tblProjects[Realized to date],tblProjects[Category],$B$44,tblProjects[Type],"Cost avoidance"))</f>
        <v>2950</v>
      </c>
    </row>
    <row r="46" spans="2:12">
      <c r="B46" s="33" t="s">
        <v>191</v>
      </c>
      <c r="C46" s="33"/>
      <c r="D46" s="33"/>
      <c r="E46" s="33"/>
      <c r="F46" s="33"/>
    </row>
    <row r="47" spans="2:12" ht="32" customHeight="1">
      <c r="B47" s="53" t="s">
        <v>64</v>
      </c>
      <c r="C47" s="34" t="s">
        <v>187</v>
      </c>
      <c r="D47" s="34" t="s">
        <v>66</v>
      </c>
      <c r="E47" s="34" t="s">
        <v>116</v>
      </c>
      <c r="F47" s="34" t="s">
        <v>114</v>
      </c>
    </row>
    <row r="48" spans="2:12">
      <c r="B48" s="54" t="str">
        <f>IFERROR(INDEX(tblStages[Stage],1)&amp;"","")</f>
        <v>Idea</v>
      </c>
      <c r="C48" s="39">
        <f>IF($B$48="","",COUNTIFS(tblProjects[Stage],$B$48))</f>
        <v>1</v>
      </c>
      <c r="D48" s="42" t="str">
        <f>IF($B$48="","",IFERROR(INDEX(tblStages[Counts in plan],MATCH($B$48,tblStages[Stage],0)),""))</f>
        <v>No</v>
      </c>
      <c r="E48" s="39">
        <f>IF($B$48="","",SUMIFS(tblProjects[Net annual savings],tblProjects[Stage],$B$48))</f>
        <v>22000</v>
      </c>
      <c r="F48" s="39">
        <f>IF($B$48="","",SUMIFS(tblProjects[One-time cost],tblProjects[Stage],$B$48))</f>
        <v>40000</v>
      </c>
    </row>
    <row r="49" spans="2:8">
      <c r="B49" s="54" t="str">
        <f>IFERROR(INDEX(tblStages[Stage],2)&amp;"","")</f>
        <v>Approved</v>
      </c>
      <c r="C49" s="39">
        <f>IF($B$49="","",COUNTIFS(tblProjects[Stage],$B$49))</f>
        <v>2</v>
      </c>
      <c r="D49" s="42" t="str">
        <f>IF($B$49="","",IFERROR(INDEX(tblStages[Counts in plan],MATCH($B$49,tblStages[Stage],0)),""))</f>
        <v>Yes</v>
      </c>
      <c r="E49" s="39">
        <f>IF($B$49="","",SUMIFS(tblProjects[Net annual savings],tblProjects[Stage],$B$49))</f>
        <v>29000</v>
      </c>
      <c r="F49" s="39">
        <f>IF($B$49="","",SUMIFS(tblProjects[One-time cost],tblProjects[Stage],$B$49))</f>
        <v>2500</v>
      </c>
    </row>
    <row r="50" spans="2:8">
      <c r="B50" s="54" t="str">
        <f>IFERROR(INDEX(tblStages[Stage],3)&amp;"","")</f>
        <v>In progress</v>
      </c>
      <c r="C50" s="39">
        <f>IF($B$50="","",COUNTIFS(tblProjects[Stage],$B$50))</f>
        <v>3</v>
      </c>
      <c r="D50" s="42" t="str">
        <f>IF($B$50="","",IFERROR(INDEX(tblStages[Counts in plan],MATCH($B$50,tblStages[Stage],0)),""))</f>
        <v>Yes</v>
      </c>
      <c r="E50" s="39">
        <f>IF($B$50="","",SUMIFS(tblProjects[Net annual savings],tblProjects[Stage],$B$50))</f>
        <v>92500</v>
      </c>
      <c r="F50" s="39">
        <f>IF($B$50="","",SUMIFS(tblProjects[One-time cost],tblProjects[Stage],$B$50))</f>
        <v>42500</v>
      </c>
    </row>
    <row r="51" spans="2:8">
      <c r="B51" s="54" t="str">
        <f>IFERROR(INDEX(tblStages[Stage],4)&amp;"","")</f>
        <v>Implemented</v>
      </c>
      <c r="C51" s="39">
        <f>IF($B$51="","",COUNTIFS(tblProjects[Stage],$B$51))</f>
        <v>3</v>
      </c>
      <c r="D51" s="42" t="str">
        <f>IF($B$51="","",IFERROR(INDEX(tblStages[Counts in plan],MATCH($B$51,tblStages[Stage],0)),""))</f>
        <v>Yes</v>
      </c>
      <c r="E51" s="39">
        <f>IF($B$51="","",SUMIFS(tblProjects[Net annual savings],tblProjects[Stage],$B$51))</f>
        <v>93000</v>
      </c>
      <c r="F51" s="39">
        <f>IF($B$51="","",SUMIFS(tblProjects[One-time cost],tblProjects[Stage],$B$51))</f>
        <v>97000</v>
      </c>
    </row>
    <row r="52" spans="2:8">
      <c r="B52" s="54" t="str">
        <f>IFERROR(INDEX(tblStages[Stage],5)&amp;"","")</f>
        <v>Validated</v>
      </c>
      <c r="C52" s="39">
        <f>IF($B$52="","",COUNTIFS(tblProjects[Stage],$B$52))</f>
        <v>5</v>
      </c>
      <c r="D52" s="42" t="str">
        <f>IF($B$52="","",IFERROR(INDEX(tblStages[Counts in plan],MATCH($B$52,tblStages[Stage],0)),""))</f>
        <v>Yes</v>
      </c>
      <c r="E52" s="39">
        <f>IF($B$52="","",SUMIFS(tblProjects[Net annual savings],tblProjects[Stage],$B$52))</f>
        <v>146800</v>
      </c>
      <c r="F52" s="39">
        <f>IF($B$52="","",SUMIFS(tblProjects[One-time cost],tblProjects[Stage],$B$52))</f>
        <v>10500</v>
      </c>
    </row>
    <row r="54" spans="2:8">
      <c r="B54" s="33" t="s">
        <v>192</v>
      </c>
      <c r="C54" s="33"/>
      <c r="D54" s="33"/>
      <c r="E54" s="33"/>
      <c r="F54" s="33"/>
      <c r="G54" s="33"/>
      <c r="H54" s="33"/>
    </row>
    <row r="55" spans="2:8" ht="32" customHeight="1">
      <c r="B55" s="53" t="s">
        <v>170</v>
      </c>
      <c r="C55" s="34" t="s">
        <v>193</v>
      </c>
      <c r="D55" s="34" t="s">
        <v>194</v>
      </c>
      <c r="E55" s="34" t="s">
        <v>195</v>
      </c>
      <c r="F55" s="34" t="s">
        <v>196</v>
      </c>
      <c r="G55" s="34" t="s">
        <v>156</v>
      </c>
      <c r="H55" s="34" t="s">
        <v>197</v>
      </c>
    </row>
    <row r="56" spans="2:8" ht="14" customHeight="1">
      <c r="B56" s="36"/>
      <c r="C56" s="36" t="str">
        <f>Currency</f>
        <v>EUR</v>
      </c>
      <c r="D56" s="36" t="str">
        <f>Currency</f>
        <v>EUR</v>
      </c>
      <c r="E56" s="36" t="str">
        <f>Currency</f>
        <v>EUR</v>
      </c>
      <c r="F56" s="36" t="str">
        <f>Currency</f>
        <v>EUR</v>
      </c>
      <c r="G56" s="36" t="str">
        <f>Currency</f>
        <v>EUR</v>
      </c>
      <c r="H56" s="36" t="str">
        <f>Currency</f>
        <v>EUR</v>
      </c>
    </row>
    <row r="57" spans="2:8">
      <c r="B57" s="55">
        <f>FYStart</f>
        <v>46023</v>
      </c>
      <c r="C57" s="39">
        <f>IF($B$57="","",SUMIFS(tblProjects[Net annual savings],tblProjects[Type],"Hard saving",tblProjects[Counts in plan],"Yes",tblProjects[Counted from],"&lt;="&amp;$B$57,tblProjects[Counted to],"&gt;="&amp;$B$57)/12)</f>
        <v>5150</v>
      </c>
      <c r="D57" s="39">
        <f>IF($B$57="","",SUMIFS(tblSavings[Realized savings],tblSavings[Type],"Hard saving",tblSavings[Month],"&gt;="&amp;$B$57,tblSavings[Month],"&lt;"&amp;EDATE($B$57,1)))</f>
        <v>5160</v>
      </c>
      <c r="E57" s="39">
        <f>IF($B$57="","",SUM(INDEX($C$57:$C$68,1):$C$57))</f>
        <v>5150</v>
      </c>
      <c r="F57" s="39">
        <f>IF($B$57="","",IF($B$57&gt;ReportMonth,"",SUM(INDEX($D$57:$D$68,1):$D$57)))</f>
        <v>5160</v>
      </c>
      <c r="G57" s="39">
        <f>IF($B$57="","",SUMIFS(tblSavings[Realized savings],tblSavings[Type],"Cost avoidance",tblSavings[Month],"&gt;="&amp;$B$57,tblSavings[Month],"&lt;"&amp;EDATE($B$57,1)))</f>
        <v>340</v>
      </c>
      <c r="H57" s="56">
        <f>TargetSavings</f>
        <v>260000</v>
      </c>
    </row>
    <row r="58" spans="2:8">
      <c r="B58" s="55">
        <f>EDATE($B$57,1)</f>
        <v>46054</v>
      </c>
      <c r="C58" s="39">
        <f>IF($B$58="","",SUMIFS(tblProjects[Net annual savings],tblProjects[Type],"Hard saving",tblProjects[Counts in plan],"Yes",tblProjects[Counted from],"&lt;="&amp;$B$58,tblProjects[Counted to],"&gt;="&amp;$B$58)/12)</f>
        <v>10066.6666666667</v>
      </c>
      <c r="D58" s="39">
        <f>IF($B$58="","",SUMIFS(tblSavings[Realized savings],tblSavings[Type],"Hard saving",tblSavings[Month],"&gt;="&amp;$B$58,tblSavings[Month],"&lt;"&amp;EDATE($B$58,1)))</f>
        <v>10380</v>
      </c>
      <c r="E58" s="39">
        <f>IF($B$58="","",SUM(INDEX($C$57:$C$68,1):$C$58))</f>
        <v>15216.6666666667</v>
      </c>
      <c r="F58" s="39">
        <f>IF($B$58="","",IF($B$58&gt;ReportMonth,"",SUM(INDEX($D$57:$D$68,1):$D$58)))</f>
        <v>15540</v>
      </c>
      <c r="G58" s="39">
        <f>IF($B$58="","",SUMIFS(tblSavings[Realized savings],tblSavings[Type],"Cost avoidance",tblSavings[Month],"&gt;="&amp;$B$58,tblSavings[Month],"&lt;"&amp;EDATE($B$58,1)))</f>
        <v>2120</v>
      </c>
      <c r="H58" s="56">
        <f>TargetSavings</f>
        <v>260000</v>
      </c>
    </row>
    <row r="59" spans="2:8">
      <c r="B59" s="55">
        <f>EDATE($B$58,1)</f>
        <v>46082</v>
      </c>
      <c r="C59" s="39">
        <f>IF($B$59="","",SUMIFS(tblProjects[Net annual savings],tblProjects[Type],"Hard saving",tblProjects[Counts in plan],"Yes",tblProjects[Counted from],"&lt;="&amp;$B$59,tblProjects[Counted to],"&gt;="&amp;$B$59)/12)</f>
        <v>16316.6666666667</v>
      </c>
      <c r="D59" s="39">
        <f>IF($B$59="","",SUMIFS(tblSavings[Realized savings],tblSavings[Type],"Hard saving",tblSavings[Month],"&gt;="&amp;$B$59,tblSavings[Month],"&lt;"&amp;EDATE($B$59,1)))</f>
        <v>14090</v>
      </c>
      <c r="E59" s="39">
        <f>IF($B$59="","",SUM(INDEX($C$57:$C$68,1):$C$59))</f>
        <v>31533.3333333333</v>
      </c>
      <c r="F59" s="39">
        <f>IF($B$59="","",IF($B$59&gt;ReportMonth,"",SUM(INDEX($D$57:$D$68,1):$D$59)))</f>
        <v>29630</v>
      </c>
      <c r="G59" s="39">
        <f>IF($B$59="","",SUMIFS(tblSavings[Realized savings],tblSavings[Type],"Cost avoidance",tblSavings[Month],"&gt;="&amp;$B$59,tblSavings[Month],"&lt;"&amp;EDATE($B$59,1)))</f>
        <v>2090</v>
      </c>
      <c r="H59" s="56">
        <f>TargetSavings</f>
        <v>260000</v>
      </c>
    </row>
    <row r="60" spans="2:8">
      <c r="B60" s="55">
        <f>EDATE($B$59,1)</f>
        <v>46113</v>
      </c>
      <c r="C60" s="39">
        <f>IF($B$60="","",SUMIFS(tblProjects[Net annual savings],tblProjects[Type],"Hard saving",tblProjects[Counts in plan],"Yes",tblProjects[Counted from],"&lt;="&amp;$B$60,tblProjects[Counted to],"&gt;="&amp;$B$60)/12)</f>
        <v>17816.6666666667</v>
      </c>
      <c r="D60" s="39">
        <f>IF($B$60="","",SUMIFS(tblSavings[Realized savings],tblSavings[Type],"Hard saving",tblSavings[Month],"&gt;="&amp;$B$60,tblSavings[Month],"&lt;"&amp;EDATE($B$60,1)))</f>
        <v>15750</v>
      </c>
      <c r="E60" s="39">
        <f>IF($B$60="","",SUM(INDEX($C$57:$C$68,1):$C$60))</f>
        <v>49350</v>
      </c>
      <c r="F60" s="39">
        <f>IF($B$60="","",IF($B$60&gt;ReportMonth,"",SUM(INDEX($D$57:$D$68,1):$D$60)))</f>
        <v>45380</v>
      </c>
      <c r="G60" s="39">
        <f>IF($B$60="","",SUMIFS(tblSavings[Realized savings],tblSavings[Type],"Cost avoidance",tblSavings[Month],"&gt;="&amp;$B$60,tblSavings[Month],"&lt;"&amp;EDATE($B$60,1)))</f>
        <v>2140</v>
      </c>
      <c r="H60" s="56">
        <f>TargetSavings</f>
        <v>260000</v>
      </c>
    </row>
    <row r="61" spans="2:8">
      <c r="B61" s="55">
        <f>EDATE($B$60,1)</f>
        <v>46143</v>
      </c>
      <c r="C61" s="39">
        <f>IF($B$61="","",SUMIFS(tblProjects[Net annual savings],tblProjects[Type],"Hard saving",tblProjects[Counts in plan],"Yes",tblProjects[Counted from],"&lt;="&amp;$B$61,tblProjects[Counted to],"&gt;="&amp;$B$61)/12)</f>
        <v>20816.6666666667</v>
      </c>
      <c r="D61" s="39">
        <f>IF($B$61="","",SUMIFS(tblSavings[Realized savings],tblSavings[Type],"Hard saving",tblSavings[Month],"&gt;="&amp;$B$61,tblSavings[Month],"&lt;"&amp;EDATE($B$61,1)))</f>
        <v>18230</v>
      </c>
      <c r="E61" s="39">
        <f>IF($B$61="","",SUM(INDEX($C$57:$C$68,1):$C$61))</f>
        <v>70166.6666666667</v>
      </c>
      <c r="F61" s="39">
        <f>IF($B$61="","",IF($B$61&gt;ReportMonth,"",SUM(INDEX($D$57:$D$68,1):$D$61)))</f>
        <v>63610</v>
      </c>
      <c r="G61" s="39">
        <f>IF($B$61="","",SUMIFS(tblSavings[Realized savings],tblSavings[Type],"Cost avoidance",tblSavings[Month],"&gt;="&amp;$B$61,tblSavings[Month],"&lt;"&amp;EDATE($B$61,1)))</f>
        <v>2170</v>
      </c>
      <c r="H61" s="56">
        <f>TargetSavings</f>
        <v>260000</v>
      </c>
    </row>
    <row r="62" spans="2:8">
      <c r="B62" s="55">
        <f>EDATE($B$61,1)</f>
        <v>46174</v>
      </c>
      <c r="C62" s="39">
        <f>IF($B$62="","",SUMIFS(tblProjects[Net annual savings],tblProjects[Type],"Hard saving",tblProjects[Counts in plan],"Yes",tblProjects[Counted from],"&lt;="&amp;$B$62,tblProjects[Counted to],"&gt;="&amp;$B$62)/12)</f>
        <v>23483.3333333333</v>
      </c>
      <c r="D62" s="39">
        <f>IF($B$62="","",SUMIFS(tblSavings[Realized savings],tblSavings[Type],"Hard saving",tblSavings[Month],"&gt;="&amp;$B$62,tblSavings[Month],"&lt;"&amp;EDATE($B$62,1)))</f>
        <v>19860</v>
      </c>
      <c r="E62" s="39">
        <f>IF($B$62="","",SUM(INDEX($C$57:$C$68,1):$C$62))</f>
        <v>93650</v>
      </c>
      <c r="F62" s="39">
        <f>IF($B$62="","",IF($B$62&gt;ReportMonth,"",SUM(INDEX($D$57:$D$68,1):$D$62)))</f>
        <v>83470</v>
      </c>
      <c r="G62" s="39">
        <f>IF($B$62="","",SUMIFS(tblSavings[Realized savings],tblSavings[Type],"Cost avoidance",tblSavings[Month],"&gt;="&amp;$B$62,tblSavings[Month],"&lt;"&amp;EDATE($B$62,1)))</f>
        <v>2230</v>
      </c>
      <c r="H62" s="56">
        <f>TargetSavings</f>
        <v>260000</v>
      </c>
    </row>
    <row r="63" spans="2:8">
      <c r="B63" s="55">
        <f>EDATE($B$62,1)</f>
        <v>46204</v>
      </c>
      <c r="C63" s="39">
        <f>IF($B$63="","",SUMIFS(tblProjects[Net annual savings],tblProjects[Type],"Hard saving",tblProjects[Counts in plan],"Yes",tblProjects[Counted from],"&lt;="&amp;$B$63,tblProjects[Counted to],"&gt;="&amp;$B$63)/12)</f>
        <v>25525</v>
      </c>
      <c r="D63" s="39">
        <f>IF($B$63="","",SUMIFS(tblSavings[Realized savings],tblSavings[Type],"Hard saving",tblSavings[Month],"&gt;="&amp;$B$63,tblSavings[Month],"&lt;"&amp;EDATE($B$63,1)))</f>
        <v>20870</v>
      </c>
      <c r="E63" s="39">
        <f>IF($B$63="","",SUM(INDEX($C$57:$C$68,1):$C$63))</f>
        <v>119175</v>
      </c>
      <c r="F63" s="39">
        <f>IF($B$63="","",IF($B$63&gt;ReportMonth,"",SUM(INDEX($D$57:$D$68,1):$D$63)))</f>
        <v>104340</v>
      </c>
      <c r="G63" s="39">
        <f>IF($B$63="","",SUMIFS(tblSavings[Realized savings],tblSavings[Type],"Cost avoidance",tblSavings[Month],"&gt;="&amp;$B$63,tblSavings[Month],"&lt;"&amp;EDATE($B$63,1)))</f>
        <v>2230</v>
      </c>
      <c r="H63" s="56">
        <f>TargetSavings</f>
        <v>260000</v>
      </c>
    </row>
    <row r="64" spans="2:8">
      <c r="B64" s="55">
        <f>EDATE($B$63,1)</f>
        <v>46235</v>
      </c>
      <c r="C64" s="39">
        <f>IF($B$64="","",SUMIFS(tblProjects[Net annual savings],tblProjects[Type],"Hard saving",tblProjects[Counts in plan],"Yes",tblProjects[Counted from],"&lt;="&amp;$B$64,tblProjects[Counted to],"&gt;="&amp;$B$64)/12)</f>
        <v>25525</v>
      </c>
      <c r="D64" s="39">
        <f>IF($B$64="","",SUMIFS(tblSavings[Realized savings],tblSavings[Type],"Hard saving",tblSavings[Month],"&gt;="&amp;$B$64,tblSavings[Month],"&lt;"&amp;EDATE($B$64,1)))</f>
        <v>22350</v>
      </c>
      <c r="E64" s="39">
        <f>IF($B$64="","",SUM(INDEX($C$57:$C$68,1):$C$64))</f>
        <v>144700</v>
      </c>
      <c r="F64" s="39">
        <f>IF($B$64="","",IF($B$64&gt;ReportMonth,"",SUM(INDEX($D$57:$D$68,1):$D$64)))</f>
        <v>126690</v>
      </c>
      <c r="G64" s="39">
        <f>IF($B$64="","",SUMIFS(tblSavings[Realized savings],tblSavings[Type],"Cost avoidance",tblSavings[Month],"&gt;="&amp;$B$64,tblSavings[Month],"&lt;"&amp;EDATE($B$64,1)))</f>
        <v>2220</v>
      </c>
      <c r="H64" s="56">
        <f>TargetSavings</f>
        <v>260000</v>
      </c>
    </row>
    <row r="65" spans="2:12">
      <c r="B65" s="55">
        <f>EDATE($B$64,1)</f>
        <v>46266</v>
      </c>
      <c r="C65" s="39">
        <f>IF($B$65="","",SUMIFS(tblProjects[Net annual savings],tblProjects[Type],"Hard saving",tblProjects[Counts in plan],"Yes",tblProjects[Counted from],"&lt;="&amp;$B$65,tblProjects[Counted to],"&gt;="&amp;$B$65)/12)</f>
        <v>25525</v>
      </c>
      <c r="D65" s="39">
        <f>IF($B$65="","",SUMIFS(tblSavings[Realized savings],tblSavings[Type],"Hard saving",tblSavings[Month],"&gt;="&amp;$B$65,tblSavings[Month],"&lt;"&amp;EDATE($B$65,1)))</f>
        <v>22410</v>
      </c>
      <c r="E65" s="39">
        <f>IF($B$65="","",SUM(INDEX($C$57:$C$68,1):$C$65))</f>
        <v>170225</v>
      </c>
      <c r="F65" s="39">
        <f>IF($B$65="","",IF($B$65&gt;ReportMonth,"",SUM(INDEX($D$57:$D$68,1):$D$65)))</f>
        <v>149100</v>
      </c>
      <c r="G65" s="39">
        <f>IF($B$65="","",SUMIFS(tblSavings[Realized savings],tblSavings[Type],"Cost avoidance",tblSavings[Month],"&gt;="&amp;$B$65,tblSavings[Month],"&lt;"&amp;EDATE($B$65,1)))</f>
        <v>2100</v>
      </c>
      <c r="H65" s="56">
        <f>TargetSavings</f>
        <v>260000</v>
      </c>
    </row>
    <row r="66" spans="2:12">
      <c r="B66" s="55">
        <f>EDATE($B$65,1)</f>
        <v>46296</v>
      </c>
      <c r="C66" s="39">
        <f>IF($B$66="","",SUMIFS(tblProjects[Net annual savings],tblProjects[Type],"Hard saving",tblProjects[Counts in plan],"Yes",tblProjects[Counted from],"&lt;="&amp;$B$66,tblProjects[Counted to],"&gt;="&amp;$B$66)/12)</f>
        <v>23275</v>
      </c>
      <c r="D66" s="39">
        <f>IF($B$66="","",SUMIFS(tblSavings[Realized savings],tblSavings[Type],"Hard saving",tblSavings[Month],"&gt;="&amp;$B$66,tblSavings[Month],"&lt;"&amp;EDATE($B$66,1)))</f>
        <v>0</v>
      </c>
      <c r="E66" s="39">
        <f>IF($B$66="","",SUM(INDEX($C$57:$C$68,1):$C$66))</f>
        <v>193500</v>
      </c>
      <c r="F66" s="39">
        <f>IF($B$66="","",IF($B$66&gt;ReportMonth,"",SUM(INDEX($D$57:$D$68,1):$D$66)))</f>
        <v/>
      </c>
      <c r="G66" s="39">
        <f>IF($B$66="","",SUMIFS(tblSavings[Realized savings],tblSavings[Type],"Cost avoidance",tblSavings[Month],"&gt;="&amp;$B$66,tblSavings[Month],"&lt;"&amp;EDATE($B$66,1)))</f>
        <v>0</v>
      </c>
      <c r="H66" s="56">
        <f>TargetSavings</f>
        <v>260000</v>
      </c>
    </row>
    <row r="67" spans="2:12">
      <c r="B67" s="55">
        <f>EDATE($B$66,1)</f>
        <v>46327</v>
      </c>
      <c r="C67" s="39">
        <f>IF($B$67="","",SUMIFS(tblProjects[Net annual savings],tblProjects[Type],"Hard saving",tblProjects[Counts in plan],"Yes",tblProjects[Counted from],"&lt;="&amp;$B$67,tblProjects[Counted to],"&gt;="&amp;$B$67)/12)</f>
        <v>24191.6666666667</v>
      </c>
      <c r="D67" s="39">
        <f>IF($B$67="","",SUMIFS(tblSavings[Realized savings],tblSavings[Type],"Hard saving",tblSavings[Month],"&gt;="&amp;$B$67,tblSavings[Month],"&lt;"&amp;EDATE($B$67,1)))</f>
        <v>0</v>
      </c>
      <c r="E67" s="39">
        <f>IF($B$67="","",SUM(INDEX($C$57:$C$68,1):$C$67))</f>
        <v>217691.666666667</v>
      </c>
      <c r="F67" s="39">
        <f>IF($B$67="","",IF($B$67&gt;ReportMonth,"",SUM(INDEX($D$57:$D$68,1):$D$67)))</f>
        <v/>
      </c>
      <c r="G67" s="39">
        <f>IF($B$67="","",SUMIFS(tblSavings[Realized savings],tblSavings[Type],"Cost avoidance",tblSavings[Month],"&gt;="&amp;$B$67,tblSavings[Month],"&lt;"&amp;EDATE($B$67,1)))</f>
        <v>0</v>
      </c>
      <c r="H67" s="56">
        <f>TargetSavings</f>
        <v>260000</v>
      </c>
    </row>
    <row r="68" spans="2:12">
      <c r="B68" s="55">
        <f>EDATE($B$67,1)</f>
        <v>46357</v>
      </c>
      <c r="C68" s="39">
        <f>IF($B$68="","",SUMIFS(tblProjects[Net annual savings],tblProjects[Type],"Hard saving",tblProjects[Counts in plan],"Yes",tblProjects[Counted from],"&lt;="&amp;$B$68,tblProjects[Counted to],"&gt;="&amp;$B$68)/12)</f>
        <v>24191.6666666667</v>
      </c>
      <c r="D68" s="39">
        <f>IF($B$68="","",SUMIFS(tblSavings[Realized savings],tblSavings[Type],"Hard saving",tblSavings[Month],"&gt;="&amp;$B$68,tblSavings[Month],"&lt;"&amp;EDATE($B$68,1)))</f>
        <v>0</v>
      </c>
      <c r="E68" s="39">
        <f>IF($B$68="","",SUM(INDEX($C$57:$C$68,1):$C$68))</f>
        <v>241883.333333333</v>
      </c>
      <c r="F68" s="39">
        <f>IF($B$68="","",IF($B$68&gt;ReportMonth,"",SUM(INDEX($D$57:$D$68,1):$D$68)))</f>
        <v/>
      </c>
      <c r="G68" s="39">
        <f>IF($B$68="","",SUMIFS(tblSavings[Realized savings],tblSavings[Type],"Cost avoidance",tblSavings[Month],"&gt;="&amp;$B$68,tblSavings[Month],"&lt;"&amp;EDATE($B$68,1)))</f>
        <v>0</v>
      </c>
      <c r="H68" s="56">
        <f>TargetSavings</f>
        <v>260000</v>
      </c>
    </row>
    <row r="69" spans="2:12" ht="8" customHeight="1"/>
    <row r="70" spans="2:12" ht="26.76" customHeight="1">
      <c r="B70" s="21" t="s">
        <v>198</v>
      </c>
      <c r="C70" s="21"/>
      <c r="D70" s="21"/>
      <c r="E70" s="21"/>
      <c r="F70" s="21"/>
      <c r="G70" s="21"/>
      <c r="H70" s="21"/>
      <c r="I70" s="21"/>
      <c r="J70" s="21"/>
      <c r="K70" s="21"/>
      <c r="L70" s="21"/>
    </row>
    <row r="71" spans="2:12">
      <c r="B71" s="57">
        <f>IF(OR(COUNTA(tblCategories[Category])&gt;6,COUNTA(tblStages[Stage])&gt;5),"Setup lists are longer than the Dashboard blocks: some categories or stages are not shown.","")</f>
        <v/>
      </c>
      <c r="C71" s="57"/>
      <c r="D71" s="57"/>
      <c r="E71" s="57"/>
      <c r="F71" s="57"/>
      <c r="G71" s="57"/>
      <c r="H71" s="57"/>
      <c r="I71" s="57"/>
      <c r="J71" s="57"/>
      <c r="K71" s="57"/>
      <c r="L71" s="57"/>
    </row>
  </sheetData>
  <sheetProtection sheet="1" formatColumns="0" formatRows="0"/>
  <mergeCells count="44">
    <mergeCell ref="A1:L1"/>
    <mergeCell ref="B2:J2"/>
    <mergeCell ref="K2:L2"/>
    <mergeCell ref="B4:L4"/>
    <mergeCell ref="B5:C5"/>
    <mergeCell ref="F5:G5"/>
    <mergeCell ref="J5:K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1:C31"/>
    <mergeCell ref="B32:C33"/>
    <mergeCell ref="B34:C34"/>
    <mergeCell ref="B35:C35"/>
    <mergeCell ref="D31:F31"/>
    <mergeCell ref="D32:F33"/>
    <mergeCell ref="D34:F34"/>
    <mergeCell ref="D35:F35"/>
    <mergeCell ref="G31:I31"/>
    <mergeCell ref="G32:I33"/>
    <mergeCell ref="G34:I34"/>
    <mergeCell ref="G35:I35"/>
    <mergeCell ref="J31:L31"/>
    <mergeCell ref="J32:L33"/>
    <mergeCell ref="J34:L34"/>
    <mergeCell ref="J35:L35"/>
    <mergeCell ref="B37:I37"/>
    <mergeCell ref="B46:F46"/>
    <mergeCell ref="B54:H54"/>
    <mergeCell ref="B70:L70"/>
    <mergeCell ref="B71:L71"/>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11">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G39:G44">
    <cfRule type="expression" dxfId="3" priority="61" stopIfTrue="1">
      <formula>AND(ISNUMBER(G39),G39&gt;=(RealizationTarget))</formula>
    </cfRule>
    <cfRule type="expression" dxfId="4" priority="62" stopIfTrue="1">
      <formula>AND(ISNUMBER(G39),G39&gt;=(RealizationTarget)*(1-0.1))</formula>
    </cfRule>
    <cfRule type="expression" dxfId="5" priority="63">
      <formula>ISNUMBER(G39)</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Cost Savings Tracker&amp;R&amp;8&amp;A</oddHeader>
    <oddFooter>&amp;L&amp;8mfgcalcs.com - free manufacturing templates&amp;R&amp;8Page &amp;P of &amp;N</oddFooter>
  </headerFooter>
  <rowBreaks count="2" manualBreakCount="2">
    <brk id="29" max="16383" man="1"/>
    <brk id="53" max="16383" man="1"/>
  </rowBreaks>
  <drawing r:id="rId2"/>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6"/>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199</v>
      </c>
      <c r="C4" s="8"/>
      <c r="D4" s="8"/>
    </row>
    <row r="5" spans="1:4" ht="5" customHeight="1"/>
    <row r="6" spans="1:4" ht="55.8" customHeight="1">
      <c r="B6" s="10" t="s">
        <v>200</v>
      </c>
      <c r="C6" s="10"/>
      <c r="D6" s="10"/>
    </row>
    <row r="8" spans="1:4" ht="21" customHeight="1">
      <c r="B8" s="8" t="s">
        <v>201</v>
      </c>
      <c r="C8" s="8"/>
      <c r="D8" s="8"/>
    </row>
    <row r="9" spans="1:4" ht="5" customHeight="1"/>
    <row r="10" spans="1:4" ht="20" customHeight="1">
      <c r="B10" s="53" t="s">
        <v>202</v>
      </c>
      <c r="C10" s="53" t="s">
        <v>203</v>
      </c>
      <c r="D10" s="34" t="s">
        <v>204</v>
      </c>
    </row>
    <row r="11" spans="1:4" ht="30.4" customHeight="1">
      <c r="B11" s="58" t="s">
        <v>116</v>
      </c>
      <c r="C11" s="59" t="s">
        <v>205</v>
      </c>
      <c r="D11" s="60" t="s">
        <v>206</v>
      </c>
    </row>
    <row r="12" spans="1:4" ht="30.4" customHeight="1">
      <c r="B12" s="58" t="s">
        <v>207</v>
      </c>
      <c r="C12" s="59" t="s">
        <v>208</v>
      </c>
      <c r="D12" s="60" t="s">
        <v>76</v>
      </c>
    </row>
    <row r="13" spans="1:4" ht="43.6" customHeight="1">
      <c r="B13" s="58" t="s">
        <v>209</v>
      </c>
      <c r="C13" s="59" t="s">
        <v>210</v>
      </c>
      <c r="D13" s="60" t="s">
        <v>211</v>
      </c>
    </row>
    <row r="14" spans="1:4" ht="30.4" customHeight="1">
      <c r="B14" s="58" t="s">
        <v>120</v>
      </c>
      <c r="C14" s="59" t="s">
        <v>212</v>
      </c>
      <c r="D14" s="60" t="s">
        <v>213</v>
      </c>
    </row>
    <row r="15" spans="1:4" ht="30.4" customHeight="1">
      <c r="B15" s="58" t="s">
        <v>121</v>
      </c>
      <c r="C15" s="59" t="s">
        <v>214</v>
      </c>
      <c r="D15" s="60" t="s">
        <v>213</v>
      </c>
    </row>
    <row r="16" spans="1:4" ht="30.4" customHeight="1">
      <c r="B16" s="58" t="s">
        <v>122</v>
      </c>
      <c r="C16" s="59" t="s">
        <v>215</v>
      </c>
      <c r="D16" s="60" t="s">
        <v>213</v>
      </c>
    </row>
    <row r="17" spans="2:4" ht="30.4" customHeight="1">
      <c r="B17" s="58" t="s">
        <v>216</v>
      </c>
      <c r="C17" s="59" t="s">
        <v>217</v>
      </c>
      <c r="D17" s="60" t="s">
        <v>218</v>
      </c>
    </row>
    <row r="18" spans="2:4" ht="30.4" customHeight="1">
      <c r="B18" s="58" t="s">
        <v>125</v>
      </c>
      <c r="C18" s="59" t="s">
        <v>219</v>
      </c>
      <c r="D18" s="60" t="s">
        <v>213</v>
      </c>
    </row>
    <row r="19" spans="2:4" ht="43.6" customHeight="1">
      <c r="B19" s="58" t="s">
        <v>220</v>
      </c>
      <c r="C19" s="59" t="s">
        <v>221</v>
      </c>
      <c r="D19" s="60" t="s">
        <v>222</v>
      </c>
    </row>
    <row r="20" spans="2:4" ht="43.6" customHeight="1">
      <c r="B20" s="58" t="s">
        <v>223</v>
      </c>
      <c r="C20" s="59" t="s">
        <v>224</v>
      </c>
      <c r="D20" s="60" t="s">
        <v>213</v>
      </c>
    </row>
    <row r="22" spans="2:4" ht="21" customHeight="1">
      <c r="B22" s="8" t="s">
        <v>225</v>
      </c>
      <c r="C22" s="8"/>
      <c r="D22" s="8"/>
    </row>
    <row r="23" spans="2:4" ht="5" customHeight="1"/>
    <row r="24" spans="2:4" ht="29.4" customHeight="1">
      <c r="B24" s="26" t="s">
        <v>55</v>
      </c>
      <c r="C24" s="10" t="s">
        <v>226</v>
      </c>
      <c r="D24" s="10"/>
    </row>
    <row r="25" spans="2:4" ht="16.2" customHeight="1">
      <c r="B25" s="26" t="s">
        <v>55</v>
      </c>
      <c r="C25" s="10" t="s">
        <v>227</v>
      </c>
      <c r="D25" s="10"/>
    </row>
    <row r="26" spans="2:4" ht="29.4" customHeight="1">
      <c r="B26" s="26" t="s">
        <v>55</v>
      </c>
      <c r="C26" s="10" t="s">
        <v>228</v>
      </c>
      <c r="D26" s="10"/>
    </row>
    <row r="27" spans="2:4" ht="16.2" customHeight="1">
      <c r="B27" s="26" t="s">
        <v>55</v>
      </c>
      <c r="C27" s="10" t="s">
        <v>229</v>
      </c>
      <c r="D27" s="10"/>
    </row>
    <row r="29" spans="2:4" ht="21" customHeight="1">
      <c r="B29" s="8" t="s">
        <v>230</v>
      </c>
      <c r="C29" s="8"/>
      <c r="D29" s="8"/>
    </row>
    <row r="30" spans="2:4" ht="5" customHeight="1"/>
    <row r="31" spans="2:4" ht="29.4" customHeight="1">
      <c r="B31" s="26" t="s">
        <v>55</v>
      </c>
      <c r="C31" s="10" t="s">
        <v>231</v>
      </c>
      <c r="D31" s="10"/>
    </row>
    <row r="32" spans="2:4" ht="29.4" customHeight="1">
      <c r="B32" s="26" t="s">
        <v>55</v>
      </c>
      <c r="C32" s="10" t="s">
        <v>232</v>
      </c>
      <c r="D32" s="10"/>
    </row>
    <row r="33" spans="2:4" ht="16.2" customHeight="1">
      <c r="B33" s="26" t="s">
        <v>55</v>
      </c>
      <c r="C33" s="10" t="s">
        <v>233</v>
      </c>
      <c r="D33" s="10"/>
    </row>
    <row r="34" spans="2:4" ht="29.4" customHeight="1">
      <c r="B34" s="26" t="s">
        <v>55</v>
      </c>
      <c r="C34" s="10" t="s">
        <v>234</v>
      </c>
      <c r="D34" s="10"/>
    </row>
    <row r="36" spans="2:4" ht="21" customHeight="1">
      <c r="B36" s="8" t="s">
        <v>235</v>
      </c>
      <c r="C36" s="8"/>
      <c r="D36" s="8"/>
    </row>
    <row r="37" spans="2:4" ht="5" customHeight="1"/>
    <row r="38" spans="2:4" ht="82.2" customHeight="1">
      <c r="B38" s="10" t="s">
        <v>236</v>
      </c>
      <c r="C38" s="10"/>
      <c r="D38" s="10"/>
    </row>
    <row r="39" spans="2:4">
      <c r="B39" s="24" t="s">
        <v>237</v>
      </c>
      <c r="C39" s="24"/>
      <c r="D39" s="24"/>
    </row>
    <row r="41" spans="2:4" ht="21" customHeight="1">
      <c r="B41" s="8" t="s">
        <v>42</v>
      </c>
      <c r="C41" s="8"/>
      <c r="D41" s="8"/>
    </row>
    <row r="42" spans="2:4" ht="5" customHeight="1"/>
    <row r="43" spans="2:4" ht="42.6" customHeight="1">
      <c r="B43" s="10" t="s">
        <v>238</v>
      </c>
      <c r="C43" s="10"/>
      <c r="D43" s="10"/>
    </row>
    <row r="45" spans="2:4" ht="21" customHeight="1">
      <c r="B45" s="8" t="s">
        <v>239</v>
      </c>
      <c r="C45" s="8"/>
      <c r="D45" s="8"/>
    </row>
    <row r="46" spans="2:4" ht="5" customHeight="1"/>
    <row r="47" spans="2:4" ht="29.4" customHeight="1">
      <c r="B47" s="26" t="s">
        <v>55</v>
      </c>
      <c r="C47" s="10" t="s">
        <v>240</v>
      </c>
      <c r="D47" s="10"/>
    </row>
    <row r="48" spans="2:4" ht="29.4" customHeight="1">
      <c r="B48" s="26" t="s">
        <v>55</v>
      </c>
      <c r="C48" s="10" t="s">
        <v>241</v>
      </c>
      <c r="D48" s="10"/>
    </row>
    <row r="49" spans="2:4">
      <c r="B49" s="21" t="s">
        <v>242</v>
      </c>
      <c r="C49" s="21"/>
      <c r="D49" s="21"/>
    </row>
    <row r="51" spans="2:4" ht="21" customHeight="1">
      <c r="B51" s="8" t="s">
        <v>243</v>
      </c>
      <c r="C51" s="8"/>
      <c r="D51" s="8"/>
    </row>
    <row r="52" spans="2:4" ht="5" customHeight="1"/>
    <row r="53" spans="2:4">
      <c r="B53" s="53" t="s">
        <v>50</v>
      </c>
      <c r="C53" s="53" t="s">
        <v>244</v>
      </c>
      <c r="D53" s="34" t="s">
        <v>245</v>
      </c>
    </row>
    <row r="54" spans="2:4" ht="16.2" customHeight="1">
      <c r="B54" s="61" t="s">
        <v>246</v>
      </c>
      <c r="C54" s="62" t="s">
        <v>247</v>
      </c>
      <c r="D54" s="63" t="s">
        <v>248</v>
      </c>
    </row>
    <row r="56" spans="2:4">
      <c r="B56" s="21" t="s">
        <v>61</v>
      </c>
      <c r="C56" s="21"/>
      <c r="D56" s="21"/>
    </row>
  </sheetData>
  <sheetProtection sheet="1" formatColumns="0" formatRows="0"/>
  <mergeCells count="26">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B49:D49"/>
    <mergeCell ref="B51:D51"/>
    <mergeCell ref="B56:D56"/>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Cost Savings Tracker&amp;R&amp;8&amp;A</oddHeader>
    <oddFooter>&amp;L&amp;8mfgcalcs.com - free manufacturing templates&amp;R&amp;8Page &amp;P of &amp;N</oddFooter>
  </headerFooter>
  <rowBreaks count="2" manualBreakCount="2">
    <brk id="21" max="16383" man="1"/>
    <brk id="50"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Y86"/>
  <sheetViews>
    <sheetView showGridLines="0" workbookViewId="0"/>
  </sheetViews>
  <sheetFormatPr defaultRowHeight="15"/>
  <cols>
    <col min="1" max="1" width="2.7109375" customWidth="1"/>
    <col min="2" max="19" width="12.7109375" customWidth="1"/>
    <col min="20" max="20" width="10.7109375" customWidth="1"/>
    <col min="21" max="21" width="10.28515625" customWidth="1"/>
    <col min="22" max="22" width="12.28515625" customWidth="1"/>
    <col min="23" max="23" width="11.28515625" customWidth="1"/>
    <col min="24" max="24" width="24.7109375" customWidth="1"/>
    <col min="25" max="25" width="30.7109375" customWidth="1"/>
  </cols>
  <sheetData>
    <row r="1" spans="1:25" ht="30" customHeight="1">
      <c r="A1" s="1" t="s">
        <v>0</v>
      </c>
      <c r="B1" s="1"/>
      <c r="C1" s="1"/>
      <c r="D1" s="1"/>
      <c r="E1" s="1"/>
      <c r="F1" s="1"/>
      <c r="G1" s="1"/>
      <c r="H1" s="1"/>
      <c r="I1" s="1"/>
      <c r="J1" s="1"/>
      <c r="K1" s="1"/>
      <c r="L1" s="1"/>
      <c r="M1" s="1"/>
      <c r="N1" s="1"/>
      <c r="O1" s="1"/>
      <c r="P1" s="1"/>
      <c r="Q1" s="1"/>
      <c r="R1" s="1"/>
      <c r="S1" s="1"/>
      <c r="T1" s="1"/>
      <c r="U1" s="1"/>
      <c r="V1" s="1"/>
      <c r="W1" s="1"/>
      <c r="X1" s="1"/>
      <c r="Y1" s="1"/>
    </row>
    <row r="2" spans="1:25" ht="21" customHeight="1">
      <c r="B2" s="2" t="s">
        <v>28</v>
      </c>
      <c r="C2" s="2"/>
      <c r="D2" s="2"/>
      <c r="E2" s="2"/>
      <c r="F2" s="2"/>
      <c r="G2" s="2"/>
      <c r="H2" s="2"/>
      <c r="I2" s="2"/>
      <c r="J2" s="2"/>
      <c r="K2" s="2"/>
      <c r="L2" s="2"/>
      <c r="M2" s="2"/>
      <c r="N2" s="2"/>
      <c r="O2" s="2"/>
      <c r="P2" s="2"/>
      <c r="Q2" s="2"/>
      <c r="R2" s="2"/>
      <c r="S2" s="2"/>
      <c r="T2" s="2"/>
      <c r="U2" s="2"/>
      <c r="V2" s="2"/>
      <c r="W2" s="2"/>
      <c r="X2" s="2"/>
      <c r="Y2" s="3" t="s">
        <v>2</v>
      </c>
    </row>
    <row r="3" spans="1:25" ht="6" customHeight="1"/>
    <row r="4" spans="1:25" ht="30" customHeight="1">
      <c r="B4" s="44" t="s">
        <v>249</v>
      </c>
      <c r="C4" s="44"/>
      <c r="D4" s="22" t="str">
        <f>IF(COUNTIF($K$11:$K$31,"PASS")=21,"PASS","FAIL")</f>
        <v>PASS</v>
      </c>
      <c r="E4" s="22"/>
      <c r="F4" s="23" t="str">
        <f>COUNTIF($K$11:$K$31,"PASS")&amp;" of 21 checks pass"</f>
        <v>21 of 21 checks pass</v>
      </c>
      <c r="G4" s="23"/>
      <c r="H4" s="23"/>
      <c r="I4" s="23"/>
      <c r="J4" s="23"/>
    </row>
    <row r="6" spans="1:25" ht="29.4" customHeight="1">
      <c r="B6" s="10" t="s">
        <v>250</v>
      </c>
      <c r="C6" s="10"/>
      <c r="D6" s="10"/>
      <c r="E6" s="10"/>
      <c r="F6" s="10"/>
      <c r="G6" s="10"/>
      <c r="H6" s="10"/>
      <c r="I6" s="10"/>
      <c r="J6" s="10"/>
      <c r="K6" s="10"/>
      <c r="L6" s="10"/>
    </row>
    <row r="8" spans="1:25" ht="21" customHeight="1">
      <c r="B8" s="8" t="s">
        <v>251</v>
      </c>
      <c r="C8" s="8"/>
      <c r="D8" s="8"/>
      <c r="E8" s="8"/>
      <c r="F8" s="8"/>
      <c r="G8" s="8"/>
      <c r="H8" s="8"/>
      <c r="I8" s="8"/>
      <c r="J8" s="8"/>
      <c r="K8" s="8"/>
      <c r="L8" s="8"/>
    </row>
    <row r="9" spans="1:25" ht="5" customHeight="1"/>
    <row r="10" spans="1:25" ht="30" customHeight="1">
      <c r="B10" s="34" t="s">
        <v>252</v>
      </c>
      <c r="C10" s="53" t="s">
        <v>126</v>
      </c>
      <c r="D10" s="53"/>
      <c r="E10" s="53"/>
      <c r="F10" s="53"/>
      <c r="G10" s="34" t="s">
        <v>253</v>
      </c>
      <c r="H10" s="34" t="s">
        <v>254</v>
      </c>
      <c r="I10" s="34" t="s">
        <v>255</v>
      </c>
      <c r="J10" s="34" t="s">
        <v>256</v>
      </c>
      <c r="K10" s="34" t="s">
        <v>257</v>
      </c>
    </row>
    <row r="11" spans="1:25" ht="16.2" customHeight="1">
      <c r="B11" s="64">
        <v>1</v>
      </c>
      <c r="C11" s="62" t="s">
        <v>258</v>
      </c>
      <c r="D11" s="62"/>
      <c r="E11" s="62"/>
      <c r="F11" s="62"/>
      <c r="G11" s="56">
        <v>18000</v>
      </c>
      <c r="H11" s="39">
        <f>$R$47</f>
        <v>18000</v>
      </c>
      <c r="I11" s="65">
        <f>IF(AND(ISNUMBER($G$11),ISNUMBER($H$11)),ABS($H$11-$G$11),"")</f>
        <v>0</v>
      </c>
      <c r="J11" s="66">
        <v>1E-09</v>
      </c>
      <c r="K11" s="42" t="str">
        <f>IF(AND(ISNUMBER($G$11),ISNUMBER($H$11)),IF(ABS($H$11-$G$11)&lt;=$J$11,"PASS","FAIL"),"FAIL")</f>
        <v>PASS</v>
      </c>
    </row>
    <row r="12" spans="1:25" ht="16.2" customHeight="1">
      <c r="B12" s="64">
        <v>2</v>
      </c>
      <c r="C12" s="62" t="s">
        <v>259</v>
      </c>
      <c r="D12" s="62"/>
      <c r="E12" s="62"/>
      <c r="F12" s="62"/>
      <c r="G12" s="56">
        <v>12000</v>
      </c>
      <c r="H12" s="39">
        <f>$S$47</f>
        <v>12000</v>
      </c>
      <c r="I12" s="65">
        <f>IF(AND(ISNUMBER($G$12),ISNUMBER($H$12)),ABS($H$12-$G$12),"")</f>
        <v>0</v>
      </c>
      <c r="J12" s="66">
        <v>1E-09</v>
      </c>
      <c r="K12" s="42" t="str">
        <f>IF(AND(ISNUMBER($G$12),ISNUMBER($H$12)),IF(ABS($H$12-$G$12)&lt;=$J$12,"PASS","FAIL"),"FAIL")</f>
        <v>PASS</v>
      </c>
    </row>
    <row r="13" spans="1:25" ht="16.2" customHeight="1">
      <c r="B13" s="64">
        <v>3</v>
      </c>
      <c r="C13" s="62" t="s">
        <v>260</v>
      </c>
      <c r="D13" s="62"/>
      <c r="E13" s="62"/>
      <c r="F13" s="62"/>
      <c r="G13" s="56">
        <v>11400</v>
      </c>
      <c r="H13" s="39">
        <f>$T$47</f>
        <v>11400</v>
      </c>
      <c r="I13" s="65">
        <f>IF(AND(ISNUMBER($G$13),ISNUMBER($H$13)),ABS($H$13-$G$13),"")</f>
        <v>0</v>
      </c>
      <c r="J13" s="66">
        <v>1E-09</v>
      </c>
      <c r="K13" s="42" t="str">
        <f>IF(AND(ISNUMBER($G$13),ISNUMBER($H$13)),IF(ABS($H$13-$G$13)&lt;=$J$13,"PASS","FAIL"),"FAIL")</f>
        <v>PASS</v>
      </c>
    </row>
    <row r="14" spans="1:25" ht="16.2" customHeight="1">
      <c r="B14" s="64">
        <v>4</v>
      </c>
      <c r="C14" s="62" t="s">
        <v>261</v>
      </c>
      <c r="D14" s="62"/>
      <c r="E14" s="62"/>
      <c r="F14" s="62"/>
      <c r="G14" s="61" t="s">
        <v>262</v>
      </c>
      <c r="H14" s="38" t="str">
        <f>$V$47</f>
        <v>On target</v>
      </c>
      <c r="I14" s="38"/>
      <c r="J14" s="63" t="s">
        <v>263</v>
      </c>
      <c r="K14" s="42" t="str">
        <f>IF($H$14&amp;""=$G$14&amp;"","PASS","FAIL")</f>
        <v>PASS</v>
      </c>
    </row>
    <row r="15" spans="1:25" ht="16.2" customHeight="1">
      <c r="B15" s="64">
        <v>5</v>
      </c>
      <c r="C15" s="62" t="s">
        <v>264</v>
      </c>
      <c r="D15" s="62"/>
      <c r="E15" s="62"/>
      <c r="F15" s="62"/>
      <c r="G15" s="56">
        <v>27000</v>
      </c>
      <c r="H15" s="39">
        <f>$N$48</f>
        <v>27000</v>
      </c>
      <c r="I15" s="65">
        <f>IF(AND(ISNUMBER($G$15),ISNUMBER($H$15)),ABS($H$15-$G$15),"")</f>
        <v>0</v>
      </c>
      <c r="J15" s="66">
        <v>1E-09</v>
      </c>
      <c r="K15" s="42" t="str">
        <f>IF(AND(ISNUMBER($G$15),ISNUMBER($H$15)),IF(ABS($H$15-$G$15)&lt;=$J$15,"PASS","FAIL"),"FAIL")</f>
        <v>PASS</v>
      </c>
    </row>
    <row r="16" spans="1:25" ht="16.2" customHeight="1">
      <c r="B16" s="64">
        <v>6</v>
      </c>
      <c r="C16" s="62" t="s">
        <v>265</v>
      </c>
      <c r="D16" s="62"/>
      <c r="E16" s="62"/>
      <c r="F16" s="62"/>
      <c r="G16" s="67">
        <v>8</v>
      </c>
      <c r="H16" s="68">
        <f>$O$48</f>
        <v>8</v>
      </c>
      <c r="I16" s="65">
        <f>IF(AND(ISNUMBER($G$16),ISNUMBER($H$16)),ABS($H$16-$G$16),"")</f>
        <v>0</v>
      </c>
      <c r="J16" s="66">
        <v>1E-09</v>
      </c>
      <c r="K16" s="42" t="str">
        <f>IF(AND(ISNUMBER($G$16),ISNUMBER($H$16)),IF(ABS($H$16-$G$16)&lt;=$J$16,"PASS","FAIL"),"FAIL")</f>
        <v>PASS</v>
      </c>
    </row>
    <row r="17" spans="2:11" ht="16.2" customHeight="1">
      <c r="B17" s="64">
        <v>7</v>
      </c>
      <c r="C17" s="62" t="s">
        <v>266</v>
      </c>
      <c r="D17" s="62"/>
      <c r="E17" s="62"/>
      <c r="F17" s="62"/>
      <c r="G17" s="56">
        <v>46113</v>
      </c>
      <c r="H17" s="39">
        <f>$P$48</f>
        <v>46113</v>
      </c>
      <c r="I17" s="65">
        <f>IF(AND(ISNUMBER($G$17),ISNUMBER($H$17)),ABS($H$17-$G$17),"")</f>
        <v>0</v>
      </c>
      <c r="J17" s="66">
        <v>1E-09</v>
      </c>
      <c r="K17" s="42" t="str">
        <f>IF(AND(ISNUMBER($G$17),ISNUMBER($H$17)),IF(ABS($H$17-$G$17)&lt;=$J$17,"PASS","FAIL"),"FAIL")</f>
        <v>PASS</v>
      </c>
    </row>
    <row r="18" spans="2:11" ht="16.2" customHeight="1">
      <c r="B18" s="64">
        <v>8</v>
      </c>
      <c r="C18" s="62" t="s">
        <v>267</v>
      </c>
      <c r="D18" s="62"/>
      <c r="E18" s="62"/>
      <c r="F18" s="62"/>
      <c r="G18" s="67">
        <v>6750</v>
      </c>
      <c r="H18" s="68">
        <f>$S$48</f>
        <v>6750</v>
      </c>
      <c r="I18" s="65">
        <f>IF(AND(ISNUMBER($G$18),ISNUMBER($H$18)),ABS($H$18-$G$18),"")</f>
        <v>0</v>
      </c>
      <c r="J18" s="66">
        <v>1E-09</v>
      </c>
      <c r="K18" s="42" t="str">
        <f>IF(AND(ISNUMBER($G$18),ISNUMBER($H$18)),IF(ABS($H$18-$G$18)&lt;=$J$18,"PASS","FAIL"),"FAIL")</f>
        <v>PASS</v>
      </c>
    </row>
    <row r="19" spans="2:11" ht="16.2" customHeight="1">
      <c r="B19" s="64">
        <v>9</v>
      </c>
      <c r="C19" s="62" t="s">
        <v>268</v>
      </c>
      <c r="D19" s="62"/>
      <c r="E19" s="62"/>
      <c r="F19" s="62"/>
      <c r="G19" s="69">
        <v>0.5333333333333333</v>
      </c>
      <c r="H19" s="70">
        <f>$U$48</f>
        <v>0.533333333333333</v>
      </c>
      <c r="I19" s="65">
        <f>IF(AND(ISNUMBER($G$19),ISNUMBER($H$19)),ABS($H$19-$G$19),"")</f>
        <v>0</v>
      </c>
      <c r="J19" s="66">
        <v>1E-09</v>
      </c>
      <c r="K19" s="42" t="str">
        <f>IF(AND(ISNUMBER($G$19),ISNUMBER($H$19)),IF(ABS($H$19-$G$19)&lt;=$J$19,"PASS","FAIL"),"FAIL")</f>
        <v>PASS</v>
      </c>
    </row>
    <row r="20" spans="2:11" ht="16.2" customHeight="1">
      <c r="B20" s="64">
        <v>10</v>
      </c>
      <c r="C20" s="62" t="s">
        <v>269</v>
      </c>
      <c r="D20" s="62"/>
      <c r="E20" s="62"/>
      <c r="F20" s="62"/>
      <c r="G20" s="61" t="s">
        <v>270</v>
      </c>
      <c r="H20" s="38" t="str">
        <f>$V$48</f>
        <v>Below target</v>
      </c>
      <c r="I20" s="38"/>
      <c r="J20" s="63" t="s">
        <v>263</v>
      </c>
      <c r="K20" s="42" t="str">
        <f>IF($H$20&amp;""=$G$20&amp;"","PASS","FAIL")</f>
        <v>PASS</v>
      </c>
    </row>
    <row r="21" spans="2:11" ht="16.2" customHeight="1">
      <c r="B21" s="64">
        <v>11</v>
      </c>
      <c r="C21" s="62" t="s">
        <v>271</v>
      </c>
      <c r="D21" s="62"/>
      <c r="E21" s="62"/>
      <c r="F21" s="62"/>
      <c r="G21" s="67">
        <v>17100</v>
      </c>
      <c r="H21" s="68">
        <f>$W$48</f>
        <v>17100</v>
      </c>
      <c r="I21" s="65">
        <f>IF(AND(ISNUMBER($G$21),ISNUMBER($H$21)),ABS($H$21-$G$21),"")</f>
        <v>0</v>
      </c>
      <c r="J21" s="66">
        <v>1E-09</v>
      </c>
      <c r="K21" s="42" t="str">
        <f>IF(AND(ISNUMBER($G$21),ISNUMBER($H$21)),IF(ABS($H$21-$G$21)&lt;=$J$21,"PASS","FAIL"),"FAIL")</f>
        <v>PASS</v>
      </c>
    </row>
    <row r="22" spans="2:11" ht="16.2" customHeight="1">
      <c r="B22" s="64">
        <v>12</v>
      </c>
      <c r="C22" s="62" t="s">
        <v>272</v>
      </c>
      <c r="D22" s="62"/>
      <c r="E22" s="62"/>
      <c r="F22" s="62"/>
      <c r="G22" s="56">
        <v>0</v>
      </c>
      <c r="H22" s="39">
        <f>$R$49</f>
        <v>0</v>
      </c>
      <c r="I22" s="65">
        <f>IF(AND(ISNUMBER($G$22),ISNUMBER($H$22)),ABS($H$22-$G$22),"")</f>
        <v>0</v>
      </c>
      <c r="J22" s="66">
        <v>1E-09</v>
      </c>
      <c r="K22" s="42" t="str">
        <f>IF(AND(ISNUMBER($G$22),ISNUMBER($H$22)),IF(ABS($H$22-$G$22)&lt;=$J$22,"PASS","FAIL"),"FAIL")</f>
        <v>PASS</v>
      </c>
    </row>
    <row r="23" spans="2:11" ht="16.2" customHeight="1">
      <c r="B23" s="64">
        <v>13</v>
      </c>
      <c r="C23" s="62" t="s">
        <v>273</v>
      </c>
      <c r="D23" s="62"/>
      <c r="E23" s="62"/>
      <c r="F23" s="62"/>
      <c r="G23" s="61" t="s">
        <v>274</v>
      </c>
      <c r="H23" s="38" t="str">
        <f>$X$51</f>
        <v>Cost after above baseline</v>
      </c>
      <c r="I23" s="38"/>
      <c r="J23" s="63" t="s">
        <v>263</v>
      </c>
      <c r="K23" s="42" t="str">
        <f>IF($H$23&amp;""=$G$23&amp;"","PASS","FAIL")</f>
        <v>PASS</v>
      </c>
    </row>
    <row r="24" spans="2:11" ht="16.2" customHeight="1">
      <c r="B24" s="64">
        <v>14</v>
      </c>
      <c r="C24" s="62" t="s">
        <v>275</v>
      </c>
      <c r="D24" s="62"/>
      <c r="E24" s="62"/>
      <c r="F24" s="62"/>
      <c r="G24" s="61" t="s">
        <v>276</v>
      </c>
      <c r="H24" s="38" t="str">
        <f>$I$70</f>
        <v>After the report month</v>
      </c>
      <c r="I24" s="38"/>
      <c r="J24" s="63" t="s">
        <v>263</v>
      </c>
      <c r="K24" s="42" t="str">
        <f>IF($H$24&amp;""=$G$24&amp;"","PASS","FAIL")</f>
        <v>PASS</v>
      </c>
    </row>
    <row r="25" spans="2:11" ht="16.2" customHeight="1">
      <c r="B25" s="64">
        <v>15</v>
      </c>
      <c r="C25" s="62" t="s">
        <v>277</v>
      </c>
      <c r="D25" s="62"/>
      <c r="E25" s="62"/>
      <c r="F25" s="62"/>
      <c r="G25" s="56">
        <v>15000</v>
      </c>
      <c r="H25" s="39">
        <f>SUMIFS(tblVerifyProjects[Realized to date],tblVerifyProjects[Type],"Hard saving")</f>
        <v>15000</v>
      </c>
      <c r="I25" s="65">
        <f>IF(AND(ISNUMBER($G$25),ISNUMBER($H$25)),ABS($H$25-$G$25),"")</f>
        <v>0</v>
      </c>
      <c r="J25" s="66">
        <v>1E-09</v>
      </c>
      <c r="K25" s="42" t="str">
        <f>IF(AND(ISNUMBER($G$25),ISNUMBER($H$25)),IF(ABS($H$25-$G$25)&lt;=$J$25,"PASS","FAIL"),"FAIL")</f>
        <v>PASS</v>
      </c>
    </row>
    <row r="26" spans="2:11" ht="16.2" customHeight="1">
      <c r="B26" s="64">
        <v>16</v>
      </c>
      <c r="C26" s="62" t="s">
        <v>278</v>
      </c>
      <c r="D26" s="62"/>
      <c r="E26" s="62"/>
      <c r="F26" s="62"/>
      <c r="G26" s="69">
        <v>0.8</v>
      </c>
      <c r="H26" s="70">
        <f>IF((SUMIFS(tblVerifyProjects[Plan to date],tblVerifyProjects[Type],"Hard saving"))=0,"",(SUMIFS(tblVerifyProjects[Realized to date],tblVerifyProjects[Type],"Hard saving"))/(SUMIFS(tblVerifyProjects[Plan to date],tblVerifyProjects[Type],"Hard saving")))</f>
        <v>0.8</v>
      </c>
      <c r="I26" s="65">
        <f>IF(AND(ISNUMBER($G$26),ISNUMBER($H$26)),ABS($H$26-$G$26),"")</f>
        <v>0</v>
      </c>
      <c r="J26" s="66">
        <v>1E-09</v>
      </c>
      <c r="K26" s="42" t="str">
        <f>IF(AND(ISNUMBER($G$26),ISNUMBER($H$26)),IF(ABS($H$26-$G$26)&lt;=$J$26,"PASS","FAIL"),"FAIL")</f>
        <v>PASS</v>
      </c>
    </row>
    <row r="27" spans="2:11" ht="16.2" customHeight="1">
      <c r="B27" s="64">
        <v>17</v>
      </c>
      <c r="C27" s="62" t="s">
        <v>279</v>
      </c>
      <c r="D27" s="62"/>
      <c r="E27" s="62"/>
      <c r="F27" s="62"/>
      <c r="G27" s="67">
        <v>34500</v>
      </c>
      <c r="H27" s="68">
        <f>SUMIFS(tblVerifyProjects[Forecast for the year],tblVerifyProjects[Type],"Hard saving")</f>
        <v>34500</v>
      </c>
      <c r="I27" s="65">
        <f>IF(AND(ISNUMBER($G$27),ISNUMBER($H$27)),ABS($H$27-$G$27),"")</f>
        <v>0</v>
      </c>
      <c r="J27" s="66">
        <v>1E-09</v>
      </c>
      <c r="K27" s="42" t="str">
        <f>IF(AND(ISNUMBER($G$27),ISNUMBER($H$27)),IF(ABS($H$27-$G$27)&lt;=$J$27,"PASS","FAIL"),"FAIL")</f>
        <v>PASS</v>
      </c>
    </row>
    <row r="28" spans="2:11" ht="16.2" customHeight="1">
      <c r="B28" s="64">
        <v>18</v>
      </c>
      <c r="C28" s="62" t="s">
        <v>280</v>
      </c>
      <c r="D28" s="62"/>
      <c r="E28" s="62"/>
      <c r="F28" s="62"/>
      <c r="G28" s="56">
        <v>5000</v>
      </c>
      <c r="H28" s="39">
        <f>SUMIFS(tblVerifyProjects[Realized to date],tblVerifyProjects[Type],"Cost avoidance")</f>
        <v>5000</v>
      </c>
      <c r="I28" s="65">
        <f>IF(AND(ISNUMBER($G$28),ISNUMBER($H$28)),ABS($H$28-$G$28),"")</f>
        <v>0</v>
      </c>
      <c r="J28" s="66">
        <v>1E-09</v>
      </c>
      <c r="K28" s="42" t="str">
        <f>IF(AND(ISNUMBER($G$28),ISNUMBER($H$28)),IF(ABS($H$28-$G$28)&lt;=$J$28,"PASS","FAIL"),"FAIL")</f>
        <v>PASS</v>
      </c>
    </row>
    <row r="29" spans="2:11" ht="16.2" customHeight="1">
      <c r="B29" s="64">
        <v>19</v>
      </c>
      <c r="C29" s="62" t="s">
        <v>281</v>
      </c>
      <c r="D29" s="62"/>
      <c r="E29" s="62"/>
      <c r="F29" s="62"/>
      <c r="G29" s="67">
        <v>4250</v>
      </c>
      <c r="H29" s="68">
        <f>$C$79</f>
        <v>4250</v>
      </c>
      <c r="I29" s="65">
        <f>IF(AND(ISNUMBER($G$29),ISNUMBER($H$29)),ABS($H$29-$G$29),"")</f>
        <v>0</v>
      </c>
      <c r="J29" s="66">
        <v>1E-09</v>
      </c>
      <c r="K29" s="42" t="str">
        <f>IF(AND(ISNUMBER($G$29),ISNUMBER($H$29)),IF(ABS($H$29-$G$29)&lt;=$J$29,"PASS","FAIL"),"FAIL")</f>
        <v>PASS</v>
      </c>
    </row>
    <row r="30" spans="2:11" ht="16.2" customHeight="1">
      <c r="B30" s="64">
        <v>20</v>
      </c>
      <c r="C30" s="62" t="s">
        <v>282</v>
      </c>
      <c r="D30" s="62"/>
      <c r="E30" s="62"/>
      <c r="F30" s="62"/>
      <c r="G30" s="56">
        <v>15000</v>
      </c>
      <c r="H30" s="39">
        <f>$F$80</f>
        <v>15000</v>
      </c>
      <c r="I30" s="65">
        <f>IF(AND(ISNUMBER($G$30),ISNUMBER($H$30)),ABS($H$30-$G$30),"")</f>
        <v>0</v>
      </c>
      <c r="J30" s="66">
        <v>1E-09</v>
      </c>
      <c r="K30" s="42" t="str">
        <f>IF(AND(ISNUMBER($G$30),ISNUMBER($H$30)),IF(ABS($H$30-$G$30)&lt;=$J$30,"PASS","FAIL"),"FAIL")</f>
        <v>PASS</v>
      </c>
    </row>
    <row r="31" spans="2:11" ht="16.2" customHeight="1">
      <c r="B31" s="64">
        <v>21</v>
      </c>
      <c r="C31" s="62" t="s">
        <v>283</v>
      </c>
      <c r="D31" s="62"/>
      <c r="E31" s="62"/>
      <c r="F31" s="62"/>
      <c r="G31" s="61" t="s">
        <v>137</v>
      </c>
      <c r="H31" s="38">
        <f>$F$81</f>
        <v/>
      </c>
      <c r="I31" s="38"/>
      <c r="J31" s="63" t="s">
        <v>263</v>
      </c>
      <c r="K31" s="42" t="str">
        <f>IF($H$31&amp;""=$G$31&amp;"","PASS","FAIL")</f>
        <v>PASS</v>
      </c>
    </row>
    <row r="33" spans="2:25" ht="21" customHeight="1">
      <c r="B33" s="8" t="s">
        <v>284</v>
      </c>
      <c r="C33" s="8"/>
      <c r="D33" s="8"/>
      <c r="E33" s="8"/>
      <c r="F33" s="8"/>
      <c r="G33" s="8"/>
      <c r="H33" s="8"/>
      <c r="I33" s="8"/>
      <c r="J33" s="8"/>
      <c r="K33" s="8"/>
      <c r="L33" s="8"/>
    </row>
    <row r="34" spans="2:25" ht="5" customHeight="1"/>
    <row r="35" spans="2:25">
      <c r="B35" s="21" t="s">
        <v>285</v>
      </c>
      <c r="C35" s="21"/>
      <c r="D35" s="21"/>
      <c r="E35" s="21"/>
      <c r="F35" s="21"/>
      <c r="G35" s="21"/>
      <c r="H35" s="21"/>
      <c r="I35" s="21"/>
      <c r="J35" s="21"/>
      <c r="K35" s="21"/>
      <c r="L35" s="21"/>
    </row>
    <row r="36" spans="2:25">
      <c r="B36" s="33" t="s">
        <v>286</v>
      </c>
      <c r="C36" s="33"/>
      <c r="D36" s="33"/>
      <c r="E36" s="33"/>
      <c r="F36" s="33"/>
    </row>
    <row r="37" spans="2:25">
      <c r="B37" s="27" t="s">
        <v>72</v>
      </c>
      <c r="C37" s="27"/>
      <c r="D37" s="27"/>
      <c r="E37" s="71">
        <v>46023</v>
      </c>
      <c r="F37" s="7"/>
    </row>
    <row r="38" spans="2:25">
      <c r="B38" s="27" t="s">
        <v>73</v>
      </c>
      <c r="C38" s="27"/>
      <c r="D38" s="27"/>
      <c r="E38" s="71">
        <v>46357</v>
      </c>
      <c r="F38" s="7"/>
    </row>
    <row r="39" spans="2:25">
      <c r="B39" s="27" t="s">
        <v>287</v>
      </c>
      <c r="C39" s="27"/>
      <c r="D39" s="27"/>
      <c r="E39" s="71">
        <v>46174</v>
      </c>
      <c r="F39" s="7"/>
    </row>
    <row r="40" spans="2:25">
      <c r="B40" s="27" t="s">
        <v>288</v>
      </c>
      <c r="C40" s="27"/>
      <c r="D40" s="27"/>
      <c r="E40" s="56">
        <v>12</v>
      </c>
      <c r="F40" s="7"/>
    </row>
    <row r="41" spans="2:25">
      <c r="B41" s="27" t="s">
        <v>78</v>
      </c>
      <c r="C41" s="27"/>
      <c r="D41" s="27"/>
      <c r="E41" s="72">
        <v>0.9</v>
      </c>
      <c r="F41" s="7"/>
    </row>
    <row r="42" spans="2:25">
      <c r="B42" s="27" t="s">
        <v>289</v>
      </c>
      <c r="C42" s="27"/>
      <c r="D42" s="27"/>
      <c r="E42" s="56">
        <v>60000</v>
      </c>
      <c r="F42" s="7"/>
    </row>
    <row r="44" spans="2:25">
      <c r="B44" s="33" t="s">
        <v>290</v>
      </c>
      <c r="C44" s="33"/>
      <c r="D44" s="33"/>
      <c r="E44" s="33"/>
      <c r="F44" s="33"/>
      <c r="G44" s="33"/>
      <c r="H44" s="33"/>
      <c r="I44" s="33"/>
      <c r="J44" s="33"/>
      <c r="K44" s="33"/>
      <c r="L44" s="33"/>
    </row>
    <row r="45" spans="2:25" ht="14" customHeight="1">
      <c r="B45" s="36"/>
      <c r="C45" s="36"/>
      <c r="D45" s="36"/>
      <c r="E45" s="36"/>
      <c r="F45" s="36"/>
      <c r="G45" s="36"/>
      <c r="H45" s="36"/>
      <c r="I45" s="36" t="str">
        <f>Currency&amp;"/yr"</f>
        <v>EUR/yr</v>
      </c>
      <c r="J45" s="36" t="str">
        <f>Currency&amp;"/yr"</f>
        <v>EUR/yr</v>
      </c>
      <c r="K45" s="36" t="str">
        <f>Currency</f>
        <v>EUR</v>
      </c>
      <c r="L45" s="36" t="str">
        <f>Currency&amp;"/yr"</f>
        <v>EUR/yr</v>
      </c>
      <c r="M45" s="36"/>
      <c r="N45" s="36" t="str">
        <f>Currency&amp;"/yr"</f>
        <v>EUR/yr</v>
      </c>
      <c r="O45" s="36"/>
      <c r="P45" s="36"/>
      <c r="Q45" s="36"/>
      <c r="R45" s="36" t="str">
        <f>Currency</f>
        <v>EUR</v>
      </c>
      <c r="S45" s="36" t="str">
        <f>Currency</f>
        <v>EUR</v>
      </c>
      <c r="T45" s="36" t="str">
        <f>Currency</f>
        <v>EUR</v>
      </c>
      <c r="U45" s="36"/>
      <c r="V45" s="36"/>
      <c r="W45" s="36" t="str">
        <f>Currency</f>
        <v>EUR</v>
      </c>
      <c r="X45" s="36"/>
      <c r="Y45" s="36"/>
    </row>
    <row r="46" spans="2:25" ht="32" customHeight="1">
      <c r="B46" s="34" t="s">
        <v>107</v>
      </c>
      <c r="C46" s="34" t="s">
        <v>108</v>
      </c>
      <c r="D46" s="34" t="s">
        <v>109</v>
      </c>
      <c r="E46" s="34" t="s">
        <v>62</v>
      </c>
      <c r="F46" s="34" t="s">
        <v>110</v>
      </c>
      <c r="G46" s="34" t="s">
        <v>64</v>
      </c>
      <c r="H46" s="34" t="s">
        <v>111</v>
      </c>
      <c r="I46" s="34" t="s">
        <v>112</v>
      </c>
      <c r="J46" s="34" t="s">
        <v>113</v>
      </c>
      <c r="K46" s="34" t="s">
        <v>114</v>
      </c>
      <c r="L46" s="34" t="s">
        <v>115</v>
      </c>
      <c r="M46" s="34" t="s">
        <v>66</v>
      </c>
      <c r="N46" s="34" t="s">
        <v>116</v>
      </c>
      <c r="O46" s="34" t="s">
        <v>117</v>
      </c>
      <c r="P46" s="34" t="s">
        <v>118</v>
      </c>
      <c r="Q46" s="34" t="s">
        <v>119</v>
      </c>
      <c r="R46" s="34" t="s">
        <v>120</v>
      </c>
      <c r="S46" s="34" t="s">
        <v>121</v>
      </c>
      <c r="T46" s="34" t="s">
        <v>122</v>
      </c>
      <c r="U46" s="34" t="s">
        <v>123</v>
      </c>
      <c r="V46" s="34" t="s">
        <v>124</v>
      </c>
      <c r="W46" s="34" t="s">
        <v>125</v>
      </c>
      <c r="X46" s="34" t="s">
        <v>126</v>
      </c>
      <c r="Y46" s="34" t="s">
        <v>127</v>
      </c>
    </row>
    <row r="47" spans="2:25">
      <c r="B47" s="61" t="s">
        <v>291</v>
      </c>
      <c r="C47" s="61" t="s">
        <v>292</v>
      </c>
      <c r="D47" s="61" t="s">
        <v>293</v>
      </c>
      <c r="E47" s="61" t="s">
        <v>88</v>
      </c>
      <c r="F47" s="61" t="s">
        <v>132</v>
      </c>
      <c r="G47" s="61" t="s">
        <v>105</v>
      </c>
      <c r="H47" s="71">
        <v>45931</v>
      </c>
      <c r="I47" s="56">
        <v>120000</v>
      </c>
      <c r="J47" s="56">
        <v>96000</v>
      </c>
      <c r="K47" s="56"/>
      <c r="L47" s="56"/>
      <c r="M47" s="61" t="s">
        <v>100</v>
      </c>
      <c r="N47" s="39">
        <f>IF(tblVerifyProjects[[#This Row],[ID]]="","",tblVerifyProjects[[#This Row],[Baseline cost]]-tblVerifyProjects[[#This Row],[Cost after]]-tblVerifyProjects[[#This Row],[Recurring cost added]])</f>
        <v>24000</v>
      </c>
      <c r="O47" s="40">
        <f>IF(tblVerifyProjects[[#This Row],[ID]]="","",IF(tblVerifyProjects[[#This Row],[Net annual savings]]&gt;0,tblVerifyProjects[[#This Row],[One-time cost]]/(tblVerifyProjects[[#This Row],[Net annual savings]]/12),""))</f>
        <v>0</v>
      </c>
      <c r="P47" s="30">
        <f>IF(tblVerifyProjects[[#This Row],[ID]]="","",MAX(DATE(YEAR(tblVerifyProjects[[#This Row],[Start month]]),MONTH(tblVerifyProjects[[#This Row],[Start month]]),1),$E$37))</f>
        <v>46023</v>
      </c>
      <c r="Q47" s="30">
        <f>IF(tblVerifyProjects[[#This Row],[ID]]="","",IF($E$40&gt;0,MIN($E$38,EDATE(DATE(YEAR(tblVerifyProjects[[#This Row],[Start month]]),MONTH(tblVerifyProjects[[#This Row],[Start month]]),1),$E$40-1)),$E$38))</f>
        <v>46266</v>
      </c>
      <c r="R47" s="39">
        <f>IF(tblVerifyProjects[[#This Row],[ID]]="","",IF(tblVerifyProjects[[#This Row],[Counts in plan]]="Yes",tblVerifyProjects[[#This Row],[Net annual savings]]/12*MAX(0,(YEAR(tblVerifyProjects[[#This Row],[Counted to]])-YEAR(tblVerifyProjects[[#This Row],[Counted from]]))*12+MONTH(tblVerifyProjects[[#This Row],[Counted to]])-MONTH(tblVerifyProjects[[#This Row],[Counted from]])+1),0))</f>
        <v>18000</v>
      </c>
      <c r="S47" s="39">
        <f>IF(tblVerifyProjects[[#This Row],[ID]]="","",IF(tblVerifyProjects[[#This Row],[Counts in plan]]="Yes",tblVerifyProjects[[#This Row],[Net annual savings]]/12*MAX(0,(YEAR(MIN(tblVerifyProjects[[#This Row],[Counted to]],$E$39))-YEAR(tblVerifyProjects[[#This Row],[Counted from]]))*12+MONTH(MIN(tblVerifyProjects[[#This Row],[Counted to]],$E$39))-MONTH(tblVerifyProjects[[#This Row],[Counted from]])+1),0))</f>
        <v>12000</v>
      </c>
      <c r="T47" s="39">
        <f>IF(tblVerifyProjects[[#This Row],[ID]]="","",SUMIFS(tblVerifySavings[Realized savings],tblVerifySavings[Project ID],tblVerifyProjects[[#This Row],[ID]],tblVerifySavings[Month],"&gt;="&amp;$E$37,tblVerifySavings[Month],"&lt;"&amp;EDATE($E$39,1)))</f>
        <v>11400</v>
      </c>
      <c r="U47" s="41">
        <f>IF(tblVerifyProjects[[#This Row],[ID]]="","",IF(tblVerifyProjects[[#This Row],[Plan to date]]&gt;0,tblVerifyProjects[[#This Row],[Realized to date]]/tblVerifyProjects[[#This Row],[Plan to date]],""))</f>
        <v>0.95</v>
      </c>
      <c r="V47" s="42" t="str">
        <f>IF(NOT(ISNUMBER(tblVerifyProjects[[#This Row],[Realization]])),"",IF(tblVerifyProjects[[#This Row],[Realization]]&gt;=$E$41,"On target",IF(tblVerifyProjects[[#This Row],[Realization]]&gt;=$E$41*(1-0.1),"Near target","Below target")))</f>
        <v>On target</v>
      </c>
      <c r="W47" s="39">
        <f>IF(tblVerifyProjects[[#This Row],[ID]]="","",tblVerifyProjects[[#This Row],[Realized to date]]+IF(tblVerifyProjects[[#This Row],[Counts in plan]]="Yes",tblVerifyProjects[[#This Row],[Net annual savings]]/12*MAX(0,(YEAR(tblVerifyProjects[[#This Row],[Counted to]])-YEAR(MAX(tblVerifyProjects[[#This Row],[Counted from]],EDATE($E$39,1))))*12+MONTH(tblVerifyProjects[[#This Row],[Counted to]])-MONTH(MAX(tblVerifyProjects[[#This Row],[Counted from]],EDATE($E$39,1)))+1),0))</f>
        <v>17400</v>
      </c>
      <c r="X47" s="43" t="str">
        <f>IF(tblVerifyProjects[[#This Row],[ID]]="","",IF(tblVerifyProjects[[#This Row],[Project]]="","Missing project",IF(tblVerifyProjects[[#This Row],[Category]]="","Missing category",IF(tblVerifyProjects[[#This Row],[Type]]="","Missing type",IF(tblVerifyProjects[[#This Row],[Stage]]="","Missing stage",IF(tblVerifyProjects[[#This Row],[Start month]]="","Missing start month",IF(tblVerifyProjects[[#This Row],[Baseline cost]]="","Missing baseline cost",IF(COUNTIFS(tblVerifyProjects[ID],tblVerifyProjects[[#This Row],[ID]])&gt;1,"Duplicate ID",IF(tblVerifyProjects[[#This Row],[Counts in plan]]="","Stage not on Setup list",IF(tblVerifyProjects[[#This Row],[Cost after]]&gt;tblVerifyProjects[[#This Row],[Baseline cost]],"Cost after above baseline",IF(AND(tblVerifyProjects[[#This Row],[Realized to date]]&gt;0,tblVerifyProjects[[#This Row],[Counts in plan]]="No"),"Savings logged at a stage not in plan","OK")))))))))))</f>
        <v>OK</v>
      </c>
      <c r="Y47" s="61"/>
    </row>
    <row r="48" spans="2:25">
      <c r="B48" s="61" t="s">
        <v>294</v>
      </c>
      <c r="C48" s="61" t="s">
        <v>295</v>
      </c>
      <c r="D48" s="61" t="s">
        <v>296</v>
      </c>
      <c r="E48" s="61" t="s">
        <v>88</v>
      </c>
      <c r="F48" s="61" t="s">
        <v>132</v>
      </c>
      <c r="G48" s="61" t="s">
        <v>101</v>
      </c>
      <c r="H48" s="71">
        <v>46127</v>
      </c>
      <c r="I48" s="56">
        <v>80000</v>
      </c>
      <c r="J48" s="56">
        <v>50000</v>
      </c>
      <c r="K48" s="56">
        <v>18000</v>
      </c>
      <c r="L48" s="56">
        <v>3000</v>
      </c>
      <c r="M48" s="61" t="s">
        <v>100</v>
      </c>
      <c r="N48" s="39">
        <f>IF(tblVerifyProjects[[#This Row],[ID]]="","",tblVerifyProjects[[#This Row],[Baseline cost]]-tblVerifyProjects[[#This Row],[Cost after]]-tblVerifyProjects[[#This Row],[Recurring cost added]])</f>
        <v>27000</v>
      </c>
      <c r="O48" s="40">
        <f>IF(tblVerifyProjects[[#This Row],[ID]]="","",IF(tblVerifyProjects[[#This Row],[Net annual savings]]&gt;0,tblVerifyProjects[[#This Row],[One-time cost]]/(tblVerifyProjects[[#This Row],[Net annual savings]]/12),""))</f>
        <v>8</v>
      </c>
      <c r="P48" s="30">
        <f>IF(tblVerifyProjects[[#This Row],[ID]]="","",MAX(DATE(YEAR(tblVerifyProjects[[#This Row],[Start month]]),MONTH(tblVerifyProjects[[#This Row],[Start month]]),1),$E$37))</f>
        <v>46113</v>
      </c>
      <c r="Q48" s="30">
        <f>IF(tblVerifyProjects[[#This Row],[ID]]="","",IF($E$40&gt;0,MIN($E$38,EDATE(DATE(YEAR(tblVerifyProjects[[#This Row],[Start month]]),MONTH(tblVerifyProjects[[#This Row],[Start month]]),1),$E$40-1)),$E$38))</f>
        <v>46357</v>
      </c>
      <c r="R48" s="39">
        <f>IF(tblVerifyProjects[[#This Row],[ID]]="","",IF(tblVerifyProjects[[#This Row],[Counts in plan]]="Yes",tblVerifyProjects[[#This Row],[Net annual savings]]/12*MAX(0,(YEAR(tblVerifyProjects[[#This Row],[Counted to]])-YEAR(tblVerifyProjects[[#This Row],[Counted from]]))*12+MONTH(tblVerifyProjects[[#This Row],[Counted to]])-MONTH(tblVerifyProjects[[#This Row],[Counted from]])+1),0))</f>
        <v>20250</v>
      </c>
      <c r="S48" s="39">
        <f>IF(tblVerifyProjects[[#This Row],[ID]]="","",IF(tblVerifyProjects[[#This Row],[Counts in plan]]="Yes",tblVerifyProjects[[#This Row],[Net annual savings]]/12*MAX(0,(YEAR(MIN(tblVerifyProjects[[#This Row],[Counted to]],$E$39))-YEAR(tblVerifyProjects[[#This Row],[Counted from]]))*12+MONTH(MIN(tblVerifyProjects[[#This Row],[Counted to]],$E$39))-MONTH(tblVerifyProjects[[#This Row],[Counted from]])+1),0))</f>
        <v>6750</v>
      </c>
      <c r="T48" s="39">
        <f>IF(tblVerifyProjects[[#This Row],[ID]]="","",SUMIFS(tblVerifySavings[Realized savings],tblVerifySavings[Project ID],tblVerifyProjects[[#This Row],[ID]],tblVerifySavings[Month],"&gt;="&amp;$E$37,tblVerifySavings[Month],"&lt;"&amp;EDATE($E$39,1)))</f>
        <v>3600</v>
      </c>
      <c r="U48" s="41">
        <f>IF(tblVerifyProjects[[#This Row],[ID]]="","",IF(tblVerifyProjects[[#This Row],[Plan to date]]&gt;0,tblVerifyProjects[[#This Row],[Realized to date]]/tblVerifyProjects[[#This Row],[Plan to date]],""))</f>
        <v>0.533333333333333</v>
      </c>
      <c r="V48" s="42" t="str">
        <f>IF(NOT(ISNUMBER(tblVerifyProjects[[#This Row],[Realization]])),"",IF(tblVerifyProjects[[#This Row],[Realization]]&gt;=$E$41,"On target",IF(tblVerifyProjects[[#This Row],[Realization]]&gt;=$E$41*(1-0.1),"Near target","Below target")))</f>
        <v>Below target</v>
      </c>
      <c r="W48" s="39">
        <f>IF(tblVerifyProjects[[#This Row],[ID]]="","",tblVerifyProjects[[#This Row],[Realized to date]]+IF(tblVerifyProjects[[#This Row],[Counts in plan]]="Yes",tblVerifyProjects[[#This Row],[Net annual savings]]/12*MAX(0,(YEAR(tblVerifyProjects[[#This Row],[Counted to]])-YEAR(MAX(tblVerifyProjects[[#This Row],[Counted from]],EDATE($E$39,1))))*12+MONTH(tblVerifyProjects[[#This Row],[Counted to]])-MONTH(MAX(tblVerifyProjects[[#This Row],[Counted from]],EDATE($E$39,1)))+1),0))</f>
        <v>17100</v>
      </c>
      <c r="X48" s="43" t="str">
        <f>IF(tblVerifyProjects[[#This Row],[ID]]="","",IF(tblVerifyProjects[[#This Row],[Project]]="","Missing project",IF(tblVerifyProjects[[#This Row],[Category]]="","Missing category",IF(tblVerifyProjects[[#This Row],[Type]]="","Missing type",IF(tblVerifyProjects[[#This Row],[Stage]]="","Missing stage",IF(tblVerifyProjects[[#This Row],[Start month]]="","Missing start month",IF(tblVerifyProjects[[#This Row],[Baseline cost]]="","Missing baseline cost",IF(COUNTIFS(tblVerifyProjects[ID],tblVerifyProjects[[#This Row],[ID]])&gt;1,"Duplicate ID",IF(tblVerifyProjects[[#This Row],[Counts in plan]]="","Stage not on Setup list",IF(tblVerifyProjects[[#This Row],[Cost after]]&gt;tblVerifyProjects[[#This Row],[Baseline cost]],"Cost after above baseline",IF(AND(tblVerifyProjects[[#This Row],[Realized to date]]&gt;0,tblVerifyProjects[[#This Row],[Counts in plan]]="No"),"Savings logged at a stage not in plan","OK")))))))))))</f>
        <v>OK</v>
      </c>
      <c r="Y48" s="61"/>
    </row>
    <row r="49" spans="2:25">
      <c r="B49" s="61" t="s">
        <v>297</v>
      </c>
      <c r="C49" s="61" t="s">
        <v>95</v>
      </c>
      <c r="D49" s="61" t="s">
        <v>298</v>
      </c>
      <c r="E49" s="61" t="s">
        <v>88</v>
      </c>
      <c r="F49" s="61" t="s">
        <v>132</v>
      </c>
      <c r="G49" s="61" t="s">
        <v>95</v>
      </c>
      <c r="H49" s="71">
        <v>46266</v>
      </c>
      <c r="I49" s="56">
        <v>30000</v>
      </c>
      <c r="J49" s="56">
        <v>20000</v>
      </c>
      <c r="K49" s="56"/>
      <c r="L49" s="56"/>
      <c r="M49" s="61" t="s">
        <v>97</v>
      </c>
      <c r="N49" s="39">
        <f>IF(tblVerifyProjects[[#This Row],[ID]]="","",tblVerifyProjects[[#This Row],[Baseline cost]]-tblVerifyProjects[[#This Row],[Cost after]]-tblVerifyProjects[[#This Row],[Recurring cost added]])</f>
        <v>10000</v>
      </c>
      <c r="O49" s="40">
        <f>IF(tblVerifyProjects[[#This Row],[ID]]="","",IF(tblVerifyProjects[[#This Row],[Net annual savings]]&gt;0,tblVerifyProjects[[#This Row],[One-time cost]]/(tblVerifyProjects[[#This Row],[Net annual savings]]/12),""))</f>
        <v>0</v>
      </c>
      <c r="P49" s="30">
        <f>IF(tblVerifyProjects[[#This Row],[ID]]="","",MAX(DATE(YEAR(tblVerifyProjects[[#This Row],[Start month]]),MONTH(tblVerifyProjects[[#This Row],[Start month]]),1),$E$37))</f>
        <v>46266</v>
      </c>
      <c r="Q49" s="30">
        <f>IF(tblVerifyProjects[[#This Row],[ID]]="","",IF($E$40&gt;0,MIN($E$38,EDATE(DATE(YEAR(tblVerifyProjects[[#This Row],[Start month]]),MONTH(tblVerifyProjects[[#This Row],[Start month]]),1),$E$40-1)),$E$38))</f>
        <v>46357</v>
      </c>
      <c r="R49" s="39">
        <f>IF(tblVerifyProjects[[#This Row],[ID]]="","",IF(tblVerifyProjects[[#This Row],[Counts in plan]]="Yes",tblVerifyProjects[[#This Row],[Net annual savings]]/12*MAX(0,(YEAR(tblVerifyProjects[[#This Row],[Counted to]])-YEAR(tblVerifyProjects[[#This Row],[Counted from]]))*12+MONTH(tblVerifyProjects[[#This Row],[Counted to]])-MONTH(tblVerifyProjects[[#This Row],[Counted from]])+1),0))</f>
        <v>0</v>
      </c>
      <c r="S49" s="39">
        <f>IF(tblVerifyProjects[[#This Row],[ID]]="","",IF(tblVerifyProjects[[#This Row],[Counts in plan]]="Yes",tblVerifyProjects[[#This Row],[Net annual savings]]/12*MAX(0,(YEAR(MIN(tblVerifyProjects[[#This Row],[Counted to]],$E$39))-YEAR(tblVerifyProjects[[#This Row],[Counted from]]))*12+MONTH(MIN(tblVerifyProjects[[#This Row],[Counted to]],$E$39))-MONTH(tblVerifyProjects[[#This Row],[Counted from]])+1),0))</f>
        <v>0</v>
      </c>
      <c r="T49" s="39">
        <f>IF(tblVerifyProjects[[#This Row],[ID]]="","",SUMIFS(tblVerifySavings[Realized savings],tblVerifySavings[Project ID],tblVerifyProjects[[#This Row],[ID]],tblVerifySavings[Month],"&gt;="&amp;$E$37,tblVerifySavings[Month],"&lt;"&amp;EDATE($E$39,1)))</f>
        <v>0</v>
      </c>
      <c r="U49" s="41">
        <f>IF(tblVerifyProjects[[#This Row],[ID]]="","",IF(tblVerifyProjects[[#This Row],[Plan to date]]&gt;0,tblVerifyProjects[[#This Row],[Realized to date]]/tblVerifyProjects[[#This Row],[Plan to date]],""))</f>
        <v/>
      </c>
      <c r="V49" s="42">
        <f>IF(NOT(ISNUMBER(tblVerifyProjects[[#This Row],[Realization]])),"",IF(tblVerifyProjects[[#This Row],[Realization]]&gt;=$E$41,"On target",IF(tblVerifyProjects[[#This Row],[Realization]]&gt;=$E$41*(1-0.1),"Near target","Below target")))</f>
        <v/>
      </c>
      <c r="W49" s="39">
        <f>IF(tblVerifyProjects[[#This Row],[ID]]="","",tblVerifyProjects[[#This Row],[Realized to date]]+IF(tblVerifyProjects[[#This Row],[Counts in plan]]="Yes",tblVerifyProjects[[#This Row],[Net annual savings]]/12*MAX(0,(YEAR(tblVerifyProjects[[#This Row],[Counted to]])-YEAR(MAX(tblVerifyProjects[[#This Row],[Counted from]],EDATE($E$39,1))))*12+MONTH(tblVerifyProjects[[#This Row],[Counted to]])-MONTH(MAX(tblVerifyProjects[[#This Row],[Counted from]],EDATE($E$39,1)))+1),0))</f>
        <v>0</v>
      </c>
      <c r="X49" s="43" t="str">
        <f>IF(tblVerifyProjects[[#This Row],[ID]]="","",IF(tblVerifyProjects[[#This Row],[Project]]="","Missing project",IF(tblVerifyProjects[[#This Row],[Category]]="","Missing category",IF(tblVerifyProjects[[#This Row],[Type]]="","Missing type",IF(tblVerifyProjects[[#This Row],[Stage]]="","Missing stage",IF(tblVerifyProjects[[#This Row],[Start month]]="","Missing start month",IF(tblVerifyProjects[[#This Row],[Baseline cost]]="","Missing baseline cost",IF(COUNTIFS(tblVerifyProjects[ID],tblVerifyProjects[[#This Row],[ID]])&gt;1,"Duplicate ID",IF(tblVerifyProjects[[#This Row],[Counts in plan]]="","Stage not on Setup list",IF(tblVerifyProjects[[#This Row],[Cost after]]&gt;tblVerifyProjects[[#This Row],[Baseline cost]],"Cost after above baseline",IF(AND(tblVerifyProjects[[#This Row],[Realized to date]]&gt;0,tblVerifyProjects[[#This Row],[Counts in plan]]="No"),"Savings logged at a stage not in plan","OK")))))))))))</f>
        <v>OK</v>
      </c>
      <c r="Y49" s="61"/>
    </row>
    <row r="50" spans="2:25">
      <c r="B50" s="61" t="s">
        <v>299</v>
      </c>
      <c r="C50" s="61" t="s">
        <v>300</v>
      </c>
      <c r="D50" s="61" t="s">
        <v>301</v>
      </c>
      <c r="E50" s="61" t="s">
        <v>88</v>
      </c>
      <c r="F50" s="61" t="s">
        <v>156</v>
      </c>
      <c r="G50" s="61" t="s">
        <v>105</v>
      </c>
      <c r="H50" s="71">
        <v>46054</v>
      </c>
      <c r="I50" s="56">
        <v>12000</v>
      </c>
      <c r="J50" s="56">
        <v>0</v>
      </c>
      <c r="K50" s="56"/>
      <c r="L50" s="56"/>
      <c r="M50" s="61" t="s">
        <v>100</v>
      </c>
      <c r="N50" s="39">
        <f>IF(tblVerifyProjects[[#This Row],[ID]]="","",tblVerifyProjects[[#This Row],[Baseline cost]]-tblVerifyProjects[[#This Row],[Cost after]]-tblVerifyProjects[[#This Row],[Recurring cost added]])</f>
        <v>12000</v>
      </c>
      <c r="O50" s="40">
        <f>IF(tblVerifyProjects[[#This Row],[ID]]="","",IF(tblVerifyProjects[[#This Row],[Net annual savings]]&gt;0,tblVerifyProjects[[#This Row],[One-time cost]]/(tblVerifyProjects[[#This Row],[Net annual savings]]/12),""))</f>
        <v>0</v>
      </c>
      <c r="P50" s="30">
        <f>IF(tblVerifyProjects[[#This Row],[ID]]="","",MAX(DATE(YEAR(tblVerifyProjects[[#This Row],[Start month]]),MONTH(tblVerifyProjects[[#This Row],[Start month]]),1),$E$37))</f>
        <v>46054</v>
      </c>
      <c r="Q50" s="30">
        <f>IF(tblVerifyProjects[[#This Row],[ID]]="","",IF($E$40&gt;0,MIN($E$38,EDATE(DATE(YEAR(tblVerifyProjects[[#This Row],[Start month]]),MONTH(tblVerifyProjects[[#This Row],[Start month]]),1),$E$40-1)),$E$38))</f>
        <v>46357</v>
      </c>
      <c r="R50" s="39">
        <f>IF(tblVerifyProjects[[#This Row],[ID]]="","",IF(tblVerifyProjects[[#This Row],[Counts in plan]]="Yes",tblVerifyProjects[[#This Row],[Net annual savings]]/12*MAX(0,(YEAR(tblVerifyProjects[[#This Row],[Counted to]])-YEAR(tblVerifyProjects[[#This Row],[Counted from]]))*12+MONTH(tblVerifyProjects[[#This Row],[Counted to]])-MONTH(tblVerifyProjects[[#This Row],[Counted from]])+1),0))</f>
        <v>11000</v>
      </c>
      <c r="S50" s="39">
        <f>IF(tblVerifyProjects[[#This Row],[ID]]="","",IF(tblVerifyProjects[[#This Row],[Counts in plan]]="Yes",tblVerifyProjects[[#This Row],[Net annual savings]]/12*MAX(0,(YEAR(MIN(tblVerifyProjects[[#This Row],[Counted to]],$E$39))-YEAR(tblVerifyProjects[[#This Row],[Counted from]]))*12+MONTH(MIN(tblVerifyProjects[[#This Row],[Counted to]],$E$39))-MONTH(tblVerifyProjects[[#This Row],[Counted from]])+1),0))</f>
        <v>5000</v>
      </c>
      <c r="T50" s="39">
        <f>IF(tblVerifyProjects[[#This Row],[ID]]="","",SUMIFS(tblVerifySavings[Realized savings],tblVerifySavings[Project ID],tblVerifyProjects[[#This Row],[ID]],tblVerifySavings[Month],"&gt;="&amp;$E$37,tblVerifySavings[Month],"&lt;"&amp;EDATE($E$39,1)))</f>
        <v>5000</v>
      </c>
      <c r="U50" s="41">
        <f>IF(tblVerifyProjects[[#This Row],[ID]]="","",IF(tblVerifyProjects[[#This Row],[Plan to date]]&gt;0,tblVerifyProjects[[#This Row],[Realized to date]]/tblVerifyProjects[[#This Row],[Plan to date]],""))</f>
        <v>1</v>
      </c>
      <c r="V50" s="42" t="str">
        <f>IF(NOT(ISNUMBER(tblVerifyProjects[[#This Row],[Realization]])),"",IF(tblVerifyProjects[[#This Row],[Realization]]&gt;=$E$41,"On target",IF(tblVerifyProjects[[#This Row],[Realization]]&gt;=$E$41*(1-0.1),"Near target","Below target")))</f>
        <v>On target</v>
      </c>
      <c r="W50" s="39">
        <f>IF(tblVerifyProjects[[#This Row],[ID]]="","",tblVerifyProjects[[#This Row],[Realized to date]]+IF(tblVerifyProjects[[#This Row],[Counts in plan]]="Yes",tblVerifyProjects[[#This Row],[Net annual savings]]/12*MAX(0,(YEAR(tblVerifyProjects[[#This Row],[Counted to]])-YEAR(MAX(tblVerifyProjects[[#This Row],[Counted from]],EDATE($E$39,1))))*12+MONTH(tblVerifyProjects[[#This Row],[Counted to]])-MONTH(MAX(tblVerifyProjects[[#This Row],[Counted from]],EDATE($E$39,1)))+1),0))</f>
        <v>11000</v>
      </c>
      <c r="X50" s="43" t="str">
        <f>IF(tblVerifyProjects[[#This Row],[ID]]="","",IF(tblVerifyProjects[[#This Row],[Project]]="","Missing project",IF(tblVerifyProjects[[#This Row],[Category]]="","Missing category",IF(tblVerifyProjects[[#This Row],[Type]]="","Missing type",IF(tblVerifyProjects[[#This Row],[Stage]]="","Missing stage",IF(tblVerifyProjects[[#This Row],[Start month]]="","Missing start month",IF(tblVerifyProjects[[#This Row],[Baseline cost]]="","Missing baseline cost",IF(COUNTIFS(tblVerifyProjects[ID],tblVerifyProjects[[#This Row],[ID]])&gt;1,"Duplicate ID",IF(tblVerifyProjects[[#This Row],[Counts in plan]]="","Stage not on Setup list",IF(tblVerifyProjects[[#This Row],[Cost after]]&gt;tblVerifyProjects[[#This Row],[Baseline cost]],"Cost after above baseline",IF(AND(tblVerifyProjects[[#This Row],[Realized to date]]&gt;0,tblVerifyProjects[[#This Row],[Counts in plan]]="No"),"Savings logged at a stage not in plan","OK")))))))))))</f>
        <v>OK</v>
      </c>
      <c r="Y50" s="61"/>
    </row>
    <row r="51" spans="2:25">
      <c r="B51" s="61" t="s">
        <v>302</v>
      </c>
      <c r="C51" s="61" t="s">
        <v>303</v>
      </c>
      <c r="D51" s="61" t="s">
        <v>304</v>
      </c>
      <c r="E51" s="61" t="s">
        <v>88</v>
      </c>
      <c r="F51" s="61" t="s">
        <v>132</v>
      </c>
      <c r="G51" s="61" t="s">
        <v>95</v>
      </c>
      <c r="H51" s="71">
        <v>46082</v>
      </c>
      <c r="I51" s="56">
        <v>10000</v>
      </c>
      <c r="J51" s="56">
        <v>11000</v>
      </c>
      <c r="K51" s="56"/>
      <c r="L51" s="56"/>
      <c r="M51" s="61" t="s">
        <v>97</v>
      </c>
      <c r="N51" s="39">
        <f>IF(tblVerifyProjects[[#This Row],[ID]]="","",tblVerifyProjects[[#This Row],[Baseline cost]]-tblVerifyProjects[[#This Row],[Cost after]]-tblVerifyProjects[[#This Row],[Recurring cost added]])</f>
        <v>-1000</v>
      </c>
      <c r="O51" s="40">
        <f>IF(tblVerifyProjects[[#This Row],[ID]]="","",IF(tblVerifyProjects[[#This Row],[Net annual savings]]&gt;0,tblVerifyProjects[[#This Row],[One-time cost]]/(tblVerifyProjects[[#This Row],[Net annual savings]]/12),""))</f>
        <v/>
      </c>
      <c r="P51" s="30">
        <f>IF(tblVerifyProjects[[#This Row],[ID]]="","",MAX(DATE(YEAR(tblVerifyProjects[[#This Row],[Start month]]),MONTH(tblVerifyProjects[[#This Row],[Start month]]),1),$E$37))</f>
        <v>46082</v>
      </c>
      <c r="Q51" s="30">
        <f>IF(tblVerifyProjects[[#This Row],[ID]]="","",IF($E$40&gt;0,MIN($E$38,EDATE(DATE(YEAR(tblVerifyProjects[[#This Row],[Start month]]),MONTH(tblVerifyProjects[[#This Row],[Start month]]),1),$E$40-1)),$E$38))</f>
        <v>46357</v>
      </c>
      <c r="R51" s="39">
        <f>IF(tblVerifyProjects[[#This Row],[ID]]="","",IF(tblVerifyProjects[[#This Row],[Counts in plan]]="Yes",tblVerifyProjects[[#This Row],[Net annual savings]]/12*MAX(0,(YEAR(tblVerifyProjects[[#This Row],[Counted to]])-YEAR(tblVerifyProjects[[#This Row],[Counted from]]))*12+MONTH(tblVerifyProjects[[#This Row],[Counted to]])-MONTH(tblVerifyProjects[[#This Row],[Counted from]])+1),0))</f>
        <v>0</v>
      </c>
      <c r="S51" s="39">
        <f>IF(tblVerifyProjects[[#This Row],[ID]]="","",IF(tblVerifyProjects[[#This Row],[Counts in plan]]="Yes",tblVerifyProjects[[#This Row],[Net annual savings]]/12*MAX(0,(YEAR(MIN(tblVerifyProjects[[#This Row],[Counted to]],$E$39))-YEAR(tblVerifyProjects[[#This Row],[Counted from]]))*12+MONTH(MIN(tblVerifyProjects[[#This Row],[Counted to]],$E$39))-MONTH(tblVerifyProjects[[#This Row],[Counted from]])+1),0))</f>
        <v>0</v>
      </c>
      <c r="T51" s="39">
        <f>IF(tblVerifyProjects[[#This Row],[ID]]="","",SUMIFS(tblVerifySavings[Realized savings],tblVerifySavings[Project ID],tblVerifyProjects[[#This Row],[ID]],tblVerifySavings[Month],"&gt;="&amp;$E$37,tblVerifySavings[Month],"&lt;"&amp;EDATE($E$39,1)))</f>
        <v>0</v>
      </c>
      <c r="U51" s="41">
        <f>IF(tblVerifyProjects[[#This Row],[ID]]="","",IF(tblVerifyProjects[[#This Row],[Plan to date]]&gt;0,tblVerifyProjects[[#This Row],[Realized to date]]/tblVerifyProjects[[#This Row],[Plan to date]],""))</f>
        <v/>
      </c>
      <c r="V51" s="42">
        <f>IF(NOT(ISNUMBER(tblVerifyProjects[[#This Row],[Realization]])),"",IF(tblVerifyProjects[[#This Row],[Realization]]&gt;=$E$41,"On target",IF(tblVerifyProjects[[#This Row],[Realization]]&gt;=$E$41*(1-0.1),"Near target","Below target")))</f>
        <v/>
      </c>
      <c r="W51" s="39">
        <f>IF(tblVerifyProjects[[#This Row],[ID]]="","",tblVerifyProjects[[#This Row],[Realized to date]]+IF(tblVerifyProjects[[#This Row],[Counts in plan]]="Yes",tblVerifyProjects[[#This Row],[Net annual savings]]/12*MAX(0,(YEAR(tblVerifyProjects[[#This Row],[Counted to]])-YEAR(MAX(tblVerifyProjects[[#This Row],[Counted from]],EDATE($E$39,1))))*12+MONTH(tblVerifyProjects[[#This Row],[Counted to]])-MONTH(MAX(tblVerifyProjects[[#This Row],[Counted from]],EDATE($E$39,1)))+1),0))</f>
        <v>0</v>
      </c>
      <c r="X51" s="43" t="str">
        <f>IF(tblVerifyProjects[[#This Row],[ID]]="","",IF(tblVerifyProjects[[#This Row],[Project]]="","Missing project",IF(tblVerifyProjects[[#This Row],[Category]]="","Missing category",IF(tblVerifyProjects[[#This Row],[Type]]="","Missing type",IF(tblVerifyProjects[[#This Row],[Stage]]="","Missing stage",IF(tblVerifyProjects[[#This Row],[Start month]]="","Missing start month",IF(tblVerifyProjects[[#This Row],[Baseline cost]]="","Missing baseline cost",IF(COUNTIFS(tblVerifyProjects[ID],tblVerifyProjects[[#This Row],[ID]])&gt;1,"Duplicate ID",IF(tblVerifyProjects[[#This Row],[Counts in plan]]="","Stage not on Setup list",IF(tblVerifyProjects[[#This Row],[Cost after]]&gt;tblVerifyProjects[[#This Row],[Baseline cost]],"Cost after above baseline",IF(AND(tblVerifyProjects[[#This Row],[Realized to date]]&gt;0,tblVerifyProjects[[#This Row],[Counts in plan]]="No"),"Savings logged at a stage not in plan","OK")))))))))))</f>
        <v>Cost after above baseline</v>
      </c>
      <c r="Y51" s="61"/>
    </row>
    <row r="53" spans="2:25">
      <c r="B53" s="33" t="s">
        <v>305</v>
      </c>
      <c r="C53" s="33"/>
      <c r="D53" s="33"/>
      <c r="E53" s="33"/>
      <c r="F53" s="33"/>
      <c r="G53" s="33"/>
      <c r="H53" s="33"/>
      <c r="I53" s="33"/>
      <c r="J53" s="33"/>
      <c r="K53" s="33"/>
      <c r="L53" s="33"/>
    </row>
    <row r="54" spans="2:25" ht="14" customHeight="1">
      <c r="B54" s="36"/>
      <c r="C54" s="36"/>
      <c r="D54" s="36" t="str">
        <f>Currency</f>
        <v>EUR</v>
      </c>
      <c r="E54" s="36"/>
      <c r="F54" s="36"/>
      <c r="G54" s="36"/>
      <c r="H54" s="36"/>
      <c r="I54" s="36"/>
      <c r="J54" s="36"/>
    </row>
    <row r="55" spans="2:25" ht="32" customHeight="1">
      <c r="B55" s="34" t="s">
        <v>170</v>
      </c>
      <c r="C55" s="34" t="s">
        <v>171</v>
      </c>
      <c r="D55" s="34" t="s">
        <v>172</v>
      </c>
      <c r="E55" s="34" t="s">
        <v>173</v>
      </c>
      <c r="F55" s="34" t="s">
        <v>108</v>
      </c>
      <c r="G55" s="34" t="s">
        <v>62</v>
      </c>
      <c r="H55" s="34" t="s">
        <v>110</v>
      </c>
      <c r="I55" s="34" t="s">
        <v>126</v>
      </c>
      <c r="J55" s="34" t="s">
        <v>127</v>
      </c>
    </row>
    <row r="56" spans="2:25">
      <c r="B56" s="71">
        <v>46023</v>
      </c>
      <c r="C56" s="61" t="s">
        <v>291</v>
      </c>
      <c r="D56" s="56">
        <v>1900</v>
      </c>
      <c r="E56" s="61"/>
      <c r="F56" s="61" t="s">
        <v>292</v>
      </c>
      <c r="G56" s="61" t="s">
        <v>88</v>
      </c>
      <c r="H56" s="61" t="s">
        <v>132</v>
      </c>
      <c r="I56"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56" s="61"/>
    </row>
    <row r="57" spans="2:25">
      <c r="B57" s="71">
        <v>46054</v>
      </c>
      <c r="C57" s="61" t="s">
        <v>291</v>
      </c>
      <c r="D57" s="56">
        <v>1900</v>
      </c>
      <c r="E57" s="61"/>
      <c r="F57" s="61" t="s">
        <v>292</v>
      </c>
      <c r="G57" s="61" t="s">
        <v>88</v>
      </c>
      <c r="H57" s="61" t="s">
        <v>132</v>
      </c>
      <c r="I57"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57" s="61"/>
    </row>
    <row r="58" spans="2:25">
      <c r="B58" s="71">
        <v>46082</v>
      </c>
      <c r="C58" s="61" t="s">
        <v>291</v>
      </c>
      <c r="D58" s="56">
        <v>1900</v>
      </c>
      <c r="E58" s="61"/>
      <c r="F58" s="61" t="s">
        <v>292</v>
      </c>
      <c r="G58" s="61" t="s">
        <v>88</v>
      </c>
      <c r="H58" s="61" t="s">
        <v>132</v>
      </c>
      <c r="I58"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58" s="61"/>
    </row>
    <row r="59" spans="2:25">
      <c r="B59" s="71">
        <v>46113</v>
      </c>
      <c r="C59" s="61" t="s">
        <v>291</v>
      </c>
      <c r="D59" s="56">
        <v>1900</v>
      </c>
      <c r="E59" s="61"/>
      <c r="F59" s="61" t="s">
        <v>292</v>
      </c>
      <c r="G59" s="61" t="s">
        <v>88</v>
      </c>
      <c r="H59" s="61" t="s">
        <v>132</v>
      </c>
      <c r="I59"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59" s="61"/>
    </row>
    <row r="60" spans="2:25">
      <c r="B60" s="71">
        <v>46143</v>
      </c>
      <c r="C60" s="61" t="s">
        <v>291</v>
      </c>
      <c r="D60" s="56">
        <v>1900</v>
      </c>
      <c r="E60" s="61"/>
      <c r="F60" s="61" t="s">
        <v>292</v>
      </c>
      <c r="G60" s="61" t="s">
        <v>88</v>
      </c>
      <c r="H60" s="61" t="s">
        <v>132</v>
      </c>
      <c r="I60"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60" s="61"/>
    </row>
    <row r="61" spans="2:25">
      <c r="B61" s="71">
        <v>46174</v>
      </c>
      <c r="C61" s="61" t="s">
        <v>291</v>
      </c>
      <c r="D61" s="56">
        <v>1900</v>
      </c>
      <c r="E61" s="61"/>
      <c r="F61" s="61" t="s">
        <v>292</v>
      </c>
      <c r="G61" s="61" t="s">
        <v>88</v>
      </c>
      <c r="H61" s="61" t="s">
        <v>132</v>
      </c>
      <c r="I61"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61" s="61"/>
    </row>
    <row r="62" spans="2:25">
      <c r="B62" s="71">
        <v>46113</v>
      </c>
      <c r="C62" s="61" t="s">
        <v>294</v>
      </c>
      <c r="D62" s="56">
        <v>1200</v>
      </c>
      <c r="E62" s="61"/>
      <c r="F62" s="61" t="s">
        <v>295</v>
      </c>
      <c r="G62" s="61" t="s">
        <v>88</v>
      </c>
      <c r="H62" s="61" t="s">
        <v>132</v>
      </c>
      <c r="I62"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62" s="61"/>
    </row>
    <row r="63" spans="2:25">
      <c r="B63" s="71">
        <v>46143</v>
      </c>
      <c r="C63" s="61" t="s">
        <v>294</v>
      </c>
      <c r="D63" s="56">
        <v>1200</v>
      </c>
      <c r="E63" s="61"/>
      <c r="F63" s="61" t="s">
        <v>295</v>
      </c>
      <c r="G63" s="61" t="s">
        <v>88</v>
      </c>
      <c r="H63" s="61" t="s">
        <v>132</v>
      </c>
      <c r="I63"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63" s="61"/>
    </row>
    <row r="64" spans="2:25">
      <c r="B64" s="71">
        <v>46174</v>
      </c>
      <c r="C64" s="61" t="s">
        <v>294</v>
      </c>
      <c r="D64" s="56">
        <v>1200</v>
      </c>
      <c r="E64" s="61"/>
      <c r="F64" s="61" t="s">
        <v>295</v>
      </c>
      <c r="G64" s="61" t="s">
        <v>88</v>
      </c>
      <c r="H64" s="61" t="s">
        <v>132</v>
      </c>
      <c r="I64"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64" s="61"/>
    </row>
    <row r="65" spans="2:12">
      <c r="B65" s="71">
        <v>46054</v>
      </c>
      <c r="C65" s="61" t="s">
        <v>299</v>
      </c>
      <c r="D65" s="56">
        <v>1000</v>
      </c>
      <c r="E65" s="61"/>
      <c r="F65" s="61" t="s">
        <v>300</v>
      </c>
      <c r="G65" s="61" t="s">
        <v>88</v>
      </c>
      <c r="H65" s="61" t="s">
        <v>156</v>
      </c>
      <c r="I65"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65" s="61"/>
    </row>
    <row r="66" spans="2:12">
      <c r="B66" s="71">
        <v>46082</v>
      </c>
      <c r="C66" s="61" t="s">
        <v>299</v>
      </c>
      <c r="D66" s="56">
        <v>1000</v>
      </c>
      <c r="E66" s="61"/>
      <c r="F66" s="61" t="s">
        <v>300</v>
      </c>
      <c r="G66" s="61" t="s">
        <v>88</v>
      </c>
      <c r="H66" s="61" t="s">
        <v>156</v>
      </c>
      <c r="I66"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66" s="61"/>
    </row>
    <row r="67" spans="2:12">
      <c r="B67" s="71">
        <v>46113</v>
      </c>
      <c r="C67" s="61" t="s">
        <v>299</v>
      </c>
      <c r="D67" s="56">
        <v>1000</v>
      </c>
      <c r="E67" s="61"/>
      <c r="F67" s="61" t="s">
        <v>300</v>
      </c>
      <c r="G67" s="61" t="s">
        <v>88</v>
      </c>
      <c r="H67" s="61" t="s">
        <v>156</v>
      </c>
      <c r="I67"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67" s="61"/>
    </row>
    <row r="68" spans="2:12">
      <c r="B68" s="71">
        <v>46143</v>
      </c>
      <c r="C68" s="61" t="s">
        <v>299</v>
      </c>
      <c r="D68" s="56">
        <v>1000</v>
      </c>
      <c r="E68" s="61"/>
      <c r="F68" s="61" t="s">
        <v>300</v>
      </c>
      <c r="G68" s="61" t="s">
        <v>88</v>
      </c>
      <c r="H68" s="61" t="s">
        <v>156</v>
      </c>
      <c r="I68"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68" s="61"/>
    </row>
    <row r="69" spans="2:12">
      <c r="B69" s="71">
        <v>46174</v>
      </c>
      <c r="C69" s="61" t="s">
        <v>299</v>
      </c>
      <c r="D69" s="56">
        <v>1000</v>
      </c>
      <c r="E69" s="61"/>
      <c r="F69" s="61" t="s">
        <v>300</v>
      </c>
      <c r="G69" s="61" t="s">
        <v>88</v>
      </c>
      <c r="H69" s="61" t="s">
        <v>156</v>
      </c>
      <c r="I69"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OK</v>
      </c>
      <c r="J69" s="61"/>
    </row>
    <row r="70" spans="2:12">
      <c r="B70" s="71">
        <v>46204</v>
      </c>
      <c r="C70" s="61" t="s">
        <v>291</v>
      </c>
      <c r="D70" s="56">
        <v>2000</v>
      </c>
      <c r="E70" s="61"/>
      <c r="F70" s="61" t="s">
        <v>292</v>
      </c>
      <c r="G70" s="61" t="s">
        <v>88</v>
      </c>
      <c r="H70" s="61" t="s">
        <v>132</v>
      </c>
      <c r="I70" s="43" t="str">
        <f>IF(tblVerifySavings[[#This Row],[Month]]="","",IF(tblVerifySavings[[#This Row],[Project ID]]="","Missing project id",IF(tblVerifySavings[[#This Row],[Realized savings]]="","Missing realized savings",IF(tblVerifySavings[[#This Row],[Project]]="","ID not on the register",IF(COUNTIFS(tblVerifySavings[Project ID],tblVerifySavings[[#This Row],[Project ID]],tblVerifySavings[Month],"&gt;="&amp;DATE(YEAR(tblVerifySavings[[#This Row],[Month]]),MONTH(tblVerifySavings[[#This Row],[Month]]),1),tblVerifySavings[Month],"&lt;"&amp;EDATE(DATE(YEAR(tblVerifySavings[[#This Row],[Month]]),MONTH(tblVerifySavings[[#This Row],[Month]]),1),1))&gt;1,"Two rows for one month",IF(tblVerifySavings[[#This Row],[Month]]&gt;=EDATE($E$39,1),"After the report month","OK"))))))</f>
        <v>After the report month</v>
      </c>
      <c r="J70" s="61"/>
    </row>
    <row r="72" spans="2:12">
      <c r="B72" s="33" t="s">
        <v>306</v>
      </c>
      <c r="C72" s="33"/>
      <c r="D72" s="33"/>
      <c r="E72" s="33"/>
      <c r="F72" s="33"/>
      <c r="G72" s="33"/>
      <c r="H72" s="33"/>
      <c r="I72" s="33"/>
      <c r="J72" s="33"/>
      <c r="K72" s="33"/>
      <c r="L72" s="33"/>
    </row>
    <row r="73" spans="2:12" ht="32" customHeight="1">
      <c r="B73" s="53" t="s">
        <v>170</v>
      </c>
      <c r="C73" s="34" t="s">
        <v>193</v>
      </c>
      <c r="D73" s="34" t="s">
        <v>194</v>
      </c>
      <c r="E73" s="34" t="s">
        <v>195</v>
      </c>
      <c r="F73" s="34" t="s">
        <v>196</v>
      </c>
      <c r="G73" s="34" t="s">
        <v>156</v>
      </c>
      <c r="H73" s="34" t="s">
        <v>197</v>
      </c>
    </row>
    <row r="74" spans="2:12" ht="14" customHeight="1">
      <c r="B74" s="36"/>
      <c r="C74" s="36" t="str">
        <f>Currency</f>
        <v>EUR</v>
      </c>
      <c r="D74" s="36" t="str">
        <f>Currency</f>
        <v>EUR</v>
      </c>
      <c r="E74" s="36" t="str">
        <f>Currency</f>
        <v>EUR</v>
      </c>
      <c r="F74" s="36" t="str">
        <f>Currency</f>
        <v>EUR</v>
      </c>
      <c r="G74" s="36" t="str">
        <f>Currency</f>
        <v>EUR</v>
      </c>
      <c r="H74" s="36" t="str">
        <f>Currency</f>
        <v>EUR</v>
      </c>
    </row>
    <row r="75" spans="2:12">
      <c r="B75" s="55">
        <f>$E$37</f>
        <v>46023</v>
      </c>
      <c r="C75" s="39">
        <f>IF($B$75="","",SUMIFS(tblVerifyProjects[Net annual savings],tblVerifyProjects[Type],"Hard saving",tblVerifyProjects[Counts in plan],"Yes",tblVerifyProjects[Counted from],"&lt;="&amp;$B$75,tblVerifyProjects[Counted to],"&gt;="&amp;$B$75)/12)</f>
        <v>2000</v>
      </c>
      <c r="D75" s="39">
        <f>IF($B$75="","",SUMIFS(tblVerifySavings[Realized savings],tblVerifySavings[Type],"Hard saving",tblVerifySavings[Month],"&gt;="&amp;$B$75,tblVerifySavings[Month],"&lt;"&amp;EDATE($B$75,1)))</f>
        <v>1900</v>
      </c>
      <c r="E75" s="39">
        <f>IF($B$75="","",SUM(INDEX($C$75:$C$86,1):$C$75))</f>
        <v>2000</v>
      </c>
      <c r="F75" s="39">
        <f>IF($B$75="","",IF($B$75&gt;$E$39,"",SUM(INDEX($D$75:$D$86,1):$D$75)))</f>
        <v>1900</v>
      </c>
      <c r="G75" s="39">
        <f>IF($B$75="","",SUMIFS(tblVerifySavings[Realized savings],tblVerifySavings[Type],"Cost avoidance",tblVerifySavings[Month],"&gt;="&amp;$B$75,tblVerifySavings[Month],"&lt;"&amp;EDATE($B$75,1)))</f>
        <v>0</v>
      </c>
      <c r="H75" s="56">
        <f>$E$42</f>
        <v>60000</v>
      </c>
    </row>
    <row r="76" spans="2:12">
      <c r="B76" s="55">
        <f>EDATE($B$75,1)</f>
        <v>46054</v>
      </c>
      <c r="C76" s="39">
        <f>IF($B$76="","",SUMIFS(tblVerifyProjects[Net annual savings],tblVerifyProjects[Type],"Hard saving",tblVerifyProjects[Counts in plan],"Yes",tblVerifyProjects[Counted from],"&lt;="&amp;$B$76,tblVerifyProjects[Counted to],"&gt;="&amp;$B$76)/12)</f>
        <v>2000</v>
      </c>
      <c r="D76" s="39">
        <f>IF($B$76="","",SUMIFS(tblVerifySavings[Realized savings],tblVerifySavings[Type],"Hard saving",tblVerifySavings[Month],"&gt;="&amp;$B$76,tblVerifySavings[Month],"&lt;"&amp;EDATE($B$76,1)))</f>
        <v>1900</v>
      </c>
      <c r="E76" s="39">
        <f>IF($B$76="","",SUM(INDEX($C$75:$C$86,1):$C$76))</f>
        <v>4000</v>
      </c>
      <c r="F76" s="39">
        <f>IF($B$76="","",IF($B$76&gt;$E$39,"",SUM(INDEX($D$75:$D$86,1):$D$76)))</f>
        <v>3800</v>
      </c>
      <c r="G76" s="39">
        <f>IF($B$76="","",SUMIFS(tblVerifySavings[Realized savings],tblVerifySavings[Type],"Cost avoidance",tblVerifySavings[Month],"&gt;="&amp;$B$76,tblVerifySavings[Month],"&lt;"&amp;EDATE($B$76,1)))</f>
        <v>1000</v>
      </c>
      <c r="H76" s="56">
        <f>$E$42</f>
        <v>60000</v>
      </c>
    </row>
    <row r="77" spans="2:12">
      <c r="B77" s="55">
        <f>EDATE($B$76,1)</f>
        <v>46082</v>
      </c>
      <c r="C77" s="39">
        <f>IF($B$77="","",SUMIFS(tblVerifyProjects[Net annual savings],tblVerifyProjects[Type],"Hard saving",tblVerifyProjects[Counts in plan],"Yes",tblVerifyProjects[Counted from],"&lt;="&amp;$B$77,tblVerifyProjects[Counted to],"&gt;="&amp;$B$77)/12)</f>
        <v>2000</v>
      </c>
      <c r="D77" s="39">
        <f>IF($B$77="","",SUMIFS(tblVerifySavings[Realized savings],tblVerifySavings[Type],"Hard saving",tblVerifySavings[Month],"&gt;="&amp;$B$77,tblVerifySavings[Month],"&lt;"&amp;EDATE($B$77,1)))</f>
        <v>1900</v>
      </c>
      <c r="E77" s="39">
        <f>IF($B$77="","",SUM(INDEX($C$75:$C$86,1):$C$77))</f>
        <v>6000</v>
      </c>
      <c r="F77" s="39">
        <f>IF($B$77="","",IF($B$77&gt;$E$39,"",SUM(INDEX($D$75:$D$86,1):$D$77)))</f>
        <v>5700</v>
      </c>
      <c r="G77" s="39">
        <f>IF($B$77="","",SUMIFS(tblVerifySavings[Realized savings],tblVerifySavings[Type],"Cost avoidance",tblVerifySavings[Month],"&gt;="&amp;$B$77,tblVerifySavings[Month],"&lt;"&amp;EDATE($B$77,1)))</f>
        <v>1000</v>
      </c>
      <c r="H77" s="56">
        <f>$E$42</f>
        <v>60000</v>
      </c>
    </row>
    <row r="78" spans="2:12">
      <c r="B78" s="55">
        <f>EDATE($B$77,1)</f>
        <v>46113</v>
      </c>
      <c r="C78" s="39">
        <f>IF($B$78="","",SUMIFS(tblVerifyProjects[Net annual savings],tblVerifyProjects[Type],"Hard saving",tblVerifyProjects[Counts in plan],"Yes",tblVerifyProjects[Counted from],"&lt;="&amp;$B$78,tblVerifyProjects[Counted to],"&gt;="&amp;$B$78)/12)</f>
        <v>4250</v>
      </c>
      <c r="D78" s="39">
        <f>IF($B$78="","",SUMIFS(tblVerifySavings[Realized savings],tblVerifySavings[Type],"Hard saving",tblVerifySavings[Month],"&gt;="&amp;$B$78,tblVerifySavings[Month],"&lt;"&amp;EDATE($B$78,1)))</f>
        <v>3100</v>
      </c>
      <c r="E78" s="39">
        <f>IF($B$78="","",SUM(INDEX($C$75:$C$86,1):$C$78))</f>
        <v>10250</v>
      </c>
      <c r="F78" s="39">
        <f>IF($B$78="","",IF($B$78&gt;$E$39,"",SUM(INDEX($D$75:$D$86,1):$D$78)))</f>
        <v>8800</v>
      </c>
      <c r="G78" s="39">
        <f>IF($B$78="","",SUMIFS(tblVerifySavings[Realized savings],tblVerifySavings[Type],"Cost avoidance",tblVerifySavings[Month],"&gt;="&amp;$B$78,tblVerifySavings[Month],"&lt;"&amp;EDATE($B$78,1)))</f>
        <v>1000</v>
      </c>
      <c r="H78" s="56">
        <f>$E$42</f>
        <v>60000</v>
      </c>
    </row>
    <row r="79" spans="2:12">
      <c r="B79" s="55">
        <f>EDATE($B$78,1)</f>
        <v>46143</v>
      </c>
      <c r="C79" s="39">
        <f>IF($B$79="","",SUMIFS(tblVerifyProjects[Net annual savings],tblVerifyProjects[Type],"Hard saving",tblVerifyProjects[Counts in plan],"Yes",tblVerifyProjects[Counted from],"&lt;="&amp;$B$79,tblVerifyProjects[Counted to],"&gt;="&amp;$B$79)/12)</f>
        <v>4250</v>
      </c>
      <c r="D79" s="39">
        <f>IF($B$79="","",SUMIFS(tblVerifySavings[Realized savings],tblVerifySavings[Type],"Hard saving",tblVerifySavings[Month],"&gt;="&amp;$B$79,tblVerifySavings[Month],"&lt;"&amp;EDATE($B$79,1)))</f>
        <v>3100</v>
      </c>
      <c r="E79" s="39">
        <f>IF($B$79="","",SUM(INDEX($C$75:$C$86,1):$C$79))</f>
        <v>14500</v>
      </c>
      <c r="F79" s="39">
        <f>IF($B$79="","",IF($B$79&gt;$E$39,"",SUM(INDEX($D$75:$D$86,1):$D$79)))</f>
        <v>11900</v>
      </c>
      <c r="G79" s="39">
        <f>IF($B$79="","",SUMIFS(tblVerifySavings[Realized savings],tblVerifySavings[Type],"Cost avoidance",tblVerifySavings[Month],"&gt;="&amp;$B$79,tblVerifySavings[Month],"&lt;"&amp;EDATE($B$79,1)))</f>
        <v>1000</v>
      </c>
      <c r="H79" s="56">
        <f>$E$42</f>
        <v>60000</v>
      </c>
    </row>
    <row r="80" spans="2:12">
      <c r="B80" s="55">
        <f>EDATE($B$79,1)</f>
        <v>46174</v>
      </c>
      <c r="C80" s="39">
        <f>IF($B$80="","",SUMIFS(tblVerifyProjects[Net annual savings],tblVerifyProjects[Type],"Hard saving",tblVerifyProjects[Counts in plan],"Yes",tblVerifyProjects[Counted from],"&lt;="&amp;$B$80,tblVerifyProjects[Counted to],"&gt;="&amp;$B$80)/12)</f>
        <v>4250</v>
      </c>
      <c r="D80" s="39">
        <f>IF($B$80="","",SUMIFS(tblVerifySavings[Realized savings],tblVerifySavings[Type],"Hard saving",tblVerifySavings[Month],"&gt;="&amp;$B$80,tblVerifySavings[Month],"&lt;"&amp;EDATE($B$80,1)))</f>
        <v>3100</v>
      </c>
      <c r="E80" s="39">
        <f>IF($B$80="","",SUM(INDEX($C$75:$C$86,1):$C$80))</f>
        <v>18750</v>
      </c>
      <c r="F80" s="39">
        <f>IF($B$80="","",IF($B$80&gt;$E$39,"",SUM(INDEX($D$75:$D$86,1):$D$80)))</f>
        <v>15000</v>
      </c>
      <c r="G80" s="39">
        <f>IF($B$80="","",SUMIFS(tblVerifySavings[Realized savings],tblVerifySavings[Type],"Cost avoidance",tblVerifySavings[Month],"&gt;="&amp;$B$80,tblVerifySavings[Month],"&lt;"&amp;EDATE($B$80,1)))</f>
        <v>1000</v>
      </c>
      <c r="H80" s="56">
        <f>$E$42</f>
        <v>60000</v>
      </c>
    </row>
    <row r="81" spans="2:8">
      <c r="B81" s="55">
        <f>EDATE($B$80,1)</f>
        <v>46204</v>
      </c>
      <c r="C81" s="39">
        <f>IF($B$81="","",SUMIFS(tblVerifyProjects[Net annual savings],tblVerifyProjects[Type],"Hard saving",tblVerifyProjects[Counts in plan],"Yes",tblVerifyProjects[Counted from],"&lt;="&amp;$B$81,tblVerifyProjects[Counted to],"&gt;="&amp;$B$81)/12)</f>
        <v>4250</v>
      </c>
      <c r="D81" s="39">
        <f>IF($B$81="","",SUMIFS(tblVerifySavings[Realized savings],tblVerifySavings[Type],"Hard saving",tblVerifySavings[Month],"&gt;="&amp;$B$81,tblVerifySavings[Month],"&lt;"&amp;EDATE($B$81,1)))</f>
        <v>2000</v>
      </c>
      <c r="E81" s="39">
        <f>IF($B$81="","",SUM(INDEX($C$75:$C$86,1):$C$81))</f>
        <v>23000</v>
      </c>
      <c r="F81" s="39">
        <f>IF($B$81="","",IF($B$81&gt;$E$39,"",SUM(INDEX($D$75:$D$86,1):$D$81)))</f>
        <v/>
      </c>
      <c r="G81" s="39">
        <f>IF($B$81="","",SUMIFS(tblVerifySavings[Realized savings],tblVerifySavings[Type],"Cost avoidance",tblVerifySavings[Month],"&gt;="&amp;$B$81,tblVerifySavings[Month],"&lt;"&amp;EDATE($B$81,1)))</f>
        <v>0</v>
      </c>
      <c r="H81" s="56">
        <f>$E$42</f>
        <v>60000</v>
      </c>
    </row>
    <row r="82" spans="2:8">
      <c r="B82" s="55">
        <f>EDATE($B$81,1)</f>
        <v>46235</v>
      </c>
      <c r="C82" s="39">
        <f>IF($B$82="","",SUMIFS(tblVerifyProjects[Net annual savings],tblVerifyProjects[Type],"Hard saving",tblVerifyProjects[Counts in plan],"Yes",tblVerifyProjects[Counted from],"&lt;="&amp;$B$82,tblVerifyProjects[Counted to],"&gt;="&amp;$B$82)/12)</f>
        <v>4250</v>
      </c>
      <c r="D82" s="39">
        <f>IF($B$82="","",SUMIFS(tblVerifySavings[Realized savings],tblVerifySavings[Type],"Hard saving",tblVerifySavings[Month],"&gt;="&amp;$B$82,tblVerifySavings[Month],"&lt;"&amp;EDATE($B$82,1)))</f>
        <v>0</v>
      </c>
      <c r="E82" s="39">
        <f>IF($B$82="","",SUM(INDEX($C$75:$C$86,1):$C$82))</f>
        <v>27250</v>
      </c>
      <c r="F82" s="39">
        <f>IF($B$82="","",IF($B$82&gt;$E$39,"",SUM(INDEX($D$75:$D$86,1):$D$82)))</f>
        <v/>
      </c>
      <c r="G82" s="39">
        <f>IF($B$82="","",SUMIFS(tblVerifySavings[Realized savings],tblVerifySavings[Type],"Cost avoidance",tblVerifySavings[Month],"&gt;="&amp;$B$82,tblVerifySavings[Month],"&lt;"&amp;EDATE($B$82,1)))</f>
        <v>0</v>
      </c>
      <c r="H82" s="56">
        <f>$E$42</f>
        <v>60000</v>
      </c>
    </row>
    <row r="83" spans="2:8">
      <c r="B83" s="55">
        <f>EDATE($B$82,1)</f>
        <v>46266</v>
      </c>
      <c r="C83" s="39">
        <f>IF($B$83="","",SUMIFS(tblVerifyProjects[Net annual savings],tblVerifyProjects[Type],"Hard saving",tblVerifyProjects[Counts in plan],"Yes",tblVerifyProjects[Counted from],"&lt;="&amp;$B$83,tblVerifyProjects[Counted to],"&gt;="&amp;$B$83)/12)</f>
        <v>4250</v>
      </c>
      <c r="D83" s="39">
        <f>IF($B$83="","",SUMIFS(tblVerifySavings[Realized savings],tblVerifySavings[Type],"Hard saving",tblVerifySavings[Month],"&gt;="&amp;$B$83,tblVerifySavings[Month],"&lt;"&amp;EDATE($B$83,1)))</f>
        <v>0</v>
      </c>
      <c r="E83" s="39">
        <f>IF($B$83="","",SUM(INDEX($C$75:$C$86,1):$C$83))</f>
        <v>31500</v>
      </c>
      <c r="F83" s="39">
        <f>IF($B$83="","",IF($B$83&gt;$E$39,"",SUM(INDEX($D$75:$D$86,1):$D$83)))</f>
        <v/>
      </c>
      <c r="G83" s="39">
        <f>IF($B$83="","",SUMIFS(tblVerifySavings[Realized savings],tblVerifySavings[Type],"Cost avoidance",tblVerifySavings[Month],"&gt;="&amp;$B$83,tblVerifySavings[Month],"&lt;"&amp;EDATE($B$83,1)))</f>
        <v>0</v>
      </c>
      <c r="H83" s="56">
        <f>$E$42</f>
        <v>60000</v>
      </c>
    </row>
    <row r="84" spans="2:8">
      <c r="B84" s="55">
        <f>EDATE($B$83,1)</f>
        <v>46296</v>
      </c>
      <c r="C84" s="39">
        <f>IF($B$84="","",SUMIFS(tblVerifyProjects[Net annual savings],tblVerifyProjects[Type],"Hard saving",tblVerifyProjects[Counts in plan],"Yes",tblVerifyProjects[Counted from],"&lt;="&amp;$B$84,tblVerifyProjects[Counted to],"&gt;="&amp;$B$84)/12)</f>
        <v>2250</v>
      </c>
      <c r="D84" s="39">
        <f>IF($B$84="","",SUMIFS(tblVerifySavings[Realized savings],tblVerifySavings[Type],"Hard saving",tblVerifySavings[Month],"&gt;="&amp;$B$84,tblVerifySavings[Month],"&lt;"&amp;EDATE($B$84,1)))</f>
        <v>0</v>
      </c>
      <c r="E84" s="39">
        <f>IF($B$84="","",SUM(INDEX($C$75:$C$86,1):$C$84))</f>
        <v>33750</v>
      </c>
      <c r="F84" s="39">
        <f>IF($B$84="","",IF($B$84&gt;$E$39,"",SUM(INDEX($D$75:$D$86,1):$D$84)))</f>
        <v/>
      </c>
      <c r="G84" s="39">
        <f>IF($B$84="","",SUMIFS(tblVerifySavings[Realized savings],tblVerifySavings[Type],"Cost avoidance",tblVerifySavings[Month],"&gt;="&amp;$B$84,tblVerifySavings[Month],"&lt;"&amp;EDATE($B$84,1)))</f>
        <v>0</v>
      </c>
      <c r="H84" s="56">
        <f>$E$42</f>
        <v>60000</v>
      </c>
    </row>
    <row r="85" spans="2:8">
      <c r="B85" s="55">
        <f>EDATE($B$84,1)</f>
        <v>46327</v>
      </c>
      <c r="C85" s="39">
        <f>IF($B$85="","",SUMIFS(tblVerifyProjects[Net annual savings],tblVerifyProjects[Type],"Hard saving",tblVerifyProjects[Counts in plan],"Yes",tblVerifyProjects[Counted from],"&lt;="&amp;$B$85,tblVerifyProjects[Counted to],"&gt;="&amp;$B$85)/12)</f>
        <v>2250</v>
      </c>
      <c r="D85" s="39">
        <f>IF($B$85="","",SUMIFS(tblVerifySavings[Realized savings],tblVerifySavings[Type],"Hard saving",tblVerifySavings[Month],"&gt;="&amp;$B$85,tblVerifySavings[Month],"&lt;"&amp;EDATE($B$85,1)))</f>
        <v>0</v>
      </c>
      <c r="E85" s="39">
        <f>IF($B$85="","",SUM(INDEX($C$75:$C$86,1):$C$85))</f>
        <v>36000</v>
      </c>
      <c r="F85" s="39">
        <f>IF($B$85="","",IF($B$85&gt;$E$39,"",SUM(INDEX($D$75:$D$86,1):$D$85)))</f>
        <v/>
      </c>
      <c r="G85" s="39">
        <f>IF($B$85="","",SUMIFS(tblVerifySavings[Realized savings],tblVerifySavings[Type],"Cost avoidance",tblVerifySavings[Month],"&gt;="&amp;$B$85,tblVerifySavings[Month],"&lt;"&amp;EDATE($B$85,1)))</f>
        <v>0</v>
      </c>
      <c r="H85" s="56">
        <f>$E$42</f>
        <v>60000</v>
      </c>
    </row>
    <row r="86" spans="2:8">
      <c r="B86" s="55">
        <f>EDATE($B$85,1)</f>
        <v>46357</v>
      </c>
      <c r="C86" s="39">
        <f>IF($B$86="","",SUMIFS(tblVerifyProjects[Net annual savings],tblVerifyProjects[Type],"Hard saving",tblVerifyProjects[Counts in plan],"Yes",tblVerifyProjects[Counted from],"&lt;="&amp;$B$86,tblVerifyProjects[Counted to],"&gt;="&amp;$B$86)/12)</f>
        <v>2250</v>
      </c>
      <c r="D86" s="39">
        <f>IF($B$86="","",SUMIFS(tblVerifySavings[Realized savings],tblVerifySavings[Type],"Hard saving",tblVerifySavings[Month],"&gt;="&amp;$B$86,tblVerifySavings[Month],"&lt;"&amp;EDATE($B$86,1)))</f>
        <v>0</v>
      </c>
      <c r="E86" s="39">
        <f>IF($B$86="","",SUM(INDEX($C$75:$C$86,1):$C$86))</f>
        <v>38250</v>
      </c>
      <c r="F86" s="39">
        <f>IF($B$86="","",IF($B$86&gt;$E$39,"",SUM(INDEX($D$75:$D$86,1):$D$86)))</f>
        <v/>
      </c>
      <c r="G86" s="39">
        <f>IF($B$86="","",SUMIFS(tblVerifySavings[Realized savings],tblVerifySavings[Type],"Cost avoidance",tblVerifySavings[Month],"&gt;="&amp;$B$86,tblVerifySavings[Month],"&lt;"&amp;EDATE($B$86,1)))</f>
        <v>0</v>
      </c>
      <c r="H86" s="56">
        <f>$E$42</f>
        <v>60000</v>
      </c>
    </row>
  </sheetData>
  <sheetProtection sheet="1" formatColumns="0" formatRows="0"/>
  <mergeCells count="41">
    <mergeCell ref="A1:Y1"/>
    <mergeCell ref="B2:X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B33:L33"/>
    <mergeCell ref="B35:L35"/>
    <mergeCell ref="B36:F36"/>
    <mergeCell ref="B37:D37"/>
    <mergeCell ref="B38:D38"/>
    <mergeCell ref="B39:D39"/>
    <mergeCell ref="B40:D40"/>
    <mergeCell ref="B41:D41"/>
    <mergeCell ref="B42:D42"/>
    <mergeCell ref="B44:L44"/>
    <mergeCell ref="B53:L53"/>
    <mergeCell ref="B72:L7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I56:I70">
    <cfRule type="expression" dxfId="3" priority="43">
      <formula>$I56="OK"</formula>
    </cfRule>
    <cfRule type="expression" dxfId="1" priority="44">
      <formula>AND($I56&lt;&gt;"",$I56&lt;&gt;"OK")</formula>
    </cfRule>
  </conditionalFormatting>
  <conditionalFormatting sqref="K11:K3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X47:X51">
    <cfRule type="expression" dxfId="3" priority="41">
      <formula>$X47="OK"</formula>
    </cfRule>
    <cfRule type="expression" dxfId="1" priority="42">
      <formula>AND($X47&lt;&gt;"",$X47&lt;&gt;"OK")</formula>
    </cfRule>
  </conditionalFormatting>
  <hyperlinks>
    <hyperlink ref="Y2" r:id="rId1" tooltip="Free manufacturing calculators and templates"/>
  </hyperlinks>
  <printOptions horizontalCentered="1"/>
  <pageMargins left="0.4" right="0.4" top="0.7" bottom="0.65" header="0.3" footer="0.3"/>
  <pageSetup fitToHeight="0" orientation="landscape"/>
  <headerFooter>
    <oddHeader>&amp;L&amp;8MFG Calcs - Cost Savings Tracker&amp;R&amp;8&amp;A</oddHeader>
    <oddFooter>&amp;L&amp;8mfgcalcs.com - free manufacturing templates&amp;R&amp;8Page &amp;P of &amp;N</oddFooter>
  </headerFooter>
  <rowBreaks count="1" manualBreakCount="1">
    <brk id="52"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31</vt:i4>
      </vt:variant>
    </vt:vector>
  </HeadingPairs>
  <TitlesOfParts>
    <vt:vector size="38" baseType="lpstr">
      <vt:lpstr>Start Here</vt:lpstr>
      <vt:lpstr>Setup</vt:lpstr>
      <vt:lpstr>Project Register</vt:lpstr>
      <vt:lpstr>Savings Log</vt:lpstr>
      <vt:lpstr>Dashboard</vt:lpstr>
      <vt:lpstr>Method</vt:lpstr>
      <vt:lpstr>Verify</vt:lpstr>
      <vt:lpstr>CountMonths</vt:lpstr>
      <vt:lpstr>Currency</vt:lpstr>
      <vt:lpstr>DashFrom</vt:lpstr>
      <vt:lpstr>DashTarget</vt:lpstr>
      <vt:lpstr>DashThrough</vt:lpstr>
      <vt:lpstr>FYEnd</vt:lpstr>
      <vt:lpstr>FYStart</vt:lpstr>
      <vt:lpstr>KpiAvoid</vt:lpstr>
      <vt:lpstr>KpiBehind</vt:lpstr>
      <vt:lpstr>KpiForecast</vt:lpstr>
      <vt:lpstr>KpiGap</vt:lpstr>
      <vt:lpstr>KpiOneTime</vt:lpstr>
      <vt:lpstr>KpiRate</vt:lpstr>
      <vt:lpstr>KpiReal</vt:lpstr>
      <vt:lpstr>KpiRunRate</vt:lpstr>
      <vt:lpstr>PlantName</vt:lpstr>
      <vt:lpstr>Dashboard!Print_Area</vt:lpstr>
      <vt:lpstr>Method!Print_Area</vt:lpstr>
      <vt:lpstr>'Project Register'!Print_Area</vt:lpstr>
      <vt:lpstr>'Savings Log'!Print_Area</vt:lpstr>
      <vt:lpstr>Setup!Print_Area</vt:lpstr>
      <vt:lpstr>'Start Here'!Print_Area</vt:lpstr>
      <vt:lpstr>Verify!Print_Area</vt:lpstr>
      <vt:lpstr>Method!Print_Titles</vt:lpstr>
      <vt:lpstr>'Project Register'!Print_Titles</vt:lpstr>
      <vt:lpstr>'Savings Log'!Print_Titles</vt:lpstr>
      <vt:lpstr>RealizationTarget</vt:lpstr>
      <vt:lpstr>ReportMonth</vt:lpstr>
      <vt:lpstr>SelfCheck</vt:lpstr>
      <vt:lpstr>SelfCheckSummary</vt:lpstr>
      <vt:lpstr>TargetSavings</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 Savings Tracker - free Excel template from MFG Calcs</dc:title>
  <dc:subject>Keep every cost-reduction project in one register, log the savings finance validates each month, and see realized savings against plan and the year's target.</dc:subject>
  <dc:creator>MFG Calcs</dc:creator>
  <cp:keywords>cost savings tracker, cost reduction, savings realization, hard savings, cost avoidance, continuous improvement, procurement savings, kaizen savings</cp:keywords>
  <dc:description>https://www.mfgcalcs.com/templates/cost-savings-tracker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cost-savings-tracker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https://www.mfgcalcs.com/templates/cost-savings-tracker</vt:lpwstr>
  </property>
  <property fmtid="{D5CDD505-2E9C-101B-9397-08002B2CF9AE}" pid="7" name="Template sheet roles">
    <vt:lpwstr>Start Here=start;Setup=setup;Project Register=work;Savings Log=work;Dashboard=dashboard;Method=method;Verify=verify</vt:lpwstr>
  </property>
</Properties>
</file>