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ount Log" sheetId="3" r:id="rId3"/>
    <sheet name="Dashboard" sheetId="4" r:id="rId4"/>
    <sheet name="Method" sheetId="5" r:id="rId5"/>
    <sheet name="Verify" sheetId="6" r:id="rId6"/>
  </sheets>
  <definedNames>
    <definedName name="CompanyName">Setup!$C$6</definedName>
    <definedName name="Currency">Setup!$C$7</definedName>
    <definedName name="KpiAcc">Dashboard!$B$7</definedName>
    <definedName name="KpiGross">Dashboard!$G$7</definedName>
    <definedName name="KpiN">Dashboard!$D$7</definedName>
    <definedName name="KpiTop">Dashboard!$J$7</definedName>
    <definedName name="_xlnm.Print_Area" localSheetId="2">'Count Log'!$A$1:$S$156</definedName>
    <definedName name="_xlnm.Print_Area" localSheetId="3">Dashboard!$A$1:$L$67</definedName>
    <definedName name="_xlnm.Print_Area" localSheetId="4">Method!$A$1:$D$56</definedName>
    <definedName name="_xlnm.Print_Area" localSheetId="1">Setup!$A$1:$E$32</definedName>
    <definedName name="_xlnm.Print_Area" localSheetId="0">'Start Here'!$A$1:$F$55</definedName>
    <definedName name="_xlnm.Print_Area" localSheetId="5">Verify!$A$1:$S$73</definedName>
    <definedName name="_xlnm.Print_Titles" localSheetId="2">'Count Log'!$1:$6</definedName>
    <definedName name="_xlnm.Print_Titles" localSheetId="4">Method!$1:$2</definedName>
    <definedName name="Reasons">tblReasons[Reason]</definedName>
    <definedName name="SelfCheck">Verify!$D$4</definedName>
    <definedName name="SelfCheckSummary">Verify!$F$4</definedName>
    <definedName name="TargetAccuracy">Setup!$C$8</definedName>
    <definedName name="TolA">Setup!$C$9</definedName>
    <definedName name="TolB">Setup!$C$10</definedName>
    <definedName name="TolC">Setup!$C$11</definedName>
    <definedName name="Zones">tblZones[Zone]</definedName>
  </definedNames>
  <calcPr calcId="124519" fullCalcOnLoad="1"/>
</workbook>
</file>

<file path=xl/sharedStrings.xml><?xml version="1.0" encoding="utf-8"?>
<sst xmlns="http://schemas.openxmlformats.org/spreadsheetml/2006/main" count="1490" uniqueCount="348">
  <si>
    <t>Cycle Count Tracker</t>
  </si>
  <si>
    <t>Read this first: what the workbook does and how to use it.</t>
  </si>
  <si>
    <t>mfgcalcs.com</t>
  </si>
  <si>
    <t>Log every cycle count against the system quantity and see location accuracy, adjustment value and why records go wrong, week by week.</t>
  </si>
  <si>
    <t>For: Inventory control leads, warehouse and stores supervisors, materials managers and auditors who run a cycle-count programme.</t>
  </si>
  <si>
    <t>Version 1.0.0  ·  updated 15 October 2026</t>
  </si>
  <si>
    <t>Quick start</t>
  </si>
  <si>
    <t>1.</t>
  </si>
  <si>
    <t>On Setup, type your company name and currency, your accuracy target and the count tolerance for A, B and C items, then check the zones and reason codes.</t>
  </si>
  <si>
    <t>2.</t>
  </si>
  <si>
    <t>On Count Log, add one row per location counted: date, location, zone, item, class, unit cost, system quantity and counted quantity.</t>
  </si>
  <si>
    <t>3.</t>
  </si>
  <si>
    <t>For every row that reads Match = No, choose the reason the record was wrong. The Check column names anything missing.</t>
  </si>
  <si>
    <t>4.</t>
  </si>
  <si>
    <t>Open the Dashboard: accuracy by week against your target, the reasons behind the misses, and accuracy by class and zone.</t>
  </si>
  <si>
    <t>What is in this workbook</t>
  </si>
  <si>
    <t>Start Here</t>
  </si>
  <si>
    <t>Setup</t>
  </si>
  <si>
    <t>Company, currency, accuracy target and count tolerances, and the zones and reason codes.</t>
  </si>
  <si>
    <t>Count Log</t>
  </si>
  <si>
    <t>One row per location counted: system and counted quantity, variance, the class tolerance and whether it matched.</t>
  </si>
  <si>
    <t>Dashboard</t>
  </si>
  <si>
    <t>Location accuracy against your target, the value of the adjustments, and the reasons records go wrong.</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</si>
  <si>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</si>
  <si>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</si>
  <si>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</si>
  <si>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</si>
  <si>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</si>
  <si>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</si>
  <si>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</si>
  <si>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</si>
  <si>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</si>
  <si>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</si>
  <si>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</si>
  <si>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</si>
  <si>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</si>
  <si>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</si>
  <si>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</si>
  <si>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</si>
  <si>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</si>
  <si>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</si>
  <si>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</si>
  <si>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</si>
  <si>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Inventory Location Accuracy Calculator on mfgcalcs.com</t>
  </si>
  <si>
    <t>Latest version</t>
  </si>
  <si>
    <t>mfgcalcs.com/templates/cycle-count-tracker</t>
  </si>
  <si>
    <t>More free templates</t>
  </si>
  <si>
    <t>mfgcalcs.com/templates</t>
  </si>
  <si>
    <t>Version</t>
  </si>
  <si>
    <t>1.0.0 (updated 15 October 2026)</t>
  </si>
  <si>
    <t>About the example data</t>
  </si>
  <si>
    <t>Every number already in this workbook is example data for Calder Pump Company, a fictional business invented for this template, so the dashboard and charts show something meaningful on day one. It holds 150 counts in four store zones over six weeks (31 August to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</si>
  <si>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</si>
  <si>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</si>
  <si>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</si>
  <si>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</si>
  <si>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</si>
  <si>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</si>
  <si>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</si>
  <si>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</si>
  <si>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Zone</t>
  </si>
  <si>
    <t>Description</t>
  </si>
  <si>
    <t>Reason</t>
  </si>
  <si>
    <t>Definition</t>
  </si>
  <si>
    <t>Company, target and tolerances</t>
  </si>
  <si>
    <t>Company or site</t>
  </si>
  <si>
    <t>Calder Pump Company (example)</t>
  </si>
  <si>
    <t>Currency label</t>
  </si>
  <si>
    <t>GBP</t>
  </si>
  <si>
    <t>Location accuracy target</t>
  </si>
  <si>
    <t>Count tolerance, A items</t>
  </si>
  <si>
    <t>Count tolerance, B items</t>
  </si>
  <si>
    <t>Count tolerance, C items</t>
  </si>
  <si>
    <t>Target and tolerances are your policy; nothing here is an industry benchmark. 'Near target' means within 5% of the target (90.3% to 95% against a 95% target). A count that matches within tolerance is still adjusted to the count in your system; the tolerance only decides whether it counts against accuracy.</t>
  </si>
  <si>
    <t>Lists that feed the dropdowns</t>
  </si>
  <si>
    <t>Store zones</t>
  </si>
  <si>
    <t>Raw material</t>
  </si>
  <si>
    <t>Bar, plate and castings, floor and cantilever racks</t>
  </si>
  <si>
    <t>Small parts</t>
  </si>
  <si>
    <t>Bins and carousels: seals, fasteners, bearings</t>
  </si>
  <si>
    <t>Bulk racking</t>
  </si>
  <si>
    <t>Pallet racking: motors, purchased assemblies</t>
  </si>
  <si>
    <t>Finished goods</t>
  </si>
  <si>
    <t>Packed pumps awaiting dispatch</t>
  </si>
  <si>
    <t>Miss reason codes</t>
  </si>
  <si>
    <t>Picking error</t>
  </si>
  <si>
    <t>Wrong item or quantity picked; record not corrected</t>
  </si>
  <si>
    <t>Receiving error</t>
  </si>
  <si>
    <t>Goods received short, over or to the wrong item</t>
  </si>
  <si>
    <t>Unrecorded issue</t>
  </si>
  <si>
    <t>Material taken to production without an issue transaction</t>
  </si>
  <si>
    <t>Wrong location</t>
  </si>
  <si>
    <t>Stock put away or moved without a location transfer</t>
  </si>
  <si>
    <t>Unit of measure</t>
  </si>
  <si>
    <t>Counted or booked in packs instead of pieces (or the reverse)</t>
  </si>
  <si>
    <t>Unrecorded scrap</t>
  </si>
  <si>
    <t>Damaged or scrapped stock not written off</t>
  </si>
  <si>
    <t>Other</t>
  </si>
  <si>
    <t>Anything else; say what in the Notes</t>
  </si>
  <si>
    <t>Date</t>
  </si>
  <si>
    <t>Location</t>
  </si>
  <si>
    <t>Item</t>
  </si>
  <si>
    <t>Class</t>
  </si>
  <si>
    <t>Unit cost</t>
  </si>
  <si>
    <t>System qty (units)</t>
  </si>
  <si>
    <t>Counted qty (units)</t>
  </si>
  <si>
    <t>Variance (units)</t>
  </si>
  <si>
    <t>Variance (%)</t>
  </si>
  <si>
    <t>Tolerance</t>
  </si>
  <si>
    <t>Match</t>
  </si>
  <si>
    <t>Variance value</t>
  </si>
  <si>
    <t>Abs variance value</t>
  </si>
  <si>
    <t>Counter</t>
  </si>
  <si>
    <t>Check</t>
  </si>
  <si>
    <t>Notes</t>
  </si>
  <si>
    <t>Example data for Calder Pump Company (fictional). Replace it with your own: select the example rows, right-click, Delete &gt; Table Rows. Log the verified count; a miss needs a reason code.</t>
  </si>
  <si>
    <t>BR-09-05</t>
  </si>
  <si>
    <t>CRT-M</t>
  </si>
  <si>
    <t>C</t>
  </si>
  <si>
    <t/>
  </si>
  <si>
    <t>M. Silva</t>
  </si>
  <si>
    <t>BR-07-04</t>
  </si>
  <si>
    <t>BASE-132</t>
  </si>
  <si>
    <t>B</t>
  </si>
  <si>
    <t>BR-08-11</t>
  </si>
  <si>
    <t>MOT-15KW</t>
  </si>
  <si>
    <t>A</t>
  </si>
  <si>
    <t>RM-06-09</t>
  </si>
  <si>
    <t>TUB-304-60</t>
  </si>
  <si>
    <t>P. Novak</t>
  </si>
  <si>
    <t>SP-04-03</t>
  </si>
  <si>
    <t>KEY-8X7</t>
  </si>
  <si>
    <t>A. Okafor</t>
  </si>
  <si>
    <t>RM-07-01</t>
  </si>
  <si>
    <t>PLT-AL-6</t>
  </si>
  <si>
    <t>RM-07-09</t>
  </si>
  <si>
    <t>ROD-PTFE-40</t>
  </si>
  <si>
    <t>FG-08-07</t>
  </si>
  <si>
    <t>P-ML32-4</t>
  </si>
  <si>
    <t>SP-06-07</t>
  </si>
  <si>
    <t>ORK-FKM-L</t>
  </si>
  <si>
    <t>RM-04-04</t>
  </si>
  <si>
    <t>BAR-316-40</t>
  </si>
  <si>
    <t>SP-02-07</t>
  </si>
  <si>
    <t>NUT-M10</t>
  </si>
  <si>
    <t>FG-02-11</t>
  </si>
  <si>
    <t>P-CN80-315</t>
  </si>
  <si>
    <t>FG-06-12</t>
  </si>
  <si>
    <t>P-CN32-125</t>
  </si>
  <si>
    <t>SP-02-04</t>
  </si>
  <si>
    <t>NIP-1/2</t>
  </si>
  <si>
    <t>BR-06-10</t>
  </si>
  <si>
    <t>CPL-28</t>
  </si>
  <si>
    <t>SP-04-11</t>
  </si>
  <si>
    <t>MSEAL-50</t>
  </si>
  <si>
    <t>BR-07-11</t>
  </si>
  <si>
    <t>BASE-180</t>
  </si>
  <si>
    <t>RM-07-11</t>
  </si>
  <si>
    <t>CST-VOL-200</t>
  </si>
  <si>
    <t>BR-03-02</t>
  </si>
  <si>
    <t>MOT-7.5KW</t>
  </si>
  <si>
    <t>SP-09-07</t>
  </si>
  <si>
    <t>SCR-M6</t>
  </si>
  <si>
    <t>FG-01-02</t>
  </si>
  <si>
    <t>P-CN50-200</t>
  </si>
  <si>
    <t>RM-05-08</t>
  </si>
  <si>
    <t>PLT-S275-10</t>
  </si>
  <si>
    <t>RM-06-12</t>
  </si>
  <si>
    <t>BAR-410-25</t>
  </si>
  <si>
    <t>RM-07-05</t>
  </si>
  <si>
    <t>CST-BRG-90</t>
  </si>
  <si>
    <t>SP-08-04</t>
  </si>
  <si>
    <t>CLIP-H</t>
  </si>
  <si>
    <t>SP-06-12</t>
  </si>
  <si>
    <t>MSEAL-35</t>
  </si>
  <si>
    <t>BR-06-02</t>
  </si>
  <si>
    <t>MOT-4KW</t>
  </si>
  <si>
    <t>RM-07-12</t>
  </si>
  <si>
    <t>BAR-CS-50</t>
  </si>
  <si>
    <t>BR-05-09</t>
  </si>
  <si>
    <t>CPL-42</t>
  </si>
  <si>
    <t>FG-07-07</t>
  </si>
  <si>
    <t>P-SP100-2</t>
  </si>
  <si>
    <t>FG-03-07</t>
  </si>
  <si>
    <t>P-ML40-6</t>
  </si>
  <si>
    <t>SP-09-06</t>
  </si>
  <si>
    <t>SLV-35</t>
  </si>
  <si>
    <t>RM-08-09</t>
  </si>
  <si>
    <t>CST-IMP-150</t>
  </si>
  <si>
    <t>SP-01-07</t>
  </si>
  <si>
    <t>PLUG-1/4</t>
  </si>
  <si>
    <t>RM-09-03</t>
  </si>
  <si>
    <t>BAR-BR-30</t>
  </si>
  <si>
    <t>SP-01-10</t>
  </si>
  <si>
    <t>CIR-35</t>
  </si>
  <si>
    <t>Found here; system shows it in the next bay</t>
  </si>
  <si>
    <t>SP-08-05</t>
  </si>
  <si>
    <t>BRG-6205</t>
  </si>
  <si>
    <t>SP-08-10</t>
  </si>
  <si>
    <t>SCR-M10</t>
  </si>
  <si>
    <t>FG-03-05</t>
  </si>
  <si>
    <t>P-CN40-160</t>
  </si>
  <si>
    <t>BR-01-08</t>
  </si>
  <si>
    <t>SKID-S</t>
  </si>
  <si>
    <t>MOT-2.2KW</t>
  </si>
  <si>
    <t>FG-01-07</t>
  </si>
  <si>
    <t>P-CN65-250</t>
  </si>
  <si>
    <t>VENT-1/8</t>
  </si>
  <si>
    <t>PAL-EXP</t>
  </si>
  <si>
    <t>SP-02-10</t>
  </si>
  <si>
    <t>GRS-50</t>
  </si>
  <si>
    <t>SP-09-12</t>
  </si>
  <si>
    <t>WSH-M10</t>
  </si>
  <si>
    <t>RM-09-04</t>
  </si>
  <si>
    <t>SHT-SS-1</t>
  </si>
  <si>
    <t>FG-08-03</t>
  </si>
  <si>
    <t>P-SP80-4</t>
  </si>
  <si>
    <t>LOCATION ACCURACY</t>
  </si>
  <si>
    <t>COUNTS LOGGED</t>
  </si>
  <si>
    <t>BIGGEST MISS REASON</t>
  </si>
  <si>
    <t>Locations counted in the log</t>
  </si>
  <si>
    <t>Sum of absolute variance values</t>
  </si>
  <si>
    <t>Ranked by misses, see the Pareto</t>
  </si>
  <si>
    <t>By week (last 6 weeks in the log)</t>
  </si>
  <si>
    <t>Week starting (Mon)</t>
  </si>
  <si>
    <t>Counts</t>
  </si>
  <si>
    <t>Misses</t>
  </si>
  <si>
    <t>Location accuracy</t>
  </si>
  <si>
    <t>Target</t>
  </si>
  <si>
    <t>Net adjustment</t>
  </si>
  <si>
    <t>Gross adjustment</t>
  </si>
  <si>
    <t>By class</t>
  </si>
  <si>
    <t>Accuracy</t>
  </si>
  <si>
    <t>Gross adj.</t>
  </si>
  <si>
    <t>Total</t>
  </si>
  <si>
    <t>By zone</t>
  </si>
  <si>
    <t>Misses by reason (Pareto)</t>
  </si>
  <si>
    <t>Rank</t>
  </si>
  <si>
    <t>Share</t>
  </si>
  <si>
    <t>Cumulative</t>
  </si>
  <si>
    <t>Helper: Reason (list order)</t>
  </si>
  <si>
    <t>Helper: value (-1 = unused slot)</t>
  </si>
  <si>
    <t>Helper: rank, ties by list order</t>
  </si>
  <si>
    <t>counts</t>
  </si>
  <si>
    <t>%</t>
  </si>
  <si>
    <t>The Dashboard shows the 4 zones and 7 reason codes of the Setup lists. If you add more, extend the 'By zone' and Pareto blocks (see Method) or they will not appear here.</t>
  </si>
  <si>
    <t>What this workbook calculates</t>
  </si>
  <si>
    <t>Cycle counting checks a few locations every day instead of the whole store once a year. Each count compares the quantity the system shows with the quantity on the shelf. Location accuracy is the share of counts that match: exactly, or within a tolerance you allow for lower-value classes. The value of the variances shows what the errors cost, and the reason codes show which process (receiving, picking, issues to production, putaway) produces them, which is where the fix belongs.</t>
  </si>
  <si>
    <t>Calculations</t>
  </si>
  <si>
    <t>Quantity</t>
  </si>
  <si>
    <t>How it is calculated</t>
  </si>
  <si>
    <t>Units</t>
  </si>
  <si>
    <t>Variance</t>
  </si>
  <si>
    <t>Counted quantity - system quantity. Negative = stock missing.</t>
  </si>
  <si>
    <t>units</t>
  </si>
  <si>
    <t>Variance %</t>
  </si>
  <si>
    <t>Variance / system quantity; blank when the system shows 0.</t>
  </si>
  <si>
    <t>The Setup tolerance for the item's class (A, B or C).</t>
  </si>
  <si>
    <t>Yes when |variance| / system quantity &lt;= tolerance; stock counted where the system shows 0 is always a miss (100%).</t>
  </si>
  <si>
    <t>Yes/No</t>
  </si>
  <si>
    <t>Variance x unit cost: the adjustment posted. Abs variance value is its size whatever the sign.</t>
  </si>
  <si>
    <t>currency</t>
  </si>
  <si>
    <t>Counts with Match Yes / counts with Match Yes or No, for any week, class or zone (COUNTIFS).</t>
  </si>
  <si>
    <t>Net and gross adjustment</t>
  </si>
  <si>
    <t>Net = sum of variance values (gains offset losses); gross = sum of absolute variance values.</t>
  </si>
  <si>
    <t>Misses by reason</t>
  </si>
  <si>
    <t>Counts with Match No per reason code, ranked largest first by COUNTIF ranks. Helper columns AN:AP on the Dashboard (hidden) hold the unsorted values and ranks.</t>
  </si>
  <si>
    <t>Weeks</t>
  </si>
  <si>
    <t>Monday-to-Sunday weeks ending with the week of the latest count; up to six are shown.</t>
  </si>
  <si>
    <t>-</t>
  </si>
  <si>
    <t>Assumptions</t>
  </si>
  <si>
    <t>One row is one item in one location. A location holding two items is two rows.</t>
  </si>
  <si>
    <t>Counted quantity is the verified count: when a first count misses, recount and log the verified quantity, so a counting mistake is not booked as a record error.</t>
  </si>
  <si>
    <t>The system quantity is frozen at the time of the count (no unposted receipts or picks in the location).</t>
  </si>
  <si>
    <t>The class on each row is the item's current ABC class; it sets the tolerance only.</t>
  </si>
  <si>
    <t>Limitations</t>
  </si>
  <si>
    <t>Accuracy counts locations, not value: a miss of 1 bolt and a miss of 1 motor weigh the same. The adjustment values show the money.</t>
  </si>
  <si>
    <t>Tolerances hide small errors on purpose; set A to 0% if every unit matters.</t>
  </si>
  <si>
    <t>The Dashboard has fixed blocks for 4 zones and 7 reason codes; longer lists need the blocks extended (a warning appears). Weekly figures cover the last 6 weeks in the log.</t>
  </si>
  <si>
    <t>The workbook does not post adjustments to your ERP or schedule counts; use the ABC Inventory Analysis template to set count frequencies.</t>
  </si>
  <si>
    <t>Agreement with the live calculator</t>
  </si>
  <si>
    <t>The live Inventory Location Accuracy calculator takes locations counted and locations with discrepancies and returns accuracy, the exception share and the margin to target. This workbook counts the same two numbers from the log: every row is a location counted and every Match = No is a discrepant location (with a 0% tolerance they are exactly the calculator's discrepancies; a tolerance above 0 lets small variances count as matches). The build checks the reference against the calculator's engine for its own example (8 discrepancies in 250 locations at a 95% target: 96.8%) and for the whole example log.</t>
  </si>
  <si>
    <t>Open the Inventory Location Accuracy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</si>
  <si>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</si>
  <si>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</si>
  <si>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APICS/ASCM Dictionary, 'cycle counting' and 'inventory accuracy' (counting a subset of items regularly; accuracy as the share of records within tolerance).</t>
  </si>
  <si>
    <t>Brooks, R. B. and Wilson, L. W., Inventory Record Accuracy: Unleashing the Power of Cycle Counting, Wiley, 2007 (tolerances by item class, root-cause control groups).</t>
  </si>
  <si>
    <t>MFG Calcs Inventory Location Accuracy calculator (inventory-accuracy): accuracy = (locations counted - discrepant locations) / locations counted.</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</si>
  <si>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</si>
  <si>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</si>
  <si>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</si>
  <si>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</si>
  <si>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</si>
  <si>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</si>
  <si>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</si>
  <si>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</si>
  <si>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</si>
  <si>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</si>
  <si>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</si>
  <si>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</si>
  <si>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</si>
  <si>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Result</t>
  </si>
  <si>
    <t>Row 1: exact count matches</t>
  </si>
  <si>
    <t>Yes</t>
  </si>
  <si>
    <t>exact</t>
  </si>
  <si>
    <t>Row 2: A item 1 short is a miss (0% tolerance)</t>
  </si>
  <si>
    <t>No</t>
  </si>
  <si>
    <t>Row 2: variance value</t>
  </si>
  <si>
    <t>Row 3: B item 2.0% short matches (2% tolerance)</t>
  </si>
  <si>
    <t>Row 3: variance %</t>
  </si>
  <si>
    <t>Row 4: C item 6% over is a miss (5% tolerance)</t>
  </si>
  <si>
    <t>Row 4: abs variance value</t>
  </si>
  <si>
    <t>Row 5: stock where the system shows 0 is a miss</t>
  </si>
  <si>
    <t>Row 5: variance % blank (system 0)</t>
  </si>
  <si>
    <t>Row 6: Check reports the missing reason</t>
  </si>
  <si>
    <t>Reason missing for a miss</t>
  </si>
  <si>
    <t>All rows: location accuracy (Dashboard formula)</t>
  </si>
  <si>
    <t>All rows: gross adjustment value (Dashboard formula)</t>
  </si>
  <si>
    <t>All rows: net adjustment value</t>
  </si>
  <si>
    <t>By class: C accuracy (1 of 2)</t>
  </si>
  <si>
    <t>Week 2: misses</t>
  </si>
  <si>
    <t>Week 1: accuracy</t>
  </si>
  <si>
    <t>Fixed test inputs</t>
  </si>
  <si>
    <t>White cells are fixed test inputs; blue cells are the workbook's formulas evaluated on them.</t>
  </si>
  <si>
    <t>Parameters</t>
  </si>
  <si>
    <t>Tolerance, A</t>
  </si>
  <si>
    <t>Tolerance, B</t>
  </si>
  <si>
    <t>Tolerance, C</t>
  </si>
  <si>
    <t>Accuracy target</t>
  </si>
  <si>
    <t>Test table: Zones</t>
  </si>
  <si>
    <t>Test</t>
  </si>
  <si>
    <t>Test table: Reasons</t>
  </si>
  <si>
    <t>Test table: Counts</t>
  </si>
  <si>
    <t>T-01</t>
  </si>
  <si>
    <t>A1</t>
  </si>
  <si>
    <t>T</t>
  </si>
  <si>
    <t>T-02</t>
  </si>
  <si>
    <t>A2</t>
  </si>
  <si>
    <t>T-03</t>
  </si>
  <si>
    <t>B1</t>
  </si>
  <si>
    <t>T-04</t>
  </si>
  <si>
    <t>C1</t>
  </si>
  <si>
    <t>T-05</t>
  </si>
  <si>
    <t>B2</t>
  </si>
  <si>
    <t>T-06</t>
  </si>
  <si>
    <t>C2</t>
  </si>
  <si>
    <t>Test by-class table (same formulas as the Dashboard)</t>
  </si>
  <si>
    <t>Test weekly table (same formulas as the Dashboard)</t>
  </si>
</sst>
</file>

<file path=xl/styles.xml><?xml version="1.0" encoding="utf-8"?>
<styleSheet xmlns="http://schemas.openxmlformats.org/spreadsheetml/2006/main">
  <numFmts count="9">
    <numFmt numFmtId="164" formatCode="0.0%"/>
    <numFmt numFmtId="165" formatCode="d mmm yyyy"/>
    <numFmt numFmtId="166" formatCode="#,##0.00"/>
    <numFmt numFmtId="167" formatCode="#,##0"/>
    <numFmt numFmtId="168" formatCode="+#,##0;-#,##0;0"/>
    <numFmt numFmtId="169" formatCode="+0.0%;-0.0%;0.0%"/>
    <numFmt numFmtId="170" formatCode="&quot;Target &quot;0.0%"/>
    <numFmt numFmtId="171" formatCode="0.0E+00"/>
    <numFmt numFmtId="172"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0" fontId="19" fillId="7" borderId="2" xfId="0" applyFont="1" applyFill="1" applyBorder="1" applyAlignment="1">
      <alignment vertical="center" wrapText="1"/>
    </xf>
    <xf numFmtId="0" fontId="20" fillId="0" borderId="0" xfId="0" applyFont="1" applyAlignment="1">
      <alignment horizontal="center" vertical="center"/>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21" fillId="4" borderId="3" xfId="0"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70"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65" fontId="9" fillId="0" borderId="9" xfId="0" applyNumberFormat="1" applyFont="1" applyBorder="1" applyAlignment="1">
      <alignment vertical="center"/>
    </xf>
    <xf numFmtId="167" fontId="10" fillId="4" borderId="3" xfId="0" applyNumberFormat="1" applyFont="1" applyFill="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0" fontId="9" fillId="4" borderId="10" xfId="0" applyFont="1" applyFill="1" applyBorder="1" applyAlignment="1">
      <alignment vertical="center"/>
    </xf>
    <xf numFmtId="167" fontId="9" fillId="4" borderId="10" xfId="0" applyNumberFormat="1" applyFont="1" applyFill="1" applyBorder="1" applyAlignment="1">
      <alignment vertical="center"/>
    </xf>
    <xf numFmtId="167" fontId="9" fillId="0" borderId="9" xfId="0" applyNumberFormat="1" applyFont="1" applyBorder="1" applyAlignment="1">
      <alignment horizontal="center" vertical="center"/>
    </xf>
    <xf numFmtId="0" fontId="10" fillId="4" borderId="3" xfId="0" applyFont="1" applyFill="1" applyBorder="1" applyAlignment="1">
      <alignment vertical="center"/>
    </xf>
    <xf numFmtId="167" fontId="10" fillId="0" borderId="0" xfId="0" applyNumberFormat="1" applyFont="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67"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Location accuracy by week</a:t>
            </a:r>
          </a:p>
        </c:rich>
      </c:tx>
      <c:layout/>
    </c:title>
    <c:plotArea>
      <c:layout/>
      <c:barChart>
        <c:barDir val="col"/>
        <c:grouping val="clustered"/>
        <c:ser>
          <c:idx val="0"/>
          <c:order val="0"/>
          <c:tx>
            <c:v>Accuracy</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Dashboard!$B$31:$B$36</c:f>
              <c:numCache>
                <c:formatCode>General</c:formatCode>
                <c:ptCount val="6"/>
                <c:pt idx="0">
                  <c:v>46265</c:v>
                </c:pt>
                <c:pt idx="1">
                  <c:v>46272</c:v>
                </c:pt>
                <c:pt idx="2">
                  <c:v>46279</c:v>
                </c:pt>
                <c:pt idx="3">
                  <c:v>46286</c:v>
                </c:pt>
                <c:pt idx="4">
                  <c:v>46293</c:v>
                </c:pt>
                <c:pt idx="5">
                  <c:v>46300</c:v>
                </c:pt>
              </c:numCache>
            </c:numRef>
          </c:cat>
          <c:val>
            <c:numRef>
              <c:f>Dashboard!$E$31:$E$36</c:f>
              <c:numCache>
                <c:formatCode>General</c:formatCode>
                <c:ptCount val="6"/>
                <c:pt idx="0">
                  <c:v>0.8</c:v>
                </c:pt>
                <c:pt idx="1">
                  <c:v>0.72</c:v>
                </c:pt>
                <c:pt idx="2">
                  <c:v>0.84</c:v>
                </c:pt>
                <c:pt idx="3">
                  <c:v>1</c:v>
                </c:pt>
                <c:pt idx="4">
                  <c:v>0.96</c:v>
                </c:pt>
                <c:pt idx="5">
                  <c:v>0.96</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Dashboard!$B$31:$B$36</c:f>
              <c:numCache>
                <c:formatCode>General</c:formatCode>
                <c:ptCount val="6"/>
                <c:pt idx="0">
                  <c:v>46265</c:v>
                </c:pt>
                <c:pt idx="1">
                  <c:v>46272</c:v>
                </c:pt>
                <c:pt idx="2">
                  <c:v>46279</c:v>
                </c:pt>
                <c:pt idx="3">
                  <c:v>46286</c:v>
                </c:pt>
                <c:pt idx="4">
                  <c:v>46293</c:v>
                </c:pt>
                <c:pt idx="5">
                  <c:v>46300</c:v>
                </c:pt>
              </c:numCache>
            </c:numRef>
          </c:cat>
          <c:val>
            <c:numRef>
              <c:f>Dashboard!$F$31:$F$36</c:f>
              <c:numCache>
                <c:formatCode>General</c:formatCode>
                <c:ptCount val="6"/>
                <c:pt idx="0">
                  <c:v>0.95</c:v>
                </c:pt>
                <c:pt idx="1">
                  <c:v>0.95</c:v>
                </c:pt>
                <c:pt idx="2">
                  <c:v>0.95</c:v>
                </c:pt>
                <c:pt idx="3">
                  <c:v>0.95</c:v>
                </c:pt>
                <c:pt idx="4">
                  <c:v>0.95</c:v>
                </c:pt>
                <c:pt idx="5">
                  <c:v>0.95</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Misses by reason</a:t>
            </a:r>
          </a:p>
        </c:rich>
      </c:tx>
      <c:layout/>
    </c:title>
    <c:plotArea>
      <c:layout/>
      <c:barChart>
        <c:barDir val="col"/>
        <c:grouping val="clustered"/>
        <c:ser>
          <c:idx val="0"/>
          <c:order val="0"/>
          <c:tx>
            <c:v>Misses</c:v>
          </c:tx>
          <c:spPr>
            <a:solidFill>
              <a:srgbClr val="3B64D8"/>
            </a:solidFill>
            <a:ln w="9525">
              <a:solidFill>
                <a:srgbClr val="FFFFFF"/>
              </a:solidFill>
            </a:ln>
          </c:spPr>
          <c:cat>
            <c:strRef>
              <c:f>Dashboard!$C$57:$C$63</c:f>
              <c:strCache>
                <c:ptCount val="7"/>
                <c:pt idx="0">
                  <c:v>Wrong location</c:v>
                </c:pt>
                <c:pt idx="1">
                  <c:v>Picking error</c:v>
                </c:pt>
                <c:pt idx="2">
                  <c:v>Receiving error</c:v>
                </c:pt>
                <c:pt idx="3">
                  <c:v>Unrecorded scrap</c:v>
                </c:pt>
                <c:pt idx="4">
                  <c:v>Other</c:v>
                </c:pt>
                <c:pt idx="5">
                  <c:v>Unrecorded issue</c:v>
                </c:pt>
                <c:pt idx="6">
                  <c:v>Unit of measure</c:v>
                </c:pt>
              </c:strCache>
            </c:strRef>
          </c:cat>
          <c:val>
            <c:numRef>
              <c:f>Dashboard!$E$57:$E$63</c:f>
              <c:numCache>
                <c:formatCode>General</c:formatCode>
                <c:ptCount val="7"/>
                <c:pt idx="0">
                  <c:v>8</c:v>
                </c:pt>
                <c:pt idx="1">
                  <c:v>5</c:v>
                </c:pt>
                <c:pt idx="2">
                  <c:v>2</c:v>
                </c:pt>
                <c:pt idx="3">
                  <c:v>2</c:v>
                </c:pt>
                <c:pt idx="4">
                  <c:v>1</c:v>
                </c:pt>
                <c:pt idx="5">
                  <c:v>0</c:v>
                </c:pt>
                <c:pt idx="6">
                  <c:v>0</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Dashboard!$C$57:$C$63</c:f>
              <c:strCache>
                <c:ptCount val="7"/>
                <c:pt idx="0">
                  <c:v>Wrong location</c:v>
                </c:pt>
                <c:pt idx="1">
                  <c:v>Picking error</c:v>
                </c:pt>
                <c:pt idx="2">
                  <c:v>Receiving error</c:v>
                </c:pt>
                <c:pt idx="3">
                  <c:v>Unrecorded scrap</c:v>
                </c:pt>
                <c:pt idx="4">
                  <c:v>Other</c:v>
                </c:pt>
                <c:pt idx="5">
                  <c:v>Unrecorded issue</c:v>
                </c:pt>
                <c:pt idx="6">
                  <c:v>Unit of measure</c:v>
                </c:pt>
              </c:strCache>
            </c:strRef>
          </c:cat>
          <c:val>
            <c:numRef>
              <c:f>Dashboard!$G$57:$G$63</c:f>
              <c:numCache>
                <c:formatCode>General</c:formatCode>
                <c:ptCount val="7"/>
                <c:pt idx="0">
                  <c:v>0.444444444444444</c:v>
                </c:pt>
                <c:pt idx="1">
                  <c:v>0.722222222222222</c:v>
                </c:pt>
                <c:pt idx="2">
                  <c:v>0.833333333333333</c:v>
                </c:pt>
                <c:pt idx="3">
                  <c:v>0.944444444444444</c:v>
                </c:pt>
                <c:pt idx="4">
                  <c:v>1</c:v>
                </c:pt>
                <c:pt idx="5">
                  <c:v>1</c:v>
                </c:pt>
                <c:pt idx="6">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25</xdr:row>
      <xdr:rowOff>152400</xdr:rowOff>
    </xdr:to>
    <xdr:graphicFrame macro="">
      <xdr:nvGraphicFramePr>
        <xdr:cNvPr id="2" name="Chart 1" descr="Column chart of location accuracy for each of the last six weeks in the log, with the accurac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25</xdr:row>
      <xdr:rowOff>152400</xdr:rowOff>
    </xdr:to>
    <xdr:graphicFrame macro="">
      <xdr:nvGraphicFramePr>
        <xdr:cNvPr id="3" name="Chart 2" descr="Pareto chart of count misses by reason code,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Zones" displayName="tblZones" ref="B18:C22" totalsRowShown="0">
  <autoFilter ref="B18:C22"/>
  <tableColumns count="2">
    <tableColumn id="1" name="Zone"/>
    <tableColumn id="2" name="Description"/>
  </tableColumns>
  <tableStyleInfo name="TableStyleLight1" showFirstColumn="0" showLastColumn="0" showRowStripes="0" showColumnStripes="0"/>
</table>
</file>

<file path=xl/tables/table2.xml><?xml version="1.0" encoding="utf-8"?>
<table xmlns="http://schemas.openxmlformats.org/spreadsheetml/2006/main" id="2" name="tblReasons" displayName="tblReasons" ref="B25:C32" totalsRowShown="0">
  <autoFilter ref="B25:C32"/>
  <tableColumns count="2">
    <tableColumn id="1" name="Reason"/>
    <tableColumn id="2" name="Definition"/>
  </tableColumns>
  <tableStyleInfo name="TableStyleLight1" showFirstColumn="0" showLastColumn="0" showRowStripes="0" showColumnStripes="0"/>
</table>
</file>

<file path=xl/tables/table3.xml><?xml version="1.0" encoding="utf-8"?>
<table xmlns="http://schemas.openxmlformats.org/spreadsheetml/2006/main" id="3" name="tblCounts" displayName="tblCounts" ref="B6:S156" totalsRowShown="0">
  <autoFilter ref="B6:S156"/>
  <tableColumns count="18">
    <tableColumn id="1" name="Date"/>
    <tableColumn id="2" name="Location"/>
    <tableColumn id="3" name="Zone"/>
    <tableColumn id="4" name="Item"/>
    <tableColumn id="5" name="Class"/>
    <tableColumn id="6" name="Unit cost"/>
    <tableColumn id="7" name="System qty (units)"/>
    <tableColumn id="8" name="Counted qty (units)"/>
    <tableColumn id="9" name="Variance (units)">
      <calculatedColumnFormula>IF(tblCounts[[#This Row],[Date]]="","",tblCounts[[#This Row],[Counted qty (units)]]-tblCounts[[#This Row],[System qty (units)]])</calculatedColumnFormula>
    </tableColumn>
    <tableColumn id="10" name="Variance (%)">
      <calculatedColumnFormula>IF(tblCounts[[#This Row],[Date]]="","",IF(tblCounts[[#This Row],[System qty (units)]]&gt;0,tblCounts[[#This Row],[Variance (units)]]/tblCounts[[#This Row],[System qty (units)]],""))</calculatedColumnFormula>
    </tableColumn>
    <tableColumn id="11" name="Tolerance">
      <calculatedColumnFormula>IF(tblCounts[[#This Row],[Date]]="","",IF(tblCounts[[#This Row],[Class]]="A",TolA,IF(tblCounts[[#This Row],[Class]]="B",TolB,IF(tblCounts[[#This Row],[Class]]="C",TolC,""))))</calculatedColumnFormula>
    </tableColumn>
    <tableColumn id="12" name="Match">
      <calculatedColumnFormula>IF(tblCounts[[#This Row],[Date]]="","",IF(tblCounts[[#This Row],[Tolerance]]="","",IF(IF(tblCounts[[#This Row],[System qty (units)]]&gt;0,ABS(tblCounts[[#This Row],[Variance (units)]])/tblCounts[[#This Row],[System qty (units)]],IF(tblCounts[[#This Row],[Counted qty (units)]]&gt;0,1,0))&lt;=tblCounts[[#This Row],[Tolerance]],"Yes","No")))</calculatedColumnFormula>
    </tableColumn>
    <tableColumn id="13" name="Variance value">
      <calculatedColumnFormula>IF(tblCounts[[#This Row],[Date]]="","",tblCounts[[#This Row],[Variance (units)]]*tblCounts[[#This Row],[Unit cost]])</calculatedColumnFormula>
    </tableColumn>
    <tableColumn id="14" name="Abs variance value">
      <calculatedColumnFormula>IF(tblCounts[[#This Row],[Date]]="","",ABS(tblCounts[[#This Row],[Variance value]]))</calculatedColumnFormula>
    </tableColumn>
    <tableColumn id="15" name="Reason"/>
    <tableColumn id="16" name="Counter"/>
    <tableColumn id="17" name="Check">
      <calculatedColumnFormula>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calculatedColumnFormula>
    </tableColumn>
    <tableColumn id="18" name="Notes"/>
  </tableColumns>
  <tableStyleInfo name="TableStyleLight1" showFirstColumn="0" showLastColumn="0" showRowStripes="0" showColumnStripes="0"/>
</table>
</file>

<file path=xl/tables/table4.xml><?xml version="1.0" encoding="utf-8"?>
<table xmlns="http://schemas.openxmlformats.org/spreadsheetml/2006/main" id="4" name="tblVerifyZones" displayName="tblVerifyZones" ref="B38:C40" totalsRowShown="0">
  <tableColumns count="2">
    <tableColumn id="1" name="Zone"/>
    <tableColumn id="2" name="Description"/>
  </tableColumns>
  <tableStyleInfo name="TableStyleLight1" showFirstColumn="0" showLastColumn="0" showRowStripes="0" showColumnStripes="0"/>
</table>
</file>

<file path=xl/tables/table5.xml><?xml version="1.0" encoding="utf-8"?>
<table xmlns="http://schemas.openxmlformats.org/spreadsheetml/2006/main" id="5" name="tblVerifyReasons" displayName="tblVerifyReasons" ref="B43:C45" totalsRowShown="0">
  <tableColumns count="2">
    <tableColumn id="1" name="Reason"/>
    <tableColumn id="2" name="Definition"/>
  </tableColumns>
  <tableStyleInfo name="TableStyleLight1" showFirstColumn="0" showLastColumn="0" showRowStripes="0" showColumnStripes="0"/>
</table>
</file>

<file path=xl/tables/table6.xml><?xml version="1.0" encoding="utf-8"?>
<table xmlns="http://schemas.openxmlformats.org/spreadsheetml/2006/main" id="6" name="tblVerifyCounts" displayName="tblVerifyCounts" ref="B49:S55" totalsRowShown="0">
  <tableColumns count="18">
    <tableColumn id="1" name="Date"/>
    <tableColumn id="2" name="Location"/>
    <tableColumn id="3" name="Zone"/>
    <tableColumn id="4" name="Item"/>
    <tableColumn id="5" name="Class"/>
    <tableColumn id="6" name="Unit cost"/>
    <tableColumn id="7" name="System qty (units)"/>
    <tableColumn id="8" name="Counted qty (units)"/>
    <tableColumn id="9" name="Variance (units)">
      <calculatedColumnFormula>IF(tblVerifyCounts[[#This Row],[Date]]="","",tblVerifyCounts[[#This Row],[Counted qty (units)]]-tblVerifyCounts[[#This Row],[System qty (units)]])</calculatedColumnFormula>
    </tableColumn>
    <tableColumn id="10" name="Variance (%)">
      <calculatedColumnFormula>IF(tblVerifyCounts[[#This Row],[Date]]="","",IF(tblVerifyCounts[[#This Row],[System qty (units)]]&gt;0,tblVerifyCounts[[#This Row],[Variance (units)]]/tblVerifyCounts[[#This Row],[System qty (units)]],""))</calculatedColumnFormula>
    </tableColumn>
    <tableColumn id="11" name="Tolerance">
      <calculatedColumnFormula>IF(tblVerifyCounts[[#This Row],[Date]]="","",IF(tblVerifyCounts[[#This Row],[Class]]="A",$E$32,IF(tblVerifyCounts[[#This Row],[Class]]="B",$E$33,IF(tblVerifyCounts[[#This Row],[Class]]="C",$E$34,""))))</calculatedColumnFormula>
    </tableColumn>
    <tableColumn id="12" name="Match">
      <calculatedColumnFormula>IF(tblVerifyCounts[[#This Row],[Date]]="","",IF(tblVerifyCounts[[#This Row],[Tolerance]]="","",IF(IF(tblVerifyCounts[[#This Row],[System qty (units)]]&gt;0,ABS(tblVerifyCounts[[#This Row],[Variance (units)]])/tblVerifyCounts[[#This Row],[System qty (units)]],IF(tblVerifyCounts[[#This Row],[Counted qty (units)]]&gt;0,1,0))&lt;=tblVerifyCounts[[#This Row],[Tolerance]],"Yes","No")))</calculatedColumnFormula>
    </tableColumn>
    <tableColumn id="13" name="Variance value">
      <calculatedColumnFormula>IF(tblVerifyCounts[[#This Row],[Date]]="","",tblVerifyCounts[[#This Row],[Variance (units)]]*tblVerifyCounts[[#This Row],[Unit cost]])</calculatedColumnFormula>
    </tableColumn>
    <tableColumn id="14" name="Abs variance value">
      <calculatedColumnFormula>IF(tblVerifyCounts[[#This Row],[Date]]="","",ABS(tblVerifyCounts[[#This Row],[Variance value]]))</calculatedColumnFormula>
    </tableColumn>
    <tableColumn id="15" name="Reason"/>
    <tableColumn id="16" name="Counter"/>
    <tableColumn id="17" name="Check">
      <calculatedColumnFormula>IF(tblVerifyCounts[[#This Row],[Date]]="","",IF(tblVerifyCounts[[#This Row],[Location]]="","Missing location",IF(tblVerifyCounts[[#This Row],[Zone]]="","Missing zone",IF(tblVerifyCounts[[#This Row],[Item]]="","Missing item",IF(tblVerifyCounts[[#This Row],[Class]]="","Missing class",IF(tblVerifyCounts[[#This Row],[System qty (units)]]="","Missing system qty",IF(tblVerifyCounts[[#This Row],[Counted qty (units)]]="","Missing counted qty",IF(AND(tblVerifyCounts[[#This Row],[Match]]="No",tblVerifyCounts[[#This Row],[Reason]]=""),"Reason missing for a miss",IF(COUNTIF(tblVerifyZones[Zone],tblVerifyCounts[[#This Row],[Zone]])=0,"Zone not on Setup list",IF(AND(tblVerifyCounts[[#This Row],[Reason]]&lt;&gt;"",COUNTIF(tblVerifyReasons[Reason],tblVerifyCounts[[#This Row],[Reason]])=0),"Reason not on Setup list",IF(COUNTIFS(tblVerifyCounts[Date],tblVerifyCounts[[#This Row],[Date]],tblVerifyCounts[Location],tblVerifyCounts[[#This Row],[Location]],tblVerifyCounts[Item],tblVerifyCounts[[#This Row],[Item]])&gt;1,"Counted twice on one day","OK")))))))))))</calculatedColumnFormula>
    </tableColumn>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count-tracker" TargetMode="External"/><Relationship Id="rId2" Type="http://schemas.openxmlformats.org/officeDocument/2006/relationships/hyperlink" Target="https://www.mfgcalcs.com/calculators/wms-warehouse-labor-fulfillment/inventory-accuracy?utm_source=mfgcalcs-template&amp;utm_medium=xlsx&amp;utm_campaign=cycle-count-tracker" TargetMode="External"/><Relationship Id="rId3" Type="http://schemas.openxmlformats.org/officeDocument/2006/relationships/hyperlink" Target="https://www.mfgcalcs.com/templates/cycle-count-tracker?utm_source=mfgcalcs-template&amp;utm_medium=xlsx&amp;utm_campaign=cycle-count-tracker" TargetMode="External"/><Relationship Id="rId4" Type="http://schemas.openxmlformats.org/officeDocument/2006/relationships/hyperlink" Target="https://www.mfgcalcs.com/templates?utm_source=mfgcalcs-template&amp;utm_medium=xlsx&amp;utm_campaign=cycle-count-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count-tracke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count-tracke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count-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count-tracker" TargetMode="External"/><Relationship Id="rId2" Type="http://schemas.openxmlformats.org/officeDocument/2006/relationships/hyperlink" Target="https://www.mfgcalcs.com/calculators/wms-warehouse-labor-fulfillment/inventory-accuracy?utm_source=mfgcalcs-template&amp;utm_medium=xlsx&amp;utm_campaign=cycle-count-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count-tracker"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16 of 16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Count Log'!A1" tooltip="Go to Count Log" display="Count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Cycle Count Tracker&amp;R&amp;8&amp;A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2"/>
  <sheetViews>
    <sheetView showGridLines="0" workbookViewId="0"/>
  </sheetViews>
  <sheetFormatPr defaultRowHeight="15"/>
  <cols>
    <col min="1" max="1" width="2.7109375" customWidth="1"/>
    <col min="2" max="2" width="32.7109375" customWidth="1"/>
    <col min="3" max="3" width="14.7109375" customWidth="1"/>
    <col min="4" max="4" width="44.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64</v>
      </c>
      <c r="C4" s="8"/>
      <c r="D4" s="8"/>
    </row>
    <row r="5" spans="1:5" ht="5" customHeight="1"/>
    <row r="6" spans="1:5">
      <c r="B6" s="27" t="s">
        <v>65</v>
      </c>
      <c r="C6" s="28" t="s">
        <v>66</v>
      </c>
      <c r="D6" s="28"/>
    </row>
    <row r="7" spans="1:5">
      <c r="B7" s="27" t="s">
        <v>67</v>
      </c>
      <c r="C7" s="28" t="s">
        <v>68</v>
      </c>
      <c r="D7" s="28"/>
    </row>
    <row r="8" spans="1:5">
      <c r="B8" s="27" t="s">
        <v>69</v>
      </c>
      <c r="C8" s="29">
        <v>0.95</v>
      </c>
      <c r="D8" s="7"/>
    </row>
    <row r="9" spans="1:5">
      <c r="B9" s="27" t="s">
        <v>70</v>
      </c>
      <c r="C9" s="29">
        <v>0</v>
      </c>
      <c r="D9" s="7"/>
    </row>
    <row r="10" spans="1:5">
      <c r="B10" s="27" t="s">
        <v>71</v>
      </c>
      <c r="C10" s="29">
        <v>0.02</v>
      </c>
      <c r="D10" s="7"/>
    </row>
    <row r="11" spans="1:5">
      <c r="B11" s="27" t="s">
        <v>72</v>
      </c>
      <c r="C11" s="29">
        <v>0.05</v>
      </c>
      <c r="D11" s="7"/>
    </row>
    <row r="13" spans="1:5" ht="48.6" customHeight="1">
      <c r="B13" s="25" t="s">
        <v>73</v>
      </c>
      <c r="C13" s="25"/>
      <c r="D13" s="25"/>
    </row>
    <row r="15" spans="1:5" ht="21" customHeight="1">
      <c r="B15" s="8" t="s">
        <v>74</v>
      </c>
      <c r="C15" s="8"/>
      <c r="D15" s="8"/>
    </row>
    <row r="16" spans="1:5" ht="5" customHeight="1"/>
    <row r="17" spans="2:3">
      <c r="B17" s="30" t="s">
        <v>75</v>
      </c>
      <c r="C17" s="30"/>
    </row>
    <row r="18" spans="2:3" ht="20" customHeight="1">
      <c r="B18" s="31" t="s">
        <v>60</v>
      </c>
      <c r="C18" s="31" t="s">
        <v>61</v>
      </c>
    </row>
    <row r="19" spans="2:3">
      <c r="B19" s="28" t="s">
        <v>76</v>
      </c>
      <c r="C19" s="32" t="s">
        <v>77</v>
      </c>
    </row>
    <row r="20" spans="2:3">
      <c r="B20" s="28" t="s">
        <v>78</v>
      </c>
      <c r="C20" s="32" t="s">
        <v>79</v>
      </c>
    </row>
    <row r="21" spans="2:3">
      <c r="B21" s="28" t="s">
        <v>80</v>
      </c>
      <c r="C21" s="32" t="s">
        <v>81</v>
      </c>
    </row>
    <row r="22" spans="2:3">
      <c r="B22" s="28" t="s">
        <v>82</v>
      </c>
      <c r="C22" s="32" t="s">
        <v>83</v>
      </c>
    </row>
    <row r="24" spans="2:3">
      <c r="B24" s="30" t="s">
        <v>84</v>
      </c>
      <c r="C24" s="30"/>
    </row>
    <row r="25" spans="2:3" ht="20" customHeight="1">
      <c r="B25" s="31" t="s">
        <v>62</v>
      </c>
      <c r="C25" s="31" t="s">
        <v>63</v>
      </c>
    </row>
    <row r="26" spans="2:3">
      <c r="B26" s="28" t="s">
        <v>85</v>
      </c>
      <c r="C26" s="32" t="s">
        <v>86</v>
      </c>
    </row>
    <row r="27" spans="2:3">
      <c r="B27" s="28" t="s">
        <v>87</v>
      </c>
      <c r="C27" s="32" t="s">
        <v>88</v>
      </c>
    </row>
    <row r="28" spans="2:3">
      <c r="B28" s="28" t="s">
        <v>89</v>
      </c>
      <c r="C28" s="32" t="s">
        <v>90</v>
      </c>
    </row>
    <row r="29" spans="2:3">
      <c r="B29" s="28" t="s">
        <v>91</v>
      </c>
      <c r="C29" s="32" t="s">
        <v>92</v>
      </c>
    </row>
    <row r="30" spans="2:3">
      <c r="B30" s="28" t="s">
        <v>93</v>
      </c>
      <c r="C30" s="32" t="s">
        <v>94</v>
      </c>
    </row>
    <row r="31" spans="2:3">
      <c r="B31" s="28" t="s">
        <v>95</v>
      </c>
      <c r="C31" s="32" t="s">
        <v>96</v>
      </c>
    </row>
    <row r="32" spans="2:3">
      <c r="B32" s="28" t="s">
        <v>97</v>
      </c>
      <c r="C32" s="32" t="s">
        <v>98</v>
      </c>
    </row>
  </sheetData>
  <mergeCells count="10">
    <mergeCell ref="A1:E1"/>
    <mergeCell ref="B2:C2"/>
    <mergeCell ref="D2:E2"/>
    <mergeCell ref="B4:D4"/>
    <mergeCell ref="C6:D6"/>
    <mergeCell ref="C7:D7"/>
    <mergeCell ref="B13:D13"/>
    <mergeCell ref="B15:D15"/>
    <mergeCell ref="B17:C17"/>
    <mergeCell ref="B24:C24"/>
  </mergeCells>
  <dataValidations count="10">
    <dataValidation type="textLength" allowBlank="1" showInputMessage="1" showErrorMessage="1" errorTitle="Check this entry" error="Text up to 80 characters." promptTitle="Company or sit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decimal" allowBlank="1" showInputMessage="1" showErrorMessage="1" errorTitle="Check this entry" error="Enter a percentage from 0% to 100% (type 85% or 0.85)." promptTitle="Location accuracy target" prompt="Your own target: the share of counts that match the system within tolerance. Enter a percentage from 0% to 100% (type 85% or 0.85)." sqref="C8">
      <formula1>0</formula1>
      <formula2>1</formula2>
    </dataValidation>
    <dataValidation type="decimal" allowBlank="1" showInputMessage="1" showErrorMessage="1" errorTitle="Check this entry" error="Enter a percentage from 0% to 100% (type 85% or 0.85)." promptTitle="Count tolerance, A items" prompt="Absolute variance / system quantity at or below this counts as a match. 0% = exact match only. Enter a percentage from 0% to 100% (type 85% or 0.85)." sqref="C9">
      <formula1>0</formula1>
      <formula2>1</formula2>
    </dataValidation>
    <dataValidation type="decimal" allowBlank="1" showInputMessage="1" showErrorMessage="1" errorTitle="Check this entry" error="Enter a percentage from 0% to 100% (type 85% or 0.85)." promptTitle="Count tolerance, B items" prompt="Absolute variance / system quantity at or below this counts as a match. Enter a percentage from 0% to 100% (type 85% or 0.85)." sqref="C10">
      <formula1>0</formula1>
      <formula2>1</formula2>
    </dataValidation>
    <dataValidation type="decimal" allowBlank="1" showInputMessage="1" showErrorMessage="1" errorTitle="Check this entry" error="Enter a percentage from 0% to 100% (type 85% or 0.85)." promptTitle="Count tolerance, C items" prompt="Absolute variance / system quantity at or below this counts as a match. Enter a percentage from 0% to 100% (type 85% or 0.85)." sqref="C11">
      <formula1>0</formula1>
      <formula2>1</formula2>
    </dataValidation>
    <dataValidation type="textLength" allowBlank="1" showInputMessage="1" showErrorMessage="1" errorTitle="Check this entry" error="Text up to 40 characters." promptTitle="Zone" prompt="Text up to 40 characters." sqref="B19:B122">
      <formula1>0</formula1>
      <formula2>40</formula2>
    </dataValidation>
    <dataValidation type="textLength" allowBlank="1" showInputMessage="1" showErrorMessage="1" errorTitle="Check this entry" error="Text up to 120 characters." promptTitle="Description" prompt="Text up to 120 characters." sqref="C19:C122">
      <formula1>0</formula1>
      <formula2>120</formula2>
    </dataValidation>
    <dataValidation type="textLength" allowBlank="1" showInputMessage="1" showErrorMessage="1" errorTitle="Check this entry" error="Text up to 40 characters." promptTitle="Reason" prompt="Text up to 40 characters." sqref="B26:B132">
      <formula1>0</formula1>
      <formula2>40</formula2>
    </dataValidation>
    <dataValidation type="textLength" allowBlank="1" showInputMessage="1" showErrorMessage="1" errorTitle="Check this entry" error="Text up to 160 characters." promptTitle="Definition" prompt="Text up to 160 characters." sqref="C26:C132">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Cycle Count Tracker&amp;R&amp;8&amp;A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S15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2.28515625" customWidth="1"/>
    <col min="3" max="3" width="10.7109375" customWidth="1"/>
    <col min="4" max="4" width="13.7109375" customWidth="1"/>
    <col min="5" max="5" width="12.7109375" customWidth="1"/>
    <col min="6" max="6" width="7.28515625" customWidth="1"/>
    <col min="7" max="11" width="9.7109375" customWidth="1"/>
    <col min="12" max="12" width="9.28515625" customWidth="1"/>
    <col min="13" max="13" width="7.7109375" customWidth="1"/>
    <col min="14" max="15" width="10.7109375" customWidth="1"/>
    <col min="16" max="16" width="15.7109375" customWidth="1"/>
    <col min="17" max="17" width="10.7109375" customWidth="1"/>
    <col min="18" max="18" width="20.7109375" customWidth="1"/>
    <col min="19" max="19" width="26.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20</v>
      </c>
      <c r="C2" s="2"/>
      <c r="D2" s="2"/>
      <c r="E2" s="2"/>
      <c r="F2" s="2"/>
      <c r="G2" s="2"/>
      <c r="H2" s="2"/>
      <c r="I2" s="2"/>
      <c r="J2" s="2"/>
      <c r="K2" s="2"/>
      <c r="L2" s="2"/>
      <c r="M2" s="2"/>
      <c r="N2" s="2"/>
      <c r="O2" s="2"/>
      <c r="P2" s="2"/>
      <c r="Q2" s="2"/>
      <c r="R2" s="2"/>
      <c r="S2" s="3" t="s">
        <v>2</v>
      </c>
    </row>
    <row r="3" spans="1:19" ht="6" customHeight="1"/>
    <row r="4" spans="1:19" ht="18" customHeight="1">
      <c r="B4" s="33" t="s">
        <v>115</v>
      </c>
      <c r="C4" s="33"/>
      <c r="D4" s="33"/>
      <c r="E4" s="33"/>
      <c r="F4" s="33"/>
      <c r="G4" s="33"/>
      <c r="H4" s="33"/>
      <c r="I4" s="33"/>
      <c r="J4" s="33"/>
      <c r="K4" s="33"/>
      <c r="L4" s="33"/>
      <c r="M4" s="33"/>
      <c r="N4" s="33"/>
      <c r="O4" s="33"/>
      <c r="P4" s="33"/>
      <c r="Q4" s="33"/>
      <c r="R4" s="33"/>
      <c r="S4" s="33"/>
    </row>
    <row r="5" spans="1:19" ht="14" customHeight="1">
      <c r="B5" s="34"/>
      <c r="C5" s="34"/>
      <c r="D5" s="34"/>
      <c r="E5" s="34"/>
      <c r="F5" s="34"/>
      <c r="G5" s="34" t="str">
        <f>Currency&amp;"/unit"</f>
        <v>GBP/unit</v>
      </c>
      <c r="H5" s="34"/>
      <c r="I5" s="34"/>
      <c r="J5" s="34"/>
      <c r="K5" s="34"/>
      <c r="L5" s="34"/>
      <c r="M5" s="34"/>
      <c r="N5" s="34" t="str">
        <f>Currency</f>
        <v>GBP</v>
      </c>
      <c r="O5" s="34" t="str">
        <f>Currency</f>
        <v>GBP</v>
      </c>
      <c r="P5" s="34"/>
      <c r="Q5" s="34"/>
      <c r="R5" s="34"/>
      <c r="S5" s="34"/>
    </row>
    <row r="6" spans="1:19" ht="32" customHeight="1">
      <c r="B6" s="31" t="s">
        <v>99</v>
      </c>
      <c r="C6" s="31" t="s">
        <v>100</v>
      </c>
      <c r="D6" s="31" t="s">
        <v>60</v>
      </c>
      <c r="E6" s="31" t="s">
        <v>101</v>
      </c>
      <c r="F6" s="31" t="s">
        <v>102</v>
      </c>
      <c r="G6" s="31" t="s">
        <v>103</v>
      </c>
      <c r="H6" s="31" t="s">
        <v>104</v>
      </c>
      <c r="I6" s="31" t="s">
        <v>105</v>
      </c>
      <c r="J6" s="31" t="s">
        <v>106</v>
      </c>
      <c r="K6" s="31" t="s">
        <v>107</v>
      </c>
      <c r="L6" s="31" t="s">
        <v>108</v>
      </c>
      <c r="M6" s="31" t="s">
        <v>109</v>
      </c>
      <c r="N6" s="31" t="s">
        <v>110</v>
      </c>
      <c r="O6" s="31" t="s">
        <v>111</v>
      </c>
      <c r="P6" s="31" t="s">
        <v>62</v>
      </c>
      <c r="Q6" s="31" t="s">
        <v>112</v>
      </c>
      <c r="R6" s="31" t="s">
        <v>113</v>
      </c>
      <c r="S6" s="31" t="s">
        <v>114</v>
      </c>
    </row>
    <row r="7" spans="1:19">
      <c r="B7" s="35">
        <v>46265</v>
      </c>
      <c r="C7" s="28" t="s">
        <v>116</v>
      </c>
      <c r="D7" s="28" t="s">
        <v>80</v>
      </c>
      <c r="E7" s="28" t="s">
        <v>117</v>
      </c>
      <c r="F7" s="28" t="s">
        <v>118</v>
      </c>
      <c r="G7" s="36">
        <v>17.81</v>
      </c>
      <c r="H7" s="37">
        <v>82</v>
      </c>
      <c r="I7" s="37">
        <v>82</v>
      </c>
      <c r="J7" s="38">
        <f>IF(tblCounts[[#This Row],[Date]]="","",tblCounts[[#This Row],[Counted qty (units)]]-tblCounts[[#This Row],[System qty (units)]])</f>
        <v>0</v>
      </c>
      <c r="K7" s="39">
        <f>IF(tblCounts[[#This Row],[Date]]="","",IF(tblCounts[[#This Row],[System qty (units)]]&gt;0,tblCounts[[#This Row],[Variance (units)]]/tblCounts[[#This Row],[System qty (units)]],""))</f>
        <v>0</v>
      </c>
      <c r="L7" s="40">
        <f>IF(tblCounts[[#This Row],[Date]]="","",IF(tblCounts[[#This Row],[Class]]="A",TolA,IF(tblCounts[[#This Row],[Class]]="B",TolB,IF(tblCounts[[#This Row],[Class]]="C",TolC,""))))</f>
        <v>0.05</v>
      </c>
      <c r="M7" s="41" t="str">
        <f>IF(tblCounts[[#This Row],[Date]]="","",IF(tblCounts[[#This Row],[Tolerance]]="","",IF(IF(tblCounts[[#This Row],[System qty (units)]]&gt;0,ABS(tblCounts[[#This Row],[Variance (units)]])/tblCounts[[#This Row],[System qty (units)]],IF(tblCounts[[#This Row],[Counted qty (units)]]&gt;0,1,0))&lt;=tblCounts[[#This Row],[Tolerance]],"Yes","No")))</f>
        <v>Yes</v>
      </c>
      <c r="N7" s="42">
        <f>IF(tblCounts[[#This Row],[Date]]="","",tblCounts[[#This Row],[Variance (units)]]*tblCounts[[#This Row],[Unit cost]])</f>
        <v>0</v>
      </c>
      <c r="O7" s="42">
        <f>IF(tblCounts[[#This Row],[Date]]="","",ABS(tblCounts[[#This Row],[Variance value]]))</f>
        <v>0</v>
      </c>
      <c r="P7" s="28" t="s">
        <v>119</v>
      </c>
      <c r="Q7" s="28" t="s">
        <v>120</v>
      </c>
      <c r="R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 s="28" t="s">
        <v>119</v>
      </c>
    </row>
    <row r="8" spans="1:19">
      <c r="B8" s="35">
        <v>46265</v>
      </c>
      <c r="C8" s="28" t="s">
        <v>121</v>
      </c>
      <c r="D8" s="28" t="s">
        <v>80</v>
      </c>
      <c r="E8" s="28" t="s">
        <v>122</v>
      </c>
      <c r="F8" s="28" t="s">
        <v>123</v>
      </c>
      <c r="G8" s="36">
        <v>61</v>
      </c>
      <c r="H8" s="37">
        <v>21</v>
      </c>
      <c r="I8" s="37">
        <v>21</v>
      </c>
      <c r="J8" s="38">
        <f>IF(tblCounts[[#This Row],[Date]]="","",tblCounts[[#This Row],[Counted qty (units)]]-tblCounts[[#This Row],[System qty (units)]])</f>
        <v>0</v>
      </c>
      <c r="K8" s="39">
        <f>IF(tblCounts[[#This Row],[Date]]="","",IF(tblCounts[[#This Row],[System qty (units)]]&gt;0,tblCounts[[#This Row],[Variance (units)]]/tblCounts[[#This Row],[System qty (units)]],""))</f>
        <v>0</v>
      </c>
      <c r="L8" s="40">
        <f>IF(tblCounts[[#This Row],[Date]]="","",IF(tblCounts[[#This Row],[Class]]="A",TolA,IF(tblCounts[[#This Row],[Class]]="B",TolB,IF(tblCounts[[#This Row],[Class]]="C",TolC,""))))</f>
        <v>0.02</v>
      </c>
      <c r="M8" s="41" t="str">
        <f>IF(tblCounts[[#This Row],[Date]]="","",IF(tblCounts[[#This Row],[Tolerance]]="","",IF(IF(tblCounts[[#This Row],[System qty (units)]]&gt;0,ABS(tblCounts[[#This Row],[Variance (units)]])/tblCounts[[#This Row],[System qty (units)]],IF(tblCounts[[#This Row],[Counted qty (units)]]&gt;0,1,0))&lt;=tblCounts[[#This Row],[Tolerance]],"Yes","No")))</f>
        <v>Yes</v>
      </c>
      <c r="N8" s="42">
        <f>IF(tblCounts[[#This Row],[Date]]="","",tblCounts[[#This Row],[Variance (units)]]*tblCounts[[#This Row],[Unit cost]])</f>
        <v>0</v>
      </c>
      <c r="O8" s="42">
        <f>IF(tblCounts[[#This Row],[Date]]="","",ABS(tblCounts[[#This Row],[Variance value]]))</f>
        <v>0</v>
      </c>
      <c r="P8" s="28" t="s">
        <v>119</v>
      </c>
      <c r="Q8" s="28" t="s">
        <v>120</v>
      </c>
      <c r="R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 s="28" t="s">
        <v>119</v>
      </c>
    </row>
    <row r="9" spans="1:19">
      <c r="B9" s="35">
        <v>46265</v>
      </c>
      <c r="C9" s="28" t="s">
        <v>124</v>
      </c>
      <c r="D9" s="28" t="s">
        <v>80</v>
      </c>
      <c r="E9" s="28" t="s">
        <v>125</v>
      </c>
      <c r="F9" s="28" t="s">
        <v>126</v>
      </c>
      <c r="G9" s="36">
        <v>418</v>
      </c>
      <c r="H9" s="37">
        <v>20</v>
      </c>
      <c r="I9" s="37">
        <v>20</v>
      </c>
      <c r="J9" s="38">
        <f>IF(tblCounts[[#This Row],[Date]]="","",tblCounts[[#This Row],[Counted qty (units)]]-tblCounts[[#This Row],[System qty (units)]])</f>
        <v>0</v>
      </c>
      <c r="K9" s="39">
        <f>IF(tblCounts[[#This Row],[Date]]="","",IF(tblCounts[[#This Row],[System qty (units)]]&gt;0,tblCounts[[#This Row],[Variance (units)]]/tblCounts[[#This Row],[System qty (units)]],""))</f>
        <v>0</v>
      </c>
      <c r="L9" s="40">
        <f>IF(tblCounts[[#This Row],[Date]]="","",IF(tblCounts[[#This Row],[Class]]="A",TolA,IF(tblCounts[[#This Row],[Class]]="B",TolB,IF(tblCounts[[#This Row],[Class]]="C",TolC,""))))</f>
        <v>0</v>
      </c>
      <c r="M9" s="41" t="str">
        <f>IF(tblCounts[[#This Row],[Date]]="","",IF(tblCounts[[#This Row],[Tolerance]]="","",IF(IF(tblCounts[[#This Row],[System qty (units)]]&gt;0,ABS(tblCounts[[#This Row],[Variance (units)]])/tblCounts[[#This Row],[System qty (units)]],IF(tblCounts[[#This Row],[Counted qty (units)]]&gt;0,1,0))&lt;=tblCounts[[#This Row],[Tolerance]],"Yes","No")))</f>
        <v>Yes</v>
      </c>
      <c r="N9" s="42">
        <f>IF(tblCounts[[#This Row],[Date]]="","",tblCounts[[#This Row],[Variance (units)]]*tblCounts[[#This Row],[Unit cost]])</f>
        <v>0</v>
      </c>
      <c r="O9" s="42">
        <f>IF(tblCounts[[#This Row],[Date]]="","",ABS(tblCounts[[#This Row],[Variance value]]))</f>
        <v>0</v>
      </c>
      <c r="P9" s="28" t="s">
        <v>119</v>
      </c>
      <c r="Q9" s="28" t="s">
        <v>120</v>
      </c>
      <c r="R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 s="28" t="s">
        <v>119</v>
      </c>
    </row>
    <row r="10" spans="1:19">
      <c r="B10" s="35">
        <v>46265</v>
      </c>
      <c r="C10" s="28" t="s">
        <v>127</v>
      </c>
      <c r="D10" s="28" t="s">
        <v>76</v>
      </c>
      <c r="E10" s="28" t="s">
        <v>128</v>
      </c>
      <c r="F10" s="28" t="s">
        <v>123</v>
      </c>
      <c r="G10" s="36">
        <v>23</v>
      </c>
      <c r="H10" s="37">
        <v>239</v>
      </c>
      <c r="I10" s="37">
        <v>237</v>
      </c>
      <c r="J10" s="38">
        <f>IF(tblCounts[[#This Row],[Date]]="","",tblCounts[[#This Row],[Counted qty (units)]]-tblCounts[[#This Row],[System qty (units)]])</f>
        <v>-2</v>
      </c>
      <c r="K10" s="39">
        <f>IF(tblCounts[[#This Row],[Date]]="","",IF(tblCounts[[#This Row],[System qty (units)]]&gt;0,tblCounts[[#This Row],[Variance (units)]]/tblCounts[[#This Row],[System qty (units)]],""))</f>
        <v>-0.00836820083682008</v>
      </c>
      <c r="L10" s="40">
        <f>IF(tblCounts[[#This Row],[Date]]="","",IF(tblCounts[[#This Row],[Class]]="A",TolA,IF(tblCounts[[#This Row],[Class]]="B",TolB,IF(tblCounts[[#This Row],[Class]]="C",TolC,""))))</f>
        <v>0.02</v>
      </c>
      <c r="M10" s="41" t="str">
        <f>IF(tblCounts[[#This Row],[Date]]="","",IF(tblCounts[[#This Row],[Tolerance]]="","",IF(IF(tblCounts[[#This Row],[System qty (units)]]&gt;0,ABS(tblCounts[[#This Row],[Variance (units)]])/tblCounts[[#This Row],[System qty (units)]],IF(tblCounts[[#This Row],[Counted qty (units)]]&gt;0,1,0))&lt;=tblCounts[[#This Row],[Tolerance]],"Yes","No")))</f>
        <v>Yes</v>
      </c>
      <c r="N10" s="42">
        <f>IF(tblCounts[[#This Row],[Date]]="","",tblCounts[[#This Row],[Variance (units)]]*tblCounts[[#This Row],[Unit cost]])</f>
        <v>-46</v>
      </c>
      <c r="O10" s="42">
        <f>IF(tblCounts[[#This Row],[Date]]="","",ABS(tblCounts[[#This Row],[Variance value]]))</f>
        <v>46</v>
      </c>
      <c r="P10" s="28" t="s">
        <v>119</v>
      </c>
      <c r="Q10" s="28" t="s">
        <v>129</v>
      </c>
      <c r="R1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 s="28" t="s">
        <v>119</v>
      </c>
    </row>
    <row r="11" spans="1:19">
      <c r="B11" s="35">
        <v>46265</v>
      </c>
      <c r="C11" s="28" t="s">
        <v>130</v>
      </c>
      <c r="D11" s="28" t="s">
        <v>78</v>
      </c>
      <c r="E11" s="28" t="s">
        <v>131</v>
      </c>
      <c r="F11" s="28" t="s">
        <v>123</v>
      </c>
      <c r="G11" s="36">
        <v>13.51</v>
      </c>
      <c r="H11" s="37">
        <v>779</v>
      </c>
      <c r="I11" s="37">
        <v>718</v>
      </c>
      <c r="J11" s="38">
        <f>IF(tblCounts[[#This Row],[Date]]="","",tblCounts[[#This Row],[Counted qty (units)]]-tblCounts[[#This Row],[System qty (units)]])</f>
        <v>-61</v>
      </c>
      <c r="K11" s="39">
        <f>IF(tblCounts[[#This Row],[Date]]="","",IF(tblCounts[[#This Row],[System qty (units)]]&gt;0,tblCounts[[#This Row],[Variance (units)]]/tblCounts[[#This Row],[System qty (units)]],""))</f>
        <v>-0.0783055198973042</v>
      </c>
      <c r="L11" s="40">
        <f>IF(tblCounts[[#This Row],[Date]]="","",IF(tblCounts[[#This Row],[Class]]="A",TolA,IF(tblCounts[[#This Row],[Class]]="B",TolB,IF(tblCounts[[#This Row],[Class]]="C",TolC,""))))</f>
        <v>0.02</v>
      </c>
      <c r="M11" s="41" t="str">
        <f>IF(tblCounts[[#This Row],[Date]]="","",IF(tblCounts[[#This Row],[Tolerance]]="","",IF(IF(tblCounts[[#This Row],[System qty (units)]]&gt;0,ABS(tblCounts[[#This Row],[Variance (units)]])/tblCounts[[#This Row],[System qty (units)]],IF(tblCounts[[#This Row],[Counted qty (units)]]&gt;0,1,0))&lt;=tblCounts[[#This Row],[Tolerance]],"Yes","No")))</f>
        <v>No</v>
      </c>
      <c r="N11" s="42">
        <f>IF(tblCounts[[#This Row],[Date]]="","",tblCounts[[#This Row],[Variance (units)]]*tblCounts[[#This Row],[Unit cost]])</f>
        <v>-824.11</v>
      </c>
      <c r="O11" s="42">
        <f>IF(tblCounts[[#This Row],[Date]]="","",ABS(tblCounts[[#This Row],[Variance value]]))</f>
        <v>824.11</v>
      </c>
      <c r="P11" s="28" t="s">
        <v>95</v>
      </c>
      <c r="Q11" s="28" t="s">
        <v>132</v>
      </c>
      <c r="R1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 s="28" t="s">
        <v>119</v>
      </c>
    </row>
    <row r="12" spans="1:19">
      <c r="B12" s="35">
        <v>46266</v>
      </c>
      <c r="C12" s="28" t="s">
        <v>133</v>
      </c>
      <c r="D12" s="28" t="s">
        <v>76</v>
      </c>
      <c r="E12" s="28" t="s">
        <v>134</v>
      </c>
      <c r="F12" s="28" t="s">
        <v>123</v>
      </c>
      <c r="G12" s="36">
        <v>18</v>
      </c>
      <c r="H12" s="37">
        <v>70</v>
      </c>
      <c r="I12" s="37">
        <v>64</v>
      </c>
      <c r="J12" s="38">
        <f>IF(tblCounts[[#This Row],[Date]]="","",tblCounts[[#This Row],[Counted qty (units)]]-tblCounts[[#This Row],[System qty (units)]])</f>
        <v>-6</v>
      </c>
      <c r="K12" s="39">
        <f>IF(tblCounts[[#This Row],[Date]]="","",IF(tblCounts[[#This Row],[System qty (units)]]&gt;0,tblCounts[[#This Row],[Variance (units)]]/tblCounts[[#This Row],[System qty (units)]],""))</f>
        <v>-0.0857142857142857</v>
      </c>
      <c r="L12" s="40">
        <f>IF(tblCounts[[#This Row],[Date]]="","",IF(tblCounts[[#This Row],[Class]]="A",TolA,IF(tblCounts[[#This Row],[Class]]="B",TolB,IF(tblCounts[[#This Row],[Class]]="C",TolC,""))))</f>
        <v>0.02</v>
      </c>
      <c r="M12" s="41" t="str">
        <f>IF(tblCounts[[#This Row],[Date]]="","",IF(tblCounts[[#This Row],[Tolerance]]="","",IF(IF(tblCounts[[#This Row],[System qty (units)]]&gt;0,ABS(tblCounts[[#This Row],[Variance (units)]])/tblCounts[[#This Row],[System qty (units)]],IF(tblCounts[[#This Row],[Counted qty (units)]]&gt;0,1,0))&lt;=tblCounts[[#This Row],[Tolerance]],"Yes","No")))</f>
        <v>No</v>
      </c>
      <c r="N12" s="42">
        <f>IF(tblCounts[[#This Row],[Date]]="","",tblCounts[[#This Row],[Variance (units)]]*tblCounts[[#This Row],[Unit cost]])</f>
        <v>-108</v>
      </c>
      <c r="O12" s="42">
        <f>IF(tblCounts[[#This Row],[Date]]="","",ABS(tblCounts[[#This Row],[Variance value]]))</f>
        <v>108</v>
      </c>
      <c r="P12" s="28" t="s">
        <v>95</v>
      </c>
      <c r="Q12" s="28" t="s">
        <v>120</v>
      </c>
      <c r="R1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 s="28" t="s">
        <v>119</v>
      </c>
    </row>
    <row r="13" spans="1:19">
      <c r="B13" s="35">
        <v>46266</v>
      </c>
      <c r="C13" s="28" t="s">
        <v>135</v>
      </c>
      <c r="D13" s="28" t="s">
        <v>76</v>
      </c>
      <c r="E13" s="28" t="s">
        <v>136</v>
      </c>
      <c r="F13" s="28" t="s">
        <v>118</v>
      </c>
      <c r="G13" s="36">
        <v>5.37</v>
      </c>
      <c r="H13" s="37">
        <v>535</v>
      </c>
      <c r="I13" s="37">
        <v>535</v>
      </c>
      <c r="J13" s="38">
        <f>IF(tblCounts[[#This Row],[Date]]="","",tblCounts[[#This Row],[Counted qty (units)]]-tblCounts[[#This Row],[System qty (units)]])</f>
        <v>0</v>
      </c>
      <c r="K13" s="39">
        <f>IF(tblCounts[[#This Row],[Date]]="","",IF(tblCounts[[#This Row],[System qty (units)]]&gt;0,tblCounts[[#This Row],[Variance (units)]]/tblCounts[[#This Row],[System qty (units)]],""))</f>
        <v>0</v>
      </c>
      <c r="L13" s="40">
        <f>IF(tblCounts[[#This Row],[Date]]="","",IF(tblCounts[[#This Row],[Class]]="A",TolA,IF(tblCounts[[#This Row],[Class]]="B",TolB,IF(tblCounts[[#This Row],[Class]]="C",TolC,""))))</f>
        <v>0.05</v>
      </c>
      <c r="M13" s="41" t="str">
        <f>IF(tblCounts[[#This Row],[Date]]="","",IF(tblCounts[[#This Row],[Tolerance]]="","",IF(IF(tblCounts[[#This Row],[System qty (units)]]&gt;0,ABS(tblCounts[[#This Row],[Variance (units)]])/tblCounts[[#This Row],[System qty (units)]],IF(tblCounts[[#This Row],[Counted qty (units)]]&gt;0,1,0))&lt;=tblCounts[[#This Row],[Tolerance]],"Yes","No")))</f>
        <v>Yes</v>
      </c>
      <c r="N13" s="42">
        <f>IF(tblCounts[[#This Row],[Date]]="","",tblCounts[[#This Row],[Variance (units)]]*tblCounts[[#This Row],[Unit cost]])</f>
        <v>0</v>
      </c>
      <c r="O13" s="42">
        <f>IF(tblCounts[[#This Row],[Date]]="","",ABS(tblCounts[[#This Row],[Variance value]]))</f>
        <v>0</v>
      </c>
      <c r="P13" s="28" t="s">
        <v>119</v>
      </c>
      <c r="Q13" s="28" t="s">
        <v>132</v>
      </c>
      <c r="R1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 s="28" t="s">
        <v>119</v>
      </c>
    </row>
    <row r="14" spans="1:19">
      <c r="B14" s="35">
        <v>46266</v>
      </c>
      <c r="C14" s="28" t="s">
        <v>137</v>
      </c>
      <c r="D14" s="28" t="s">
        <v>82</v>
      </c>
      <c r="E14" s="28" t="s">
        <v>138</v>
      </c>
      <c r="F14" s="28" t="s">
        <v>123</v>
      </c>
      <c r="G14" s="36">
        <v>315</v>
      </c>
      <c r="H14" s="37">
        <v>11</v>
      </c>
      <c r="I14" s="37">
        <v>11</v>
      </c>
      <c r="J14" s="38">
        <f>IF(tblCounts[[#This Row],[Date]]="","",tblCounts[[#This Row],[Counted qty (units)]]-tblCounts[[#This Row],[System qty (units)]])</f>
        <v>0</v>
      </c>
      <c r="K14" s="39">
        <f>IF(tblCounts[[#This Row],[Date]]="","",IF(tblCounts[[#This Row],[System qty (units)]]&gt;0,tblCounts[[#This Row],[Variance (units)]]/tblCounts[[#This Row],[System qty (units)]],""))</f>
        <v>0</v>
      </c>
      <c r="L14" s="40">
        <f>IF(tblCounts[[#This Row],[Date]]="","",IF(tblCounts[[#This Row],[Class]]="A",TolA,IF(tblCounts[[#This Row],[Class]]="B",TolB,IF(tblCounts[[#This Row],[Class]]="C",TolC,""))))</f>
        <v>0.02</v>
      </c>
      <c r="M14" s="41" t="str">
        <f>IF(tblCounts[[#This Row],[Date]]="","",IF(tblCounts[[#This Row],[Tolerance]]="","",IF(IF(tblCounts[[#This Row],[System qty (units)]]&gt;0,ABS(tblCounts[[#This Row],[Variance (units)]])/tblCounts[[#This Row],[System qty (units)]],IF(tblCounts[[#This Row],[Counted qty (units)]]&gt;0,1,0))&lt;=tblCounts[[#This Row],[Tolerance]],"Yes","No")))</f>
        <v>Yes</v>
      </c>
      <c r="N14" s="42">
        <f>IF(tblCounts[[#This Row],[Date]]="","",tblCounts[[#This Row],[Variance (units)]]*tblCounts[[#This Row],[Unit cost]])</f>
        <v>0</v>
      </c>
      <c r="O14" s="42">
        <f>IF(tblCounts[[#This Row],[Date]]="","",ABS(tblCounts[[#This Row],[Variance value]]))</f>
        <v>0</v>
      </c>
      <c r="P14" s="28" t="s">
        <v>119</v>
      </c>
      <c r="Q14" s="28" t="s">
        <v>132</v>
      </c>
      <c r="R1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 s="28" t="s">
        <v>119</v>
      </c>
    </row>
    <row r="15" spans="1:19">
      <c r="B15" s="35">
        <v>46266</v>
      </c>
      <c r="C15" s="28" t="s">
        <v>139</v>
      </c>
      <c r="D15" s="28" t="s">
        <v>78</v>
      </c>
      <c r="E15" s="28" t="s">
        <v>140</v>
      </c>
      <c r="F15" s="28" t="s">
        <v>123</v>
      </c>
      <c r="G15" s="36">
        <v>14.74</v>
      </c>
      <c r="H15" s="37">
        <v>531</v>
      </c>
      <c r="I15" s="37">
        <v>529</v>
      </c>
      <c r="J15" s="38">
        <f>IF(tblCounts[[#This Row],[Date]]="","",tblCounts[[#This Row],[Counted qty (units)]]-tblCounts[[#This Row],[System qty (units)]])</f>
        <v>-2</v>
      </c>
      <c r="K15" s="39">
        <f>IF(tblCounts[[#This Row],[Date]]="","",IF(tblCounts[[#This Row],[System qty (units)]]&gt;0,tblCounts[[#This Row],[Variance (units)]]/tblCounts[[#This Row],[System qty (units)]],""))</f>
        <v>-0.00376647834274953</v>
      </c>
      <c r="L15" s="40">
        <f>IF(tblCounts[[#This Row],[Date]]="","",IF(tblCounts[[#This Row],[Class]]="A",TolA,IF(tblCounts[[#This Row],[Class]]="B",TolB,IF(tblCounts[[#This Row],[Class]]="C",TolC,""))))</f>
        <v>0.02</v>
      </c>
      <c r="M15" s="41" t="str">
        <f>IF(tblCounts[[#This Row],[Date]]="","",IF(tblCounts[[#This Row],[Tolerance]]="","",IF(IF(tblCounts[[#This Row],[System qty (units)]]&gt;0,ABS(tblCounts[[#This Row],[Variance (units)]])/tblCounts[[#This Row],[System qty (units)]],IF(tblCounts[[#This Row],[Counted qty (units)]]&gt;0,1,0))&lt;=tblCounts[[#This Row],[Tolerance]],"Yes","No")))</f>
        <v>Yes</v>
      </c>
      <c r="N15" s="42">
        <f>IF(tblCounts[[#This Row],[Date]]="","",tblCounts[[#This Row],[Variance (units)]]*tblCounts[[#This Row],[Unit cost]])</f>
        <v>-29.48</v>
      </c>
      <c r="O15" s="42">
        <f>IF(tblCounts[[#This Row],[Date]]="","",ABS(tblCounts[[#This Row],[Variance value]]))</f>
        <v>29.48</v>
      </c>
      <c r="P15" s="28" t="s">
        <v>119</v>
      </c>
      <c r="Q15" s="28" t="s">
        <v>120</v>
      </c>
      <c r="R1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5" s="28" t="s">
        <v>119</v>
      </c>
    </row>
    <row r="16" spans="1:19">
      <c r="B16" s="35">
        <v>46266</v>
      </c>
      <c r="C16" s="28" t="s">
        <v>141</v>
      </c>
      <c r="D16" s="28" t="s">
        <v>76</v>
      </c>
      <c r="E16" s="28" t="s">
        <v>142</v>
      </c>
      <c r="F16" s="28" t="s">
        <v>126</v>
      </c>
      <c r="G16" s="36">
        <v>222</v>
      </c>
      <c r="H16" s="37">
        <v>116</v>
      </c>
      <c r="I16" s="37">
        <v>116</v>
      </c>
      <c r="J16" s="38">
        <f>IF(tblCounts[[#This Row],[Date]]="","",tblCounts[[#This Row],[Counted qty (units)]]-tblCounts[[#This Row],[System qty (units)]])</f>
        <v>0</v>
      </c>
      <c r="K16" s="39">
        <f>IF(tblCounts[[#This Row],[Date]]="","",IF(tblCounts[[#This Row],[System qty (units)]]&gt;0,tblCounts[[#This Row],[Variance (units)]]/tblCounts[[#This Row],[System qty (units)]],""))</f>
        <v>0</v>
      </c>
      <c r="L16" s="40">
        <f>IF(tblCounts[[#This Row],[Date]]="","",IF(tblCounts[[#This Row],[Class]]="A",TolA,IF(tblCounts[[#This Row],[Class]]="B",TolB,IF(tblCounts[[#This Row],[Class]]="C",TolC,""))))</f>
        <v>0</v>
      </c>
      <c r="M16" s="41" t="str">
        <f>IF(tblCounts[[#This Row],[Date]]="","",IF(tblCounts[[#This Row],[Tolerance]]="","",IF(IF(tblCounts[[#This Row],[System qty (units)]]&gt;0,ABS(tblCounts[[#This Row],[Variance (units)]])/tblCounts[[#This Row],[System qty (units)]],IF(tblCounts[[#This Row],[Counted qty (units)]]&gt;0,1,0))&lt;=tblCounts[[#This Row],[Tolerance]],"Yes","No")))</f>
        <v>Yes</v>
      </c>
      <c r="N16" s="42">
        <f>IF(tblCounts[[#This Row],[Date]]="","",tblCounts[[#This Row],[Variance (units)]]*tblCounts[[#This Row],[Unit cost]])</f>
        <v>0</v>
      </c>
      <c r="O16" s="42">
        <f>IF(tblCounts[[#This Row],[Date]]="","",ABS(tblCounts[[#This Row],[Variance value]]))</f>
        <v>0</v>
      </c>
      <c r="P16" s="28" t="s">
        <v>119</v>
      </c>
      <c r="Q16" s="28" t="s">
        <v>129</v>
      </c>
      <c r="R1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6" s="28" t="s">
        <v>119</v>
      </c>
    </row>
    <row r="17" spans="2:19">
      <c r="B17" s="35">
        <v>46267</v>
      </c>
      <c r="C17" s="28" t="s">
        <v>143</v>
      </c>
      <c r="D17" s="28" t="s">
        <v>78</v>
      </c>
      <c r="E17" s="28" t="s">
        <v>144</v>
      </c>
      <c r="F17" s="28" t="s">
        <v>118</v>
      </c>
      <c r="G17" s="36">
        <v>2.3</v>
      </c>
      <c r="H17" s="37">
        <v>1735</v>
      </c>
      <c r="I17" s="37">
        <v>1735</v>
      </c>
      <c r="J17" s="38">
        <f>IF(tblCounts[[#This Row],[Date]]="","",tblCounts[[#This Row],[Counted qty (units)]]-tblCounts[[#This Row],[System qty (units)]])</f>
        <v>0</v>
      </c>
      <c r="K17" s="39">
        <f>IF(tblCounts[[#This Row],[Date]]="","",IF(tblCounts[[#This Row],[System qty (units)]]&gt;0,tblCounts[[#This Row],[Variance (units)]]/tblCounts[[#This Row],[System qty (units)]],""))</f>
        <v>0</v>
      </c>
      <c r="L17" s="40">
        <f>IF(tblCounts[[#This Row],[Date]]="","",IF(tblCounts[[#This Row],[Class]]="A",TolA,IF(tblCounts[[#This Row],[Class]]="B",TolB,IF(tblCounts[[#This Row],[Class]]="C",TolC,""))))</f>
        <v>0.05</v>
      </c>
      <c r="M17" s="41" t="str">
        <f>IF(tblCounts[[#This Row],[Date]]="","",IF(tblCounts[[#This Row],[Tolerance]]="","",IF(IF(tblCounts[[#This Row],[System qty (units)]]&gt;0,ABS(tblCounts[[#This Row],[Variance (units)]])/tblCounts[[#This Row],[System qty (units)]],IF(tblCounts[[#This Row],[Counted qty (units)]]&gt;0,1,0))&lt;=tblCounts[[#This Row],[Tolerance]],"Yes","No")))</f>
        <v>Yes</v>
      </c>
      <c r="N17" s="42">
        <f>IF(tblCounts[[#This Row],[Date]]="","",tblCounts[[#This Row],[Variance (units)]]*tblCounts[[#This Row],[Unit cost]])</f>
        <v>0</v>
      </c>
      <c r="O17" s="42">
        <f>IF(tblCounts[[#This Row],[Date]]="","",ABS(tblCounts[[#This Row],[Variance value]]))</f>
        <v>0</v>
      </c>
      <c r="P17" s="28" t="s">
        <v>119</v>
      </c>
      <c r="Q17" s="28" t="s">
        <v>132</v>
      </c>
      <c r="R1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7" s="28" t="s">
        <v>119</v>
      </c>
    </row>
    <row r="18" spans="2:19">
      <c r="B18" s="35">
        <v>46267</v>
      </c>
      <c r="C18" s="28" t="s">
        <v>145</v>
      </c>
      <c r="D18" s="28" t="s">
        <v>82</v>
      </c>
      <c r="E18" s="28" t="s">
        <v>146</v>
      </c>
      <c r="F18" s="28" t="s">
        <v>118</v>
      </c>
      <c r="G18" s="36">
        <v>180</v>
      </c>
      <c r="H18" s="37">
        <v>14</v>
      </c>
      <c r="I18" s="37">
        <v>14</v>
      </c>
      <c r="J18" s="38">
        <f>IF(tblCounts[[#This Row],[Date]]="","",tblCounts[[#This Row],[Counted qty (units)]]-tblCounts[[#This Row],[System qty (units)]])</f>
        <v>0</v>
      </c>
      <c r="K18" s="39">
        <f>IF(tblCounts[[#This Row],[Date]]="","",IF(tblCounts[[#This Row],[System qty (units)]]&gt;0,tblCounts[[#This Row],[Variance (units)]]/tblCounts[[#This Row],[System qty (units)]],""))</f>
        <v>0</v>
      </c>
      <c r="L18" s="40">
        <f>IF(tblCounts[[#This Row],[Date]]="","",IF(tblCounts[[#This Row],[Class]]="A",TolA,IF(tblCounts[[#This Row],[Class]]="B",TolB,IF(tblCounts[[#This Row],[Class]]="C",TolC,""))))</f>
        <v>0.05</v>
      </c>
      <c r="M18" s="41" t="str">
        <f>IF(tblCounts[[#This Row],[Date]]="","",IF(tblCounts[[#This Row],[Tolerance]]="","",IF(IF(tblCounts[[#This Row],[System qty (units)]]&gt;0,ABS(tblCounts[[#This Row],[Variance (units)]])/tblCounts[[#This Row],[System qty (units)]],IF(tblCounts[[#This Row],[Counted qty (units)]]&gt;0,1,0))&lt;=tblCounts[[#This Row],[Tolerance]],"Yes","No")))</f>
        <v>Yes</v>
      </c>
      <c r="N18" s="42">
        <f>IF(tblCounts[[#This Row],[Date]]="","",tblCounts[[#This Row],[Variance (units)]]*tblCounts[[#This Row],[Unit cost]])</f>
        <v>0</v>
      </c>
      <c r="O18" s="42">
        <f>IF(tblCounts[[#This Row],[Date]]="","",ABS(tblCounts[[#This Row],[Variance value]]))</f>
        <v>0</v>
      </c>
      <c r="P18" s="28" t="s">
        <v>119</v>
      </c>
      <c r="Q18" s="28" t="s">
        <v>129</v>
      </c>
      <c r="R1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8" s="28" t="s">
        <v>119</v>
      </c>
    </row>
    <row r="19" spans="2:19">
      <c r="B19" s="35">
        <v>46267</v>
      </c>
      <c r="C19" s="28" t="s">
        <v>147</v>
      </c>
      <c r="D19" s="28" t="s">
        <v>82</v>
      </c>
      <c r="E19" s="28" t="s">
        <v>148</v>
      </c>
      <c r="F19" s="28" t="s">
        <v>123</v>
      </c>
      <c r="G19" s="36">
        <v>867</v>
      </c>
      <c r="H19" s="37">
        <v>28</v>
      </c>
      <c r="I19" s="37">
        <v>28</v>
      </c>
      <c r="J19" s="38">
        <f>IF(tblCounts[[#This Row],[Date]]="","",tblCounts[[#This Row],[Counted qty (units)]]-tblCounts[[#This Row],[System qty (units)]])</f>
        <v>0</v>
      </c>
      <c r="K19" s="39">
        <f>IF(tblCounts[[#This Row],[Date]]="","",IF(tblCounts[[#This Row],[System qty (units)]]&gt;0,tblCounts[[#This Row],[Variance (units)]]/tblCounts[[#This Row],[System qty (units)]],""))</f>
        <v>0</v>
      </c>
      <c r="L19" s="40">
        <f>IF(tblCounts[[#This Row],[Date]]="","",IF(tblCounts[[#This Row],[Class]]="A",TolA,IF(tblCounts[[#This Row],[Class]]="B",TolB,IF(tblCounts[[#This Row],[Class]]="C",TolC,""))))</f>
        <v>0.02</v>
      </c>
      <c r="M19" s="41" t="str">
        <f>IF(tblCounts[[#This Row],[Date]]="","",IF(tblCounts[[#This Row],[Tolerance]]="","",IF(IF(tblCounts[[#This Row],[System qty (units)]]&gt;0,ABS(tblCounts[[#This Row],[Variance (units)]])/tblCounts[[#This Row],[System qty (units)]],IF(tblCounts[[#This Row],[Counted qty (units)]]&gt;0,1,0))&lt;=tblCounts[[#This Row],[Tolerance]],"Yes","No")))</f>
        <v>Yes</v>
      </c>
      <c r="N19" s="42">
        <f>IF(tblCounts[[#This Row],[Date]]="","",tblCounts[[#This Row],[Variance (units)]]*tblCounts[[#This Row],[Unit cost]])</f>
        <v>0</v>
      </c>
      <c r="O19" s="42">
        <f>IF(tblCounts[[#This Row],[Date]]="","",ABS(tblCounts[[#This Row],[Variance value]]))</f>
        <v>0</v>
      </c>
      <c r="P19" s="28" t="s">
        <v>119</v>
      </c>
      <c r="Q19" s="28" t="s">
        <v>129</v>
      </c>
      <c r="R1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9" s="28" t="s">
        <v>119</v>
      </c>
    </row>
    <row r="20" spans="2:19">
      <c r="B20" s="35">
        <v>46267</v>
      </c>
      <c r="C20" s="28" t="s">
        <v>149</v>
      </c>
      <c r="D20" s="28" t="s">
        <v>78</v>
      </c>
      <c r="E20" s="28" t="s">
        <v>150</v>
      </c>
      <c r="F20" s="28" t="s">
        <v>118</v>
      </c>
      <c r="G20" s="36">
        <v>2.85</v>
      </c>
      <c r="H20" s="37">
        <v>698</v>
      </c>
      <c r="I20" s="37">
        <v>681</v>
      </c>
      <c r="J20" s="38">
        <f>IF(tblCounts[[#This Row],[Date]]="","",tblCounts[[#This Row],[Counted qty (units)]]-tblCounts[[#This Row],[System qty (units)]])</f>
        <v>-17</v>
      </c>
      <c r="K20" s="39">
        <f>IF(tblCounts[[#This Row],[Date]]="","",IF(tblCounts[[#This Row],[System qty (units)]]&gt;0,tblCounts[[#This Row],[Variance (units)]]/tblCounts[[#This Row],[System qty (units)]],""))</f>
        <v>-0.0243553008595989</v>
      </c>
      <c r="L20" s="40">
        <f>IF(tblCounts[[#This Row],[Date]]="","",IF(tblCounts[[#This Row],[Class]]="A",TolA,IF(tblCounts[[#This Row],[Class]]="B",TolB,IF(tblCounts[[#This Row],[Class]]="C",TolC,""))))</f>
        <v>0.05</v>
      </c>
      <c r="M20" s="41" t="str">
        <f>IF(tblCounts[[#This Row],[Date]]="","",IF(tblCounts[[#This Row],[Tolerance]]="","",IF(IF(tblCounts[[#This Row],[System qty (units)]]&gt;0,ABS(tblCounts[[#This Row],[Variance (units)]])/tblCounts[[#This Row],[System qty (units)]],IF(tblCounts[[#This Row],[Counted qty (units)]]&gt;0,1,0))&lt;=tblCounts[[#This Row],[Tolerance]],"Yes","No")))</f>
        <v>Yes</v>
      </c>
      <c r="N20" s="42">
        <f>IF(tblCounts[[#This Row],[Date]]="","",tblCounts[[#This Row],[Variance (units)]]*tblCounts[[#This Row],[Unit cost]])</f>
        <v>-48.45</v>
      </c>
      <c r="O20" s="42">
        <f>IF(tblCounts[[#This Row],[Date]]="","",ABS(tblCounts[[#This Row],[Variance value]]))</f>
        <v>48.45</v>
      </c>
      <c r="P20" s="28" t="s">
        <v>119</v>
      </c>
      <c r="Q20" s="28" t="s">
        <v>120</v>
      </c>
      <c r="R2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0" s="28" t="s">
        <v>119</v>
      </c>
    </row>
    <row r="21" spans="2:19">
      <c r="B21" s="35">
        <v>46267</v>
      </c>
      <c r="C21" s="28" t="s">
        <v>151</v>
      </c>
      <c r="D21" s="28" t="s">
        <v>80</v>
      </c>
      <c r="E21" s="28" t="s">
        <v>152</v>
      </c>
      <c r="F21" s="28" t="s">
        <v>123</v>
      </c>
      <c r="G21" s="36">
        <v>70</v>
      </c>
      <c r="H21" s="37">
        <v>28</v>
      </c>
      <c r="I21" s="37">
        <v>25</v>
      </c>
      <c r="J21" s="38">
        <f>IF(tblCounts[[#This Row],[Date]]="","",tblCounts[[#This Row],[Counted qty (units)]]-tblCounts[[#This Row],[System qty (units)]])</f>
        <v>-3</v>
      </c>
      <c r="K21" s="39">
        <f>IF(tblCounts[[#This Row],[Date]]="","",IF(tblCounts[[#This Row],[System qty (units)]]&gt;0,tblCounts[[#This Row],[Variance (units)]]/tblCounts[[#This Row],[System qty (units)]],""))</f>
        <v>-0.107142857142857</v>
      </c>
      <c r="L21" s="40">
        <f>IF(tblCounts[[#This Row],[Date]]="","",IF(tblCounts[[#This Row],[Class]]="A",TolA,IF(tblCounts[[#This Row],[Class]]="B",TolB,IF(tblCounts[[#This Row],[Class]]="C",TolC,""))))</f>
        <v>0.02</v>
      </c>
      <c r="M21" s="41" t="str">
        <f>IF(tblCounts[[#This Row],[Date]]="","",IF(tblCounts[[#This Row],[Tolerance]]="","",IF(IF(tblCounts[[#This Row],[System qty (units)]]&gt;0,ABS(tblCounts[[#This Row],[Variance (units)]])/tblCounts[[#This Row],[System qty (units)]],IF(tblCounts[[#This Row],[Counted qty (units)]]&gt;0,1,0))&lt;=tblCounts[[#This Row],[Tolerance]],"Yes","No")))</f>
        <v>No</v>
      </c>
      <c r="N21" s="42">
        <f>IF(tblCounts[[#This Row],[Date]]="","",tblCounts[[#This Row],[Variance (units)]]*tblCounts[[#This Row],[Unit cost]])</f>
        <v>-210</v>
      </c>
      <c r="O21" s="42">
        <f>IF(tblCounts[[#This Row],[Date]]="","",ABS(tblCounts[[#This Row],[Variance value]]))</f>
        <v>210</v>
      </c>
      <c r="P21" s="28" t="s">
        <v>85</v>
      </c>
      <c r="Q21" s="28" t="s">
        <v>132</v>
      </c>
      <c r="R2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1" s="28" t="s">
        <v>119</v>
      </c>
    </row>
    <row r="22" spans="2:19">
      <c r="B22" s="35">
        <v>46268</v>
      </c>
      <c r="C22" s="28" t="s">
        <v>153</v>
      </c>
      <c r="D22" s="28" t="s">
        <v>78</v>
      </c>
      <c r="E22" s="28" t="s">
        <v>154</v>
      </c>
      <c r="F22" s="28" t="s">
        <v>126</v>
      </c>
      <c r="G22" s="36">
        <v>69</v>
      </c>
      <c r="H22" s="37">
        <v>165</v>
      </c>
      <c r="I22" s="37">
        <v>165</v>
      </c>
      <c r="J22" s="38">
        <f>IF(tblCounts[[#This Row],[Date]]="","",tblCounts[[#This Row],[Counted qty (units)]]-tblCounts[[#This Row],[System qty (units)]])</f>
        <v>0</v>
      </c>
      <c r="K22" s="39">
        <f>IF(tblCounts[[#This Row],[Date]]="","",IF(tblCounts[[#This Row],[System qty (units)]]&gt;0,tblCounts[[#This Row],[Variance (units)]]/tblCounts[[#This Row],[System qty (units)]],""))</f>
        <v>0</v>
      </c>
      <c r="L22" s="40">
        <f>IF(tblCounts[[#This Row],[Date]]="","",IF(tblCounts[[#This Row],[Class]]="A",TolA,IF(tblCounts[[#This Row],[Class]]="B",TolB,IF(tblCounts[[#This Row],[Class]]="C",TolC,""))))</f>
        <v>0</v>
      </c>
      <c r="M22" s="41" t="str">
        <f>IF(tblCounts[[#This Row],[Date]]="","",IF(tblCounts[[#This Row],[Tolerance]]="","",IF(IF(tblCounts[[#This Row],[System qty (units)]]&gt;0,ABS(tblCounts[[#This Row],[Variance (units)]])/tblCounts[[#This Row],[System qty (units)]],IF(tblCounts[[#This Row],[Counted qty (units)]]&gt;0,1,0))&lt;=tblCounts[[#This Row],[Tolerance]],"Yes","No")))</f>
        <v>Yes</v>
      </c>
      <c r="N22" s="42">
        <f>IF(tblCounts[[#This Row],[Date]]="","",tblCounts[[#This Row],[Variance (units)]]*tblCounts[[#This Row],[Unit cost]])</f>
        <v>0</v>
      </c>
      <c r="O22" s="42">
        <f>IF(tblCounts[[#This Row],[Date]]="","",ABS(tblCounts[[#This Row],[Variance value]]))</f>
        <v>0</v>
      </c>
      <c r="P22" s="28" t="s">
        <v>119</v>
      </c>
      <c r="Q22" s="28" t="s">
        <v>129</v>
      </c>
      <c r="R2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2" s="28" t="s">
        <v>119</v>
      </c>
    </row>
    <row r="23" spans="2:19">
      <c r="B23" s="35">
        <v>46268</v>
      </c>
      <c r="C23" s="28" t="s">
        <v>141</v>
      </c>
      <c r="D23" s="28" t="s">
        <v>76</v>
      </c>
      <c r="E23" s="28" t="s">
        <v>142</v>
      </c>
      <c r="F23" s="28" t="s">
        <v>126</v>
      </c>
      <c r="G23" s="36">
        <v>222</v>
      </c>
      <c r="H23" s="37">
        <v>59</v>
      </c>
      <c r="I23" s="37">
        <v>59</v>
      </c>
      <c r="J23" s="38">
        <f>IF(tblCounts[[#This Row],[Date]]="","",tblCounts[[#This Row],[Counted qty (units)]]-tblCounts[[#This Row],[System qty (units)]])</f>
        <v>0</v>
      </c>
      <c r="K23" s="39">
        <f>IF(tblCounts[[#This Row],[Date]]="","",IF(tblCounts[[#This Row],[System qty (units)]]&gt;0,tblCounts[[#This Row],[Variance (units)]]/tblCounts[[#This Row],[System qty (units)]],""))</f>
        <v>0</v>
      </c>
      <c r="L23" s="40">
        <f>IF(tblCounts[[#This Row],[Date]]="","",IF(tblCounts[[#This Row],[Class]]="A",TolA,IF(tblCounts[[#This Row],[Class]]="B",TolB,IF(tblCounts[[#This Row],[Class]]="C",TolC,""))))</f>
        <v>0</v>
      </c>
      <c r="M23" s="41" t="str">
        <f>IF(tblCounts[[#This Row],[Date]]="","",IF(tblCounts[[#This Row],[Tolerance]]="","",IF(IF(tblCounts[[#This Row],[System qty (units)]]&gt;0,ABS(tblCounts[[#This Row],[Variance (units)]])/tblCounts[[#This Row],[System qty (units)]],IF(tblCounts[[#This Row],[Counted qty (units)]]&gt;0,1,0))&lt;=tblCounts[[#This Row],[Tolerance]],"Yes","No")))</f>
        <v>Yes</v>
      </c>
      <c r="N23" s="42">
        <f>IF(tblCounts[[#This Row],[Date]]="","",tblCounts[[#This Row],[Variance (units)]]*tblCounts[[#This Row],[Unit cost]])</f>
        <v>0</v>
      </c>
      <c r="O23" s="42">
        <f>IF(tblCounts[[#This Row],[Date]]="","",ABS(tblCounts[[#This Row],[Variance value]]))</f>
        <v>0</v>
      </c>
      <c r="P23" s="28" t="s">
        <v>119</v>
      </c>
      <c r="Q23" s="28" t="s">
        <v>129</v>
      </c>
      <c r="R2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3" s="28" t="s">
        <v>119</v>
      </c>
    </row>
    <row r="24" spans="2:19">
      <c r="B24" s="35">
        <v>46268</v>
      </c>
      <c r="C24" s="28" t="s">
        <v>145</v>
      </c>
      <c r="D24" s="28" t="s">
        <v>82</v>
      </c>
      <c r="E24" s="28" t="s">
        <v>146</v>
      </c>
      <c r="F24" s="28" t="s">
        <v>118</v>
      </c>
      <c r="G24" s="36">
        <v>180</v>
      </c>
      <c r="H24" s="37">
        <v>9</v>
      </c>
      <c r="I24" s="37">
        <v>9</v>
      </c>
      <c r="J24" s="38">
        <f>IF(tblCounts[[#This Row],[Date]]="","",tblCounts[[#This Row],[Counted qty (units)]]-tblCounts[[#This Row],[System qty (units)]])</f>
        <v>0</v>
      </c>
      <c r="K24" s="39">
        <f>IF(tblCounts[[#This Row],[Date]]="","",IF(tblCounts[[#This Row],[System qty (units)]]&gt;0,tblCounts[[#This Row],[Variance (units)]]/tblCounts[[#This Row],[System qty (units)]],""))</f>
        <v>0</v>
      </c>
      <c r="L24" s="40">
        <f>IF(tblCounts[[#This Row],[Date]]="","",IF(tblCounts[[#This Row],[Class]]="A",TolA,IF(tblCounts[[#This Row],[Class]]="B",TolB,IF(tblCounts[[#This Row],[Class]]="C",TolC,""))))</f>
        <v>0.05</v>
      </c>
      <c r="M24" s="41" t="str">
        <f>IF(tblCounts[[#This Row],[Date]]="","",IF(tblCounts[[#This Row],[Tolerance]]="","",IF(IF(tblCounts[[#This Row],[System qty (units)]]&gt;0,ABS(tblCounts[[#This Row],[Variance (units)]])/tblCounts[[#This Row],[System qty (units)]],IF(tblCounts[[#This Row],[Counted qty (units)]]&gt;0,1,0))&lt;=tblCounts[[#This Row],[Tolerance]],"Yes","No")))</f>
        <v>Yes</v>
      </c>
      <c r="N24" s="42">
        <f>IF(tblCounts[[#This Row],[Date]]="","",tblCounts[[#This Row],[Variance (units)]]*tblCounts[[#This Row],[Unit cost]])</f>
        <v>0</v>
      </c>
      <c r="O24" s="42">
        <f>IF(tblCounts[[#This Row],[Date]]="","",ABS(tblCounts[[#This Row],[Variance value]]))</f>
        <v>0</v>
      </c>
      <c r="P24" s="28" t="s">
        <v>119</v>
      </c>
      <c r="Q24" s="28" t="s">
        <v>132</v>
      </c>
      <c r="R2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4" s="28" t="s">
        <v>119</v>
      </c>
    </row>
    <row r="25" spans="2:19">
      <c r="B25" s="35">
        <v>46268</v>
      </c>
      <c r="C25" s="28" t="s">
        <v>155</v>
      </c>
      <c r="D25" s="28" t="s">
        <v>80</v>
      </c>
      <c r="E25" s="28" t="s">
        <v>156</v>
      </c>
      <c r="F25" s="28" t="s">
        <v>126</v>
      </c>
      <c r="G25" s="36">
        <v>309</v>
      </c>
      <c r="H25" s="37">
        <v>13</v>
      </c>
      <c r="I25" s="37">
        <v>13</v>
      </c>
      <c r="J25" s="38">
        <f>IF(tblCounts[[#This Row],[Date]]="","",tblCounts[[#This Row],[Counted qty (units)]]-tblCounts[[#This Row],[System qty (units)]])</f>
        <v>0</v>
      </c>
      <c r="K25" s="39">
        <f>IF(tblCounts[[#This Row],[Date]]="","",IF(tblCounts[[#This Row],[System qty (units)]]&gt;0,tblCounts[[#This Row],[Variance (units)]]/tblCounts[[#This Row],[System qty (units)]],""))</f>
        <v>0</v>
      </c>
      <c r="L25" s="40">
        <f>IF(tblCounts[[#This Row],[Date]]="","",IF(tblCounts[[#This Row],[Class]]="A",TolA,IF(tblCounts[[#This Row],[Class]]="B",TolB,IF(tblCounts[[#This Row],[Class]]="C",TolC,""))))</f>
        <v>0</v>
      </c>
      <c r="M25" s="41" t="str">
        <f>IF(tblCounts[[#This Row],[Date]]="","",IF(tblCounts[[#This Row],[Tolerance]]="","",IF(IF(tblCounts[[#This Row],[System qty (units)]]&gt;0,ABS(tblCounts[[#This Row],[Variance (units)]])/tblCounts[[#This Row],[System qty (units)]],IF(tblCounts[[#This Row],[Counted qty (units)]]&gt;0,1,0))&lt;=tblCounts[[#This Row],[Tolerance]],"Yes","No")))</f>
        <v>Yes</v>
      </c>
      <c r="N25" s="42">
        <f>IF(tblCounts[[#This Row],[Date]]="","",tblCounts[[#This Row],[Variance (units)]]*tblCounts[[#This Row],[Unit cost]])</f>
        <v>0</v>
      </c>
      <c r="O25" s="42">
        <f>IF(tblCounts[[#This Row],[Date]]="","",ABS(tblCounts[[#This Row],[Variance value]]))</f>
        <v>0</v>
      </c>
      <c r="P25" s="28" t="s">
        <v>119</v>
      </c>
      <c r="Q25" s="28" t="s">
        <v>129</v>
      </c>
      <c r="R2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5" s="28" t="s">
        <v>119</v>
      </c>
    </row>
    <row r="26" spans="2:19">
      <c r="B26" s="35">
        <v>46268</v>
      </c>
      <c r="C26" s="28" t="s">
        <v>157</v>
      </c>
      <c r="D26" s="28" t="s">
        <v>76</v>
      </c>
      <c r="E26" s="28" t="s">
        <v>158</v>
      </c>
      <c r="F26" s="28" t="s">
        <v>126</v>
      </c>
      <c r="G26" s="36">
        <v>75</v>
      </c>
      <c r="H26" s="37">
        <v>24</v>
      </c>
      <c r="I26" s="37">
        <v>24</v>
      </c>
      <c r="J26" s="38">
        <f>IF(tblCounts[[#This Row],[Date]]="","",tblCounts[[#This Row],[Counted qty (units)]]-tblCounts[[#This Row],[System qty (units)]])</f>
        <v>0</v>
      </c>
      <c r="K26" s="39">
        <f>IF(tblCounts[[#This Row],[Date]]="","",IF(tblCounts[[#This Row],[System qty (units)]]&gt;0,tblCounts[[#This Row],[Variance (units)]]/tblCounts[[#This Row],[System qty (units)]],""))</f>
        <v>0</v>
      </c>
      <c r="L26" s="40">
        <f>IF(tblCounts[[#This Row],[Date]]="","",IF(tblCounts[[#This Row],[Class]]="A",TolA,IF(tblCounts[[#This Row],[Class]]="B",TolB,IF(tblCounts[[#This Row],[Class]]="C",TolC,""))))</f>
        <v>0</v>
      </c>
      <c r="M26" s="41" t="str">
        <f>IF(tblCounts[[#This Row],[Date]]="","",IF(tblCounts[[#This Row],[Tolerance]]="","",IF(IF(tblCounts[[#This Row],[System qty (units)]]&gt;0,ABS(tblCounts[[#This Row],[Variance (units)]])/tblCounts[[#This Row],[System qty (units)]],IF(tblCounts[[#This Row],[Counted qty (units)]]&gt;0,1,0))&lt;=tblCounts[[#This Row],[Tolerance]],"Yes","No")))</f>
        <v>Yes</v>
      </c>
      <c r="N26" s="42">
        <f>IF(tblCounts[[#This Row],[Date]]="","",tblCounts[[#This Row],[Variance (units)]]*tblCounts[[#This Row],[Unit cost]])</f>
        <v>0</v>
      </c>
      <c r="O26" s="42">
        <f>IF(tblCounts[[#This Row],[Date]]="","",ABS(tblCounts[[#This Row],[Variance value]]))</f>
        <v>0</v>
      </c>
      <c r="P26" s="28" t="s">
        <v>119</v>
      </c>
      <c r="Q26" s="28" t="s">
        <v>132</v>
      </c>
      <c r="R2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6" s="28" t="s">
        <v>119</v>
      </c>
    </row>
    <row r="27" spans="2:19">
      <c r="B27" s="35">
        <v>46269</v>
      </c>
      <c r="C27" s="28" t="s">
        <v>159</v>
      </c>
      <c r="D27" s="28" t="s">
        <v>80</v>
      </c>
      <c r="E27" s="28" t="s">
        <v>160</v>
      </c>
      <c r="F27" s="28" t="s">
        <v>126</v>
      </c>
      <c r="G27" s="36">
        <v>264</v>
      </c>
      <c r="H27" s="37">
        <v>32</v>
      </c>
      <c r="I27" s="37">
        <v>32</v>
      </c>
      <c r="J27" s="38">
        <f>IF(tblCounts[[#This Row],[Date]]="","",tblCounts[[#This Row],[Counted qty (units)]]-tblCounts[[#This Row],[System qty (units)]])</f>
        <v>0</v>
      </c>
      <c r="K27" s="39">
        <f>IF(tblCounts[[#This Row],[Date]]="","",IF(tblCounts[[#This Row],[System qty (units)]]&gt;0,tblCounts[[#This Row],[Variance (units)]]/tblCounts[[#This Row],[System qty (units)]],""))</f>
        <v>0</v>
      </c>
      <c r="L27" s="40">
        <f>IF(tblCounts[[#This Row],[Date]]="","",IF(tblCounts[[#This Row],[Class]]="A",TolA,IF(tblCounts[[#This Row],[Class]]="B",TolB,IF(tblCounts[[#This Row],[Class]]="C",TolC,""))))</f>
        <v>0</v>
      </c>
      <c r="M27" s="41" t="str">
        <f>IF(tblCounts[[#This Row],[Date]]="","",IF(tblCounts[[#This Row],[Tolerance]]="","",IF(IF(tblCounts[[#This Row],[System qty (units)]]&gt;0,ABS(tblCounts[[#This Row],[Variance (units)]])/tblCounts[[#This Row],[System qty (units)]],IF(tblCounts[[#This Row],[Counted qty (units)]]&gt;0,1,0))&lt;=tblCounts[[#This Row],[Tolerance]],"Yes","No")))</f>
        <v>Yes</v>
      </c>
      <c r="N27" s="42">
        <f>IF(tblCounts[[#This Row],[Date]]="","",tblCounts[[#This Row],[Variance (units)]]*tblCounts[[#This Row],[Unit cost]])</f>
        <v>0</v>
      </c>
      <c r="O27" s="42">
        <f>IF(tblCounts[[#This Row],[Date]]="","",ABS(tblCounts[[#This Row],[Variance value]]))</f>
        <v>0</v>
      </c>
      <c r="P27" s="28" t="s">
        <v>119</v>
      </c>
      <c r="Q27" s="28" t="s">
        <v>120</v>
      </c>
      <c r="R2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7" s="28" t="s">
        <v>119</v>
      </c>
    </row>
    <row r="28" spans="2:19">
      <c r="B28" s="35">
        <v>46269</v>
      </c>
      <c r="C28" s="28" t="s">
        <v>161</v>
      </c>
      <c r="D28" s="28" t="s">
        <v>78</v>
      </c>
      <c r="E28" s="28" t="s">
        <v>162</v>
      </c>
      <c r="F28" s="28" t="s">
        <v>118</v>
      </c>
      <c r="G28" s="36">
        <v>0.7</v>
      </c>
      <c r="H28" s="37">
        <v>2150</v>
      </c>
      <c r="I28" s="37">
        <v>1842</v>
      </c>
      <c r="J28" s="38">
        <f>IF(tblCounts[[#This Row],[Date]]="","",tblCounts[[#This Row],[Counted qty (units)]]-tblCounts[[#This Row],[System qty (units)]])</f>
        <v>-308</v>
      </c>
      <c r="K28" s="39">
        <f>IF(tblCounts[[#This Row],[Date]]="","",IF(tblCounts[[#This Row],[System qty (units)]]&gt;0,tblCounts[[#This Row],[Variance (units)]]/tblCounts[[#This Row],[System qty (units)]],""))</f>
        <v>-0.143255813953488</v>
      </c>
      <c r="L28" s="40">
        <f>IF(tblCounts[[#This Row],[Date]]="","",IF(tblCounts[[#This Row],[Class]]="A",TolA,IF(tblCounts[[#This Row],[Class]]="B",TolB,IF(tblCounts[[#This Row],[Class]]="C",TolC,""))))</f>
        <v>0.05</v>
      </c>
      <c r="M28" s="41" t="str">
        <f>IF(tblCounts[[#This Row],[Date]]="","",IF(tblCounts[[#This Row],[Tolerance]]="","",IF(IF(tblCounts[[#This Row],[System qty (units)]]&gt;0,ABS(tblCounts[[#This Row],[Variance (units)]])/tblCounts[[#This Row],[System qty (units)]],IF(tblCounts[[#This Row],[Counted qty (units)]]&gt;0,1,0))&lt;=tblCounts[[#This Row],[Tolerance]],"Yes","No")))</f>
        <v>No</v>
      </c>
      <c r="N28" s="42">
        <f>IF(tblCounts[[#This Row],[Date]]="","",tblCounts[[#This Row],[Variance (units)]]*tblCounts[[#This Row],[Unit cost]])</f>
        <v>-215.6</v>
      </c>
      <c r="O28" s="42">
        <f>IF(tblCounts[[#This Row],[Date]]="","",ABS(tblCounts[[#This Row],[Variance value]]))</f>
        <v>215.6</v>
      </c>
      <c r="P28" s="28" t="s">
        <v>85</v>
      </c>
      <c r="Q28" s="28" t="s">
        <v>129</v>
      </c>
      <c r="R2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8" s="28" t="s">
        <v>119</v>
      </c>
    </row>
    <row r="29" spans="2:19">
      <c r="B29" s="35">
        <v>46269</v>
      </c>
      <c r="C29" s="28" t="s">
        <v>163</v>
      </c>
      <c r="D29" s="28" t="s">
        <v>82</v>
      </c>
      <c r="E29" s="28" t="s">
        <v>164</v>
      </c>
      <c r="F29" s="28" t="s">
        <v>126</v>
      </c>
      <c r="G29" s="36">
        <v>1024</v>
      </c>
      <c r="H29" s="37">
        <v>7</v>
      </c>
      <c r="I29" s="37">
        <v>7</v>
      </c>
      <c r="J29" s="38">
        <f>IF(tblCounts[[#This Row],[Date]]="","",tblCounts[[#This Row],[Counted qty (units)]]-tblCounts[[#This Row],[System qty (units)]])</f>
        <v>0</v>
      </c>
      <c r="K29" s="39">
        <f>IF(tblCounts[[#This Row],[Date]]="","",IF(tblCounts[[#This Row],[System qty (units)]]&gt;0,tblCounts[[#This Row],[Variance (units)]]/tblCounts[[#This Row],[System qty (units)]],""))</f>
        <v>0</v>
      </c>
      <c r="L29" s="40">
        <f>IF(tblCounts[[#This Row],[Date]]="","",IF(tblCounts[[#This Row],[Class]]="A",TolA,IF(tblCounts[[#This Row],[Class]]="B",TolB,IF(tblCounts[[#This Row],[Class]]="C",TolC,""))))</f>
        <v>0</v>
      </c>
      <c r="M29" s="41" t="str">
        <f>IF(tblCounts[[#This Row],[Date]]="","",IF(tblCounts[[#This Row],[Tolerance]]="","",IF(IF(tblCounts[[#This Row],[System qty (units)]]&gt;0,ABS(tblCounts[[#This Row],[Variance (units)]])/tblCounts[[#This Row],[System qty (units)]],IF(tblCounts[[#This Row],[Counted qty (units)]]&gt;0,1,0))&lt;=tblCounts[[#This Row],[Tolerance]],"Yes","No")))</f>
        <v>Yes</v>
      </c>
      <c r="N29" s="42">
        <f>IF(tblCounts[[#This Row],[Date]]="","",tblCounts[[#This Row],[Variance (units)]]*tblCounts[[#This Row],[Unit cost]])</f>
        <v>0</v>
      </c>
      <c r="O29" s="42">
        <f>IF(tblCounts[[#This Row],[Date]]="","",ABS(tblCounts[[#This Row],[Variance value]]))</f>
        <v>0</v>
      </c>
      <c r="P29" s="28" t="s">
        <v>119</v>
      </c>
      <c r="Q29" s="28" t="s">
        <v>129</v>
      </c>
      <c r="R2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29" s="28" t="s">
        <v>119</v>
      </c>
    </row>
    <row r="30" spans="2:19">
      <c r="B30" s="35">
        <v>46269</v>
      </c>
      <c r="C30" s="28" t="s">
        <v>165</v>
      </c>
      <c r="D30" s="28" t="s">
        <v>76</v>
      </c>
      <c r="E30" s="28" t="s">
        <v>166</v>
      </c>
      <c r="F30" s="28" t="s">
        <v>126</v>
      </c>
      <c r="G30" s="36">
        <v>181</v>
      </c>
      <c r="H30" s="37">
        <v>55</v>
      </c>
      <c r="I30" s="37">
        <v>55</v>
      </c>
      <c r="J30" s="38">
        <f>IF(tblCounts[[#This Row],[Date]]="","",tblCounts[[#This Row],[Counted qty (units)]]-tblCounts[[#This Row],[System qty (units)]])</f>
        <v>0</v>
      </c>
      <c r="K30" s="39">
        <f>IF(tblCounts[[#This Row],[Date]]="","",IF(tblCounts[[#This Row],[System qty (units)]]&gt;0,tblCounts[[#This Row],[Variance (units)]]/tblCounts[[#This Row],[System qty (units)]],""))</f>
        <v>0</v>
      </c>
      <c r="L30" s="40">
        <f>IF(tblCounts[[#This Row],[Date]]="","",IF(tblCounts[[#This Row],[Class]]="A",TolA,IF(tblCounts[[#This Row],[Class]]="B",TolB,IF(tblCounts[[#This Row],[Class]]="C",TolC,""))))</f>
        <v>0</v>
      </c>
      <c r="M30" s="41" t="str">
        <f>IF(tblCounts[[#This Row],[Date]]="","",IF(tblCounts[[#This Row],[Tolerance]]="","",IF(IF(tblCounts[[#This Row],[System qty (units)]]&gt;0,ABS(tblCounts[[#This Row],[Variance (units)]])/tblCounts[[#This Row],[System qty (units)]],IF(tblCounts[[#This Row],[Counted qty (units)]]&gt;0,1,0))&lt;=tblCounts[[#This Row],[Tolerance]],"Yes","No")))</f>
        <v>Yes</v>
      </c>
      <c r="N30" s="42">
        <f>IF(tblCounts[[#This Row],[Date]]="","",tblCounts[[#This Row],[Variance (units)]]*tblCounts[[#This Row],[Unit cost]])</f>
        <v>0</v>
      </c>
      <c r="O30" s="42">
        <f>IF(tblCounts[[#This Row],[Date]]="","",ABS(tblCounts[[#This Row],[Variance value]]))</f>
        <v>0</v>
      </c>
      <c r="P30" s="28" t="s">
        <v>119</v>
      </c>
      <c r="Q30" s="28" t="s">
        <v>120</v>
      </c>
      <c r="R3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0" s="28" t="s">
        <v>119</v>
      </c>
    </row>
    <row r="31" spans="2:19">
      <c r="B31" s="35">
        <v>46269</v>
      </c>
      <c r="C31" s="28" t="s">
        <v>167</v>
      </c>
      <c r="D31" s="28" t="s">
        <v>76</v>
      </c>
      <c r="E31" s="28" t="s">
        <v>168</v>
      </c>
      <c r="F31" s="28" t="s">
        <v>123</v>
      </c>
      <c r="G31" s="36">
        <v>57</v>
      </c>
      <c r="H31" s="37">
        <v>249</v>
      </c>
      <c r="I31" s="37">
        <v>239</v>
      </c>
      <c r="J31" s="38">
        <f>IF(tblCounts[[#This Row],[Date]]="","",tblCounts[[#This Row],[Counted qty (units)]]-tblCounts[[#This Row],[System qty (units)]])</f>
        <v>-10</v>
      </c>
      <c r="K31" s="39">
        <f>IF(tblCounts[[#This Row],[Date]]="","",IF(tblCounts[[#This Row],[System qty (units)]]&gt;0,tblCounts[[#This Row],[Variance (units)]]/tblCounts[[#This Row],[System qty (units)]],""))</f>
        <v>-0.0401606425702811</v>
      </c>
      <c r="L31" s="40">
        <f>IF(tblCounts[[#This Row],[Date]]="","",IF(tblCounts[[#This Row],[Class]]="A",TolA,IF(tblCounts[[#This Row],[Class]]="B",TolB,IF(tblCounts[[#This Row],[Class]]="C",TolC,""))))</f>
        <v>0.02</v>
      </c>
      <c r="M31" s="41" t="str">
        <f>IF(tblCounts[[#This Row],[Date]]="","",IF(tblCounts[[#This Row],[Tolerance]]="","",IF(IF(tblCounts[[#This Row],[System qty (units)]]&gt;0,ABS(tblCounts[[#This Row],[Variance (units)]])/tblCounts[[#This Row],[System qty (units)]],IF(tblCounts[[#This Row],[Counted qty (units)]]&gt;0,1,0))&lt;=tblCounts[[#This Row],[Tolerance]],"Yes","No")))</f>
        <v>No</v>
      </c>
      <c r="N31" s="42">
        <f>IF(tblCounts[[#This Row],[Date]]="","",tblCounts[[#This Row],[Variance (units)]]*tblCounts[[#This Row],[Unit cost]])</f>
        <v>-570</v>
      </c>
      <c r="O31" s="42">
        <f>IF(tblCounts[[#This Row],[Date]]="","",ABS(tblCounts[[#This Row],[Variance value]]))</f>
        <v>570</v>
      </c>
      <c r="P31" s="28" t="s">
        <v>91</v>
      </c>
      <c r="Q31" s="28" t="s">
        <v>129</v>
      </c>
      <c r="R3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1" s="28" t="s">
        <v>119</v>
      </c>
    </row>
    <row r="32" spans="2:19">
      <c r="B32" s="35">
        <v>46272</v>
      </c>
      <c r="C32" s="28" t="s">
        <v>161</v>
      </c>
      <c r="D32" s="28" t="s">
        <v>78</v>
      </c>
      <c r="E32" s="28" t="s">
        <v>162</v>
      </c>
      <c r="F32" s="28" t="s">
        <v>118</v>
      </c>
      <c r="G32" s="36">
        <v>0.7</v>
      </c>
      <c r="H32" s="37">
        <v>3850</v>
      </c>
      <c r="I32" s="37">
        <v>3196</v>
      </c>
      <c r="J32" s="38">
        <f>IF(tblCounts[[#This Row],[Date]]="","",tblCounts[[#This Row],[Counted qty (units)]]-tblCounts[[#This Row],[System qty (units)]])</f>
        <v>-654</v>
      </c>
      <c r="K32" s="39">
        <f>IF(tblCounts[[#This Row],[Date]]="","",IF(tblCounts[[#This Row],[System qty (units)]]&gt;0,tblCounts[[#This Row],[Variance (units)]]/tblCounts[[#This Row],[System qty (units)]],""))</f>
        <v>-0.16987012987013</v>
      </c>
      <c r="L32" s="40">
        <f>IF(tblCounts[[#This Row],[Date]]="","",IF(tblCounts[[#This Row],[Class]]="A",TolA,IF(tblCounts[[#This Row],[Class]]="B",TolB,IF(tblCounts[[#This Row],[Class]]="C",TolC,""))))</f>
        <v>0.05</v>
      </c>
      <c r="M32" s="41" t="str">
        <f>IF(tblCounts[[#This Row],[Date]]="","",IF(tblCounts[[#This Row],[Tolerance]]="","",IF(IF(tblCounts[[#This Row],[System qty (units)]]&gt;0,ABS(tblCounts[[#This Row],[Variance (units)]])/tblCounts[[#This Row],[System qty (units)]],IF(tblCounts[[#This Row],[Counted qty (units)]]&gt;0,1,0))&lt;=tblCounts[[#This Row],[Tolerance]],"Yes","No")))</f>
        <v>No</v>
      </c>
      <c r="N32" s="42">
        <f>IF(tblCounts[[#This Row],[Date]]="","",tblCounts[[#This Row],[Variance (units)]]*tblCounts[[#This Row],[Unit cost]])</f>
        <v>-457.8</v>
      </c>
      <c r="O32" s="42">
        <f>IF(tblCounts[[#This Row],[Date]]="","",ABS(tblCounts[[#This Row],[Variance value]]))</f>
        <v>457.8</v>
      </c>
      <c r="P32" s="28" t="s">
        <v>85</v>
      </c>
      <c r="Q32" s="28" t="s">
        <v>132</v>
      </c>
      <c r="R3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2" s="28" t="s">
        <v>119</v>
      </c>
    </row>
    <row r="33" spans="2:19">
      <c r="B33" s="35">
        <v>46272</v>
      </c>
      <c r="C33" s="28" t="s">
        <v>153</v>
      </c>
      <c r="D33" s="28" t="s">
        <v>78</v>
      </c>
      <c r="E33" s="28" t="s">
        <v>154</v>
      </c>
      <c r="F33" s="28" t="s">
        <v>126</v>
      </c>
      <c r="G33" s="36">
        <v>69</v>
      </c>
      <c r="H33" s="37">
        <v>157</v>
      </c>
      <c r="I33" s="37">
        <v>157</v>
      </c>
      <c r="J33" s="38">
        <f>IF(tblCounts[[#This Row],[Date]]="","",tblCounts[[#This Row],[Counted qty (units)]]-tblCounts[[#This Row],[System qty (units)]])</f>
        <v>0</v>
      </c>
      <c r="K33" s="39">
        <f>IF(tblCounts[[#This Row],[Date]]="","",IF(tblCounts[[#This Row],[System qty (units)]]&gt;0,tblCounts[[#This Row],[Variance (units)]]/tblCounts[[#This Row],[System qty (units)]],""))</f>
        <v>0</v>
      </c>
      <c r="L33" s="40">
        <f>IF(tblCounts[[#This Row],[Date]]="","",IF(tblCounts[[#This Row],[Class]]="A",TolA,IF(tblCounts[[#This Row],[Class]]="B",TolB,IF(tblCounts[[#This Row],[Class]]="C",TolC,""))))</f>
        <v>0</v>
      </c>
      <c r="M33" s="41" t="str">
        <f>IF(tblCounts[[#This Row],[Date]]="","",IF(tblCounts[[#This Row],[Tolerance]]="","",IF(IF(tblCounts[[#This Row],[System qty (units)]]&gt;0,ABS(tblCounts[[#This Row],[Variance (units)]])/tblCounts[[#This Row],[System qty (units)]],IF(tblCounts[[#This Row],[Counted qty (units)]]&gt;0,1,0))&lt;=tblCounts[[#This Row],[Tolerance]],"Yes","No")))</f>
        <v>Yes</v>
      </c>
      <c r="N33" s="42">
        <f>IF(tblCounts[[#This Row],[Date]]="","",tblCounts[[#This Row],[Variance (units)]]*tblCounts[[#This Row],[Unit cost]])</f>
        <v>0</v>
      </c>
      <c r="O33" s="42">
        <f>IF(tblCounts[[#This Row],[Date]]="","",ABS(tblCounts[[#This Row],[Variance value]]))</f>
        <v>0</v>
      </c>
      <c r="P33" s="28" t="s">
        <v>119</v>
      </c>
      <c r="Q33" s="28" t="s">
        <v>120</v>
      </c>
      <c r="R3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3" s="28" t="s">
        <v>119</v>
      </c>
    </row>
    <row r="34" spans="2:19">
      <c r="B34" s="35">
        <v>46272</v>
      </c>
      <c r="C34" s="28" t="s">
        <v>163</v>
      </c>
      <c r="D34" s="28" t="s">
        <v>82</v>
      </c>
      <c r="E34" s="28" t="s">
        <v>164</v>
      </c>
      <c r="F34" s="28" t="s">
        <v>126</v>
      </c>
      <c r="G34" s="36">
        <v>1024</v>
      </c>
      <c r="H34" s="37">
        <v>23</v>
      </c>
      <c r="I34" s="37">
        <v>23</v>
      </c>
      <c r="J34" s="38">
        <f>IF(tblCounts[[#This Row],[Date]]="","",tblCounts[[#This Row],[Counted qty (units)]]-tblCounts[[#This Row],[System qty (units)]])</f>
        <v>0</v>
      </c>
      <c r="K34" s="39">
        <f>IF(tblCounts[[#This Row],[Date]]="","",IF(tblCounts[[#This Row],[System qty (units)]]&gt;0,tblCounts[[#This Row],[Variance (units)]]/tblCounts[[#This Row],[System qty (units)]],""))</f>
        <v>0</v>
      </c>
      <c r="L34" s="40">
        <f>IF(tblCounts[[#This Row],[Date]]="","",IF(tblCounts[[#This Row],[Class]]="A",TolA,IF(tblCounts[[#This Row],[Class]]="B",TolB,IF(tblCounts[[#This Row],[Class]]="C",TolC,""))))</f>
        <v>0</v>
      </c>
      <c r="M34" s="41" t="str">
        <f>IF(tblCounts[[#This Row],[Date]]="","",IF(tblCounts[[#This Row],[Tolerance]]="","",IF(IF(tblCounts[[#This Row],[System qty (units)]]&gt;0,ABS(tblCounts[[#This Row],[Variance (units)]])/tblCounts[[#This Row],[System qty (units)]],IF(tblCounts[[#This Row],[Counted qty (units)]]&gt;0,1,0))&lt;=tblCounts[[#This Row],[Tolerance]],"Yes","No")))</f>
        <v>Yes</v>
      </c>
      <c r="N34" s="42">
        <f>IF(tblCounts[[#This Row],[Date]]="","",tblCounts[[#This Row],[Variance (units)]]*tblCounts[[#This Row],[Unit cost]])</f>
        <v>0</v>
      </c>
      <c r="O34" s="42">
        <f>IF(tblCounts[[#This Row],[Date]]="","",ABS(tblCounts[[#This Row],[Variance value]]))</f>
        <v>0</v>
      </c>
      <c r="P34" s="28" t="s">
        <v>119</v>
      </c>
      <c r="Q34" s="28" t="s">
        <v>129</v>
      </c>
      <c r="R3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4" s="28" t="s">
        <v>119</v>
      </c>
    </row>
    <row r="35" spans="2:19">
      <c r="B35" s="35">
        <v>46272</v>
      </c>
      <c r="C35" s="28" t="s">
        <v>169</v>
      </c>
      <c r="D35" s="28" t="s">
        <v>76</v>
      </c>
      <c r="E35" s="28" t="s">
        <v>170</v>
      </c>
      <c r="F35" s="28" t="s">
        <v>123</v>
      </c>
      <c r="G35" s="36">
        <v>60</v>
      </c>
      <c r="H35" s="37">
        <v>271</v>
      </c>
      <c r="I35" s="37">
        <v>271</v>
      </c>
      <c r="J35" s="38">
        <f>IF(tblCounts[[#This Row],[Date]]="","",tblCounts[[#This Row],[Counted qty (units)]]-tblCounts[[#This Row],[System qty (units)]])</f>
        <v>0</v>
      </c>
      <c r="K35" s="39">
        <f>IF(tblCounts[[#This Row],[Date]]="","",IF(tblCounts[[#This Row],[System qty (units)]]&gt;0,tblCounts[[#This Row],[Variance (units)]]/tblCounts[[#This Row],[System qty (units)]],""))</f>
        <v>0</v>
      </c>
      <c r="L35" s="40">
        <f>IF(tblCounts[[#This Row],[Date]]="","",IF(tblCounts[[#This Row],[Class]]="A",TolA,IF(tblCounts[[#This Row],[Class]]="B",TolB,IF(tblCounts[[#This Row],[Class]]="C",TolC,""))))</f>
        <v>0.02</v>
      </c>
      <c r="M35" s="41" t="str">
        <f>IF(tblCounts[[#This Row],[Date]]="","",IF(tblCounts[[#This Row],[Tolerance]]="","",IF(IF(tblCounts[[#This Row],[System qty (units)]]&gt;0,ABS(tblCounts[[#This Row],[Variance (units)]])/tblCounts[[#This Row],[System qty (units)]],IF(tblCounts[[#This Row],[Counted qty (units)]]&gt;0,1,0))&lt;=tblCounts[[#This Row],[Tolerance]],"Yes","No")))</f>
        <v>Yes</v>
      </c>
      <c r="N35" s="42">
        <f>IF(tblCounts[[#This Row],[Date]]="","",tblCounts[[#This Row],[Variance (units)]]*tblCounts[[#This Row],[Unit cost]])</f>
        <v>0</v>
      </c>
      <c r="O35" s="42">
        <f>IF(tblCounts[[#This Row],[Date]]="","",ABS(tblCounts[[#This Row],[Variance value]]))</f>
        <v>0</v>
      </c>
      <c r="P35" s="28" t="s">
        <v>119</v>
      </c>
      <c r="Q35" s="28" t="s">
        <v>120</v>
      </c>
      <c r="R3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5" s="28" t="s">
        <v>119</v>
      </c>
    </row>
    <row r="36" spans="2:19">
      <c r="B36" s="35">
        <v>46272</v>
      </c>
      <c r="C36" s="28" t="s">
        <v>157</v>
      </c>
      <c r="D36" s="28" t="s">
        <v>76</v>
      </c>
      <c r="E36" s="28" t="s">
        <v>158</v>
      </c>
      <c r="F36" s="28" t="s">
        <v>126</v>
      </c>
      <c r="G36" s="36">
        <v>75</v>
      </c>
      <c r="H36" s="37">
        <v>81</v>
      </c>
      <c r="I36" s="37">
        <v>81</v>
      </c>
      <c r="J36" s="38">
        <f>IF(tblCounts[[#This Row],[Date]]="","",tblCounts[[#This Row],[Counted qty (units)]]-tblCounts[[#This Row],[System qty (units)]])</f>
        <v>0</v>
      </c>
      <c r="K36" s="39">
        <f>IF(tblCounts[[#This Row],[Date]]="","",IF(tblCounts[[#This Row],[System qty (units)]]&gt;0,tblCounts[[#This Row],[Variance (units)]]/tblCounts[[#This Row],[System qty (units)]],""))</f>
        <v>0</v>
      </c>
      <c r="L36" s="40">
        <f>IF(tblCounts[[#This Row],[Date]]="","",IF(tblCounts[[#This Row],[Class]]="A",TolA,IF(tblCounts[[#This Row],[Class]]="B",TolB,IF(tblCounts[[#This Row],[Class]]="C",TolC,""))))</f>
        <v>0</v>
      </c>
      <c r="M36" s="41" t="str">
        <f>IF(tblCounts[[#This Row],[Date]]="","",IF(tblCounts[[#This Row],[Tolerance]]="","",IF(IF(tblCounts[[#This Row],[System qty (units)]]&gt;0,ABS(tblCounts[[#This Row],[Variance (units)]])/tblCounts[[#This Row],[System qty (units)]],IF(tblCounts[[#This Row],[Counted qty (units)]]&gt;0,1,0))&lt;=tblCounts[[#This Row],[Tolerance]],"Yes","No")))</f>
        <v>Yes</v>
      </c>
      <c r="N36" s="42">
        <f>IF(tblCounts[[#This Row],[Date]]="","",tblCounts[[#This Row],[Variance (units)]]*tblCounts[[#This Row],[Unit cost]])</f>
        <v>0</v>
      </c>
      <c r="O36" s="42">
        <f>IF(tblCounts[[#This Row],[Date]]="","",ABS(tblCounts[[#This Row],[Variance value]]))</f>
        <v>0</v>
      </c>
      <c r="P36" s="28" t="s">
        <v>119</v>
      </c>
      <c r="Q36" s="28" t="s">
        <v>129</v>
      </c>
      <c r="R3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6" s="28" t="s">
        <v>119</v>
      </c>
    </row>
    <row r="37" spans="2:19">
      <c r="B37" s="35">
        <v>46273</v>
      </c>
      <c r="C37" s="28" t="s">
        <v>171</v>
      </c>
      <c r="D37" s="28" t="s">
        <v>78</v>
      </c>
      <c r="E37" s="28" t="s">
        <v>172</v>
      </c>
      <c r="F37" s="28" t="s">
        <v>118</v>
      </c>
      <c r="G37" s="36">
        <v>0.48</v>
      </c>
      <c r="H37" s="37">
        <v>2000</v>
      </c>
      <c r="I37" s="37">
        <v>2000</v>
      </c>
      <c r="J37" s="38">
        <f>IF(tblCounts[[#This Row],[Date]]="","",tblCounts[[#This Row],[Counted qty (units)]]-tblCounts[[#This Row],[System qty (units)]])</f>
        <v>0</v>
      </c>
      <c r="K37" s="39">
        <f>IF(tblCounts[[#This Row],[Date]]="","",IF(tblCounts[[#This Row],[System qty (units)]]&gt;0,tblCounts[[#This Row],[Variance (units)]]/tblCounts[[#This Row],[System qty (units)]],""))</f>
        <v>0</v>
      </c>
      <c r="L37" s="40">
        <f>IF(tblCounts[[#This Row],[Date]]="","",IF(tblCounts[[#This Row],[Class]]="A",TolA,IF(tblCounts[[#This Row],[Class]]="B",TolB,IF(tblCounts[[#This Row],[Class]]="C",TolC,""))))</f>
        <v>0.05</v>
      </c>
      <c r="M37" s="41" t="str">
        <f>IF(tblCounts[[#This Row],[Date]]="","",IF(tblCounts[[#This Row],[Tolerance]]="","",IF(IF(tblCounts[[#This Row],[System qty (units)]]&gt;0,ABS(tblCounts[[#This Row],[Variance (units)]])/tblCounts[[#This Row],[System qty (units)]],IF(tblCounts[[#This Row],[Counted qty (units)]]&gt;0,1,0))&lt;=tblCounts[[#This Row],[Tolerance]],"Yes","No")))</f>
        <v>Yes</v>
      </c>
      <c r="N37" s="42">
        <f>IF(tblCounts[[#This Row],[Date]]="","",tblCounts[[#This Row],[Variance (units)]]*tblCounts[[#This Row],[Unit cost]])</f>
        <v>0</v>
      </c>
      <c r="O37" s="42">
        <f>IF(tblCounts[[#This Row],[Date]]="","",ABS(tblCounts[[#This Row],[Variance value]]))</f>
        <v>0</v>
      </c>
      <c r="P37" s="28" t="s">
        <v>119</v>
      </c>
      <c r="Q37" s="28" t="s">
        <v>132</v>
      </c>
      <c r="R3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7" s="28" t="s">
        <v>119</v>
      </c>
    </row>
    <row r="38" spans="2:19">
      <c r="B38" s="35">
        <v>46273</v>
      </c>
      <c r="C38" s="28" t="s">
        <v>173</v>
      </c>
      <c r="D38" s="28" t="s">
        <v>78</v>
      </c>
      <c r="E38" s="28" t="s">
        <v>174</v>
      </c>
      <c r="F38" s="28" t="s">
        <v>126</v>
      </c>
      <c r="G38" s="36">
        <v>88</v>
      </c>
      <c r="H38" s="37">
        <v>59</v>
      </c>
      <c r="I38" s="37">
        <v>59</v>
      </c>
      <c r="J38" s="38">
        <f>IF(tblCounts[[#This Row],[Date]]="","",tblCounts[[#This Row],[Counted qty (units)]]-tblCounts[[#This Row],[System qty (units)]])</f>
        <v>0</v>
      </c>
      <c r="K38" s="39">
        <f>IF(tblCounts[[#This Row],[Date]]="","",IF(tblCounts[[#This Row],[System qty (units)]]&gt;0,tblCounts[[#This Row],[Variance (units)]]/tblCounts[[#This Row],[System qty (units)]],""))</f>
        <v>0</v>
      </c>
      <c r="L38" s="40">
        <f>IF(tblCounts[[#This Row],[Date]]="","",IF(tblCounts[[#This Row],[Class]]="A",TolA,IF(tblCounts[[#This Row],[Class]]="B",TolB,IF(tblCounts[[#This Row],[Class]]="C",TolC,""))))</f>
        <v>0</v>
      </c>
      <c r="M38" s="41" t="str">
        <f>IF(tblCounts[[#This Row],[Date]]="","",IF(tblCounts[[#This Row],[Tolerance]]="","",IF(IF(tblCounts[[#This Row],[System qty (units)]]&gt;0,ABS(tblCounts[[#This Row],[Variance (units)]])/tblCounts[[#This Row],[System qty (units)]],IF(tblCounts[[#This Row],[Counted qty (units)]]&gt;0,1,0))&lt;=tblCounts[[#This Row],[Tolerance]],"Yes","No")))</f>
        <v>Yes</v>
      </c>
      <c r="N38" s="42">
        <f>IF(tblCounts[[#This Row],[Date]]="","",tblCounts[[#This Row],[Variance (units)]]*tblCounts[[#This Row],[Unit cost]])</f>
        <v>0</v>
      </c>
      <c r="O38" s="42">
        <f>IF(tblCounts[[#This Row],[Date]]="","",ABS(tblCounts[[#This Row],[Variance value]]))</f>
        <v>0</v>
      </c>
      <c r="P38" s="28" t="s">
        <v>119</v>
      </c>
      <c r="Q38" s="28" t="s">
        <v>132</v>
      </c>
      <c r="R3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8" s="28" t="s">
        <v>119</v>
      </c>
    </row>
    <row r="39" spans="2:19">
      <c r="B39" s="35">
        <v>46273</v>
      </c>
      <c r="C39" s="28" t="s">
        <v>175</v>
      </c>
      <c r="D39" s="28" t="s">
        <v>80</v>
      </c>
      <c r="E39" s="28" t="s">
        <v>176</v>
      </c>
      <c r="F39" s="28" t="s">
        <v>126</v>
      </c>
      <c r="G39" s="36">
        <v>322</v>
      </c>
      <c r="H39" s="37">
        <v>22</v>
      </c>
      <c r="I39" s="37">
        <v>22</v>
      </c>
      <c r="J39" s="38">
        <f>IF(tblCounts[[#This Row],[Date]]="","",tblCounts[[#This Row],[Counted qty (units)]]-tblCounts[[#This Row],[System qty (units)]])</f>
        <v>0</v>
      </c>
      <c r="K39" s="39">
        <f>IF(tblCounts[[#This Row],[Date]]="","",IF(tblCounts[[#This Row],[System qty (units)]]&gt;0,tblCounts[[#This Row],[Variance (units)]]/tblCounts[[#This Row],[System qty (units)]],""))</f>
        <v>0</v>
      </c>
      <c r="L39" s="40">
        <f>IF(tblCounts[[#This Row],[Date]]="","",IF(tblCounts[[#This Row],[Class]]="A",TolA,IF(tblCounts[[#This Row],[Class]]="B",TolB,IF(tblCounts[[#This Row],[Class]]="C",TolC,""))))</f>
        <v>0</v>
      </c>
      <c r="M39" s="41" t="str">
        <f>IF(tblCounts[[#This Row],[Date]]="","",IF(tblCounts[[#This Row],[Tolerance]]="","",IF(IF(tblCounts[[#This Row],[System qty (units)]]&gt;0,ABS(tblCounts[[#This Row],[Variance (units)]])/tblCounts[[#This Row],[System qty (units)]],IF(tblCounts[[#This Row],[Counted qty (units)]]&gt;0,1,0))&lt;=tblCounts[[#This Row],[Tolerance]],"Yes","No")))</f>
        <v>Yes</v>
      </c>
      <c r="N39" s="42">
        <f>IF(tblCounts[[#This Row],[Date]]="","",tblCounts[[#This Row],[Variance (units)]]*tblCounts[[#This Row],[Unit cost]])</f>
        <v>0</v>
      </c>
      <c r="O39" s="42">
        <f>IF(tblCounts[[#This Row],[Date]]="","",ABS(tblCounts[[#This Row],[Variance value]]))</f>
        <v>0</v>
      </c>
      <c r="P39" s="28" t="s">
        <v>119</v>
      </c>
      <c r="Q39" s="28" t="s">
        <v>120</v>
      </c>
      <c r="R3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39" s="28" t="s">
        <v>119</v>
      </c>
    </row>
    <row r="40" spans="2:19">
      <c r="B40" s="35">
        <v>46273</v>
      </c>
      <c r="C40" s="28" t="s">
        <v>139</v>
      </c>
      <c r="D40" s="28" t="s">
        <v>78</v>
      </c>
      <c r="E40" s="28" t="s">
        <v>140</v>
      </c>
      <c r="F40" s="28" t="s">
        <v>123</v>
      </c>
      <c r="G40" s="36">
        <v>14.74</v>
      </c>
      <c r="H40" s="37">
        <v>515</v>
      </c>
      <c r="I40" s="37">
        <v>424</v>
      </c>
      <c r="J40" s="38">
        <f>IF(tblCounts[[#This Row],[Date]]="","",tblCounts[[#This Row],[Counted qty (units)]]-tblCounts[[#This Row],[System qty (units)]])</f>
        <v>-91</v>
      </c>
      <c r="K40" s="39">
        <f>IF(tblCounts[[#This Row],[Date]]="","",IF(tblCounts[[#This Row],[System qty (units)]]&gt;0,tblCounts[[#This Row],[Variance (units)]]/tblCounts[[#This Row],[System qty (units)]],""))</f>
        <v>-0.176699029126214</v>
      </c>
      <c r="L40" s="40">
        <f>IF(tblCounts[[#This Row],[Date]]="","",IF(tblCounts[[#This Row],[Class]]="A",TolA,IF(tblCounts[[#This Row],[Class]]="B",TolB,IF(tblCounts[[#This Row],[Class]]="C",TolC,""))))</f>
        <v>0.02</v>
      </c>
      <c r="M40" s="41" t="str">
        <f>IF(tblCounts[[#This Row],[Date]]="","",IF(tblCounts[[#This Row],[Tolerance]]="","",IF(IF(tblCounts[[#This Row],[System qty (units)]]&gt;0,ABS(tblCounts[[#This Row],[Variance (units)]])/tblCounts[[#This Row],[System qty (units)]],IF(tblCounts[[#This Row],[Counted qty (units)]]&gt;0,1,0))&lt;=tblCounts[[#This Row],[Tolerance]],"Yes","No")))</f>
        <v>No</v>
      </c>
      <c r="N40" s="42">
        <f>IF(tblCounts[[#This Row],[Date]]="","",tblCounts[[#This Row],[Variance (units)]]*tblCounts[[#This Row],[Unit cost]])</f>
        <v>-1341.34</v>
      </c>
      <c r="O40" s="42">
        <f>IF(tblCounts[[#This Row],[Date]]="","",ABS(tblCounts[[#This Row],[Variance value]]))</f>
        <v>1341.34</v>
      </c>
      <c r="P40" s="28" t="s">
        <v>91</v>
      </c>
      <c r="Q40" s="28" t="s">
        <v>129</v>
      </c>
      <c r="R4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0" s="28" t="s">
        <v>119</v>
      </c>
    </row>
    <row r="41" spans="2:19">
      <c r="B41" s="35">
        <v>46273</v>
      </c>
      <c r="C41" s="28" t="s">
        <v>163</v>
      </c>
      <c r="D41" s="28" t="s">
        <v>82</v>
      </c>
      <c r="E41" s="28" t="s">
        <v>164</v>
      </c>
      <c r="F41" s="28" t="s">
        <v>126</v>
      </c>
      <c r="G41" s="36">
        <v>1024</v>
      </c>
      <c r="H41" s="37">
        <v>27</v>
      </c>
      <c r="I41" s="37">
        <v>27</v>
      </c>
      <c r="J41" s="38">
        <f>IF(tblCounts[[#This Row],[Date]]="","",tblCounts[[#This Row],[Counted qty (units)]]-tblCounts[[#This Row],[System qty (units)]])</f>
        <v>0</v>
      </c>
      <c r="K41" s="39">
        <f>IF(tblCounts[[#This Row],[Date]]="","",IF(tblCounts[[#This Row],[System qty (units)]]&gt;0,tblCounts[[#This Row],[Variance (units)]]/tblCounts[[#This Row],[System qty (units)]],""))</f>
        <v>0</v>
      </c>
      <c r="L41" s="40">
        <f>IF(tblCounts[[#This Row],[Date]]="","",IF(tblCounts[[#This Row],[Class]]="A",TolA,IF(tblCounts[[#This Row],[Class]]="B",TolB,IF(tblCounts[[#This Row],[Class]]="C",TolC,""))))</f>
        <v>0</v>
      </c>
      <c r="M41" s="41" t="str">
        <f>IF(tblCounts[[#This Row],[Date]]="","",IF(tblCounts[[#This Row],[Tolerance]]="","",IF(IF(tblCounts[[#This Row],[System qty (units)]]&gt;0,ABS(tblCounts[[#This Row],[Variance (units)]])/tblCounts[[#This Row],[System qty (units)]],IF(tblCounts[[#This Row],[Counted qty (units)]]&gt;0,1,0))&lt;=tblCounts[[#This Row],[Tolerance]],"Yes","No")))</f>
        <v>Yes</v>
      </c>
      <c r="N41" s="42">
        <f>IF(tblCounts[[#This Row],[Date]]="","",tblCounts[[#This Row],[Variance (units)]]*tblCounts[[#This Row],[Unit cost]])</f>
        <v>0</v>
      </c>
      <c r="O41" s="42">
        <f>IF(tblCounts[[#This Row],[Date]]="","",ABS(tblCounts[[#This Row],[Variance value]]))</f>
        <v>0</v>
      </c>
      <c r="P41" s="28" t="s">
        <v>119</v>
      </c>
      <c r="Q41" s="28" t="s">
        <v>132</v>
      </c>
      <c r="R4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1" s="28" t="s">
        <v>119</v>
      </c>
    </row>
    <row r="42" spans="2:19">
      <c r="B42" s="35">
        <v>46274</v>
      </c>
      <c r="C42" s="28" t="s">
        <v>147</v>
      </c>
      <c r="D42" s="28" t="s">
        <v>82</v>
      </c>
      <c r="E42" s="28" t="s">
        <v>148</v>
      </c>
      <c r="F42" s="28" t="s">
        <v>123</v>
      </c>
      <c r="G42" s="36">
        <v>867</v>
      </c>
      <c r="H42" s="37">
        <v>15</v>
      </c>
      <c r="I42" s="37">
        <v>15</v>
      </c>
      <c r="J42" s="38">
        <f>IF(tblCounts[[#This Row],[Date]]="","",tblCounts[[#This Row],[Counted qty (units)]]-tblCounts[[#This Row],[System qty (units)]])</f>
        <v>0</v>
      </c>
      <c r="K42" s="39">
        <f>IF(tblCounts[[#This Row],[Date]]="","",IF(tblCounts[[#This Row],[System qty (units)]]&gt;0,tblCounts[[#This Row],[Variance (units)]]/tblCounts[[#This Row],[System qty (units)]],""))</f>
        <v>0</v>
      </c>
      <c r="L42" s="40">
        <f>IF(tblCounts[[#This Row],[Date]]="","",IF(tblCounts[[#This Row],[Class]]="A",TolA,IF(tblCounts[[#This Row],[Class]]="B",TolB,IF(tblCounts[[#This Row],[Class]]="C",TolC,""))))</f>
        <v>0.02</v>
      </c>
      <c r="M42" s="41" t="str">
        <f>IF(tblCounts[[#This Row],[Date]]="","",IF(tblCounts[[#This Row],[Tolerance]]="","",IF(IF(tblCounts[[#This Row],[System qty (units)]]&gt;0,ABS(tblCounts[[#This Row],[Variance (units)]])/tblCounts[[#This Row],[System qty (units)]],IF(tblCounts[[#This Row],[Counted qty (units)]]&gt;0,1,0))&lt;=tblCounts[[#This Row],[Tolerance]],"Yes","No")))</f>
        <v>Yes</v>
      </c>
      <c r="N42" s="42">
        <f>IF(tblCounts[[#This Row],[Date]]="","",tblCounts[[#This Row],[Variance (units)]]*tblCounts[[#This Row],[Unit cost]])</f>
        <v>0</v>
      </c>
      <c r="O42" s="42">
        <f>IF(tblCounts[[#This Row],[Date]]="","",ABS(tblCounts[[#This Row],[Variance value]]))</f>
        <v>0</v>
      </c>
      <c r="P42" s="28" t="s">
        <v>119</v>
      </c>
      <c r="Q42" s="28" t="s">
        <v>132</v>
      </c>
      <c r="R4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2" s="28" t="s">
        <v>119</v>
      </c>
    </row>
    <row r="43" spans="2:19">
      <c r="B43" s="35">
        <v>46274</v>
      </c>
      <c r="C43" s="28" t="s">
        <v>124</v>
      </c>
      <c r="D43" s="28" t="s">
        <v>80</v>
      </c>
      <c r="E43" s="28" t="s">
        <v>125</v>
      </c>
      <c r="F43" s="28" t="s">
        <v>126</v>
      </c>
      <c r="G43" s="36">
        <v>418</v>
      </c>
      <c r="H43" s="37">
        <v>46</v>
      </c>
      <c r="I43" s="37">
        <v>46</v>
      </c>
      <c r="J43" s="38">
        <f>IF(tblCounts[[#This Row],[Date]]="","",tblCounts[[#This Row],[Counted qty (units)]]-tblCounts[[#This Row],[System qty (units)]])</f>
        <v>0</v>
      </c>
      <c r="K43" s="39">
        <f>IF(tblCounts[[#This Row],[Date]]="","",IF(tblCounts[[#This Row],[System qty (units)]]&gt;0,tblCounts[[#This Row],[Variance (units)]]/tblCounts[[#This Row],[System qty (units)]],""))</f>
        <v>0</v>
      </c>
      <c r="L43" s="40">
        <f>IF(tblCounts[[#This Row],[Date]]="","",IF(tblCounts[[#This Row],[Class]]="A",TolA,IF(tblCounts[[#This Row],[Class]]="B",TolB,IF(tblCounts[[#This Row],[Class]]="C",TolC,""))))</f>
        <v>0</v>
      </c>
      <c r="M43" s="41" t="str">
        <f>IF(tblCounts[[#This Row],[Date]]="","",IF(tblCounts[[#This Row],[Tolerance]]="","",IF(IF(tblCounts[[#This Row],[System qty (units)]]&gt;0,ABS(tblCounts[[#This Row],[Variance (units)]])/tblCounts[[#This Row],[System qty (units)]],IF(tblCounts[[#This Row],[Counted qty (units)]]&gt;0,1,0))&lt;=tblCounts[[#This Row],[Tolerance]],"Yes","No")))</f>
        <v>Yes</v>
      </c>
      <c r="N43" s="42">
        <f>IF(tblCounts[[#This Row],[Date]]="","",tblCounts[[#This Row],[Variance (units)]]*tblCounts[[#This Row],[Unit cost]])</f>
        <v>0</v>
      </c>
      <c r="O43" s="42">
        <f>IF(tblCounts[[#This Row],[Date]]="","",ABS(tblCounts[[#This Row],[Variance value]]))</f>
        <v>0</v>
      </c>
      <c r="P43" s="28" t="s">
        <v>119</v>
      </c>
      <c r="Q43" s="28" t="s">
        <v>129</v>
      </c>
      <c r="R4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3" s="28" t="s">
        <v>119</v>
      </c>
    </row>
    <row r="44" spans="2:19">
      <c r="B44" s="35">
        <v>46274</v>
      </c>
      <c r="C44" s="28" t="s">
        <v>143</v>
      </c>
      <c r="D44" s="28" t="s">
        <v>78</v>
      </c>
      <c r="E44" s="28" t="s">
        <v>144</v>
      </c>
      <c r="F44" s="28" t="s">
        <v>118</v>
      </c>
      <c r="G44" s="36">
        <v>2.3</v>
      </c>
      <c r="H44" s="37">
        <v>2249</v>
      </c>
      <c r="I44" s="37">
        <v>2249</v>
      </c>
      <c r="J44" s="38">
        <f>IF(tblCounts[[#This Row],[Date]]="","",tblCounts[[#This Row],[Counted qty (units)]]-tblCounts[[#This Row],[System qty (units)]])</f>
        <v>0</v>
      </c>
      <c r="K44" s="39">
        <f>IF(tblCounts[[#This Row],[Date]]="","",IF(tblCounts[[#This Row],[System qty (units)]]&gt;0,tblCounts[[#This Row],[Variance (units)]]/tblCounts[[#This Row],[System qty (units)]],""))</f>
        <v>0</v>
      </c>
      <c r="L44" s="40">
        <f>IF(tblCounts[[#This Row],[Date]]="","",IF(tblCounts[[#This Row],[Class]]="A",TolA,IF(tblCounts[[#This Row],[Class]]="B",TolB,IF(tblCounts[[#This Row],[Class]]="C",TolC,""))))</f>
        <v>0.05</v>
      </c>
      <c r="M44" s="41" t="str">
        <f>IF(tblCounts[[#This Row],[Date]]="","",IF(tblCounts[[#This Row],[Tolerance]]="","",IF(IF(tblCounts[[#This Row],[System qty (units)]]&gt;0,ABS(tblCounts[[#This Row],[Variance (units)]])/tblCounts[[#This Row],[System qty (units)]],IF(tblCounts[[#This Row],[Counted qty (units)]]&gt;0,1,0))&lt;=tblCounts[[#This Row],[Tolerance]],"Yes","No")))</f>
        <v>Yes</v>
      </c>
      <c r="N44" s="42">
        <f>IF(tblCounts[[#This Row],[Date]]="","",tblCounts[[#This Row],[Variance (units)]]*tblCounts[[#This Row],[Unit cost]])</f>
        <v>0</v>
      </c>
      <c r="O44" s="42">
        <f>IF(tblCounts[[#This Row],[Date]]="","",ABS(tblCounts[[#This Row],[Variance value]]))</f>
        <v>0</v>
      </c>
      <c r="P44" s="28" t="s">
        <v>119</v>
      </c>
      <c r="Q44" s="28" t="s">
        <v>132</v>
      </c>
      <c r="R4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4" s="28" t="s">
        <v>119</v>
      </c>
    </row>
    <row r="45" spans="2:19">
      <c r="B45" s="35">
        <v>46274</v>
      </c>
      <c r="C45" s="28" t="s">
        <v>135</v>
      </c>
      <c r="D45" s="28" t="s">
        <v>76</v>
      </c>
      <c r="E45" s="28" t="s">
        <v>136</v>
      </c>
      <c r="F45" s="28" t="s">
        <v>118</v>
      </c>
      <c r="G45" s="36">
        <v>5.37</v>
      </c>
      <c r="H45" s="37">
        <v>555</v>
      </c>
      <c r="I45" s="37">
        <v>538</v>
      </c>
      <c r="J45" s="38">
        <f>IF(tblCounts[[#This Row],[Date]]="","",tblCounts[[#This Row],[Counted qty (units)]]-tblCounts[[#This Row],[System qty (units)]])</f>
        <v>-17</v>
      </c>
      <c r="K45" s="39">
        <f>IF(tblCounts[[#This Row],[Date]]="","",IF(tblCounts[[#This Row],[System qty (units)]]&gt;0,tblCounts[[#This Row],[Variance (units)]]/tblCounts[[#This Row],[System qty (units)]],""))</f>
        <v>-0.0306306306306306</v>
      </c>
      <c r="L45" s="40">
        <f>IF(tblCounts[[#This Row],[Date]]="","",IF(tblCounts[[#This Row],[Class]]="A",TolA,IF(tblCounts[[#This Row],[Class]]="B",TolB,IF(tblCounts[[#This Row],[Class]]="C",TolC,""))))</f>
        <v>0.05</v>
      </c>
      <c r="M45" s="41" t="str">
        <f>IF(tblCounts[[#This Row],[Date]]="","",IF(tblCounts[[#This Row],[Tolerance]]="","",IF(IF(tblCounts[[#This Row],[System qty (units)]]&gt;0,ABS(tblCounts[[#This Row],[Variance (units)]])/tblCounts[[#This Row],[System qty (units)]],IF(tblCounts[[#This Row],[Counted qty (units)]]&gt;0,1,0))&lt;=tblCounts[[#This Row],[Tolerance]],"Yes","No")))</f>
        <v>Yes</v>
      </c>
      <c r="N45" s="42">
        <f>IF(tblCounts[[#This Row],[Date]]="","",tblCounts[[#This Row],[Variance (units)]]*tblCounts[[#This Row],[Unit cost]])</f>
        <v>-91.29</v>
      </c>
      <c r="O45" s="42">
        <f>IF(tblCounts[[#This Row],[Date]]="","",ABS(tblCounts[[#This Row],[Variance value]]))</f>
        <v>91.29</v>
      </c>
      <c r="P45" s="28" t="s">
        <v>119</v>
      </c>
      <c r="Q45" s="28" t="s">
        <v>132</v>
      </c>
      <c r="R4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5" s="28" t="s">
        <v>119</v>
      </c>
    </row>
    <row r="46" spans="2:19">
      <c r="B46" s="35">
        <v>46274</v>
      </c>
      <c r="C46" s="28" t="s">
        <v>163</v>
      </c>
      <c r="D46" s="28" t="s">
        <v>82</v>
      </c>
      <c r="E46" s="28" t="s">
        <v>164</v>
      </c>
      <c r="F46" s="28" t="s">
        <v>126</v>
      </c>
      <c r="G46" s="36">
        <v>1024</v>
      </c>
      <c r="H46" s="37">
        <v>22</v>
      </c>
      <c r="I46" s="37">
        <v>22</v>
      </c>
      <c r="J46" s="38">
        <f>IF(tblCounts[[#This Row],[Date]]="","",tblCounts[[#This Row],[Counted qty (units)]]-tblCounts[[#This Row],[System qty (units)]])</f>
        <v>0</v>
      </c>
      <c r="K46" s="39">
        <f>IF(tblCounts[[#This Row],[Date]]="","",IF(tblCounts[[#This Row],[System qty (units)]]&gt;0,tblCounts[[#This Row],[Variance (units)]]/tblCounts[[#This Row],[System qty (units)]],""))</f>
        <v>0</v>
      </c>
      <c r="L46" s="40">
        <f>IF(tblCounts[[#This Row],[Date]]="","",IF(tblCounts[[#This Row],[Class]]="A",TolA,IF(tblCounts[[#This Row],[Class]]="B",TolB,IF(tblCounts[[#This Row],[Class]]="C",TolC,""))))</f>
        <v>0</v>
      </c>
      <c r="M46" s="41" t="str">
        <f>IF(tblCounts[[#This Row],[Date]]="","",IF(tblCounts[[#This Row],[Tolerance]]="","",IF(IF(tblCounts[[#This Row],[System qty (units)]]&gt;0,ABS(tblCounts[[#This Row],[Variance (units)]])/tblCounts[[#This Row],[System qty (units)]],IF(tblCounts[[#This Row],[Counted qty (units)]]&gt;0,1,0))&lt;=tblCounts[[#This Row],[Tolerance]],"Yes","No")))</f>
        <v>Yes</v>
      </c>
      <c r="N46" s="42">
        <f>IF(tblCounts[[#This Row],[Date]]="","",tblCounts[[#This Row],[Variance (units)]]*tblCounts[[#This Row],[Unit cost]])</f>
        <v>0</v>
      </c>
      <c r="O46" s="42">
        <f>IF(tblCounts[[#This Row],[Date]]="","",ABS(tblCounts[[#This Row],[Variance value]]))</f>
        <v>0</v>
      </c>
      <c r="P46" s="28" t="s">
        <v>119</v>
      </c>
      <c r="Q46" s="28" t="s">
        <v>120</v>
      </c>
      <c r="R4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6" s="28" t="s">
        <v>119</v>
      </c>
    </row>
    <row r="47" spans="2:19">
      <c r="B47" s="35">
        <v>46275</v>
      </c>
      <c r="C47" s="28" t="s">
        <v>121</v>
      </c>
      <c r="D47" s="28" t="s">
        <v>80</v>
      </c>
      <c r="E47" s="28" t="s">
        <v>122</v>
      </c>
      <c r="F47" s="28" t="s">
        <v>123</v>
      </c>
      <c r="G47" s="36">
        <v>61</v>
      </c>
      <c r="H47" s="37">
        <v>38</v>
      </c>
      <c r="I47" s="37">
        <v>42</v>
      </c>
      <c r="J47" s="38">
        <f>IF(tblCounts[[#This Row],[Date]]="","",tblCounts[[#This Row],[Counted qty (units)]]-tblCounts[[#This Row],[System qty (units)]])</f>
        <v>4</v>
      </c>
      <c r="K47" s="39">
        <f>IF(tblCounts[[#This Row],[Date]]="","",IF(tblCounts[[#This Row],[System qty (units)]]&gt;0,tblCounts[[#This Row],[Variance (units)]]/tblCounts[[#This Row],[System qty (units)]],""))</f>
        <v>0.105263157894737</v>
      </c>
      <c r="L47" s="40">
        <f>IF(tblCounts[[#This Row],[Date]]="","",IF(tblCounts[[#This Row],[Class]]="A",TolA,IF(tblCounts[[#This Row],[Class]]="B",TolB,IF(tblCounts[[#This Row],[Class]]="C",TolC,""))))</f>
        <v>0.02</v>
      </c>
      <c r="M47" s="41" t="str">
        <f>IF(tblCounts[[#This Row],[Date]]="","",IF(tblCounts[[#This Row],[Tolerance]]="","",IF(IF(tblCounts[[#This Row],[System qty (units)]]&gt;0,ABS(tblCounts[[#This Row],[Variance (units)]])/tblCounts[[#This Row],[System qty (units)]],IF(tblCounts[[#This Row],[Counted qty (units)]]&gt;0,1,0))&lt;=tblCounts[[#This Row],[Tolerance]],"Yes","No")))</f>
        <v>No</v>
      </c>
      <c r="N47" s="42">
        <f>IF(tblCounts[[#This Row],[Date]]="","",tblCounts[[#This Row],[Variance (units)]]*tblCounts[[#This Row],[Unit cost]])</f>
        <v>244</v>
      </c>
      <c r="O47" s="42">
        <f>IF(tblCounts[[#This Row],[Date]]="","",ABS(tblCounts[[#This Row],[Variance value]]))</f>
        <v>244</v>
      </c>
      <c r="P47" s="28" t="s">
        <v>91</v>
      </c>
      <c r="Q47" s="28" t="s">
        <v>129</v>
      </c>
      <c r="R4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7" s="28" t="s">
        <v>119</v>
      </c>
    </row>
    <row r="48" spans="2:19">
      <c r="B48" s="35">
        <v>46275</v>
      </c>
      <c r="C48" s="28" t="s">
        <v>177</v>
      </c>
      <c r="D48" s="28" t="s">
        <v>76</v>
      </c>
      <c r="E48" s="28" t="s">
        <v>178</v>
      </c>
      <c r="F48" s="28" t="s">
        <v>118</v>
      </c>
      <c r="G48" s="36">
        <v>2.98</v>
      </c>
      <c r="H48" s="37">
        <v>853</v>
      </c>
      <c r="I48" s="37">
        <v>735</v>
      </c>
      <c r="J48" s="38">
        <f>IF(tblCounts[[#This Row],[Date]]="","",tblCounts[[#This Row],[Counted qty (units)]]-tblCounts[[#This Row],[System qty (units)]])</f>
        <v>-118</v>
      </c>
      <c r="K48" s="39">
        <f>IF(tblCounts[[#This Row],[Date]]="","",IF(tblCounts[[#This Row],[System qty (units)]]&gt;0,tblCounts[[#This Row],[Variance (units)]]/tblCounts[[#This Row],[System qty (units)]],""))</f>
        <v>-0.138335287221571</v>
      </c>
      <c r="L48" s="40">
        <f>IF(tblCounts[[#This Row],[Date]]="","",IF(tblCounts[[#This Row],[Class]]="A",TolA,IF(tblCounts[[#This Row],[Class]]="B",TolB,IF(tblCounts[[#This Row],[Class]]="C",TolC,""))))</f>
        <v>0.05</v>
      </c>
      <c r="M48" s="41" t="str">
        <f>IF(tblCounts[[#This Row],[Date]]="","",IF(tblCounts[[#This Row],[Tolerance]]="","",IF(IF(tblCounts[[#This Row],[System qty (units)]]&gt;0,ABS(tblCounts[[#This Row],[Variance (units)]])/tblCounts[[#This Row],[System qty (units)]],IF(tblCounts[[#This Row],[Counted qty (units)]]&gt;0,1,0))&lt;=tblCounts[[#This Row],[Tolerance]],"Yes","No")))</f>
        <v>No</v>
      </c>
      <c r="N48" s="42">
        <f>IF(tblCounts[[#This Row],[Date]]="","",tblCounts[[#This Row],[Variance (units)]]*tblCounts[[#This Row],[Unit cost]])</f>
        <v>-351.64</v>
      </c>
      <c r="O48" s="42">
        <f>IF(tblCounts[[#This Row],[Date]]="","",ABS(tblCounts[[#This Row],[Variance value]]))</f>
        <v>351.64</v>
      </c>
      <c r="P48" s="28" t="s">
        <v>91</v>
      </c>
      <c r="Q48" s="28" t="s">
        <v>120</v>
      </c>
      <c r="R4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8" s="28" t="s">
        <v>119</v>
      </c>
    </row>
    <row r="49" spans="2:19">
      <c r="B49" s="35">
        <v>46275</v>
      </c>
      <c r="C49" s="28" t="s">
        <v>151</v>
      </c>
      <c r="D49" s="28" t="s">
        <v>80</v>
      </c>
      <c r="E49" s="28" t="s">
        <v>152</v>
      </c>
      <c r="F49" s="28" t="s">
        <v>123</v>
      </c>
      <c r="G49" s="36">
        <v>70</v>
      </c>
      <c r="H49" s="37">
        <v>62</v>
      </c>
      <c r="I49" s="37">
        <v>62</v>
      </c>
      <c r="J49" s="38">
        <f>IF(tblCounts[[#This Row],[Date]]="","",tblCounts[[#This Row],[Counted qty (units)]]-tblCounts[[#This Row],[System qty (units)]])</f>
        <v>0</v>
      </c>
      <c r="K49" s="39">
        <f>IF(tblCounts[[#This Row],[Date]]="","",IF(tblCounts[[#This Row],[System qty (units)]]&gt;0,tblCounts[[#This Row],[Variance (units)]]/tblCounts[[#This Row],[System qty (units)]],""))</f>
        <v>0</v>
      </c>
      <c r="L49" s="40">
        <f>IF(tblCounts[[#This Row],[Date]]="","",IF(tblCounts[[#This Row],[Class]]="A",TolA,IF(tblCounts[[#This Row],[Class]]="B",TolB,IF(tblCounts[[#This Row],[Class]]="C",TolC,""))))</f>
        <v>0.02</v>
      </c>
      <c r="M49" s="41" t="str">
        <f>IF(tblCounts[[#This Row],[Date]]="","",IF(tblCounts[[#This Row],[Tolerance]]="","",IF(IF(tblCounts[[#This Row],[System qty (units)]]&gt;0,ABS(tblCounts[[#This Row],[Variance (units)]])/tblCounts[[#This Row],[System qty (units)]],IF(tblCounts[[#This Row],[Counted qty (units)]]&gt;0,1,0))&lt;=tblCounts[[#This Row],[Tolerance]],"Yes","No")))</f>
        <v>Yes</v>
      </c>
      <c r="N49" s="42">
        <f>IF(tblCounts[[#This Row],[Date]]="","",tblCounts[[#This Row],[Variance (units)]]*tblCounts[[#This Row],[Unit cost]])</f>
        <v>0</v>
      </c>
      <c r="O49" s="42">
        <f>IF(tblCounts[[#This Row],[Date]]="","",ABS(tblCounts[[#This Row],[Variance value]]))</f>
        <v>0</v>
      </c>
      <c r="P49" s="28" t="s">
        <v>119</v>
      </c>
      <c r="Q49" s="28" t="s">
        <v>120</v>
      </c>
      <c r="R4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49" s="28" t="s">
        <v>119</v>
      </c>
    </row>
    <row r="50" spans="2:19">
      <c r="B50" s="35">
        <v>46275</v>
      </c>
      <c r="C50" s="28" t="s">
        <v>153</v>
      </c>
      <c r="D50" s="28" t="s">
        <v>78</v>
      </c>
      <c r="E50" s="28" t="s">
        <v>154</v>
      </c>
      <c r="F50" s="28" t="s">
        <v>126</v>
      </c>
      <c r="G50" s="36">
        <v>69</v>
      </c>
      <c r="H50" s="37">
        <v>167</v>
      </c>
      <c r="I50" s="37">
        <v>159</v>
      </c>
      <c r="J50" s="38">
        <f>IF(tblCounts[[#This Row],[Date]]="","",tblCounts[[#This Row],[Counted qty (units)]]-tblCounts[[#This Row],[System qty (units)]])</f>
        <v>-8</v>
      </c>
      <c r="K50" s="39">
        <f>IF(tblCounts[[#This Row],[Date]]="","",IF(tblCounts[[#This Row],[System qty (units)]]&gt;0,tblCounts[[#This Row],[Variance (units)]]/tblCounts[[#This Row],[System qty (units)]],""))</f>
        <v>-0.0479041916167665</v>
      </c>
      <c r="L50" s="40">
        <f>IF(tblCounts[[#This Row],[Date]]="","",IF(tblCounts[[#This Row],[Class]]="A",TolA,IF(tblCounts[[#This Row],[Class]]="B",TolB,IF(tblCounts[[#This Row],[Class]]="C",TolC,""))))</f>
        <v>0</v>
      </c>
      <c r="M50" s="41" t="str">
        <f>IF(tblCounts[[#This Row],[Date]]="","",IF(tblCounts[[#This Row],[Tolerance]]="","",IF(IF(tblCounts[[#This Row],[System qty (units)]]&gt;0,ABS(tblCounts[[#This Row],[Variance (units)]])/tblCounts[[#This Row],[System qty (units)]],IF(tblCounts[[#This Row],[Counted qty (units)]]&gt;0,1,0))&lt;=tblCounts[[#This Row],[Tolerance]],"Yes","No")))</f>
        <v>No</v>
      </c>
      <c r="N50" s="42">
        <f>IF(tblCounts[[#This Row],[Date]]="","",tblCounts[[#This Row],[Variance (units)]]*tblCounts[[#This Row],[Unit cost]])</f>
        <v>-552</v>
      </c>
      <c r="O50" s="42">
        <f>IF(tblCounts[[#This Row],[Date]]="","",ABS(tblCounts[[#This Row],[Variance value]]))</f>
        <v>552</v>
      </c>
      <c r="P50" s="28" t="s">
        <v>97</v>
      </c>
      <c r="Q50" s="28" t="s">
        <v>132</v>
      </c>
      <c r="R5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0" s="28" t="s">
        <v>119</v>
      </c>
    </row>
    <row r="51" spans="2:19">
      <c r="B51" s="35">
        <v>46275</v>
      </c>
      <c r="C51" s="28" t="s">
        <v>179</v>
      </c>
      <c r="D51" s="28" t="s">
        <v>80</v>
      </c>
      <c r="E51" s="28" t="s">
        <v>180</v>
      </c>
      <c r="F51" s="28" t="s">
        <v>126</v>
      </c>
      <c r="G51" s="36">
        <v>374</v>
      </c>
      <c r="H51" s="37">
        <v>14</v>
      </c>
      <c r="I51" s="37">
        <v>14</v>
      </c>
      <c r="J51" s="38">
        <f>IF(tblCounts[[#This Row],[Date]]="","",tblCounts[[#This Row],[Counted qty (units)]]-tblCounts[[#This Row],[System qty (units)]])</f>
        <v>0</v>
      </c>
      <c r="K51" s="39">
        <f>IF(tblCounts[[#This Row],[Date]]="","",IF(tblCounts[[#This Row],[System qty (units)]]&gt;0,tblCounts[[#This Row],[Variance (units)]]/tblCounts[[#This Row],[System qty (units)]],""))</f>
        <v>0</v>
      </c>
      <c r="L51" s="40">
        <f>IF(tblCounts[[#This Row],[Date]]="","",IF(tblCounts[[#This Row],[Class]]="A",TolA,IF(tblCounts[[#This Row],[Class]]="B",TolB,IF(tblCounts[[#This Row],[Class]]="C",TolC,""))))</f>
        <v>0</v>
      </c>
      <c r="M51" s="41" t="str">
        <f>IF(tblCounts[[#This Row],[Date]]="","",IF(tblCounts[[#This Row],[Tolerance]]="","",IF(IF(tblCounts[[#This Row],[System qty (units)]]&gt;0,ABS(tblCounts[[#This Row],[Variance (units)]])/tblCounts[[#This Row],[System qty (units)]],IF(tblCounts[[#This Row],[Counted qty (units)]]&gt;0,1,0))&lt;=tblCounts[[#This Row],[Tolerance]],"Yes","No")))</f>
        <v>Yes</v>
      </c>
      <c r="N51" s="42">
        <f>IF(tblCounts[[#This Row],[Date]]="","",tblCounts[[#This Row],[Variance (units)]]*tblCounts[[#This Row],[Unit cost]])</f>
        <v>0</v>
      </c>
      <c r="O51" s="42">
        <f>IF(tblCounts[[#This Row],[Date]]="","",ABS(tblCounts[[#This Row],[Variance value]]))</f>
        <v>0</v>
      </c>
      <c r="P51" s="28" t="s">
        <v>119</v>
      </c>
      <c r="Q51" s="28" t="s">
        <v>120</v>
      </c>
      <c r="R5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1" s="28" t="s">
        <v>119</v>
      </c>
    </row>
    <row r="52" spans="2:19">
      <c r="B52" s="35">
        <v>46276</v>
      </c>
      <c r="C52" s="28" t="s">
        <v>181</v>
      </c>
      <c r="D52" s="28" t="s">
        <v>82</v>
      </c>
      <c r="E52" s="28" t="s">
        <v>182</v>
      </c>
      <c r="F52" s="28" t="s">
        <v>118</v>
      </c>
      <c r="G52" s="36">
        <v>140</v>
      </c>
      <c r="H52" s="37">
        <v>14</v>
      </c>
      <c r="I52" s="37">
        <v>14</v>
      </c>
      <c r="J52" s="38">
        <f>IF(tblCounts[[#This Row],[Date]]="","",tblCounts[[#This Row],[Counted qty (units)]]-tblCounts[[#This Row],[System qty (units)]])</f>
        <v>0</v>
      </c>
      <c r="K52" s="39">
        <f>IF(tblCounts[[#This Row],[Date]]="","",IF(tblCounts[[#This Row],[System qty (units)]]&gt;0,tblCounts[[#This Row],[Variance (units)]]/tblCounts[[#This Row],[System qty (units)]],""))</f>
        <v>0</v>
      </c>
      <c r="L52" s="40">
        <f>IF(tblCounts[[#This Row],[Date]]="","",IF(tblCounts[[#This Row],[Class]]="A",TolA,IF(tblCounts[[#This Row],[Class]]="B",TolB,IF(tblCounts[[#This Row],[Class]]="C",TolC,""))))</f>
        <v>0.05</v>
      </c>
      <c r="M52" s="41" t="str">
        <f>IF(tblCounts[[#This Row],[Date]]="","",IF(tblCounts[[#This Row],[Tolerance]]="","",IF(IF(tblCounts[[#This Row],[System qty (units)]]&gt;0,ABS(tblCounts[[#This Row],[Variance (units)]])/tblCounts[[#This Row],[System qty (units)]],IF(tblCounts[[#This Row],[Counted qty (units)]]&gt;0,1,0))&lt;=tblCounts[[#This Row],[Tolerance]],"Yes","No")))</f>
        <v>Yes</v>
      </c>
      <c r="N52" s="42">
        <f>IF(tblCounts[[#This Row],[Date]]="","",tblCounts[[#This Row],[Variance (units)]]*tblCounts[[#This Row],[Unit cost]])</f>
        <v>0</v>
      </c>
      <c r="O52" s="42">
        <f>IF(tblCounts[[#This Row],[Date]]="","",ABS(tblCounts[[#This Row],[Variance value]]))</f>
        <v>0</v>
      </c>
      <c r="P52" s="28" t="s">
        <v>119</v>
      </c>
      <c r="Q52" s="28" t="s">
        <v>129</v>
      </c>
      <c r="R5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2" s="28" t="s">
        <v>119</v>
      </c>
    </row>
    <row r="53" spans="2:19">
      <c r="B53" s="35">
        <v>46276</v>
      </c>
      <c r="C53" s="28" t="s">
        <v>183</v>
      </c>
      <c r="D53" s="28" t="s">
        <v>82</v>
      </c>
      <c r="E53" s="28" t="s">
        <v>184</v>
      </c>
      <c r="F53" s="28" t="s">
        <v>123</v>
      </c>
      <c r="G53" s="36">
        <v>626</v>
      </c>
      <c r="H53" s="37">
        <v>28</v>
      </c>
      <c r="I53" s="37">
        <v>23</v>
      </c>
      <c r="J53" s="38">
        <f>IF(tblCounts[[#This Row],[Date]]="","",tblCounts[[#This Row],[Counted qty (units)]]-tblCounts[[#This Row],[System qty (units)]])</f>
        <v>-5</v>
      </c>
      <c r="K53" s="39">
        <f>IF(tblCounts[[#This Row],[Date]]="","",IF(tblCounts[[#This Row],[System qty (units)]]&gt;0,tblCounts[[#This Row],[Variance (units)]]/tblCounts[[#This Row],[System qty (units)]],""))</f>
        <v>-0.178571428571429</v>
      </c>
      <c r="L53" s="40">
        <f>IF(tblCounts[[#This Row],[Date]]="","",IF(tblCounts[[#This Row],[Class]]="A",TolA,IF(tblCounts[[#This Row],[Class]]="B",TolB,IF(tblCounts[[#This Row],[Class]]="C",TolC,""))))</f>
        <v>0.02</v>
      </c>
      <c r="M53" s="41" t="str">
        <f>IF(tblCounts[[#This Row],[Date]]="","",IF(tblCounts[[#This Row],[Tolerance]]="","",IF(IF(tblCounts[[#This Row],[System qty (units)]]&gt;0,ABS(tblCounts[[#This Row],[Variance (units)]])/tblCounts[[#This Row],[System qty (units)]],IF(tblCounts[[#This Row],[Counted qty (units)]]&gt;0,1,0))&lt;=tblCounts[[#This Row],[Tolerance]],"Yes","No")))</f>
        <v>No</v>
      </c>
      <c r="N53" s="42">
        <f>IF(tblCounts[[#This Row],[Date]]="","",tblCounts[[#This Row],[Variance (units)]]*tblCounts[[#This Row],[Unit cost]])</f>
        <v>-3130</v>
      </c>
      <c r="O53" s="42">
        <f>IF(tblCounts[[#This Row],[Date]]="","",ABS(tblCounts[[#This Row],[Variance value]]))</f>
        <v>3130</v>
      </c>
      <c r="P53" s="28" t="s">
        <v>91</v>
      </c>
      <c r="Q53" s="28" t="s">
        <v>129</v>
      </c>
      <c r="R5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3" s="28" t="s">
        <v>119</v>
      </c>
    </row>
    <row r="54" spans="2:19">
      <c r="B54" s="35">
        <v>46276</v>
      </c>
      <c r="C54" s="28" t="s">
        <v>185</v>
      </c>
      <c r="D54" s="28" t="s">
        <v>78</v>
      </c>
      <c r="E54" s="28" t="s">
        <v>186</v>
      </c>
      <c r="F54" s="28" t="s">
        <v>118</v>
      </c>
      <c r="G54" s="36">
        <v>2.02</v>
      </c>
      <c r="H54" s="37">
        <v>3283</v>
      </c>
      <c r="I54" s="37">
        <v>3283</v>
      </c>
      <c r="J54" s="38">
        <f>IF(tblCounts[[#This Row],[Date]]="","",tblCounts[[#This Row],[Counted qty (units)]]-tblCounts[[#This Row],[System qty (units)]])</f>
        <v>0</v>
      </c>
      <c r="K54" s="39">
        <f>IF(tblCounts[[#This Row],[Date]]="","",IF(tblCounts[[#This Row],[System qty (units)]]&gt;0,tblCounts[[#This Row],[Variance (units)]]/tblCounts[[#This Row],[System qty (units)]],""))</f>
        <v>0</v>
      </c>
      <c r="L54" s="40">
        <f>IF(tblCounts[[#This Row],[Date]]="","",IF(tblCounts[[#This Row],[Class]]="A",TolA,IF(tblCounts[[#This Row],[Class]]="B",TolB,IF(tblCounts[[#This Row],[Class]]="C",TolC,""))))</f>
        <v>0.05</v>
      </c>
      <c r="M54" s="41" t="str">
        <f>IF(tblCounts[[#This Row],[Date]]="","",IF(tblCounts[[#This Row],[Tolerance]]="","",IF(IF(tblCounts[[#This Row],[System qty (units)]]&gt;0,ABS(tblCounts[[#This Row],[Variance (units)]])/tblCounts[[#This Row],[System qty (units)]],IF(tblCounts[[#This Row],[Counted qty (units)]]&gt;0,1,0))&lt;=tblCounts[[#This Row],[Tolerance]],"Yes","No")))</f>
        <v>Yes</v>
      </c>
      <c r="N54" s="42">
        <f>IF(tblCounts[[#This Row],[Date]]="","",tblCounts[[#This Row],[Variance (units)]]*tblCounts[[#This Row],[Unit cost]])</f>
        <v>0</v>
      </c>
      <c r="O54" s="42">
        <f>IF(tblCounts[[#This Row],[Date]]="","",ABS(tblCounts[[#This Row],[Variance value]]))</f>
        <v>0</v>
      </c>
      <c r="P54" s="28" t="s">
        <v>119</v>
      </c>
      <c r="Q54" s="28" t="s">
        <v>132</v>
      </c>
      <c r="R5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4" s="28" t="s">
        <v>119</v>
      </c>
    </row>
    <row r="55" spans="2:19">
      <c r="B55" s="35">
        <v>46276</v>
      </c>
      <c r="C55" s="28" t="s">
        <v>153</v>
      </c>
      <c r="D55" s="28" t="s">
        <v>78</v>
      </c>
      <c r="E55" s="28" t="s">
        <v>154</v>
      </c>
      <c r="F55" s="28" t="s">
        <v>126</v>
      </c>
      <c r="G55" s="36">
        <v>69</v>
      </c>
      <c r="H55" s="37">
        <v>102</v>
      </c>
      <c r="I55" s="37">
        <v>102</v>
      </c>
      <c r="J55" s="38">
        <f>IF(tblCounts[[#This Row],[Date]]="","",tblCounts[[#This Row],[Counted qty (units)]]-tblCounts[[#This Row],[System qty (units)]])</f>
        <v>0</v>
      </c>
      <c r="K55" s="39">
        <f>IF(tblCounts[[#This Row],[Date]]="","",IF(tblCounts[[#This Row],[System qty (units)]]&gt;0,tblCounts[[#This Row],[Variance (units)]]/tblCounts[[#This Row],[System qty (units)]],""))</f>
        <v>0</v>
      </c>
      <c r="L55" s="40">
        <f>IF(tblCounts[[#This Row],[Date]]="","",IF(tblCounts[[#This Row],[Class]]="A",TolA,IF(tblCounts[[#This Row],[Class]]="B",TolB,IF(tblCounts[[#This Row],[Class]]="C",TolC,""))))</f>
        <v>0</v>
      </c>
      <c r="M55" s="41" t="str">
        <f>IF(tblCounts[[#This Row],[Date]]="","",IF(tblCounts[[#This Row],[Tolerance]]="","",IF(IF(tblCounts[[#This Row],[System qty (units)]]&gt;0,ABS(tblCounts[[#This Row],[Variance (units)]])/tblCounts[[#This Row],[System qty (units)]],IF(tblCounts[[#This Row],[Counted qty (units)]]&gt;0,1,0))&lt;=tblCounts[[#This Row],[Tolerance]],"Yes","No")))</f>
        <v>Yes</v>
      </c>
      <c r="N55" s="42">
        <f>IF(tblCounts[[#This Row],[Date]]="","",tblCounts[[#This Row],[Variance (units)]]*tblCounts[[#This Row],[Unit cost]])</f>
        <v>0</v>
      </c>
      <c r="O55" s="42">
        <f>IF(tblCounts[[#This Row],[Date]]="","",ABS(tblCounts[[#This Row],[Variance value]]))</f>
        <v>0</v>
      </c>
      <c r="P55" s="28" t="s">
        <v>119</v>
      </c>
      <c r="Q55" s="28" t="s">
        <v>120</v>
      </c>
      <c r="R5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5" s="28" t="s">
        <v>119</v>
      </c>
    </row>
    <row r="56" spans="2:19">
      <c r="B56" s="35">
        <v>46276</v>
      </c>
      <c r="C56" s="28" t="s">
        <v>155</v>
      </c>
      <c r="D56" s="28" t="s">
        <v>80</v>
      </c>
      <c r="E56" s="28" t="s">
        <v>156</v>
      </c>
      <c r="F56" s="28" t="s">
        <v>126</v>
      </c>
      <c r="G56" s="36">
        <v>309</v>
      </c>
      <c r="H56" s="37">
        <v>23</v>
      </c>
      <c r="I56" s="37">
        <v>26</v>
      </c>
      <c r="J56" s="38">
        <f>IF(tblCounts[[#This Row],[Date]]="","",tblCounts[[#This Row],[Counted qty (units)]]-tblCounts[[#This Row],[System qty (units)]])</f>
        <v>3</v>
      </c>
      <c r="K56" s="39">
        <f>IF(tblCounts[[#This Row],[Date]]="","",IF(tblCounts[[#This Row],[System qty (units)]]&gt;0,tblCounts[[#This Row],[Variance (units)]]/tblCounts[[#This Row],[System qty (units)]],""))</f>
        <v>0.130434782608696</v>
      </c>
      <c r="L56" s="40">
        <f>IF(tblCounts[[#This Row],[Date]]="","",IF(tblCounts[[#This Row],[Class]]="A",TolA,IF(tblCounts[[#This Row],[Class]]="B",TolB,IF(tblCounts[[#This Row],[Class]]="C",TolC,""))))</f>
        <v>0</v>
      </c>
      <c r="M56" s="41" t="str">
        <f>IF(tblCounts[[#This Row],[Date]]="","",IF(tblCounts[[#This Row],[Tolerance]]="","",IF(IF(tblCounts[[#This Row],[System qty (units)]]&gt;0,ABS(tblCounts[[#This Row],[Variance (units)]])/tblCounts[[#This Row],[System qty (units)]],IF(tblCounts[[#This Row],[Counted qty (units)]]&gt;0,1,0))&lt;=tblCounts[[#This Row],[Tolerance]],"Yes","No")))</f>
        <v>No</v>
      </c>
      <c r="N56" s="42">
        <f>IF(tblCounts[[#This Row],[Date]]="","",tblCounts[[#This Row],[Variance (units)]]*tblCounts[[#This Row],[Unit cost]])</f>
        <v>927</v>
      </c>
      <c r="O56" s="42">
        <f>IF(tblCounts[[#This Row],[Date]]="","",ABS(tblCounts[[#This Row],[Variance value]]))</f>
        <v>927</v>
      </c>
      <c r="P56" s="28" t="s">
        <v>87</v>
      </c>
      <c r="Q56" s="28" t="s">
        <v>120</v>
      </c>
      <c r="R5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6" s="28" t="s">
        <v>119</v>
      </c>
    </row>
    <row r="57" spans="2:19">
      <c r="B57" s="35">
        <v>46279</v>
      </c>
      <c r="C57" s="28" t="s">
        <v>187</v>
      </c>
      <c r="D57" s="28" t="s">
        <v>76</v>
      </c>
      <c r="E57" s="28" t="s">
        <v>188</v>
      </c>
      <c r="F57" s="28" t="s">
        <v>126</v>
      </c>
      <c r="G57" s="36">
        <v>198</v>
      </c>
      <c r="H57" s="37">
        <v>24</v>
      </c>
      <c r="I57" s="37">
        <v>24</v>
      </c>
      <c r="J57" s="38">
        <f>IF(tblCounts[[#This Row],[Date]]="","",tblCounts[[#This Row],[Counted qty (units)]]-tblCounts[[#This Row],[System qty (units)]])</f>
        <v>0</v>
      </c>
      <c r="K57" s="39">
        <f>IF(tblCounts[[#This Row],[Date]]="","",IF(tblCounts[[#This Row],[System qty (units)]]&gt;0,tblCounts[[#This Row],[Variance (units)]]/tblCounts[[#This Row],[System qty (units)]],""))</f>
        <v>0</v>
      </c>
      <c r="L57" s="40">
        <f>IF(tblCounts[[#This Row],[Date]]="","",IF(tblCounts[[#This Row],[Class]]="A",TolA,IF(tblCounts[[#This Row],[Class]]="B",TolB,IF(tblCounts[[#This Row],[Class]]="C",TolC,""))))</f>
        <v>0</v>
      </c>
      <c r="M57" s="41" t="str">
        <f>IF(tblCounts[[#This Row],[Date]]="","",IF(tblCounts[[#This Row],[Tolerance]]="","",IF(IF(tblCounts[[#This Row],[System qty (units)]]&gt;0,ABS(tblCounts[[#This Row],[Variance (units)]])/tblCounts[[#This Row],[System qty (units)]],IF(tblCounts[[#This Row],[Counted qty (units)]]&gt;0,1,0))&lt;=tblCounts[[#This Row],[Tolerance]],"Yes","No")))</f>
        <v>Yes</v>
      </c>
      <c r="N57" s="42">
        <f>IF(tblCounts[[#This Row],[Date]]="","",tblCounts[[#This Row],[Variance (units)]]*tblCounts[[#This Row],[Unit cost]])</f>
        <v>0</v>
      </c>
      <c r="O57" s="42">
        <f>IF(tblCounts[[#This Row],[Date]]="","",ABS(tblCounts[[#This Row],[Variance value]]))</f>
        <v>0</v>
      </c>
      <c r="P57" s="28" t="s">
        <v>119</v>
      </c>
      <c r="Q57" s="28" t="s">
        <v>129</v>
      </c>
      <c r="R5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7" s="28" t="s">
        <v>119</v>
      </c>
    </row>
    <row r="58" spans="2:19">
      <c r="B58" s="35">
        <v>46279</v>
      </c>
      <c r="C58" s="28" t="s">
        <v>189</v>
      </c>
      <c r="D58" s="28" t="s">
        <v>78</v>
      </c>
      <c r="E58" s="28" t="s">
        <v>190</v>
      </c>
      <c r="F58" s="28" t="s">
        <v>118</v>
      </c>
      <c r="G58" s="36">
        <v>0.16</v>
      </c>
      <c r="H58" s="37">
        <v>2200</v>
      </c>
      <c r="I58" s="37">
        <v>1926</v>
      </c>
      <c r="J58" s="38">
        <f>IF(tblCounts[[#This Row],[Date]]="","",tblCounts[[#This Row],[Counted qty (units)]]-tblCounts[[#This Row],[System qty (units)]])</f>
        <v>-274</v>
      </c>
      <c r="K58" s="39">
        <f>IF(tblCounts[[#This Row],[Date]]="","",IF(tblCounts[[#This Row],[System qty (units)]]&gt;0,tblCounts[[#This Row],[Variance (units)]]/tblCounts[[#This Row],[System qty (units)]],""))</f>
        <v>-0.124545454545455</v>
      </c>
      <c r="L58" s="40">
        <f>IF(tblCounts[[#This Row],[Date]]="","",IF(tblCounts[[#This Row],[Class]]="A",TolA,IF(tblCounts[[#This Row],[Class]]="B",TolB,IF(tblCounts[[#This Row],[Class]]="C",TolC,""))))</f>
        <v>0.05</v>
      </c>
      <c r="M58" s="41" t="str">
        <f>IF(tblCounts[[#This Row],[Date]]="","",IF(tblCounts[[#This Row],[Tolerance]]="","",IF(IF(tblCounts[[#This Row],[System qty (units)]]&gt;0,ABS(tblCounts[[#This Row],[Variance (units)]])/tblCounts[[#This Row],[System qty (units)]],IF(tblCounts[[#This Row],[Counted qty (units)]]&gt;0,1,0))&lt;=tblCounts[[#This Row],[Tolerance]],"Yes","No")))</f>
        <v>No</v>
      </c>
      <c r="N58" s="42">
        <f>IF(tblCounts[[#This Row],[Date]]="","",tblCounts[[#This Row],[Variance (units)]]*tblCounts[[#This Row],[Unit cost]])</f>
        <v>-43.84</v>
      </c>
      <c r="O58" s="42">
        <f>IF(tblCounts[[#This Row],[Date]]="","",ABS(tblCounts[[#This Row],[Variance value]]))</f>
        <v>43.84</v>
      </c>
      <c r="P58" s="28" t="s">
        <v>85</v>
      </c>
      <c r="Q58" s="28" t="s">
        <v>132</v>
      </c>
      <c r="R5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8" s="28" t="s">
        <v>119</v>
      </c>
    </row>
    <row r="59" spans="2:19">
      <c r="B59" s="35">
        <v>46279</v>
      </c>
      <c r="C59" s="28" t="s">
        <v>191</v>
      </c>
      <c r="D59" s="28" t="s">
        <v>76</v>
      </c>
      <c r="E59" s="28" t="s">
        <v>192</v>
      </c>
      <c r="F59" s="28" t="s">
        <v>123</v>
      </c>
      <c r="G59" s="36">
        <v>25</v>
      </c>
      <c r="H59" s="37">
        <v>175</v>
      </c>
      <c r="I59" s="37">
        <v>175</v>
      </c>
      <c r="J59" s="38">
        <f>IF(tblCounts[[#This Row],[Date]]="","",tblCounts[[#This Row],[Counted qty (units)]]-tblCounts[[#This Row],[System qty (units)]])</f>
        <v>0</v>
      </c>
      <c r="K59" s="39">
        <f>IF(tblCounts[[#This Row],[Date]]="","",IF(tblCounts[[#This Row],[System qty (units)]]&gt;0,tblCounts[[#This Row],[Variance (units)]]/tblCounts[[#This Row],[System qty (units)]],""))</f>
        <v>0</v>
      </c>
      <c r="L59" s="40">
        <f>IF(tblCounts[[#This Row],[Date]]="","",IF(tblCounts[[#This Row],[Class]]="A",TolA,IF(tblCounts[[#This Row],[Class]]="B",TolB,IF(tblCounts[[#This Row],[Class]]="C",TolC,""))))</f>
        <v>0.02</v>
      </c>
      <c r="M59" s="41" t="str">
        <f>IF(tblCounts[[#This Row],[Date]]="","",IF(tblCounts[[#This Row],[Tolerance]]="","",IF(IF(tblCounts[[#This Row],[System qty (units)]]&gt;0,ABS(tblCounts[[#This Row],[Variance (units)]])/tblCounts[[#This Row],[System qty (units)]],IF(tblCounts[[#This Row],[Counted qty (units)]]&gt;0,1,0))&lt;=tblCounts[[#This Row],[Tolerance]],"Yes","No")))</f>
        <v>Yes</v>
      </c>
      <c r="N59" s="42">
        <f>IF(tblCounts[[#This Row],[Date]]="","",tblCounts[[#This Row],[Variance (units)]]*tblCounts[[#This Row],[Unit cost]])</f>
        <v>0</v>
      </c>
      <c r="O59" s="42">
        <f>IF(tblCounts[[#This Row],[Date]]="","",ABS(tblCounts[[#This Row],[Variance value]]))</f>
        <v>0</v>
      </c>
      <c r="P59" s="28" t="s">
        <v>119</v>
      </c>
      <c r="Q59" s="28" t="s">
        <v>129</v>
      </c>
      <c r="R5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59" s="28" t="s">
        <v>119</v>
      </c>
    </row>
    <row r="60" spans="2:19">
      <c r="B60" s="35">
        <v>46279</v>
      </c>
      <c r="C60" s="28" t="s">
        <v>157</v>
      </c>
      <c r="D60" s="28" t="s">
        <v>76</v>
      </c>
      <c r="E60" s="28" t="s">
        <v>158</v>
      </c>
      <c r="F60" s="28" t="s">
        <v>126</v>
      </c>
      <c r="G60" s="36">
        <v>75</v>
      </c>
      <c r="H60" s="37">
        <v>115</v>
      </c>
      <c r="I60" s="37">
        <v>115</v>
      </c>
      <c r="J60" s="38">
        <f>IF(tblCounts[[#This Row],[Date]]="","",tblCounts[[#This Row],[Counted qty (units)]]-tblCounts[[#This Row],[System qty (units)]])</f>
        <v>0</v>
      </c>
      <c r="K60" s="39">
        <f>IF(tblCounts[[#This Row],[Date]]="","",IF(tblCounts[[#This Row],[System qty (units)]]&gt;0,tblCounts[[#This Row],[Variance (units)]]/tblCounts[[#This Row],[System qty (units)]],""))</f>
        <v>0</v>
      </c>
      <c r="L60" s="40">
        <f>IF(tblCounts[[#This Row],[Date]]="","",IF(tblCounts[[#This Row],[Class]]="A",TolA,IF(tblCounts[[#This Row],[Class]]="B",TolB,IF(tblCounts[[#This Row],[Class]]="C",TolC,""))))</f>
        <v>0</v>
      </c>
      <c r="M60" s="41" t="str">
        <f>IF(tblCounts[[#This Row],[Date]]="","",IF(tblCounts[[#This Row],[Tolerance]]="","",IF(IF(tblCounts[[#This Row],[System qty (units)]]&gt;0,ABS(tblCounts[[#This Row],[Variance (units)]])/tblCounts[[#This Row],[System qty (units)]],IF(tblCounts[[#This Row],[Counted qty (units)]]&gt;0,1,0))&lt;=tblCounts[[#This Row],[Tolerance]],"Yes","No")))</f>
        <v>Yes</v>
      </c>
      <c r="N60" s="42">
        <f>IF(tblCounts[[#This Row],[Date]]="","",tblCounts[[#This Row],[Variance (units)]]*tblCounts[[#This Row],[Unit cost]])</f>
        <v>0</v>
      </c>
      <c r="O60" s="42">
        <f>IF(tblCounts[[#This Row],[Date]]="","",ABS(tblCounts[[#This Row],[Variance value]]))</f>
        <v>0</v>
      </c>
      <c r="P60" s="28" t="s">
        <v>119</v>
      </c>
      <c r="Q60" s="28" t="s">
        <v>132</v>
      </c>
      <c r="R6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0" s="28" t="s">
        <v>119</v>
      </c>
    </row>
    <row r="61" spans="2:19">
      <c r="B61" s="35">
        <v>46279</v>
      </c>
      <c r="C61" s="28" t="s">
        <v>193</v>
      </c>
      <c r="D61" s="28" t="s">
        <v>78</v>
      </c>
      <c r="E61" s="28" t="s">
        <v>194</v>
      </c>
      <c r="F61" s="28" t="s">
        <v>118</v>
      </c>
      <c r="G61" s="36">
        <v>3.49</v>
      </c>
      <c r="H61" s="37">
        <v>3104</v>
      </c>
      <c r="I61" s="37">
        <v>3104</v>
      </c>
      <c r="J61" s="38">
        <f>IF(tblCounts[[#This Row],[Date]]="","",tblCounts[[#This Row],[Counted qty (units)]]-tblCounts[[#This Row],[System qty (units)]])</f>
        <v>0</v>
      </c>
      <c r="K61" s="39">
        <f>IF(tblCounts[[#This Row],[Date]]="","",IF(tblCounts[[#This Row],[System qty (units)]]&gt;0,tblCounts[[#This Row],[Variance (units)]]/tblCounts[[#This Row],[System qty (units)]],""))</f>
        <v>0</v>
      </c>
      <c r="L61" s="40">
        <f>IF(tblCounts[[#This Row],[Date]]="","",IF(tblCounts[[#This Row],[Class]]="A",TolA,IF(tblCounts[[#This Row],[Class]]="B",TolB,IF(tblCounts[[#This Row],[Class]]="C",TolC,""))))</f>
        <v>0.05</v>
      </c>
      <c r="M61" s="41" t="str">
        <f>IF(tblCounts[[#This Row],[Date]]="","",IF(tblCounts[[#This Row],[Tolerance]]="","",IF(IF(tblCounts[[#This Row],[System qty (units)]]&gt;0,ABS(tblCounts[[#This Row],[Variance (units)]])/tblCounts[[#This Row],[System qty (units)]],IF(tblCounts[[#This Row],[Counted qty (units)]]&gt;0,1,0))&lt;=tblCounts[[#This Row],[Tolerance]],"Yes","No")))</f>
        <v>Yes</v>
      </c>
      <c r="N61" s="42">
        <f>IF(tblCounts[[#This Row],[Date]]="","",tblCounts[[#This Row],[Variance (units)]]*tblCounts[[#This Row],[Unit cost]])</f>
        <v>0</v>
      </c>
      <c r="O61" s="42">
        <f>IF(tblCounts[[#This Row],[Date]]="","",ABS(tblCounts[[#This Row],[Variance value]]))</f>
        <v>0</v>
      </c>
      <c r="P61" s="28" t="s">
        <v>119</v>
      </c>
      <c r="Q61" s="28" t="s">
        <v>120</v>
      </c>
      <c r="R6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1" s="28" t="s">
        <v>119</v>
      </c>
    </row>
    <row r="62" spans="2:19">
      <c r="B62" s="35">
        <v>46280</v>
      </c>
      <c r="C62" s="28" t="s">
        <v>133</v>
      </c>
      <c r="D62" s="28" t="s">
        <v>76</v>
      </c>
      <c r="E62" s="28" t="s">
        <v>134</v>
      </c>
      <c r="F62" s="28" t="s">
        <v>123</v>
      </c>
      <c r="G62" s="36">
        <v>18</v>
      </c>
      <c r="H62" s="37">
        <v>60</v>
      </c>
      <c r="I62" s="37">
        <v>56</v>
      </c>
      <c r="J62" s="38">
        <f>IF(tblCounts[[#This Row],[Date]]="","",tblCounts[[#This Row],[Counted qty (units)]]-tblCounts[[#This Row],[System qty (units)]])</f>
        <v>-4</v>
      </c>
      <c r="K62" s="39">
        <f>IF(tblCounts[[#This Row],[Date]]="","",IF(tblCounts[[#This Row],[System qty (units)]]&gt;0,tblCounts[[#This Row],[Variance (units)]]/tblCounts[[#This Row],[System qty (units)]],""))</f>
        <v>-0.0666666666666667</v>
      </c>
      <c r="L62" s="40">
        <f>IF(tblCounts[[#This Row],[Date]]="","",IF(tblCounts[[#This Row],[Class]]="A",TolA,IF(tblCounts[[#This Row],[Class]]="B",TolB,IF(tblCounts[[#This Row],[Class]]="C",TolC,""))))</f>
        <v>0.02</v>
      </c>
      <c r="M62" s="41" t="str">
        <f>IF(tblCounts[[#This Row],[Date]]="","",IF(tblCounts[[#This Row],[Tolerance]]="","",IF(IF(tblCounts[[#This Row],[System qty (units)]]&gt;0,ABS(tblCounts[[#This Row],[Variance (units)]])/tblCounts[[#This Row],[System qty (units)]],IF(tblCounts[[#This Row],[Counted qty (units)]]&gt;0,1,0))&lt;=tblCounts[[#This Row],[Tolerance]],"Yes","No")))</f>
        <v>No</v>
      </c>
      <c r="N62" s="42">
        <f>IF(tblCounts[[#This Row],[Date]]="","",tblCounts[[#This Row],[Variance (units)]]*tblCounts[[#This Row],[Unit cost]])</f>
        <v>-72</v>
      </c>
      <c r="O62" s="42">
        <f>IF(tblCounts[[#This Row],[Date]]="","",ABS(tblCounts[[#This Row],[Variance value]]))</f>
        <v>72</v>
      </c>
      <c r="P62" s="28" t="s">
        <v>85</v>
      </c>
      <c r="Q62" s="28" t="s">
        <v>132</v>
      </c>
      <c r="R6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2" s="28" t="s">
        <v>119</v>
      </c>
    </row>
    <row r="63" spans="2:19">
      <c r="B63" s="35">
        <v>46280</v>
      </c>
      <c r="C63" s="28" t="s">
        <v>167</v>
      </c>
      <c r="D63" s="28" t="s">
        <v>76</v>
      </c>
      <c r="E63" s="28" t="s">
        <v>168</v>
      </c>
      <c r="F63" s="28" t="s">
        <v>123</v>
      </c>
      <c r="G63" s="36">
        <v>57</v>
      </c>
      <c r="H63" s="37">
        <v>173</v>
      </c>
      <c r="I63" s="37">
        <v>173</v>
      </c>
      <c r="J63" s="38">
        <f>IF(tblCounts[[#This Row],[Date]]="","",tblCounts[[#This Row],[Counted qty (units)]]-tblCounts[[#This Row],[System qty (units)]])</f>
        <v>0</v>
      </c>
      <c r="K63" s="39">
        <f>IF(tblCounts[[#This Row],[Date]]="","",IF(tblCounts[[#This Row],[System qty (units)]]&gt;0,tblCounts[[#This Row],[Variance (units)]]/tblCounts[[#This Row],[System qty (units)]],""))</f>
        <v>0</v>
      </c>
      <c r="L63" s="40">
        <f>IF(tblCounts[[#This Row],[Date]]="","",IF(tblCounts[[#This Row],[Class]]="A",TolA,IF(tblCounts[[#This Row],[Class]]="B",TolB,IF(tblCounts[[#This Row],[Class]]="C",TolC,""))))</f>
        <v>0.02</v>
      </c>
      <c r="M63" s="41" t="str">
        <f>IF(tblCounts[[#This Row],[Date]]="","",IF(tblCounts[[#This Row],[Tolerance]]="","",IF(IF(tblCounts[[#This Row],[System qty (units)]]&gt;0,ABS(tblCounts[[#This Row],[Variance (units)]])/tblCounts[[#This Row],[System qty (units)]],IF(tblCounts[[#This Row],[Counted qty (units)]]&gt;0,1,0))&lt;=tblCounts[[#This Row],[Tolerance]],"Yes","No")))</f>
        <v>Yes</v>
      </c>
      <c r="N63" s="42">
        <f>IF(tblCounts[[#This Row],[Date]]="","",tblCounts[[#This Row],[Variance (units)]]*tblCounts[[#This Row],[Unit cost]])</f>
        <v>0</v>
      </c>
      <c r="O63" s="42">
        <f>IF(tblCounts[[#This Row],[Date]]="","",ABS(tblCounts[[#This Row],[Variance value]]))</f>
        <v>0</v>
      </c>
      <c r="P63" s="28" t="s">
        <v>119</v>
      </c>
      <c r="Q63" s="28" t="s">
        <v>129</v>
      </c>
      <c r="R6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3" s="28" t="s">
        <v>119</v>
      </c>
    </row>
    <row r="64" spans="2:19">
      <c r="B64" s="35">
        <v>46280</v>
      </c>
      <c r="C64" s="28" t="s">
        <v>141</v>
      </c>
      <c r="D64" s="28" t="s">
        <v>76</v>
      </c>
      <c r="E64" s="28" t="s">
        <v>142</v>
      </c>
      <c r="F64" s="28" t="s">
        <v>126</v>
      </c>
      <c r="G64" s="36">
        <v>222</v>
      </c>
      <c r="H64" s="37">
        <v>0</v>
      </c>
      <c r="I64" s="37">
        <v>24</v>
      </c>
      <c r="J64" s="38">
        <f>IF(tblCounts[[#This Row],[Date]]="","",tblCounts[[#This Row],[Counted qty (units)]]-tblCounts[[#This Row],[System qty (units)]])</f>
        <v>24</v>
      </c>
      <c r="K64" s="39">
        <f>IF(tblCounts[[#This Row],[Date]]="","",IF(tblCounts[[#This Row],[System qty (units)]]&gt;0,tblCounts[[#This Row],[Variance (units)]]/tblCounts[[#This Row],[System qty (units)]],""))</f>
        <v/>
      </c>
      <c r="L64" s="40">
        <f>IF(tblCounts[[#This Row],[Date]]="","",IF(tblCounts[[#This Row],[Class]]="A",TolA,IF(tblCounts[[#This Row],[Class]]="B",TolB,IF(tblCounts[[#This Row],[Class]]="C",TolC,""))))</f>
        <v>0</v>
      </c>
      <c r="M64" s="41" t="str">
        <f>IF(tblCounts[[#This Row],[Date]]="","",IF(tblCounts[[#This Row],[Tolerance]]="","",IF(IF(tblCounts[[#This Row],[System qty (units)]]&gt;0,ABS(tblCounts[[#This Row],[Variance (units)]])/tblCounts[[#This Row],[System qty (units)]],IF(tblCounts[[#This Row],[Counted qty (units)]]&gt;0,1,0))&lt;=tblCounts[[#This Row],[Tolerance]],"Yes","No")))</f>
        <v>No</v>
      </c>
      <c r="N64" s="42">
        <f>IF(tblCounts[[#This Row],[Date]]="","",tblCounts[[#This Row],[Variance (units)]]*tblCounts[[#This Row],[Unit cost]])</f>
        <v>5328</v>
      </c>
      <c r="O64" s="42">
        <f>IF(tblCounts[[#This Row],[Date]]="","",ABS(tblCounts[[#This Row],[Variance value]]))</f>
        <v>5328</v>
      </c>
      <c r="P64" s="28" t="s">
        <v>91</v>
      </c>
      <c r="Q64" s="28" t="s">
        <v>129</v>
      </c>
      <c r="R6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4" s="28" t="s">
        <v>195</v>
      </c>
    </row>
    <row r="65" spans="2:19">
      <c r="B65" s="35">
        <v>46280</v>
      </c>
      <c r="C65" s="28" t="s">
        <v>196</v>
      </c>
      <c r="D65" s="28" t="s">
        <v>78</v>
      </c>
      <c r="E65" s="28" t="s">
        <v>197</v>
      </c>
      <c r="F65" s="28" t="s">
        <v>123</v>
      </c>
      <c r="G65" s="36">
        <v>5.75</v>
      </c>
      <c r="H65" s="37">
        <v>338</v>
      </c>
      <c r="I65" s="37">
        <v>338</v>
      </c>
      <c r="J65" s="38">
        <f>IF(tblCounts[[#This Row],[Date]]="","",tblCounts[[#This Row],[Counted qty (units)]]-tblCounts[[#This Row],[System qty (units)]])</f>
        <v>0</v>
      </c>
      <c r="K65" s="39">
        <f>IF(tblCounts[[#This Row],[Date]]="","",IF(tblCounts[[#This Row],[System qty (units)]]&gt;0,tblCounts[[#This Row],[Variance (units)]]/tblCounts[[#This Row],[System qty (units)]],""))</f>
        <v>0</v>
      </c>
      <c r="L65" s="40">
        <f>IF(tblCounts[[#This Row],[Date]]="","",IF(tblCounts[[#This Row],[Class]]="A",TolA,IF(tblCounts[[#This Row],[Class]]="B",TolB,IF(tblCounts[[#This Row],[Class]]="C",TolC,""))))</f>
        <v>0.02</v>
      </c>
      <c r="M65" s="41" t="str">
        <f>IF(tblCounts[[#This Row],[Date]]="","",IF(tblCounts[[#This Row],[Tolerance]]="","",IF(IF(tblCounts[[#This Row],[System qty (units)]]&gt;0,ABS(tblCounts[[#This Row],[Variance (units)]])/tblCounts[[#This Row],[System qty (units)]],IF(tblCounts[[#This Row],[Counted qty (units)]]&gt;0,1,0))&lt;=tblCounts[[#This Row],[Tolerance]],"Yes","No")))</f>
        <v>Yes</v>
      </c>
      <c r="N65" s="42">
        <f>IF(tblCounts[[#This Row],[Date]]="","",tblCounts[[#This Row],[Variance (units)]]*tblCounts[[#This Row],[Unit cost]])</f>
        <v>0</v>
      </c>
      <c r="O65" s="42">
        <f>IF(tblCounts[[#This Row],[Date]]="","",ABS(tblCounts[[#This Row],[Variance value]]))</f>
        <v>0</v>
      </c>
      <c r="P65" s="28" t="s">
        <v>119</v>
      </c>
      <c r="Q65" s="28" t="s">
        <v>120</v>
      </c>
      <c r="R6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5" s="28" t="s">
        <v>119</v>
      </c>
    </row>
    <row r="66" spans="2:19">
      <c r="B66" s="35">
        <v>46280</v>
      </c>
      <c r="C66" s="28" t="s">
        <v>124</v>
      </c>
      <c r="D66" s="28" t="s">
        <v>80</v>
      </c>
      <c r="E66" s="28" t="s">
        <v>125</v>
      </c>
      <c r="F66" s="28" t="s">
        <v>126</v>
      </c>
      <c r="G66" s="36">
        <v>418</v>
      </c>
      <c r="H66" s="37">
        <v>20</v>
      </c>
      <c r="I66" s="37">
        <v>20</v>
      </c>
      <c r="J66" s="38">
        <f>IF(tblCounts[[#This Row],[Date]]="","",tblCounts[[#This Row],[Counted qty (units)]]-tblCounts[[#This Row],[System qty (units)]])</f>
        <v>0</v>
      </c>
      <c r="K66" s="39">
        <f>IF(tblCounts[[#This Row],[Date]]="","",IF(tblCounts[[#This Row],[System qty (units)]]&gt;0,tblCounts[[#This Row],[Variance (units)]]/tblCounts[[#This Row],[System qty (units)]],""))</f>
        <v>0</v>
      </c>
      <c r="L66" s="40">
        <f>IF(tblCounts[[#This Row],[Date]]="","",IF(tblCounts[[#This Row],[Class]]="A",TolA,IF(tblCounts[[#This Row],[Class]]="B",TolB,IF(tblCounts[[#This Row],[Class]]="C",TolC,""))))</f>
        <v>0</v>
      </c>
      <c r="M66" s="41" t="str">
        <f>IF(tblCounts[[#This Row],[Date]]="","",IF(tblCounts[[#This Row],[Tolerance]]="","",IF(IF(tblCounts[[#This Row],[System qty (units)]]&gt;0,ABS(tblCounts[[#This Row],[Variance (units)]])/tblCounts[[#This Row],[System qty (units)]],IF(tblCounts[[#This Row],[Counted qty (units)]]&gt;0,1,0))&lt;=tblCounts[[#This Row],[Tolerance]],"Yes","No")))</f>
        <v>Yes</v>
      </c>
      <c r="N66" s="42">
        <f>IF(tblCounts[[#This Row],[Date]]="","",tblCounts[[#This Row],[Variance (units)]]*tblCounts[[#This Row],[Unit cost]])</f>
        <v>0</v>
      </c>
      <c r="O66" s="42">
        <f>IF(tblCounts[[#This Row],[Date]]="","",ABS(tblCounts[[#This Row],[Variance value]]))</f>
        <v>0</v>
      </c>
      <c r="P66" s="28" t="s">
        <v>119</v>
      </c>
      <c r="Q66" s="28" t="s">
        <v>129</v>
      </c>
      <c r="R6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6" s="28" t="s">
        <v>119</v>
      </c>
    </row>
    <row r="67" spans="2:19">
      <c r="B67" s="35">
        <v>46281</v>
      </c>
      <c r="C67" s="28" t="s">
        <v>179</v>
      </c>
      <c r="D67" s="28" t="s">
        <v>80</v>
      </c>
      <c r="E67" s="28" t="s">
        <v>180</v>
      </c>
      <c r="F67" s="28" t="s">
        <v>126</v>
      </c>
      <c r="G67" s="36">
        <v>374</v>
      </c>
      <c r="H67" s="37">
        <v>18</v>
      </c>
      <c r="I67" s="37">
        <v>18</v>
      </c>
      <c r="J67" s="38">
        <f>IF(tblCounts[[#This Row],[Date]]="","",tblCounts[[#This Row],[Counted qty (units)]]-tblCounts[[#This Row],[System qty (units)]])</f>
        <v>0</v>
      </c>
      <c r="K67" s="39">
        <f>IF(tblCounts[[#This Row],[Date]]="","",IF(tblCounts[[#This Row],[System qty (units)]]&gt;0,tblCounts[[#This Row],[Variance (units)]]/tblCounts[[#This Row],[System qty (units)]],""))</f>
        <v>0</v>
      </c>
      <c r="L67" s="40">
        <f>IF(tblCounts[[#This Row],[Date]]="","",IF(tblCounts[[#This Row],[Class]]="A",TolA,IF(tblCounts[[#This Row],[Class]]="B",TolB,IF(tblCounts[[#This Row],[Class]]="C",TolC,""))))</f>
        <v>0</v>
      </c>
      <c r="M67" s="41" t="str">
        <f>IF(tblCounts[[#This Row],[Date]]="","",IF(tblCounts[[#This Row],[Tolerance]]="","",IF(IF(tblCounts[[#This Row],[System qty (units)]]&gt;0,ABS(tblCounts[[#This Row],[Variance (units)]])/tblCounts[[#This Row],[System qty (units)]],IF(tblCounts[[#This Row],[Counted qty (units)]]&gt;0,1,0))&lt;=tblCounts[[#This Row],[Tolerance]],"Yes","No")))</f>
        <v>Yes</v>
      </c>
      <c r="N67" s="42">
        <f>IF(tblCounts[[#This Row],[Date]]="","",tblCounts[[#This Row],[Variance (units)]]*tblCounts[[#This Row],[Unit cost]])</f>
        <v>0</v>
      </c>
      <c r="O67" s="42">
        <f>IF(tblCounts[[#This Row],[Date]]="","",ABS(tblCounts[[#This Row],[Variance value]]))</f>
        <v>0</v>
      </c>
      <c r="P67" s="28" t="s">
        <v>119</v>
      </c>
      <c r="Q67" s="28" t="s">
        <v>129</v>
      </c>
      <c r="R6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7" s="28" t="s">
        <v>119</v>
      </c>
    </row>
    <row r="68" spans="2:19">
      <c r="B68" s="35">
        <v>46281</v>
      </c>
      <c r="C68" s="28" t="s">
        <v>167</v>
      </c>
      <c r="D68" s="28" t="s">
        <v>76</v>
      </c>
      <c r="E68" s="28" t="s">
        <v>168</v>
      </c>
      <c r="F68" s="28" t="s">
        <v>123</v>
      </c>
      <c r="G68" s="36">
        <v>57</v>
      </c>
      <c r="H68" s="37">
        <v>90</v>
      </c>
      <c r="I68" s="37">
        <v>90</v>
      </c>
      <c r="J68" s="38">
        <f>IF(tblCounts[[#This Row],[Date]]="","",tblCounts[[#This Row],[Counted qty (units)]]-tblCounts[[#This Row],[System qty (units)]])</f>
        <v>0</v>
      </c>
      <c r="K68" s="39">
        <f>IF(tblCounts[[#This Row],[Date]]="","",IF(tblCounts[[#This Row],[System qty (units)]]&gt;0,tblCounts[[#This Row],[Variance (units)]]/tblCounts[[#This Row],[System qty (units)]],""))</f>
        <v>0</v>
      </c>
      <c r="L68" s="40">
        <f>IF(tblCounts[[#This Row],[Date]]="","",IF(tblCounts[[#This Row],[Class]]="A",TolA,IF(tblCounts[[#This Row],[Class]]="B",TolB,IF(tblCounts[[#This Row],[Class]]="C",TolC,""))))</f>
        <v>0.02</v>
      </c>
      <c r="M68" s="41" t="str">
        <f>IF(tblCounts[[#This Row],[Date]]="","",IF(tblCounts[[#This Row],[Tolerance]]="","",IF(IF(tblCounts[[#This Row],[System qty (units)]]&gt;0,ABS(tblCounts[[#This Row],[Variance (units)]])/tblCounts[[#This Row],[System qty (units)]],IF(tblCounts[[#This Row],[Counted qty (units)]]&gt;0,1,0))&lt;=tblCounts[[#This Row],[Tolerance]],"Yes","No")))</f>
        <v>Yes</v>
      </c>
      <c r="N68" s="42">
        <f>IF(tblCounts[[#This Row],[Date]]="","",tblCounts[[#This Row],[Variance (units)]]*tblCounts[[#This Row],[Unit cost]])</f>
        <v>0</v>
      </c>
      <c r="O68" s="42">
        <f>IF(tblCounts[[#This Row],[Date]]="","",ABS(tblCounts[[#This Row],[Variance value]]))</f>
        <v>0</v>
      </c>
      <c r="P68" s="28" t="s">
        <v>119</v>
      </c>
      <c r="Q68" s="28" t="s">
        <v>120</v>
      </c>
      <c r="R6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8" s="28" t="s">
        <v>119</v>
      </c>
    </row>
    <row r="69" spans="2:19">
      <c r="B69" s="35">
        <v>46281</v>
      </c>
      <c r="C69" s="28" t="s">
        <v>159</v>
      </c>
      <c r="D69" s="28" t="s">
        <v>80</v>
      </c>
      <c r="E69" s="28" t="s">
        <v>160</v>
      </c>
      <c r="F69" s="28" t="s">
        <v>126</v>
      </c>
      <c r="G69" s="36">
        <v>264</v>
      </c>
      <c r="H69" s="37">
        <v>56</v>
      </c>
      <c r="I69" s="37">
        <v>56</v>
      </c>
      <c r="J69" s="38">
        <f>IF(tblCounts[[#This Row],[Date]]="","",tblCounts[[#This Row],[Counted qty (units)]]-tblCounts[[#This Row],[System qty (units)]])</f>
        <v>0</v>
      </c>
      <c r="K69" s="39">
        <f>IF(tblCounts[[#This Row],[Date]]="","",IF(tblCounts[[#This Row],[System qty (units)]]&gt;0,tblCounts[[#This Row],[Variance (units)]]/tblCounts[[#This Row],[System qty (units)]],""))</f>
        <v>0</v>
      </c>
      <c r="L69" s="40">
        <f>IF(tblCounts[[#This Row],[Date]]="","",IF(tblCounts[[#This Row],[Class]]="A",TolA,IF(tblCounts[[#This Row],[Class]]="B",TolB,IF(tblCounts[[#This Row],[Class]]="C",TolC,""))))</f>
        <v>0</v>
      </c>
      <c r="M69" s="41" t="str">
        <f>IF(tblCounts[[#This Row],[Date]]="","",IF(tblCounts[[#This Row],[Tolerance]]="","",IF(IF(tblCounts[[#This Row],[System qty (units)]]&gt;0,ABS(tblCounts[[#This Row],[Variance (units)]])/tblCounts[[#This Row],[System qty (units)]],IF(tblCounts[[#This Row],[Counted qty (units)]]&gt;0,1,0))&lt;=tblCounts[[#This Row],[Tolerance]],"Yes","No")))</f>
        <v>Yes</v>
      </c>
      <c r="N69" s="42">
        <f>IF(tblCounts[[#This Row],[Date]]="","",tblCounts[[#This Row],[Variance (units)]]*tblCounts[[#This Row],[Unit cost]])</f>
        <v>0</v>
      </c>
      <c r="O69" s="42">
        <f>IF(tblCounts[[#This Row],[Date]]="","",ABS(tblCounts[[#This Row],[Variance value]]))</f>
        <v>0</v>
      </c>
      <c r="P69" s="28" t="s">
        <v>119</v>
      </c>
      <c r="Q69" s="28" t="s">
        <v>120</v>
      </c>
      <c r="R6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69" s="28" t="s">
        <v>119</v>
      </c>
    </row>
    <row r="70" spans="2:19">
      <c r="B70" s="35">
        <v>46281</v>
      </c>
      <c r="C70" s="28" t="s">
        <v>165</v>
      </c>
      <c r="D70" s="28" t="s">
        <v>76</v>
      </c>
      <c r="E70" s="28" t="s">
        <v>166</v>
      </c>
      <c r="F70" s="28" t="s">
        <v>126</v>
      </c>
      <c r="G70" s="36">
        <v>181</v>
      </c>
      <c r="H70" s="37">
        <v>37</v>
      </c>
      <c r="I70" s="37">
        <v>37</v>
      </c>
      <c r="J70" s="38">
        <f>IF(tblCounts[[#This Row],[Date]]="","",tblCounts[[#This Row],[Counted qty (units)]]-tblCounts[[#This Row],[System qty (units)]])</f>
        <v>0</v>
      </c>
      <c r="K70" s="39">
        <f>IF(tblCounts[[#This Row],[Date]]="","",IF(tblCounts[[#This Row],[System qty (units)]]&gt;0,tblCounts[[#This Row],[Variance (units)]]/tblCounts[[#This Row],[System qty (units)]],""))</f>
        <v>0</v>
      </c>
      <c r="L70" s="40">
        <f>IF(tblCounts[[#This Row],[Date]]="","",IF(tblCounts[[#This Row],[Class]]="A",TolA,IF(tblCounts[[#This Row],[Class]]="B",TolB,IF(tblCounts[[#This Row],[Class]]="C",TolC,""))))</f>
        <v>0</v>
      </c>
      <c r="M70" s="41" t="str">
        <f>IF(tblCounts[[#This Row],[Date]]="","",IF(tblCounts[[#This Row],[Tolerance]]="","",IF(IF(tblCounts[[#This Row],[System qty (units)]]&gt;0,ABS(tblCounts[[#This Row],[Variance (units)]])/tblCounts[[#This Row],[System qty (units)]],IF(tblCounts[[#This Row],[Counted qty (units)]]&gt;0,1,0))&lt;=tblCounts[[#This Row],[Tolerance]],"Yes","No")))</f>
        <v>Yes</v>
      </c>
      <c r="N70" s="42">
        <f>IF(tblCounts[[#This Row],[Date]]="","",tblCounts[[#This Row],[Variance (units)]]*tblCounts[[#This Row],[Unit cost]])</f>
        <v>0</v>
      </c>
      <c r="O70" s="42">
        <f>IF(tblCounts[[#This Row],[Date]]="","",ABS(tblCounts[[#This Row],[Variance value]]))</f>
        <v>0</v>
      </c>
      <c r="P70" s="28" t="s">
        <v>119</v>
      </c>
      <c r="Q70" s="28" t="s">
        <v>132</v>
      </c>
      <c r="R7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0" s="28" t="s">
        <v>119</v>
      </c>
    </row>
    <row r="71" spans="2:19">
      <c r="B71" s="35">
        <v>46281</v>
      </c>
      <c r="C71" s="28" t="s">
        <v>173</v>
      </c>
      <c r="D71" s="28" t="s">
        <v>78</v>
      </c>
      <c r="E71" s="28" t="s">
        <v>174</v>
      </c>
      <c r="F71" s="28" t="s">
        <v>126</v>
      </c>
      <c r="G71" s="36">
        <v>88</v>
      </c>
      <c r="H71" s="37">
        <v>194</v>
      </c>
      <c r="I71" s="37">
        <v>194</v>
      </c>
      <c r="J71" s="38">
        <f>IF(tblCounts[[#This Row],[Date]]="","",tblCounts[[#This Row],[Counted qty (units)]]-tblCounts[[#This Row],[System qty (units)]])</f>
        <v>0</v>
      </c>
      <c r="K71" s="39">
        <f>IF(tblCounts[[#This Row],[Date]]="","",IF(tblCounts[[#This Row],[System qty (units)]]&gt;0,tblCounts[[#This Row],[Variance (units)]]/tblCounts[[#This Row],[System qty (units)]],""))</f>
        <v>0</v>
      </c>
      <c r="L71" s="40">
        <f>IF(tblCounts[[#This Row],[Date]]="","",IF(tblCounts[[#This Row],[Class]]="A",TolA,IF(tblCounts[[#This Row],[Class]]="B",TolB,IF(tblCounts[[#This Row],[Class]]="C",TolC,""))))</f>
        <v>0</v>
      </c>
      <c r="M71" s="41" t="str">
        <f>IF(tblCounts[[#This Row],[Date]]="","",IF(tblCounts[[#This Row],[Tolerance]]="","",IF(IF(tblCounts[[#This Row],[System qty (units)]]&gt;0,ABS(tblCounts[[#This Row],[Variance (units)]])/tblCounts[[#This Row],[System qty (units)]],IF(tblCounts[[#This Row],[Counted qty (units)]]&gt;0,1,0))&lt;=tblCounts[[#This Row],[Tolerance]],"Yes","No")))</f>
        <v>Yes</v>
      </c>
      <c r="N71" s="42">
        <f>IF(tblCounts[[#This Row],[Date]]="","",tblCounts[[#This Row],[Variance (units)]]*tblCounts[[#This Row],[Unit cost]])</f>
        <v>0</v>
      </c>
      <c r="O71" s="42">
        <f>IF(tblCounts[[#This Row],[Date]]="","",ABS(tblCounts[[#This Row],[Variance value]]))</f>
        <v>0</v>
      </c>
      <c r="P71" s="28" t="s">
        <v>119</v>
      </c>
      <c r="Q71" s="28" t="s">
        <v>132</v>
      </c>
      <c r="R7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1" s="28" t="s">
        <v>119</v>
      </c>
    </row>
    <row r="72" spans="2:19">
      <c r="B72" s="35">
        <v>46282</v>
      </c>
      <c r="C72" s="28" t="s">
        <v>151</v>
      </c>
      <c r="D72" s="28" t="s">
        <v>80</v>
      </c>
      <c r="E72" s="28" t="s">
        <v>152</v>
      </c>
      <c r="F72" s="28" t="s">
        <v>123</v>
      </c>
      <c r="G72" s="36">
        <v>70</v>
      </c>
      <c r="H72" s="37">
        <v>78</v>
      </c>
      <c r="I72" s="37">
        <v>78</v>
      </c>
      <c r="J72" s="38">
        <f>IF(tblCounts[[#This Row],[Date]]="","",tblCounts[[#This Row],[Counted qty (units)]]-tblCounts[[#This Row],[System qty (units)]])</f>
        <v>0</v>
      </c>
      <c r="K72" s="39">
        <f>IF(tblCounts[[#This Row],[Date]]="","",IF(tblCounts[[#This Row],[System qty (units)]]&gt;0,tblCounts[[#This Row],[Variance (units)]]/tblCounts[[#This Row],[System qty (units)]],""))</f>
        <v>0</v>
      </c>
      <c r="L72" s="40">
        <f>IF(tblCounts[[#This Row],[Date]]="","",IF(tblCounts[[#This Row],[Class]]="A",TolA,IF(tblCounts[[#This Row],[Class]]="B",TolB,IF(tblCounts[[#This Row],[Class]]="C",TolC,""))))</f>
        <v>0.02</v>
      </c>
      <c r="M72" s="41" t="str">
        <f>IF(tblCounts[[#This Row],[Date]]="","",IF(tblCounts[[#This Row],[Tolerance]]="","",IF(IF(tblCounts[[#This Row],[System qty (units)]]&gt;0,ABS(tblCounts[[#This Row],[Variance (units)]])/tblCounts[[#This Row],[System qty (units)]],IF(tblCounts[[#This Row],[Counted qty (units)]]&gt;0,1,0))&lt;=tblCounts[[#This Row],[Tolerance]],"Yes","No")))</f>
        <v>Yes</v>
      </c>
      <c r="N72" s="42">
        <f>IF(tblCounts[[#This Row],[Date]]="","",tblCounts[[#This Row],[Variance (units)]]*tblCounts[[#This Row],[Unit cost]])</f>
        <v>0</v>
      </c>
      <c r="O72" s="42">
        <f>IF(tblCounts[[#This Row],[Date]]="","",ABS(tblCounts[[#This Row],[Variance value]]))</f>
        <v>0</v>
      </c>
      <c r="P72" s="28" t="s">
        <v>119</v>
      </c>
      <c r="Q72" s="28" t="s">
        <v>120</v>
      </c>
      <c r="R7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2" s="28" t="s">
        <v>119</v>
      </c>
    </row>
    <row r="73" spans="2:19">
      <c r="B73" s="35">
        <v>46282</v>
      </c>
      <c r="C73" s="28" t="s">
        <v>137</v>
      </c>
      <c r="D73" s="28" t="s">
        <v>82</v>
      </c>
      <c r="E73" s="28" t="s">
        <v>138</v>
      </c>
      <c r="F73" s="28" t="s">
        <v>123</v>
      </c>
      <c r="G73" s="36">
        <v>315</v>
      </c>
      <c r="H73" s="37">
        <v>15</v>
      </c>
      <c r="I73" s="37">
        <v>15</v>
      </c>
      <c r="J73" s="38">
        <f>IF(tblCounts[[#This Row],[Date]]="","",tblCounts[[#This Row],[Counted qty (units)]]-tblCounts[[#This Row],[System qty (units)]])</f>
        <v>0</v>
      </c>
      <c r="K73" s="39">
        <f>IF(tblCounts[[#This Row],[Date]]="","",IF(tblCounts[[#This Row],[System qty (units)]]&gt;0,tblCounts[[#This Row],[Variance (units)]]/tblCounts[[#This Row],[System qty (units)]],""))</f>
        <v>0</v>
      </c>
      <c r="L73" s="40">
        <f>IF(tblCounts[[#This Row],[Date]]="","",IF(tblCounts[[#This Row],[Class]]="A",TolA,IF(tblCounts[[#This Row],[Class]]="B",TolB,IF(tblCounts[[#This Row],[Class]]="C",TolC,""))))</f>
        <v>0.02</v>
      </c>
      <c r="M73" s="41" t="str">
        <f>IF(tblCounts[[#This Row],[Date]]="","",IF(tblCounts[[#This Row],[Tolerance]]="","",IF(IF(tblCounts[[#This Row],[System qty (units)]]&gt;0,ABS(tblCounts[[#This Row],[Variance (units)]])/tblCounts[[#This Row],[System qty (units)]],IF(tblCounts[[#This Row],[Counted qty (units)]]&gt;0,1,0))&lt;=tblCounts[[#This Row],[Tolerance]],"Yes","No")))</f>
        <v>Yes</v>
      </c>
      <c r="N73" s="42">
        <f>IF(tblCounts[[#This Row],[Date]]="","",tblCounts[[#This Row],[Variance (units)]]*tblCounts[[#This Row],[Unit cost]])</f>
        <v>0</v>
      </c>
      <c r="O73" s="42">
        <f>IF(tblCounts[[#This Row],[Date]]="","",ABS(tblCounts[[#This Row],[Variance value]]))</f>
        <v>0</v>
      </c>
      <c r="P73" s="28" t="s">
        <v>119</v>
      </c>
      <c r="Q73" s="28" t="s">
        <v>129</v>
      </c>
      <c r="R7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3" s="28" t="s">
        <v>119</v>
      </c>
    </row>
    <row r="74" spans="2:19">
      <c r="B74" s="35">
        <v>46282</v>
      </c>
      <c r="C74" s="28" t="s">
        <v>161</v>
      </c>
      <c r="D74" s="28" t="s">
        <v>78</v>
      </c>
      <c r="E74" s="28" t="s">
        <v>162</v>
      </c>
      <c r="F74" s="28" t="s">
        <v>118</v>
      </c>
      <c r="G74" s="36">
        <v>0.7</v>
      </c>
      <c r="H74" s="37">
        <v>2000</v>
      </c>
      <c r="I74" s="37">
        <v>1831</v>
      </c>
      <c r="J74" s="38">
        <f>IF(tblCounts[[#This Row],[Date]]="","",tblCounts[[#This Row],[Counted qty (units)]]-tblCounts[[#This Row],[System qty (units)]])</f>
        <v>-169</v>
      </c>
      <c r="K74" s="39">
        <f>IF(tblCounts[[#This Row],[Date]]="","",IF(tblCounts[[#This Row],[System qty (units)]]&gt;0,tblCounts[[#This Row],[Variance (units)]]/tblCounts[[#This Row],[System qty (units)]],""))</f>
        <v>-0.0845</v>
      </c>
      <c r="L74" s="40">
        <f>IF(tblCounts[[#This Row],[Date]]="","",IF(tblCounts[[#This Row],[Class]]="A",TolA,IF(tblCounts[[#This Row],[Class]]="B",TolB,IF(tblCounts[[#This Row],[Class]]="C",TolC,""))))</f>
        <v>0.05</v>
      </c>
      <c r="M74" s="41" t="str">
        <f>IF(tblCounts[[#This Row],[Date]]="","",IF(tblCounts[[#This Row],[Tolerance]]="","",IF(IF(tblCounts[[#This Row],[System qty (units)]]&gt;0,ABS(tblCounts[[#This Row],[Variance (units)]])/tblCounts[[#This Row],[System qty (units)]],IF(tblCounts[[#This Row],[Counted qty (units)]]&gt;0,1,0))&lt;=tblCounts[[#This Row],[Tolerance]],"Yes","No")))</f>
        <v>No</v>
      </c>
      <c r="N74" s="42">
        <f>IF(tblCounts[[#This Row],[Date]]="","",tblCounts[[#This Row],[Variance (units)]]*tblCounts[[#This Row],[Unit cost]])</f>
        <v>-118.3</v>
      </c>
      <c r="O74" s="42">
        <f>IF(tblCounts[[#This Row],[Date]]="","",ABS(tblCounts[[#This Row],[Variance value]]))</f>
        <v>118.3</v>
      </c>
      <c r="P74" s="28" t="s">
        <v>87</v>
      </c>
      <c r="Q74" s="28" t="s">
        <v>132</v>
      </c>
      <c r="R7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4" s="28" t="s">
        <v>119</v>
      </c>
    </row>
    <row r="75" spans="2:19">
      <c r="B75" s="35">
        <v>46282</v>
      </c>
      <c r="C75" s="28" t="s">
        <v>147</v>
      </c>
      <c r="D75" s="28" t="s">
        <v>82</v>
      </c>
      <c r="E75" s="28" t="s">
        <v>148</v>
      </c>
      <c r="F75" s="28" t="s">
        <v>123</v>
      </c>
      <c r="G75" s="36">
        <v>867</v>
      </c>
      <c r="H75" s="37">
        <v>24</v>
      </c>
      <c r="I75" s="37">
        <v>24</v>
      </c>
      <c r="J75" s="38">
        <f>IF(tblCounts[[#This Row],[Date]]="","",tblCounts[[#This Row],[Counted qty (units)]]-tblCounts[[#This Row],[System qty (units)]])</f>
        <v>0</v>
      </c>
      <c r="K75" s="39">
        <f>IF(tblCounts[[#This Row],[Date]]="","",IF(tblCounts[[#This Row],[System qty (units)]]&gt;0,tblCounts[[#This Row],[Variance (units)]]/tblCounts[[#This Row],[System qty (units)]],""))</f>
        <v>0</v>
      </c>
      <c r="L75" s="40">
        <f>IF(tblCounts[[#This Row],[Date]]="","",IF(tblCounts[[#This Row],[Class]]="A",TolA,IF(tblCounts[[#This Row],[Class]]="B",TolB,IF(tblCounts[[#This Row],[Class]]="C",TolC,""))))</f>
        <v>0.02</v>
      </c>
      <c r="M75" s="41" t="str">
        <f>IF(tblCounts[[#This Row],[Date]]="","",IF(tblCounts[[#This Row],[Tolerance]]="","",IF(IF(tblCounts[[#This Row],[System qty (units)]]&gt;0,ABS(tblCounts[[#This Row],[Variance (units)]])/tblCounts[[#This Row],[System qty (units)]],IF(tblCounts[[#This Row],[Counted qty (units)]]&gt;0,1,0))&lt;=tblCounts[[#This Row],[Tolerance]],"Yes","No")))</f>
        <v>Yes</v>
      </c>
      <c r="N75" s="42">
        <f>IF(tblCounts[[#This Row],[Date]]="","",tblCounts[[#This Row],[Variance (units)]]*tblCounts[[#This Row],[Unit cost]])</f>
        <v>0</v>
      </c>
      <c r="O75" s="42">
        <f>IF(tblCounts[[#This Row],[Date]]="","",ABS(tblCounts[[#This Row],[Variance value]]))</f>
        <v>0</v>
      </c>
      <c r="P75" s="28" t="s">
        <v>119</v>
      </c>
      <c r="Q75" s="28" t="s">
        <v>120</v>
      </c>
      <c r="R7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5" s="28" t="s">
        <v>119</v>
      </c>
    </row>
    <row r="76" spans="2:19">
      <c r="B76" s="35">
        <v>46282</v>
      </c>
      <c r="C76" s="28" t="s">
        <v>173</v>
      </c>
      <c r="D76" s="28" t="s">
        <v>78</v>
      </c>
      <c r="E76" s="28" t="s">
        <v>174</v>
      </c>
      <c r="F76" s="28" t="s">
        <v>126</v>
      </c>
      <c r="G76" s="36">
        <v>88</v>
      </c>
      <c r="H76" s="37">
        <v>105</v>
      </c>
      <c r="I76" s="37">
        <v>105</v>
      </c>
      <c r="J76" s="38">
        <f>IF(tblCounts[[#This Row],[Date]]="","",tblCounts[[#This Row],[Counted qty (units)]]-tblCounts[[#This Row],[System qty (units)]])</f>
        <v>0</v>
      </c>
      <c r="K76" s="39">
        <f>IF(tblCounts[[#This Row],[Date]]="","",IF(tblCounts[[#This Row],[System qty (units)]]&gt;0,tblCounts[[#This Row],[Variance (units)]]/tblCounts[[#This Row],[System qty (units)]],""))</f>
        <v>0</v>
      </c>
      <c r="L76" s="40">
        <f>IF(tblCounts[[#This Row],[Date]]="","",IF(tblCounts[[#This Row],[Class]]="A",TolA,IF(tblCounts[[#This Row],[Class]]="B",TolB,IF(tblCounts[[#This Row],[Class]]="C",TolC,""))))</f>
        <v>0</v>
      </c>
      <c r="M76" s="41" t="str">
        <f>IF(tblCounts[[#This Row],[Date]]="","",IF(tblCounts[[#This Row],[Tolerance]]="","",IF(IF(tblCounts[[#This Row],[System qty (units)]]&gt;0,ABS(tblCounts[[#This Row],[Variance (units)]])/tblCounts[[#This Row],[System qty (units)]],IF(tblCounts[[#This Row],[Counted qty (units)]]&gt;0,1,0))&lt;=tblCounts[[#This Row],[Tolerance]],"Yes","No")))</f>
        <v>Yes</v>
      </c>
      <c r="N76" s="42">
        <f>IF(tblCounts[[#This Row],[Date]]="","",tblCounts[[#This Row],[Variance (units)]]*tblCounts[[#This Row],[Unit cost]])</f>
        <v>0</v>
      </c>
      <c r="O76" s="42">
        <f>IF(tblCounts[[#This Row],[Date]]="","",ABS(tblCounts[[#This Row],[Variance value]]))</f>
        <v>0</v>
      </c>
      <c r="P76" s="28" t="s">
        <v>119</v>
      </c>
      <c r="Q76" s="28" t="s">
        <v>132</v>
      </c>
      <c r="R7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6" s="28" t="s">
        <v>119</v>
      </c>
    </row>
    <row r="77" spans="2:19">
      <c r="B77" s="35">
        <v>46283</v>
      </c>
      <c r="C77" s="28" t="s">
        <v>198</v>
      </c>
      <c r="D77" s="28" t="s">
        <v>78</v>
      </c>
      <c r="E77" s="28" t="s">
        <v>199</v>
      </c>
      <c r="F77" s="28" t="s">
        <v>118</v>
      </c>
      <c r="G77" s="36">
        <v>0.3</v>
      </c>
      <c r="H77" s="37">
        <v>2150</v>
      </c>
      <c r="I77" s="37">
        <v>2150</v>
      </c>
      <c r="J77" s="38">
        <f>IF(tblCounts[[#This Row],[Date]]="","",tblCounts[[#This Row],[Counted qty (units)]]-tblCounts[[#This Row],[System qty (units)]])</f>
        <v>0</v>
      </c>
      <c r="K77" s="39">
        <f>IF(tblCounts[[#This Row],[Date]]="","",IF(tblCounts[[#This Row],[System qty (units)]]&gt;0,tblCounts[[#This Row],[Variance (units)]]/tblCounts[[#This Row],[System qty (units)]],""))</f>
        <v>0</v>
      </c>
      <c r="L77" s="40">
        <f>IF(tblCounts[[#This Row],[Date]]="","",IF(tblCounts[[#This Row],[Class]]="A",TolA,IF(tblCounts[[#This Row],[Class]]="B",TolB,IF(tblCounts[[#This Row],[Class]]="C",TolC,""))))</f>
        <v>0.05</v>
      </c>
      <c r="M77" s="41" t="str">
        <f>IF(tblCounts[[#This Row],[Date]]="","",IF(tblCounts[[#This Row],[Tolerance]]="","",IF(IF(tblCounts[[#This Row],[System qty (units)]]&gt;0,ABS(tblCounts[[#This Row],[Variance (units)]])/tblCounts[[#This Row],[System qty (units)]],IF(tblCounts[[#This Row],[Counted qty (units)]]&gt;0,1,0))&lt;=tblCounts[[#This Row],[Tolerance]],"Yes","No")))</f>
        <v>Yes</v>
      </c>
      <c r="N77" s="42">
        <f>IF(tblCounts[[#This Row],[Date]]="","",tblCounts[[#This Row],[Variance (units)]]*tblCounts[[#This Row],[Unit cost]])</f>
        <v>0</v>
      </c>
      <c r="O77" s="42">
        <f>IF(tblCounts[[#This Row],[Date]]="","",ABS(tblCounts[[#This Row],[Variance value]]))</f>
        <v>0</v>
      </c>
      <c r="P77" s="28" t="s">
        <v>119</v>
      </c>
      <c r="Q77" s="28" t="s">
        <v>129</v>
      </c>
      <c r="R7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7" s="28" t="s">
        <v>119</v>
      </c>
    </row>
    <row r="78" spans="2:19">
      <c r="B78" s="35">
        <v>46283</v>
      </c>
      <c r="C78" s="28" t="s">
        <v>189</v>
      </c>
      <c r="D78" s="28" t="s">
        <v>78</v>
      </c>
      <c r="E78" s="28" t="s">
        <v>190</v>
      </c>
      <c r="F78" s="28" t="s">
        <v>118</v>
      </c>
      <c r="G78" s="36">
        <v>0.16</v>
      </c>
      <c r="H78" s="37">
        <v>200</v>
      </c>
      <c r="I78" s="37">
        <v>193</v>
      </c>
      <c r="J78" s="38">
        <f>IF(tblCounts[[#This Row],[Date]]="","",tblCounts[[#This Row],[Counted qty (units)]]-tblCounts[[#This Row],[System qty (units)]])</f>
        <v>-7</v>
      </c>
      <c r="K78" s="39">
        <f>IF(tblCounts[[#This Row],[Date]]="","",IF(tblCounts[[#This Row],[System qty (units)]]&gt;0,tblCounts[[#This Row],[Variance (units)]]/tblCounts[[#This Row],[System qty (units)]],""))</f>
        <v>-0.035</v>
      </c>
      <c r="L78" s="40">
        <f>IF(tblCounts[[#This Row],[Date]]="","",IF(tblCounts[[#This Row],[Class]]="A",TolA,IF(tblCounts[[#This Row],[Class]]="B",TolB,IF(tblCounts[[#This Row],[Class]]="C",TolC,""))))</f>
        <v>0.05</v>
      </c>
      <c r="M78" s="41" t="str">
        <f>IF(tblCounts[[#This Row],[Date]]="","",IF(tblCounts[[#This Row],[Tolerance]]="","",IF(IF(tblCounts[[#This Row],[System qty (units)]]&gt;0,ABS(tblCounts[[#This Row],[Variance (units)]])/tblCounts[[#This Row],[System qty (units)]],IF(tblCounts[[#This Row],[Counted qty (units)]]&gt;0,1,0))&lt;=tblCounts[[#This Row],[Tolerance]],"Yes","No")))</f>
        <v>Yes</v>
      </c>
      <c r="N78" s="42">
        <f>IF(tblCounts[[#This Row],[Date]]="","",tblCounts[[#This Row],[Variance (units)]]*tblCounts[[#This Row],[Unit cost]])</f>
        <v>-1.12</v>
      </c>
      <c r="O78" s="42">
        <f>IF(tblCounts[[#This Row],[Date]]="","",ABS(tblCounts[[#This Row],[Variance value]]))</f>
        <v>1.12</v>
      </c>
      <c r="P78" s="28" t="s">
        <v>119</v>
      </c>
      <c r="Q78" s="28" t="s">
        <v>120</v>
      </c>
      <c r="R7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8" s="28" t="s">
        <v>119</v>
      </c>
    </row>
    <row r="79" spans="2:19">
      <c r="B79" s="35">
        <v>46283</v>
      </c>
      <c r="C79" s="28" t="s">
        <v>151</v>
      </c>
      <c r="D79" s="28" t="s">
        <v>80</v>
      </c>
      <c r="E79" s="28" t="s">
        <v>152</v>
      </c>
      <c r="F79" s="28" t="s">
        <v>123</v>
      </c>
      <c r="G79" s="36">
        <v>70</v>
      </c>
      <c r="H79" s="37">
        <v>10</v>
      </c>
      <c r="I79" s="37">
        <v>10</v>
      </c>
      <c r="J79" s="38">
        <f>IF(tblCounts[[#This Row],[Date]]="","",tblCounts[[#This Row],[Counted qty (units)]]-tblCounts[[#This Row],[System qty (units)]])</f>
        <v>0</v>
      </c>
      <c r="K79" s="39">
        <f>IF(tblCounts[[#This Row],[Date]]="","",IF(tblCounts[[#This Row],[System qty (units)]]&gt;0,tblCounts[[#This Row],[Variance (units)]]/tblCounts[[#This Row],[System qty (units)]],""))</f>
        <v>0</v>
      </c>
      <c r="L79" s="40">
        <f>IF(tblCounts[[#This Row],[Date]]="","",IF(tblCounts[[#This Row],[Class]]="A",TolA,IF(tblCounts[[#This Row],[Class]]="B",TolB,IF(tblCounts[[#This Row],[Class]]="C",TolC,""))))</f>
        <v>0.02</v>
      </c>
      <c r="M79" s="41" t="str">
        <f>IF(tblCounts[[#This Row],[Date]]="","",IF(tblCounts[[#This Row],[Tolerance]]="","",IF(IF(tblCounts[[#This Row],[System qty (units)]]&gt;0,ABS(tblCounts[[#This Row],[Variance (units)]])/tblCounts[[#This Row],[System qty (units)]],IF(tblCounts[[#This Row],[Counted qty (units)]]&gt;0,1,0))&lt;=tblCounts[[#This Row],[Tolerance]],"Yes","No")))</f>
        <v>Yes</v>
      </c>
      <c r="N79" s="42">
        <f>IF(tblCounts[[#This Row],[Date]]="","",tblCounts[[#This Row],[Variance (units)]]*tblCounts[[#This Row],[Unit cost]])</f>
        <v>0</v>
      </c>
      <c r="O79" s="42">
        <f>IF(tblCounts[[#This Row],[Date]]="","",ABS(tblCounts[[#This Row],[Variance value]]))</f>
        <v>0</v>
      </c>
      <c r="P79" s="28" t="s">
        <v>119</v>
      </c>
      <c r="Q79" s="28" t="s">
        <v>132</v>
      </c>
      <c r="R7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79" s="28" t="s">
        <v>119</v>
      </c>
    </row>
    <row r="80" spans="2:19">
      <c r="B80" s="35">
        <v>46283</v>
      </c>
      <c r="C80" s="28" t="s">
        <v>171</v>
      </c>
      <c r="D80" s="28" t="s">
        <v>78</v>
      </c>
      <c r="E80" s="28" t="s">
        <v>172</v>
      </c>
      <c r="F80" s="28" t="s">
        <v>118</v>
      </c>
      <c r="G80" s="36">
        <v>0.48</v>
      </c>
      <c r="H80" s="37">
        <v>3650</v>
      </c>
      <c r="I80" s="37">
        <v>3502</v>
      </c>
      <c r="J80" s="38">
        <f>IF(tblCounts[[#This Row],[Date]]="","",tblCounts[[#This Row],[Counted qty (units)]]-tblCounts[[#This Row],[System qty (units)]])</f>
        <v>-148</v>
      </c>
      <c r="K80" s="39">
        <f>IF(tblCounts[[#This Row],[Date]]="","",IF(tblCounts[[#This Row],[System qty (units)]]&gt;0,tblCounts[[#This Row],[Variance (units)]]/tblCounts[[#This Row],[System qty (units)]],""))</f>
        <v>-0.0405479452054795</v>
      </c>
      <c r="L80" s="40">
        <f>IF(tblCounts[[#This Row],[Date]]="","",IF(tblCounts[[#This Row],[Class]]="A",TolA,IF(tblCounts[[#This Row],[Class]]="B",TolB,IF(tblCounts[[#This Row],[Class]]="C",TolC,""))))</f>
        <v>0.05</v>
      </c>
      <c r="M80" s="41" t="str">
        <f>IF(tblCounts[[#This Row],[Date]]="","",IF(tblCounts[[#This Row],[Tolerance]]="","",IF(IF(tblCounts[[#This Row],[System qty (units)]]&gt;0,ABS(tblCounts[[#This Row],[Variance (units)]])/tblCounts[[#This Row],[System qty (units)]],IF(tblCounts[[#This Row],[Counted qty (units)]]&gt;0,1,0))&lt;=tblCounts[[#This Row],[Tolerance]],"Yes","No")))</f>
        <v>Yes</v>
      </c>
      <c r="N80" s="42">
        <f>IF(tblCounts[[#This Row],[Date]]="","",tblCounts[[#This Row],[Variance (units)]]*tblCounts[[#This Row],[Unit cost]])</f>
        <v>-71.04</v>
      </c>
      <c r="O80" s="42">
        <f>IF(tblCounts[[#This Row],[Date]]="","",ABS(tblCounts[[#This Row],[Variance value]]))</f>
        <v>71.04</v>
      </c>
      <c r="P80" s="28" t="s">
        <v>119</v>
      </c>
      <c r="Q80" s="28" t="s">
        <v>120</v>
      </c>
      <c r="R8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0" s="28" t="s">
        <v>119</v>
      </c>
    </row>
    <row r="81" spans="2:19">
      <c r="B81" s="35">
        <v>46283</v>
      </c>
      <c r="C81" s="28" t="s">
        <v>157</v>
      </c>
      <c r="D81" s="28" t="s">
        <v>76</v>
      </c>
      <c r="E81" s="28" t="s">
        <v>158</v>
      </c>
      <c r="F81" s="28" t="s">
        <v>126</v>
      </c>
      <c r="G81" s="36">
        <v>75</v>
      </c>
      <c r="H81" s="37">
        <v>60</v>
      </c>
      <c r="I81" s="37">
        <v>60</v>
      </c>
      <c r="J81" s="38">
        <f>IF(tblCounts[[#This Row],[Date]]="","",tblCounts[[#This Row],[Counted qty (units)]]-tblCounts[[#This Row],[System qty (units)]])</f>
        <v>0</v>
      </c>
      <c r="K81" s="39">
        <f>IF(tblCounts[[#This Row],[Date]]="","",IF(tblCounts[[#This Row],[System qty (units)]]&gt;0,tblCounts[[#This Row],[Variance (units)]]/tblCounts[[#This Row],[System qty (units)]],""))</f>
        <v>0</v>
      </c>
      <c r="L81" s="40">
        <f>IF(tblCounts[[#This Row],[Date]]="","",IF(tblCounts[[#This Row],[Class]]="A",TolA,IF(tblCounts[[#This Row],[Class]]="B",TolB,IF(tblCounts[[#This Row],[Class]]="C",TolC,""))))</f>
        <v>0</v>
      </c>
      <c r="M81" s="41" t="str">
        <f>IF(tblCounts[[#This Row],[Date]]="","",IF(tblCounts[[#This Row],[Tolerance]]="","",IF(IF(tblCounts[[#This Row],[System qty (units)]]&gt;0,ABS(tblCounts[[#This Row],[Variance (units)]])/tblCounts[[#This Row],[System qty (units)]],IF(tblCounts[[#This Row],[Counted qty (units)]]&gt;0,1,0))&lt;=tblCounts[[#This Row],[Tolerance]],"Yes","No")))</f>
        <v>Yes</v>
      </c>
      <c r="N81" s="42">
        <f>IF(tblCounts[[#This Row],[Date]]="","",tblCounts[[#This Row],[Variance (units)]]*tblCounts[[#This Row],[Unit cost]])</f>
        <v>0</v>
      </c>
      <c r="O81" s="42">
        <f>IF(tblCounts[[#This Row],[Date]]="","",ABS(tblCounts[[#This Row],[Variance value]]))</f>
        <v>0</v>
      </c>
      <c r="P81" s="28" t="s">
        <v>119</v>
      </c>
      <c r="Q81" s="28" t="s">
        <v>129</v>
      </c>
      <c r="R8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1" s="28" t="s">
        <v>119</v>
      </c>
    </row>
    <row r="82" spans="2:19">
      <c r="B82" s="35">
        <v>46286</v>
      </c>
      <c r="C82" s="28" t="s">
        <v>141</v>
      </c>
      <c r="D82" s="28" t="s">
        <v>76</v>
      </c>
      <c r="E82" s="28" t="s">
        <v>142</v>
      </c>
      <c r="F82" s="28" t="s">
        <v>126</v>
      </c>
      <c r="G82" s="36">
        <v>222</v>
      </c>
      <c r="H82" s="37">
        <v>33</v>
      </c>
      <c r="I82" s="37">
        <v>33</v>
      </c>
      <c r="J82" s="38">
        <f>IF(tblCounts[[#This Row],[Date]]="","",tblCounts[[#This Row],[Counted qty (units)]]-tblCounts[[#This Row],[System qty (units)]])</f>
        <v>0</v>
      </c>
      <c r="K82" s="39">
        <f>IF(tblCounts[[#This Row],[Date]]="","",IF(tblCounts[[#This Row],[System qty (units)]]&gt;0,tblCounts[[#This Row],[Variance (units)]]/tblCounts[[#This Row],[System qty (units)]],""))</f>
        <v>0</v>
      </c>
      <c r="L82" s="40">
        <f>IF(tblCounts[[#This Row],[Date]]="","",IF(tblCounts[[#This Row],[Class]]="A",TolA,IF(tblCounts[[#This Row],[Class]]="B",TolB,IF(tblCounts[[#This Row],[Class]]="C",TolC,""))))</f>
        <v>0</v>
      </c>
      <c r="M82" s="41" t="str">
        <f>IF(tblCounts[[#This Row],[Date]]="","",IF(tblCounts[[#This Row],[Tolerance]]="","",IF(IF(tblCounts[[#This Row],[System qty (units)]]&gt;0,ABS(tblCounts[[#This Row],[Variance (units)]])/tblCounts[[#This Row],[System qty (units)]],IF(tblCounts[[#This Row],[Counted qty (units)]]&gt;0,1,0))&lt;=tblCounts[[#This Row],[Tolerance]],"Yes","No")))</f>
        <v>Yes</v>
      </c>
      <c r="N82" s="42">
        <f>IF(tblCounts[[#This Row],[Date]]="","",tblCounts[[#This Row],[Variance (units)]]*tblCounts[[#This Row],[Unit cost]])</f>
        <v>0</v>
      </c>
      <c r="O82" s="42">
        <f>IF(tblCounts[[#This Row],[Date]]="","",ABS(tblCounts[[#This Row],[Variance value]]))</f>
        <v>0</v>
      </c>
      <c r="P82" s="28" t="s">
        <v>119</v>
      </c>
      <c r="Q82" s="28" t="s">
        <v>120</v>
      </c>
      <c r="R8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2" s="28" t="s">
        <v>119</v>
      </c>
    </row>
    <row r="83" spans="2:19">
      <c r="B83" s="35">
        <v>46286</v>
      </c>
      <c r="C83" s="28" t="s">
        <v>151</v>
      </c>
      <c r="D83" s="28" t="s">
        <v>80</v>
      </c>
      <c r="E83" s="28" t="s">
        <v>152</v>
      </c>
      <c r="F83" s="28" t="s">
        <v>123</v>
      </c>
      <c r="G83" s="36">
        <v>70</v>
      </c>
      <c r="H83" s="37">
        <v>85</v>
      </c>
      <c r="I83" s="37">
        <v>85</v>
      </c>
      <c r="J83" s="38">
        <f>IF(tblCounts[[#This Row],[Date]]="","",tblCounts[[#This Row],[Counted qty (units)]]-tblCounts[[#This Row],[System qty (units)]])</f>
        <v>0</v>
      </c>
      <c r="K83" s="39">
        <f>IF(tblCounts[[#This Row],[Date]]="","",IF(tblCounts[[#This Row],[System qty (units)]]&gt;0,tblCounts[[#This Row],[Variance (units)]]/tblCounts[[#This Row],[System qty (units)]],""))</f>
        <v>0</v>
      </c>
      <c r="L83" s="40">
        <f>IF(tblCounts[[#This Row],[Date]]="","",IF(tblCounts[[#This Row],[Class]]="A",TolA,IF(tblCounts[[#This Row],[Class]]="B",TolB,IF(tblCounts[[#This Row],[Class]]="C",TolC,""))))</f>
        <v>0.02</v>
      </c>
      <c r="M83" s="41" t="str">
        <f>IF(tblCounts[[#This Row],[Date]]="","",IF(tblCounts[[#This Row],[Tolerance]]="","",IF(IF(tblCounts[[#This Row],[System qty (units)]]&gt;0,ABS(tblCounts[[#This Row],[Variance (units)]])/tblCounts[[#This Row],[System qty (units)]],IF(tblCounts[[#This Row],[Counted qty (units)]]&gt;0,1,0))&lt;=tblCounts[[#This Row],[Tolerance]],"Yes","No")))</f>
        <v>Yes</v>
      </c>
      <c r="N83" s="42">
        <f>IF(tblCounts[[#This Row],[Date]]="","",tblCounts[[#This Row],[Variance (units)]]*tblCounts[[#This Row],[Unit cost]])</f>
        <v>0</v>
      </c>
      <c r="O83" s="42">
        <f>IF(tblCounts[[#This Row],[Date]]="","",ABS(tblCounts[[#This Row],[Variance value]]))</f>
        <v>0</v>
      </c>
      <c r="P83" s="28" t="s">
        <v>119</v>
      </c>
      <c r="Q83" s="28" t="s">
        <v>129</v>
      </c>
      <c r="R8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3" s="28" t="s">
        <v>119</v>
      </c>
    </row>
    <row r="84" spans="2:19">
      <c r="B84" s="35">
        <v>46286</v>
      </c>
      <c r="C84" s="28" t="s">
        <v>200</v>
      </c>
      <c r="D84" s="28" t="s">
        <v>82</v>
      </c>
      <c r="E84" s="28" t="s">
        <v>201</v>
      </c>
      <c r="F84" s="28" t="s">
        <v>126</v>
      </c>
      <c r="G84" s="36">
        <v>1642</v>
      </c>
      <c r="H84" s="37">
        <v>13</v>
      </c>
      <c r="I84" s="37">
        <v>13</v>
      </c>
      <c r="J84" s="38">
        <f>IF(tblCounts[[#This Row],[Date]]="","",tblCounts[[#This Row],[Counted qty (units)]]-tblCounts[[#This Row],[System qty (units)]])</f>
        <v>0</v>
      </c>
      <c r="K84" s="39">
        <f>IF(tblCounts[[#This Row],[Date]]="","",IF(tblCounts[[#This Row],[System qty (units)]]&gt;0,tblCounts[[#This Row],[Variance (units)]]/tblCounts[[#This Row],[System qty (units)]],""))</f>
        <v>0</v>
      </c>
      <c r="L84" s="40">
        <f>IF(tblCounts[[#This Row],[Date]]="","",IF(tblCounts[[#This Row],[Class]]="A",TolA,IF(tblCounts[[#This Row],[Class]]="B",TolB,IF(tblCounts[[#This Row],[Class]]="C",TolC,""))))</f>
        <v>0</v>
      </c>
      <c r="M84" s="41" t="str">
        <f>IF(tblCounts[[#This Row],[Date]]="","",IF(tblCounts[[#This Row],[Tolerance]]="","",IF(IF(tblCounts[[#This Row],[System qty (units)]]&gt;0,ABS(tblCounts[[#This Row],[Variance (units)]])/tblCounts[[#This Row],[System qty (units)]],IF(tblCounts[[#This Row],[Counted qty (units)]]&gt;0,1,0))&lt;=tblCounts[[#This Row],[Tolerance]],"Yes","No")))</f>
        <v>Yes</v>
      </c>
      <c r="N84" s="42">
        <f>IF(tblCounts[[#This Row],[Date]]="","",tblCounts[[#This Row],[Variance (units)]]*tblCounts[[#This Row],[Unit cost]])</f>
        <v>0</v>
      </c>
      <c r="O84" s="42">
        <f>IF(tblCounts[[#This Row],[Date]]="","",ABS(tblCounts[[#This Row],[Variance value]]))</f>
        <v>0</v>
      </c>
      <c r="P84" s="28" t="s">
        <v>119</v>
      </c>
      <c r="Q84" s="28" t="s">
        <v>129</v>
      </c>
      <c r="R8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4" s="28" t="s">
        <v>119</v>
      </c>
    </row>
    <row r="85" spans="2:19">
      <c r="B85" s="35">
        <v>46286</v>
      </c>
      <c r="C85" s="28" t="s">
        <v>159</v>
      </c>
      <c r="D85" s="28" t="s">
        <v>80</v>
      </c>
      <c r="E85" s="28" t="s">
        <v>160</v>
      </c>
      <c r="F85" s="28" t="s">
        <v>126</v>
      </c>
      <c r="G85" s="36">
        <v>264</v>
      </c>
      <c r="H85" s="37">
        <v>25</v>
      </c>
      <c r="I85" s="37">
        <v>25</v>
      </c>
      <c r="J85" s="38">
        <f>IF(tblCounts[[#This Row],[Date]]="","",tblCounts[[#This Row],[Counted qty (units)]]-tblCounts[[#This Row],[System qty (units)]])</f>
        <v>0</v>
      </c>
      <c r="K85" s="39">
        <f>IF(tblCounts[[#This Row],[Date]]="","",IF(tblCounts[[#This Row],[System qty (units)]]&gt;0,tblCounts[[#This Row],[Variance (units)]]/tblCounts[[#This Row],[System qty (units)]],""))</f>
        <v>0</v>
      </c>
      <c r="L85" s="40">
        <f>IF(tblCounts[[#This Row],[Date]]="","",IF(tblCounts[[#This Row],[Class]]="A",TolA,IF(tblCounts[[#This Row],[Class]]="B",TolB,IF(tblCounts[[#This Row],[Class]]="C",TolC,""))))</f>
        <v>0</v>
      </c>
      <c r="M85" s="41" t="str">
        <f>IF(tblCounts[[#This Row],[Date]]="","",IF(tblCounts[[#This Row],[Tolerance]]="","",IF(IF(tblCounts[[#This Row],[System qty (units)]]&gt;0,ABS(tblCounts[[#This Row],[Variance (units)]])/tblCounts[[#This Row],[System qty (units)]],IF(tblCounts[[#This Row],[Counted qty (units)]]&gt;0,1,0))&lt;=tblCounts[[#This Row],[Tolerance]],"Yes","No")))</f>
        <v>Yes</v>
      </c>
      <c r="N85" s="42">
        <f>IF(tblCounts[[#This Row],[Date]]="","",tblCounts[[#This Row],[Variance (units)]]*tblCounts[[#This Row],[Unit cost]])</f>
        <v>0</v>
      </c>
      <c r="O85" s="42">
        <f>IF(tblCounts[[#This Row],[Date]]="","",ABS(tblCounts[[#This Row],[Variance value]]))</f>
        <v>0</v>
      </c>
      <c r="P85" s="28" t="s">
        <v>119</v>
      </c>
      <c r="Q85" s="28" t="s">
        <v>129</v>
      </c>
      <c r="R8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5" s="28" t="s">
        <v>119</v>
      </c>
    </row>
    <row r="86" spans="2:19">
      <c r="B86" s="35">
        <v>46286</v>
      </c>
      <c r="C86" s="28" t="s">
        <v>187</v>
      </c>
      <c r="D86" s="28" t="s">
        <v>76</v>
      </c>
      <c r="E86" s="28" t="s">
        <v>188</v>
      </c>
      <c r="F86" s="28" t="s">
        <v>126</v>
      </c>
      <c r="G86" s="36">
        <v>198</v>
      </c>
      <c r="H86" s="37">
        <v>56</v>
      </c>
      <c r="I86" s="37">
        <v>56</v>
      </c>
      <c r="J86" s="38">
        <f>IF(tblCounts[[#This Row],[Date]]="","",tblCounts[[#This Row],[Counted qty (units)]]-tblCounts[[#This Row],[System qty (units)]])</f>
        <v>0</v>
      </c>
      <c r="K86" s="39">
        <f>IF(tblCounts[[#This Row],[Date]]="","",IF(tblCounts[[#This Row],[System qty (units)]]&gt;0,tblCounts[[#This Row],[Variance (units)]]/tblCounts[[#This Row],[System qty (units)]],""))</f>
        <v>0</v>
      </c>
      <c r="L86" s="40">
        <f>IF(tblCounts[[#This Row],[Date]]="","",IF(tblCounts[[#This Row],[Class]]="A",TolA,IF(tblCounts[[#This Row],[Class]]="B",TolB,IF(tblCounts[[#This Row],[Class]]="C",TolC,""))))</f>
        <v>0</v>
      </c>
      <c r="M86" s="41" t="str">
        <f>IF(tblCounts[[#This Row],[Date]]="","",IF(tblCounts[[#This Row],[Tolerance]]="","",IF(IF(tblCounts[[#This Row],[System qty (units)]]&gt;0,ABS(tblCounts[[#This Row],[Variance (units)]])/tblCounts[[#This Row],[System qty (units)]],IF(tblCounts[[#This Row],[Counted qty (units)]]&gt;0,1,0))&lt;=tblCounts[[#This Row],[Tolerance]],"Yes","No")))</f>
        <v>Yes</v>
      </c>
      <c r="N86" s="42">
        <f>IF(tblCounts[[#This Row],[Date]]="","",tblCounts[[#This Row],[Variance (units)]]*tblCounts[[#This Row],[Unit cost]])</f>
        <v>0</v>
      </c>
      <c r="O86" s="42">
        <f>IF(tblCounts[[#This Row],[Date]]="","",ABS(tblCounts[[#This Row],[Variance value]]))</f>
        <v>0</v>
      </c>
      <c r="P86" s="28" t="s">
        <v>119</v>
      </c>
      <c r="Q86" s="28" t="s">
        <v>132</v>
      </c>
      <c r="R8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6" s="28" t="s">
        <v>119</v>
      </c>
    </row>
    <row r="87" spans="2:19">
      <c r="B87" s="35">
        <v>46287</v>
      </c>
      <c r="C87" s="28" t="s">
        <v>202</v>
      </c>
      <c r="D87" s="28" t="s">
        <v>80</v>
      </c>
      <c r="E87" s="28" t="s">
        <v>203</v>
      </c>
      <c r="F87" s="28" t="s">
        <v>123</v>
      </c>
      <c r="G87" s="36">
        <v>127</v>
      </c>
      <c r="H87" s="37">
        <v>87</v>
      </c>
      <c r="I87" s="37">
        <v>87</v>
      </c>
      <c r="J87" s="38">
        <f>IF(tblCounts[[#This Row],[Date]]="","",tblCounts[[#This Row],[Counted qty (units)]]-tblCounts[[#This Row],[System qty (units)]])</f>
        <v>0</v>
      </c>
      <c r="K87" s="39">
        <f>IF(tblCounts[[#This Row],[Date]]="","",IF(tblCounts[[#This Row],[System qty (units)]]&gt;0,tblCounts[[#This Row],[Variance (units)]]/tblCounts[[#This Row],[System qty (units)]],""))</f>
        <v>0</v>
      </c>
      <c r="L87" s="40">
        <f>IF(tblCounts[[#This Row],[Date]]="","",IF(tblCounts[[#This Row],[Class]]="A",TolA,IF(tblCounts[[#This Row],[Class]]="B",TolB,IF(tblCounts[[#This Row],[Class]]="C",TolC,""))))</f>
        <v>0.02</v>
      </c>
      <c r="M87" s="41" t="str">
        <f>IF(tblCounts[[#This Row],[Date]]="","",IF(tblCounts[[#This Row],[Tolerance]]="","",IF(IF(tblCounts[[#This Row],[System qty (units)]]&gt;0,ABS(tblCounts[[#This Row],[Variance (units)]])/tblCounts[[#This Row],[System qty (units)]],IF(tblCounts[[#This Row],[Counted qty (units)]]&gt;0,1,0))&lt;=tblCounts[[#This Row],[Tolerance]],"Yes","No")))</f>
        <v>Yes</v>
      </c>
      <c r="N87" s="42">
        <f>IF(tblCounts[[#This Row],[Date]]="","",tblCounts[[#This Row],[Variance (units)]]*tblCounts[[#This Row],[Unit cost]])</f>
        <v>0</v>
      </c>
      <c r="O87" s="42">
        <f>IF(tblCounts[[#This Row],[Date]]="","",ABS(tblCounts[[#This Row],[Variance value]]))</f>
        <v>0</v>
      </c>
      <c r="P87" s="28" t="s">
        <v>119</v>
      </c>
      <c r="Q87" s="28" t="s">
        <v>129</v>
      </c>
      <c r="R8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7" s="28" t="s">
        <v>119</v>
      </c>
    </row>
    <row r="88" spans="2:19">
      <c r="B88" s="35">
        <v>46287</v>
      </c>
      <c r="C88" s="28" t="s">
        <v>165</v>
      </c>
      <c r="D88" s="28" t="s">
        <v>76</v>
      </c>
      <c r="E88" s="28" t="s">
        <v>166</v>
      </c>
      <c r="F88" s="28" t="s">
        <v>126</v>
      </c>
      <c r="G88" s="36">
        <v>181</v>
      </c>
      <c r="H88" s="37">
        <v>94</v>
      </c>
      <c r="I88" s="37">
        <v>94</v>
      </c>
      <c r="J88" s="38">
        <f>IF(tblCounts[[#This Row],[Date]]="","",tblCounts[[#This Row],[Counted qty (units)]]-tblCounts[[#This Row],[System qty (units)]])</f>
        <v>0</v>
      </c>
      <c r="K88" s="39">
        <f>IF(tblCounts[[#This Row],[Date]]="","",IF(tblCounts[[#This Row],[System qty (units)]]&gt;0,tblCounts[[#This Row],[Variance (units)]]/tblCounts[[#This Row],[System qty (units)]],""))</f>
        <v>0</v>
      </c>
      <c r="L88" s="40">
        <f>IF(tblCounts[[#This Row],[Date]]="","",IF(tblCounts[[#This Row],[Class]]="A",TolA,IF(tblCounts[[#This Row],[Class]]="B",TolB,IF(tblCounts[[#This Row],[Class]]="C",TolC,""))))</f>
        <v>0</v>
      </c>
      <c r="M88" s="41" t="str">
        <f>IF(tblCounts[[#This Row],[Date]]="","",IF(tblCounts[[#This Row],[Tolerance]]="","",IF(IF(tblCounts[[#This Row],[System qty (units)]]&gt;0,ABS(tblCounts[[#This Row],[Variance (units)]])/tblCounts[[#This Row],[System qty (units)]],IF(tblCounts[[#This Row],[Counted qty (units)]]&gt;0,1,0))&lt;=tblCounts[[#This Row],[Tolerance]],"Yes","No")))</f>
        <v>Yes</v>
      </c>
      <c r="N88" s="42">
        <f>IF(tblCounts[[#This Row],[Date]]="","",tblCounts[[#This Row],[Variance (units)]]*tblCounts[[#This Row],[Unit cost]])</f>
        <v>0</v>
      </c>
      <c r="O88" s="42">
        <f>IF(tblCounts[[#This Row],[Date]]="","",ABS(tblCounts[[#This Row],[Variance value]]))</f>
        <v>0</v>
      </c>
      <c r="P88" s="28" t="s">
        <v>119</v>
      </c>
      <c r="Q88" s="28" t="s">
        <v>132</v>
      </c>
      <c r="R8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8" s="28" t="s">
        <v>119</v>
      </c>
    </row>
    <row r="89" spans="2:19">
      <c r="B89" s="35">
        <v>46287</v>
      </c>
      <c r="C89" s="28" t="s">
        <v>173</v>
      </c>
      <c r="D89" s="28" t="s">
        <v>78</v>
      </c>
      <c r="E89" s="28" t="s">
        <v>174</v>
      </c>
      <c r="F89" s="28" t="s">
        <v>126</v>
      </c>
      <c r="G89" s="36">
        <v>88</v>
      </c>
      <c r="H89" s="37">
        <v>108</v>
      </c>
      <c r="I89" s="37">
        <v>108</v>
      </c>
      <c r="J89" s="38">
        <f>IF(tblCounts[[#This Row],[Date]]="","",tblCounts[[#This Row],[Counted qty (units)]]-tblCounts[[#This Row],[System qty (units)]])</f>
        <v>0</v>
      </c>
      <c r="K89" s="39">
        <f>IF(tblCounts[[#This Row],[Date]]="","",IF(tblCounts[[#This Row],[System qty (units)]]&gt;0,tblCounts[[#This Row],[Variance (units)]]/tblCounts[[#This Row],[System qty (units)]],""))</f>
        <v>0</v>
      </c>
      <c r="L89" s="40">
        <f>IF(tblCounts[[#This Row],[Date]]="","",IF(tblCounts[[#This Row],[Class]]="A",TolA,IF(tblCounts[[#This Row],[Class]]="B",TolB,IF(tblCounts[[#This Row],[Class]]="C",TolC,""))))</f>
        <v>0</v>
      </c>
      <c r="M89" s="41" t="str">
        <f>IF(tblCounts[[#This Row],[Date]]="","",IF(tblCounts[[#This Row],[Tolerance]]="","",IF(IF(tblCounts[[#This Row],[System qty (units)]]&gt;0,ABS(tblCounts[[#This Row],[Variance (units)]])/tblCounts[[#This Row],[System qty (units)]],IF(tblCounts[[#This Row],[Counted qty (units)]]&gt;0,1,0))&lt;=tblCounts[[#This Row],[Tolerance]],"Yes","No")))</f>
        <v>Yes</v>
      </c>
      <c r="N89" s="42">
        <f>IF(tblCounts[[#This Row],[Date]]="","",tblCounts[[#This Row],[Variance (units)]]*tblCounts[[#This Row],[Unit cost]])</f>
        <v>0</v>
      </c>
      <c r="O89" s="42">
        <f>IF(tblCounts[[#This Row],[Date]]="","",ABS(tblCounts[[#This Row],[Variance value]]))</f>
        <v>0</v>
      </c>
      <c r="P89" s="28" t="s">
        <v>119</v>
      </c>
      <c r="Q89" s="28" t="s">
        <v>120</v>
      </c>
      <c r="R8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89" s="28" t="s">
        <v>119</v>
      </c>
    </row>
    <row r="90" spans="2:19">
      <c r="B90" s="35">
        <v>46287</v>
      </c>
      <c r="C90" s="28" t="s">
        <v>151</v>
      </c>
      <c r="D90" s="28" t="s">
        <v>80</v>
      </c>
      <c r="E90" s="28" t="s">
        <v>152</v>
      </c>
      <c r="F90" s="28" t="s">
        <v>123</v>
      </c>
      <c r="G90" s="36">
        <v>70</v>
      </c>
      <c r="H90" s="37">
        <v>71</v>
      </c>
      <c r="I90" s="37">
        <v>71</v>
      </c>
      <c r="J90" s="38">
        <f>IF(tblCounts[[#This Row],[Date]]="","",tblCounts[[#This Row],[Counted qty (units)]]-tblCounts[[#This Row],[System qty (units)]])</f>
        <v>0</v>
      </c>
      <c r="K90" s="39">
        <f>IF(tblCounts[[#This Row],[Date]]="","",IF(tblCounts[[#This Row],[System qty (units)]]&gt;0,tblCounts[[#This Row],[Variance (units)]]/tblCounts[[#This Row],[System qty (units)]],""))</f>
        <v>0</v>
      </c>
      <c r="L90" s="40">
        <f>IF(tblCounts[[#This Row],[Date]]="","",IF(tblCounts[[#This Row],[Class]]="A",TolA,IF(tblCounts[[#This Row],[Class]]="B",TolB,IF(tblCounts[[#This Row],[Class]]="C",TolC,""))))</f>
        <v>0.02</v>
      </c>
      <c r="M90" s="41" t="str">
        <f>IF(tblCounts[[#This Row],[Date]]="","",IF(tblCounts[[#This Row],[Tolerance]]="","",IF(IF(tblCounts[[#This Row],[System qty (units)]]&gt;0,ABS(tblCounts[[#This Row],[Variance (units)]])/tblCounts[[#This Row],[System qty (units)]],IF(tblCounts[[#This Row],[Counted qty (units)]]&gt;0,1,0))&lt;=tblCounts[[#This Row],[Tolerance]],"Yes","No")))</f>
        <v>Yes</v>
      </c>
      <c r="N90" s="42">
        <f>IF(tblCounts[[#This Row],[Date]]="","",tblCounts[[#This Row],[Variance (units)]]*tblCounts[[#This Row],[Unit cost]])</f>
        <v>0</v>
      </c>
      <c r="O90" s="42">
        <f>IF(tblCounts[[#This Row],[Date]]="","",ABS(tblCounts[[#This Row],[Variance value]]))</f>
        <v>0</v>
      </c>
      <c r="P90" s="28" t="s">
        <v>119</v>
      </c>
      <c r="Q90" s="28" t="s">
        <v>120</v>
      </c>
      <c r="R9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0" s="28" t="s">
        <v>119</v>
      </c>
    </row>
    <row r="91" spans="2:19">
      <c r="B91" s="35">
        <v>46287</v>
      </c>
      <c r="C91" s="28" t="s">
        <v>167</v>
      </c>
      <c r="D91" s="28" t="s">
        <v>76</v>
      </c>
      <c r="E91" s="28" t="s">
        <v>168</v>
      </c>
      <c r="F91" s="28" t="s">
        <v>123</v>
      </c>
      <c r="G91" s="36">
        <v>57</v>
      </c>
      <c r="H91" s="37">
        <v>285</v>
      </c>
      <c r="I91" s="37">
        <v>285</v>
      </c>
      <c r="J91" s="38">
        <f>IF(tblCounts[[#This Row],[Date]]="","",tblCounts[[#This Row],[Counted qty (units)]]-tblCounts[[#This Row],[System qty (units)]])</f>
        <v>0</v>
      </c>
      <c r="K91" s="39">
        <f>IF(tblCounts[[#This Row],[Date]]="","",IF(tblCounts[[#This Row],[System qty (units)]]&gt;0,tblCounts[[#This Row],[Variance (units)]]/tblCounts[[#This Row],[System qty (units)]],""))</f>
        <v>0</v>
      </c>
      <c r="L91" s="40">
        <f>IF(tblCounts[[#This Row],[Date]]="","",IF(tblCounts[[#This Row],[Class]]="A",TolA,IF(tblCounts[[#This Row],[Class]]="B",TolB,IF(tblCounts[[#This Row],[Class]]="C",TolC,""))))</f>
        <v>0.02</v>
      </c>
      <c r="M91" s="41" t="str">
        <f>IF(tblCounts[[#This Row],[Date]]="","",IF(tblCounts[[#This Row],[Tolerance]]="","",IF(IF(tblCounts[[#This Row],[System qty (units)]]&gt;0,ABS(tblCounts[[#This Row],[Variance (units)]])/tblCounts[[#This Row],[System qty (units)]],IF(tblCounts[[#This Row],[Counted qty (units)]]&gt;0,1,0))&lt;=tblCounts[[#This Row],[Tolerance]],"Yes","No")))</f>
        <v>Yes</v>
      </c>
      <c r="N91" s="42">
        <f>IF(tblCounts[[#This Row],[Date]]="","",tblCounts[[#This Row],[Variance (units)]]*tblCounts[[#This Row],[Unit cost]])</f>
        <v>0</v>
      </c>
      <c r="O91" s="42">
        <f>IF(tblCounts[[#This Row],[Date]]="","",ABS(tblCounts[[#This Row],[Variance value]]))</f>
        <v>0</v>
      </c>
      <c r="P91" s="28" t="s">
        <v>119</v>
      </c>
      <c r="Q91" s="28" t="s">
        <v>129</v>
      </c>
      <c r="R9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1" s="28" t="s">
        <v>119</v>
      </c>
    </row>
    <row r="92" spans="2:19">
      <c r="B92" s="35">
        <v>46288</v>
      </c>
      <c r="C92" s="28" t="s">
        <v>169</v>
      </c>
      <c r="D92" s="28" t="s">
        <v>76</v>
      </c>
      <c r="E92" s="28" t="s">
        <v>170</v>
      </c>
      <c r="F92" s="28" t="s">
        <v>123</v>
      </c>
      <c r="G92" s="36">
        <v>60</v>
      </c>
      <c r="H92" s="37">
        <v>202</v>
      </c>
      <c r="I92" s="37">
        <v>202</v>
      </c>
      <c r="J92" s="38">
        <f>IF(tblCounts[[#This Row],[Date]]="","",tblCounts[[#This Row],[Counted qty (units)]]-tblCounts[[#This Row],[System qty (units)]])</f>
        <v>0</v>
      </c>
      <c r="K92" s="39">
        <f>IF(tblCounts[[#This Row],[Date]]="","",IF(tblCounts[[#This Row],[System qty (units)]]&gt;0,tblCounts[[#This Row],[Variance (units)]]/tblCounts[[#This Row],[System qty (units)]],""))</f>
        <v>0</v>
      </c>
      <c r="L92" s="40">
        <f>IF(tblCounts[[#This Row],[Date]]="","",IF(tblCounts[[#This Row],[Class]]="A",TolA,IF(tblCounts[[#This Row],[Class]]="B",TolB,IF(tblCounts[[#This Row],[Class]]="C",TolC,""))))</f>
        <v>0.02</v>
      </c>
      <c r="M92" s="41" t="str">
        <f>IF(tblCounts[[#This Row],[Date]]="","",IF(tblCounts[[#This Row],[Tolerance]]="","",IF(IF(tblCounts[[#This Row],[System qty (units)]]&gt;0,ABS(tblCounts[[#This Row],[Variance (units)]])/tblCounts[[#This Row],[System qty (units)]],IF(tblCounts[[#This Row],[Counted qty (units)]]&gt;0,1,0))&lt;=tblCounts[[#This Row],[Tolerance]],"Yes","No")))</f>
        <v>Yes</v>
      </c>
      <c r="N92" s="42">
        <f>IF(tblCounts[[#This Row],[Date]]="","",tblCounts[[#This Row],[Variance (units)]]*tblCounts[[#This Row],[Unit cost]])</f>
        <v>0</v>
      </c>
      <c r="O92" s="42">
        <f>IF(tblCounts[[#This Row],[Date]]="","",ABS(tblCounts[[#This Row],[Variance value]]))</f>
        <v>0</v>
      </c>
      <c r="P92" s="28" t="s">
        <v>119</v>
      </c>
      <c r="Q92" s="28" t="s">
        <v>132</v>
      </c>
      <c r="R9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2" s="28" t="s">
        <v>119</v>
      </c>
    </row>
    <row r="93" spans="2:19">
      <c r="B93" s="35">
        <v>46288</v>
      </c>
      <c r="C93" s="28" t="s">
        <v>155</v>
      </c>
      <c r="D93" s="28" t="s">
        <v>80</v>
      </c>
      <c r="E93" s="28" t="s">
        <v>156</v>
      </c>
      <c r="F93" s="28" t="s">
        <v>126</v>
      </c>
      <c r="G93" s="36">
        <v>309</v>
      </c>
      <c r="H93" s="37">
        <v>19</v>
      </c>
      <c r="I93" s="37">
        <v>19</v>
      </c>
      <c r="J93" s="38">
        <f>IF(tblCounts[[#This Row],[Date]]="","",tblCounts[[#This Row],[Counted qty (units)]]-tblCounts[[#This Row],[System qty (units)]])</f>
        <v>0</v>
      </c>
      <c r="K93" s="39">
        <f>IF(tblCounts[[#This Row],[Date]]="","",IF(tblCounts[[#This Row],[System qty (units)]]&gt;0,tblCounts[[#This Row],[Variance (units)]]/tblCounts[[#This Row],[System qty (units)]],""))</f>
        <v>0</v>
      </c>
      <c r="L93" s="40">
        <f>IF(tblCounts[[#This Row],[Date]]="","",IF(tblCounts[[#This Row],[Class]]="A",TolA,IF(tblCounts[[#This Row],[Class]]="B",TolB,IF(tblCounts[[#This Row],[Class]]="C",TolC,""))))</f>
        <v>0</v>
      </c>
      <c r="M93" s="41" t="str">
        <f>IF(tblCounts[[#This Row],[Date]]="","",IF(tblCounts[[#This Row],[Tolerance]]="","",IF(IF(tblCounts[[#This Row],[System qty (units)]]&gt;0,ABS(tblCounts[[#This Row],[Variance (units)]])/tblCounts[[#This Row],[System qty (units)]],IF(tblCounts[[#This Row],[Counted qty (units)]]&gt;0,1,0))&lt;=tblCounts[[#This Row],[Tolerance]],"Yes","No")))</f>
        <v>Yes</v>
      </c>
      <c r="N93" s="42">
        <f>IF(tblCounts[[#This Row],[Date]]="","",tblCounts[[#This Row],[Variance (units)]]*tblCounts[[#This Row],[Unit cost]])</f>
        <v>0</v>
      </c>
      <c r="O93" s="42">
        <f>IF(tblCounts[[#This Row],[Date]]="","",ABS(tblCounts[[#This Row],[Variance value]]))</f>
        <v>0</v>
      </c>
      <c r="P93" s="28" t="s">
        <v>119</v>
      </c>
      <c r="Q93" s="28" t="s">
        <v>132</v>
      </c>
      <c r="R9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3" s="28" t="s">
        <v>119</v>
      </c>
    </row>
    <row r="94" spans="2:19">
      <c r="B94" s="35">
        <v>46288</v>
      </c>
      <c r="C94" s="28" t="s">
        <v>196</v>
      </c>
      <c r="D94" s="28" t="s">
        <v>78</v>
      </c>
      <c r="E94" s="28" t="s">
        <v>197</v>
      </c>
      <c r="F94" s="28" t="s">
        <v>123</v>
      </c>
      <c r="G94" s="36">
        <v>5.75</v>
      </c>
      <c r="H94" s="37">
        <v>489</v>
      </c>
      <c r="I94" s="37">
        <v>489</v>
      </c>
      <c r="J94" s="38">
        <f>IF(tblCounts[[#This Row],[Date]]="","",tblCounts[[#This Row],[Counted qty (units)]]-tblCounts[[#This Row],[System qty (units)]])</f>
        <v>0</v>
      </c>
      <c r="K94" s="39">
        <f>IF(tblCounts[[#This Row],[Date]]="","",IF(tblCounts[[#This Row],[System qty (units)]]&gt;0,tblCounts[[#This Row],[Variance (units)]]/tblCounts[[#This Row],[System qty (units)]],""))</f>
        <v>0</v>
      </c>
      <c r="L94" s="40">
        <f>IF(tblCounts[[#This Row],[Date]]="","",IF(tblCounts[[#This Row],[Class]]="A",TolA,IF(tblCounts[[#This Row],[Class]]="B",TolB,IF(tblCounts[[#This Row],[Class]]="C",TolC,""))))</f>
        <v>0.02</v>
      </c>
      <c r="M94" s="41" t="str">
        <f>IF(tblCounts[[#This Row],[Date]]="","",IF(tblCounts[[#This Row],[Tolerance]]="","",IF(IF(tblCounts[[#This Row],[System qty (units)]]&gt;0,ABS(tblCounts[[#This Row],[Variance (units)]])/tblCounts[[#This Row],[System qty (units)]],IF(tblCounts[[#This Row],[Counted qty (units)]]&gt;0,1,0))&lt;=tblCounts[[#This Row],[Tolerance]],"Yes","No")))</f>
        <v>Yes</v>
      </c>
      <c r="N94" s="42">
        <f>IF(tblCounts[[#This Row],[Date]]="","",tblCounts[[#This Row],[Variance (units)]]*tblCounts[[#This Row],[Unit cost]])</f>
        <v>0</v>
      </c>
      <c r="O94" s="42">
        <f>IF(tblCounts[[#This Row],[Date]]="","",ABS(tblCounts[[#This Row],[Variance value]]))</f>
        <v>0</v>
      </c>
      <c r="P94" s="28" t="s">
        <v>119</v>
      </c>
      <c r="Q94" s="28" t="s">
        <v>120</v>
      </c>
      <c r="R9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4" s="28" t="s">
        <v>119</v>
      </c>
    </row>
    <row r="95" spans="2:19">
      <c r="B95" s="35">
        <v>46288</v>
      </c>
      <c r="C95" s="28" t="s">
        <v>137</v>
      </c>
      <c r="D95" s="28" t="s">
        <v>82</v>
      </c>
      <c r="E95" s="28" t="s">
        <v>138</v>
      </c>
      <c r="F95" s="28" t="s">
        <v>123</v>
      </c>
      <c r="G95" s="36">
        <v>315</v>
      </c>
      <c r="H95" s="37">
        <v>11</v>
      </c>
      <c r="I95" s="37">
        <v>11</v>
      </c>
      <c r="J95" s="38">
        <f>IF(tblCounts[[#This Row],[Date]]="","",tblCounts[[#This Row],[Counted qty (units)]]-tblCounts[[#This Row],[System qty (units)]])</f>
        <v>0</v>
      </c>
      <c r="K95" s="39">
        <f>IF(tblCounts[[#This Row],[Date]]="","",IF(tblCounts[[#This Row],[System qty (units)]]&gt;0,tblCounts[[#This Row],[Variance (units)]]/tblCounts[[#This Row],[System qty (units)]],""))</f>
        <v>0</v>
      </c>
      <c r="L95" s="40">
        <f>IF(tblCounts[[#This Row],[Date]]="","",IF(tblCounts[[#This Row],[Class]]="A",TolA,IF(tblCounts[[#This Row],[Class]]="B",TolB,IF(tblCounts[[#This Row],[Class]]="C",TolC,""))))</f>
        <v>0.02</v>
      </c>
      <c r="M95" s="41" t="str">
        <f>IF(tblCounts[[#This Row],[Date]]="","",IF(tblCounts[[#This Row],[Tolerance]]="","",IF(IF(tblCounts[[#This Row],[System qty (units)]]&gt;0,ABS(tblCounts[[#This Row],[Variance (units)]])/tblCounts[[#This Row],[System qty (units)]],IF(tblCounts[[#This Row],[Counted qty (units)]]&gt;0,1,0))&lt;=tblCounts[[#This Row],[Tolerance]],"Yes","No")))</f>
        <v>Yes</v>
      </c>
      <c r="N95" s="42">
        <f>IF(tblCounts[[#This Row],[Date]]="","",tblCounts[[#This Row],[Variance (units)]]*tblCounts[[#This Row],[Unit cost]])</f>
        <v>0</v>
      </c>
      <c r="O95" s="42">
        <f>IF(tblCounts[[#This Row],[Date]]="","",ABS(tblCounts[[#This Row],[Variance value]]))</f>
        <v>0</v>
      </c>
      <c r="P95" s="28" t="s">
        <v>119</v>
      </c>
      <c r="Q95" s="28" t="s">
        <v>132</v>
      </c>
      <c r="R9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5" s="28" t="s">
        <v>119</v>
      </c>
    </row>
    <row r="96" spans="2:19">
      <c r="B96" s="35">
        <v>46288</v>
      </c>
      <c r="C96" s="28" t="s">
        <v>161</v>
      </c>
      <c r="D96" s="28" t="s">
        <v>78</v>
      </c>
      <c r="E96" s="28" t="s">
        <v>162</v>
      </c>
      <c r="F96" s="28" t="s">
        <v>118</v>
      </c>
      <c r="G96" s="36">
        <v>0.7</v>
      </c>
      <c r="H96" s="37">
        <v>650</v>
      </c>
      <c r="I96" s="37">
        <v>650</v>
      </c>
      <c r="J96" s="38">
        <f>IF(tblCounts[[#This Row],[Date]]="","",tblCounts[[#This Row],[Counted qty (units)]]-tblCounts[[#This Row],[System qty (units)]])</f>
        <v>0</v>
      </c>
      <c r="K96" s="39">
        <f>IF(tblCounts[[#This Row],[Date]]="","",IF(tblCounts[[#This Row],[System qty (units)]]&gt;0,tblCounts[[#This Row],[Variance (units)]]/tblCounts[[#This Row],[System qty (units)]],""))</f>
        <v>0</v>
      </c>
      <c r="L96" s="40">
        <f>IF(tblCounts[[#This Row],[Date]]="","",IF(tblCounts[[#This Row],[Class]]="A",TolA,IF(tblCounts[[#This Row],[Class]]="B",TolB,IF(tblCounts[[#This Row],[Class]]="C",TolC,""))))</f>
        <v>0.05</v>
      </c>
      <c r="M96" s="41" t="str">
        <f>IF(tblCounts[[#This Row],[Date]]="","",IF(tblCounts[[#This Row],[Tolerance]]="","",IF(IF(tblCounts[[#This Row],[System qty (units)]]&gt;0,ABS(tblCounts[[#This Row],[Variance (units)]])/tblCounts[[#This Row],[System qty (units)]],IF(tblCounts[[#This Row],[Counted qty (units)]]&gt;0,1,0))&lt;=tblCounts[[#This Row],[Tolerance]],"Yes","No")))</f>
        <v>Yes</v>
      </c>
      <c r="N96" s="42">
        <f>IF(tblCounts[[#This Row],[Date]]="","",tblCounts[[#This Row],[Variance (units)]]*tblCounts[[#This Row],[Unit cost]])</f>
        <v>0</v>
      </c>
      <c r="O96" s="42">
        <f>IF(tblCounts[[#This Row],[Date]]="","",ABS(tblCounts[[#This Row],[Variance value]]))</f>
        <v>0</v>
      </c>
      <c r="P96" s="28" t="s">
        <v>119</v>
      </c>
      <c r="Q96" s="28" t="s">
        <v>120</v>
      </c>
      <c r="R9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6" s="28" t="s">
        <v>119</v>
      </c>
    </row>
    <row r="97" spans="2:19">
      <c r="B97" s="35">
        <v>46289</v>
      </c>
      <c r="C97" s="28" t="s">
        <v>147</v>
      </c>
      <c r="D97" s="28" t="s">
        <v>82</v>
      </c>
      <c r="E97" s="28" t="s">
        <v>148</v>
      </c>
      <c r="F97" s="28" t="s">
        <v>123</v>
      </c>
      <c r="G97" s="36">
        <v>867</v>
      </c>
      <c r="H97" s="37">
        <v>28</v>
      </c>
      <c r="I97" s="37">
        <v>28</v>
      </c>
      <c r="J97" s="38">
        <f>IF(tblCounts[[#This Row],[Date]]="","",tblCounts[[#This Row],[Counted qty (units)]]-tblCounts[[#This Row],[System qty (units)]])</f>
        <v>0</v>
      </c>
      <c r="K97" s="39">
        <f>IF(tblCounts[[#This Row],[Date]]="","",IF(tblCounts[[#This Row],[System qty (units)]]&gt;0,tblCounts[[#This Row],[Variance (units)]]/tblCounts[[#This Row],[System qty (units)]],""))</f>
        <v>0</v>
      </c>
      <c r="L97" s="40">
        <f>IF(tblCounts[[#This Row],[Date]]="","",IF(tblCounts[[#This Row],[Class]]="A",TolA,IF(tblCounts[[#This Row],[Class]]="B",TolB,IF(tblCounts[[#This Row],[Class]]="C",TolC,""))))</f>
        <v>0.02</v>
      </c>
      <c r="M97" s="41" t="str">
        <f>IF(tblCounts[[#This Row],[Date]]="","",IF(tblCounts[[#This Row],[Tolerance]]="","",IF(IF(tblCounts[[#This Row],[System qty (units)]]&gt;0,ABS(tblCounts[[#This Row],[Variance (units)]])/tblCounts[[#This Row],[System qty (units)]],IF(tblCounts[[#This Row],[Counted qty (units)]]&gt;0,1,0))&lt;=tblCounts[[#This Row],[Tolerance]],"Yes","No")))</f>
        <v>Yes</v>
      </c>
      <c r="N97" s="42">
        <f>IF(tblCounts[[#This Row],[Date]]="","",tblCounts[[#This Row],[Variance (units)]]*tblCounts[[#This Row],[Unit cost]])</f>
        <v>0</v>
      </c>
      <c r="O97" s="42">
        <f>IF(tblCounts[[#This Row],[Date]]="","",ABS(tblCounts[[#This Row],[Variance value]]))</f>
        <v>0</v>
      </c>
      <c r="P97" s="28" t="s">
        <v>119</v>
      </c>
      <c r="Q97" s="28" t="s">
        <v>120</v>
      </c>
      <c r="R9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7" s="28" t="s">
        <v>119</v>
      </c>
    </row>
    <row r="98" spans="2:19">
      <c r="B98" s="35">
        <v>46289</v>
      </c>
      <c r="C98" s="28" t="s">
        <v>202</v>
      </c>
      <c r="D98" s="28" t="s">
        <v>80</v>
      </c>
      <c r="E98" s="28" t="s">
        <v>203</v>
      </c>
      <c r="F98" s="28" t="s">
        <v>123</v>
      </c>
      <c r="G98" s="36">
        <v>127</v>
      </c>
      <c r="H98" s="37">
        <v>81</v>
      </c>
      <c r="I98" s="37">
        <v>81</v>
      </c>
      <c r="J98" s="38">
        <f>IF(tblCounts[[#This Row],[Date]]="","",tblCounts[[#This Row],[Counted qty (units)]]-tblCounts[[#This Row],[System qty (units)]])</f>
        <v>0</v>
      </c>
      <c r="K98" s="39">
        <f>IF(tblCounts[[#This Row],[Date]]="","",IF(tblCounts[[#This Row],[System qty (units)]]&gt;0,tblCounts[[#This Row],[Variance (units)]]/tblCounts[[#This Row],[System qty (units)]],""))</f>
        <v>0</v>
      </c>
      <c r="L98" s="40">
        <f>IF(tblCounts[[#This Row],[Date]]="","",IF(tblCounts[[#This Row],[Class]]="A",TolA,IF(tblCounts[[#This Row],[Class]]="B",TolB,IF(tblCounts[[#This Row],[Class]]="C",TolC,""))))</f>
        <v>0.02</v>
      </c>
      <c r="M98" s="41" t="str">
        <f>IF(tblCounts[[#This Row],[Date]]="","",IF(tblCounts[[#This Row],[Tolerance]]="","",IF(IF(tblCounts[[#This Row],[System qty (units)]]&gt;0,ABS(tblCounts[[#This Row],[Variance (units)]])/tblCounts[[#This Row],[System qty (units)]],IF(tblCounts[[#This Row],[Counted qty (units)]]&gt;0,1,0))&lt;=tblCounts[[#This Row],[Tolerance]],"Yes","No")))</f>
        <v>Yes</v>
      </c>
      <c r="N98" s="42">
        <f>IF(tblCounts[[#This Row],[Date]]="","",tblCounts[[#This Row],[Variance (units)]]*tblCounts[[#This Row],[Unit cost]])</f>
        <v>0</v>
      </c>
      <c r="O98" s="42">
        <f>IF(tblCounts[[#This Row],[Date]]="","",ABS(tblCounts[[#This Row],[Variance value]]))</f>
        <v>0</v>
      </c>
      <c r="P98" s="28" t="s">
        <v>119</v>
      </c>
      <c r="Q98" s="28" t="s">
        <v>120</v>
      </c>
      <c r="R9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8" s="28" t="s">
        <v>119</v>
      </c>
    </row>
    <row r="99" spans="2:19">
      <c r="B99" s="35">
        <v>46289</v>
      </c>
      <c r="C99" s="28" t="s">
        <v>121</v>
      </c>
      <c r="D99" s="28" t="s">
        <v>80</v>
      </c>
      <c r="E99" s="28" t="s">
        <v>122</v>
      </c>
      <c r="F99" s="28" t="s">
        <v>123</v>
      </c>
      <c r="G99" s="36">
        <v>61</v>
      </c>
      <c r="H99" s="37">
        <v>89</v>
      </c>
      <c r="I99" s="37">
        <v>89</v>
      </c>
      <c r="J99" s="38">
        <f>IF(tblCounts[[#This Row],[Date]]="","",tblCounts[[#This Row],[Counted qty (units)]]-tblCounts[[#This Row],[System qty (units)]])</f>
        <v>0</v>
      </c>
      <c r="K99" s="39">
        <f>IF(tblCounts[[#This Row],[Date]]="","",IF(tblCounts[[#This Row],[System qty (units)]]&gt;0,tblCounts[[#This Row],[Variance (units)]]/tblCounts[[#This Row],[System qty (units)]],""))</f>
        <v>0</v>
      </c>
      <c r="L99" s="40">
        <f>IF(tblCounts[[#This Row],[Date]]="","",IF(tblCounts[[#This Row],[Class]]="A",TolA,IF(tblCounts[[#This Row],[Class]]="B",TolB,IF(tblCounts[[#This Row],[Class]]="C",TolC,""))))</f>
        <v>0.02</v>
      </c>
      <c r="M99" s="41" t="str">
        <f>IF(tblCounts[[#This Row],[Date]]="","",IF(tblCounts[[#This Row],[Tolerance]]="","",IF(IF(tblCounts[[#This Row],[System qty (units)]]&gt;0,ABS(tblCounts[[#This Row],[Variance (units)]])/tblCounts[[#This Row],[System qty (units)]],IF(tblCounts[[#This Row],[Counted qty (units)]]&gt;0,1,0))&lt;=tblCounts[[#This Row],[Tolerance]],"Yes","No")))</f>
        <v>Yes</v>
      </c>
      <c r="N99" s="42">
        <f>IF(tblCounts[[#This Row],[Date]]="","",tblCounts[[#This Row],[Variance (units)]]*tblCounts[[#This Row],[Unit cost]])</f>
        <v>0</v>
      </c>
      <c r="O99" s="42">
        <f>IF(tblCounts[[#This Row],[Date]]="","",ABS(tblCounts[[#This Row],[Variance value]]))</f>
        <v>0</v>
      </c>
      <c r="P99" s="28" t="s">
        <v>119</v>
      </c>
      <c r="Q99" s="28" t="s">
        <v>120</v>
      </c>
      <c r="R9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99" s="28" t="s">
        <v>119</v>
      </c>
    </row>
    <row r="100" spans="2:19">
      <c r="B100" s="35">
        <v>46289</v>
      </c>
      <c r="C100" s="28" t="s">
        <v>133</v>
      </c>
      <c r="D100" s="28" t="s">
        <v>76</v>
      </c>
      <c r="E100" s="28" t="s">
        <v>134</v>
      </c>
      <c r="F100" s="28" t="s">
        <v>123</v>
      </c>
      <c r="G100" s="36">
        <v>18</v>
      </c>
      <c r="H100" s="37">
        <v>142</v>
      </c>
      <c r="I100" s="37">
        <v>141</v>
      </c>
      <c r="J100" s="38">
        <f>IF(tblCounts[[#This Row],[Date]]="","",tblCounts[[#This Row],[Counted qty (units)]]-tblCounts[[#This Row],[System qty (units)]])</f>
        <v>-1</v>
      </c>
      <c r="K100" s="39">
        <f>IF(tblCounts[[#This Row],[Date]]="","",IF(tblCounts[[#This Row],[System qty (units)]]&gt;0,tblCounts[[#This Row],[Variance (units)]]/tblCounts[[#This Row],[System qty (units)]],""))</f>
        <v>-0.00704225352112676</v>
      </c>
      <c r="L100" s="40">
        <f>IF(tblCounts[[#This Row],[Date]]="","",IF(tblCounts[[#This Row],[Class]]="A",TolA,IF(tblCounts[[#This Row],[Class]]="B",TolB,IF(tblCounts[[#This Row],[Class]]="C",TolC,""))))</f>
        <v>0.02</v>
      </c>
      <c r="M100" s="41" t="str">
        <f>IF(tblCounts[[#This Row],[Date]]="","",IF(tblCounts[[#This Row],[Tolerance]]="","",IF(IF(tblCounts[[#This Row],[System qty (units)]]&gt;0,ABS(tblCounts[[#This Row],[Variance (units)]])/tblCounts[[#This Row],[System qty (units)]],IF(tblCounts[[#This Row],[Counted qty (units)]]&gt;0,1,0))&lt;=tblCounts[[#This Row],[Tolerance]],"Yes","No")))</f>
        <v>Yes</v>
      </c>
      <c r="N100" s="42">
        <f>IF(tblCounts[[#This Row],[Date]]="","",tblCounts[[#This Row],[Variance (units)]]*tblCounts[[#This Row],[Unit cost]])</f>
        <v>-18</v>
      </c>
      <c r="O100" s="42">
        <f>IF(tblCounts[[#This Row],[Date]]="","",ABS(tblCounts[[#This Row],[Variance value]]))</f>
        <v>18</v>
      </c>
      <c r="P100" s="28" t="s">
        <v>119</v>
      </c>
      <c r="Q100" s="28" t="s">
        <v>120</v>
      </c>
      <c r="R10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0" s="28" t="s">
        <v>119</v>
      </c>
    </row>
    <row r="101" spans="2:19">
      <c r="B101" s="35">
        <v>46289</v>
      </c>
      <c r="C101" s="28" t="s">
        <v>161</v>
      </c>
      <c r="D101" s="28" t="s">
        <v>78</v>
      </c>
      <c r="E101" s="28" t="s">
        <v>162</v>
      </c>
      <c r="F101" s="28" t="s">
        <v>118</v>
      </c>
      <c r="G101" s="36">
        <v>0.7</v>
      </c>
      <c r="H101" s="37">
        <v>3250</v>
      </c>
      <c r="I101" s="37">
        <v>3250</v>
      </c>
      <c r="J101" s="38">
        <f>IF(tblCounts[[#This Row],[Date]]="","",tblCounts[[#This Row],[Counted qty (units)]]-tblCounts[[#This Row],[System qty (units)]])</f>
        <v>0</v>
      </c>
      <c r="K101" s="39">
        <f>IF(tblCounts[[#This Row],[Date]]="","",IF(tblCounts[[#This Row],[System qty (units)]]&gt;0,tblCounts[[#This Row],[Variance (units)]]/tblCounts[[#This Row],[System qty (units)]],""))</f>
        <v>0</v>
      </c>
      <c r="L101" s="40">
        <f>IF(tblCounts[[#This Row],[Date]]="","",IF(tblCounts[[#This Row],[Class]]="A",TolA,IF(tblCounts[[#This Row],[Class]]="B",TolB,IF(tblCounts[[#This Row],[Class]]="C",TolC,""))))</f>
        <v>0.05</v>
      </c>
      <c r="M101" s="41" t="str">
        <f>IF(tblCounts[[#This Row],[Date]]="","",IF(tblCounts[[#This Row],[Tolerance]]="","",IF(IF(tblCounts[[#This Row],[System qty (units)]]&gt;0,ABS(tblCounts[[#This Row],[Variance (units)]])/tblCounts[[#This Row],[System qty (units)]],IF(tblCounts[[#This Row],[Counted qty (units)]]&gt;0,1,0))&lt;=tblCounts[[#This Row],[Tolerance]],"Yes","No")))</f>
        <v>Yes</v>
      </c>
      <c r="N101" s="42">
        <f>IF(tblCounts[[#This Row],[Date]]="","",tblCounts[[#This Row],[Variance (units)]]*tblCounts[[#This Row],[Unit cost]])</f>
        <v>0</v>
      </c>
      <c r="O101" s="42">
        <f>IF(tblCounts[[#This Row],[Date]]="","",ABS(tblCounts[[#This Row],[Variance value]]))</f>
        <v>0</v>
      </c>
      <c r="P101" s="28" t="s">
        <v>119</v>
      </c>
      <c r="Q101" s="28" t="s">
        <v>132</v>
      </c>
      <c r="R10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1" s="28" t="s">
        <v>119</v>
      </c>
    </row>
    <row r="102" spans="2:19">
      <c r="B102" s="35">
        <v>46290</v>
      </c>
      <c r="C102" s="28" t="s">
        <v>187</v>
      </c>
      <c r="D102" s="28" t="s">
        <v>76</v>
      </c>
      <c r="E102" s="28" t="s">
        <v>188</v>
      </c>
      <c r="F102" s="28" t="s">
        <v>126</v>
      </c>
      <c r="G102" s="36">
        <v>198</v>
      </c>
      <c r="H102" s="37">
        <v>113</v>
      </c>
      <c r="I102" s="37">
        <v>113</v>
      </c>
      <c r="J102" s="38">
        <f>IF(tblCounts[[#This Row],[Date]]="","",tblCounts[[#This Row],[Counted qty (units)]]-tblCounts[[#This Row],[System qty (units)]])</f>
        <v>0</v>
      </c>
      <c r="K102" s="39">
        <f>IF(tblCounts[[#This Row],[Date]]="","",IF(tblCounts[[#This Row],[System qty (units)]]&gt;0,tblCounts[[#This Row],[Variance (units)]]/tblCounts[[#This Row],[System qty (units)]],""))</f>
        <v>0</v>
      </c>
      <c r="L102" s="40">
        <f>IF(tblCounts[[#This Row],[Date]]="","",IF(tblCounts[[#This Row],[Class]]="A",TolA,IF(tblCounts[[#This Row],[Class]]="B",TolB,IF(tblCounts[[#This Row],[Class]]="C",TolC,""))))</f>
        <v>0</v>
      </c>
      <c r="M102" s="41" t="str">
        <f>IF(tblCounts[[#This Row],[Date]]="","",IF(tblCounts[[#This Row],[Tolerance]]="","",IF(IF(tblCounts[[#This Row],[System qty (units)]]&gt;0,ABS(tblCounts[[#This Row],[Variance (units)]])/tblCounts[[#This Row],[System qty (units)]],IF(tblCounts[[#This Row],[Counted qty (units)]]&gt;0,1,0))&lt;=tblCounts[[#This Row],[Tolerance]],"Yes","No")))</f>
        <v>Yes</v>
      </c>
      <c r="N102" s="42">
        <f>IF(tblCounts[[#This Row],[Date]]="","",tblCounts[[#This Row],[Variance (units)]]*tblCounts[[#This Row],[Unit cost]])</f>
        <v>0</v>
      </c>
      <c r="O102" s="42">
        <f>IF(tblCounts[[#This Row],[Date]]="","",ABS(tblCounts[[#This Row],[Variance value]]))</f>
        <v>0</v>
      </c>
      <c r="P102" s="28" t="s">
        <v>119</v>
      </c>
      <c r="Q102" s="28" t="s">
        <v>120</v>
      </c>
      <c r="R10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2" s="28" t="s">
        <v>119</v>
      </c>
    </row>
    <row r="103" spans="2:19">
      <c r="B103" s="35">
        <v>46290</v>
      </c>
      <c r="C103" s="28" t="s">
        <v>141</v>
      </c>
      <c r="D103" s="28" t="s">
        <v>76</v>
      </c>
      <c r="E103" s="28" t="s">
        <v>142</v>
      </c>
      <c r="F103" s="28" t="s">
        <v>126</v>
      </c>
      <c r="G103" s="36">
        <v>222</v>
      </c>
      <c r="H103" s="37">
        <v>112</v>
      </c>
      <c r="I103" s="37">
        <v>112</v>
      </c>
      <c r="J103" s="38">
        <f>IF(tblCounts[[#This Row],[Date]]="","",tblCounts[[#This Row],[Counted qty (units)]]-tblCounts[[#This Row],[System qty (units)]])</f>
        <v>0</v>
      </c>
      <c r="K103" s="39">
        <f>IF(tblCounts[[#This Row],[Date]]="","",IF(tblCounts[[#This Row],[System qty (units)]]&gt;0,tblCounts[[#This Row],[Variance (units)]]/tblCounts[[#This Row],[System qty (units)]],""))</f>
        <v>0</v>
      </c>
      <c r="L103" s="40">
        <f>IF(tblCounts[[#This Row],[Date]]="","",IF(tblCounts[[#This Row],[Class]]="A",TolA,IF(tblCounts[[#This Row],[Class]]="B",TolB,IF(tblCounts[[#This Row],[Class]]="C",TolC,""))))</f>
        <v>0</v>
      </c>
      <c r="M103" s="41" t="str">
        <f>IF(tblCounts[[#This Row],[Date]]="","",IF(tblCounts[[#This Row],[Tolerance]]="","",IF(IF(tblCounts[[#This Row],[System qty (units)]]&gt;0,ABS(tblCounts[[#This Row],[Variance (units)]])/tblCounts[[#This Row],[System qty (units)]],IF(tblCounts[[#This Row],[Counted qty (units)]]&gt;0,1,0))&lt;=tblCounts[[#This Row],[Tolerance]],"Yes","No")))</f>
        <v>Yes</v>
      </c>
      <c r="N103" s="42">
        <f>IF(tblCounts[[#This Row],[Date]]="","",tblCounts[[#This Row],[Variance (units)]]*tblCounts[[#This Row],[Unit cost]])</f>
        <v>0</v>
      </c>
      <c r="O103" s="42">
        <f>IF(tblCounts[[#This Row],[Date]]="","",ABS(tblCounts[[#This Row],[Variance value]]))</f>
        <v>0</v>
      </c>
      <c r="P103" s="28" t="s">
        <v>119</v>
      </c>
      <c r="Q103" s="28" t="s">
        <v>120</v>
      </c>
      <c r="R10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3" s="28" t="s">
        <v>119</v>
      </c>
    </row>
    <row r="104" spans="2:19">
      <c r="B104" s="35">
        <v>46290</v>
      </c>
      <c r="C104" s="28" t="s">
        <v>173</v>
      </c>
      <c r="D104" s="28" t="s">
        <v>78</v>
      </c>
      <c r="E104" s="28" t="s">
        <v>174</v>
      </c>
      <c r="F104" s="28" t="s">
        <v>126</v>
      </c>
      <c r="G104" s="36">
        <v>88</v>
      </c>
      <c r="H104" s="37">
        <v>106</v>
      </c>
      <c r="I104" s="37">
        <v>106</v>
      </c>
      <c r="J104" s="38">
        <f>IF(tblCounts[[#This Row],[Date]]="","",tblCounts[[#This Row],[Counted qty (units)]]-tblCounts[[#This Row],[System qty (units)]])</f>
        <v>0</v>
      </c>
      <c r="K104" s="39">
        <f>IF(tblCounts[[#This Row],[Date]]="","",IF(tblCounts[[#This Row],[System qty (units)]]&gt;0,tblCounts[[#This Row],[Variance (units)]]/tblCounts[[#This Row],[System qty (units)]],""))</f>
        <v>0</v>
      </c>
      <c r="L104" s="40">
        <f>IF(tblCounts[[#This Row],[Date]]="","",IF(tblCounts[[#This Row],[Class]]="A",TolA,IF(tblCounts[[#This Row],[Class]]="B",TolB,IF(tblCounts[[#This Row],[Class]]="C",TolC,""))))</f>
        <v>0</v>
      </c>
      <c r="M104" s="41" t="str">
        <f>IF(tblCounts[[#This Row],[Date]]="","",IF(tblCounts[[#This Row],[Tolerance]]="","",IF(IF(tblCounts[[#This Row],[System qty (units)]]&gt;0,ABS(tblCounts[[#This Row],[Variance (units)]])/tblCounts[[#This Row],[System qty (units)]],IF(tblCounts[[#This Row],[Counted qty (units)]]&gt;0,1,0))&lt;=tblCounts[[#This Row],[Tolerance]],"Yes","No")))</f>
        <v>Yes</v>
      </c>
      <c r="N104" s="42">
        <f>IF(tblCounts[[#This Row],[Date]]="","",tblCounts[[#This Row],[Variance (units)]]*tblCounts[[#This Row],[Unit cost]])</f>
        <v>0</v>
      </c>
      <c r="O104" s="42">
        <f>IF(tblCounts[[#This Row],[Date]]="","",ABS(tblCounts[[#This Row],[Variance value]]))</f>
        <v>0</v>
      </c>
      <c r="P104" s="28" t="s">
        <v>119</v>
      </c>
      <c r="Q104" s="28" t="s">
        <v>132</v>
      </c>
      <c r="R10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4" s="28" t="s">
        <v>119</v>
      </c>
    </row>
    <row r="105" spans="2:19">
      <c r="B105" s="35">
        <v>46290</v>
      </c>
      <c r="C105" s="28" t="s">
        <v>147</v>
      </c>
      <c r="D105" s="28" t="s">
        <v>82</v>
      </c>
      <c r="E105" s="28" t="s">
        <v>148</v>
      </c>
      <c r="F105" s="28" t="s">
        <v>123</v>
      </c>
      <c r="G105" s="36">
        <v>867</v>
      </c>
      <c r="H105" s="37">
        <v>29</v>
      </c>
      <c r="I105" s="37">
        <v>29</v>
      </c>
      <c r="J105" s="38">
        <f>IF(tblCounts[[#This Row],[Date]]="","",tblCounts[[#This Row],[Counted qty (units)]]-tblCounts[[#This Row],[System qty (units)]])</f>
        <v>0</v>
      </c>
      <c r="K105" s="39">
        <f>IF(tblCounts[[#This Row],[Date]]="","",IF(tblCounts[[#This Row],[System qty (units)]]&gt;0,tblCounts[[#This Row],[Variance (units)]]/tblCounts[[#This Row],[System qty (units)]],""))</f>
        <v>0</v>
      </c>
      <c r="L105" s="40">
        <f>IF(tblCounts[[#This Row],[Date]]="","",IF(tblCounts[[#This Row],[Class]]="A",TolA,IF(tblCounts[[#This Row],[Class]]="B",TolB,IF(tblCounts[[#This Row],[Class]]="C",TolC,""))))</f>
        <v>0.02</v>
      </c>
      <c r="M105" s="41" t="str">
        <f>IF(tblCounts[[#This Row],[Date]]="","",IF(tblCounts[[#This Row],[Tolerance]]="","",IF(IF(tblCounts[[#This Row],[System qty (units)]]&gt;0,ABS(tblCounts[[#This Row],[Variance (units)]])/tblCounts[[#This Row],[System qty (units)]],IF(tblCounts[[#This Row],[Counted qty (units)]]&gt;0,1,0))&lt;=tblCounts[[#This Row],[Tolerance]],"Yes","No")))</f>
        <v>Yes</v>
      </c>
      <c r="N105" s="42">
        <f>IF(tblCounts[[#This Row],[Date]]="","",tblCounts[[#This Row],[Variance (units)]]*tblCounts[[#This Row],[Unit cost]])</f>
        <v>0</v>
      </c>
      <c r="O105" s="42">
        <f>IF(tblCounts[[#This Row],[Date]]="","",ABS(tblCounts[[#This Row],[Variance value]]))</f>
        <v>0</v>
      </c>
      <c r="P105" s="28" t="s">
        <v>119</v>
      </c>
      <c r="Q105" s="28" t="s">
        <v>120</v>
      </c>
      <c r="R10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5" s="28" t="s">
        <v>119</v>
      </c>
    </row>
    <row r="106" spans="2:19">
      <c r="B106" s="35">
        <v>46290</v>
      </c>
      <c r="C106" s="28" t="s">
        <v>155</v>
      </c>
      <c r="D106" s="28" t="s">
        <v>80</v>
      </c>
      <c r="E106" s="28" t="s">
        <v>156</v>
      </c>
      <c r="F106" s="28" t="s">
        <v>126</v>
      </c>
      <c r="G106" s="36">
        <v>309</v>
      </c>
      <c r="H106" s="37">
        <v>31</v>
      </c>
      <c r="I106" s="37">
        <v>31</v>
      </c>
      <c r="J106" s="38">
        <f>IF(tblCounts[[#This Row],[Date]]="","",tblCounts[[#This Row],[Counted qty (units)]]-tblCounts[[#This Row],[System qty (units)]])</f>
        <v>0</v>
      </c>
      <c r="K106" s="39">
        <f>IF(tblCounts[[#This Row],[Date]]="","",IF(tblCounts[[#This Row],[System qty (units)]]&gt;0,tblCounts[[#This Row],[Variance (units)]]/tblCounts[[#This Row],[System qty (units)]],""))</f>
        <v>0</v>
      </c>
      <c r="L106" s="40">
        <f>IF(tblCounts[[#This Row],[Date]]="","",IF(tblCounts[[#This Row],[Class]]="A",TolA,IF(tblCounts[[#This Row],[Class]]="B",TolB,IF(tblCounts[[#This Row],[Class]]="C",TolC,""))))</f>
        <v>0</v>
      </c>
      <c r="M106" s="41" t="str">
        <f>IF(tblCounts[[#This Row],[Date]]="","",IF(tblCounts[[#This Row],[Tolerance]]="","",IF(IF(tblCounts[[#This Row],[System qty (units)]]&gt;0,ABS(tblCounts[[#This Row],[Variance (units)]])/tblCounts[[#This Row],[System qty (units)]],IF(tblCounts[[#This Row],[Counted qty (units)]]&gt;0,1,0))&lt;=tblCounts[[#This Row],[Tolerance]],"Yes","No")))</f>
        <v>Yes</v>
      </c>
      <c r="N106" s="42">
        <f>IF(tblCounts[[#This Row],[Date]]="","",tblCounts[[#This Row],[Variance (units)]]*tblCounts[[#This Row],[Unit cost]])</f>
        <v>0</v>
      </c>
      <c r="O106" s="42">
        <f>IF(tblCounts[[#This Row],[Date]]="","",ABS(tblCounts[[#This Row],[Variance value]]))</f>
        <v>0</v>
      </c>
      <c r="P106" s="28" t="s">
        <v>119</v>
      </c>
      <c r="Q106" s="28" t="s">
        <v>120</v>
      </c>
      <c r="R10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6" s="28" t="s">
        <v>119</v>
      </c>
    </row>
    <row r="107" spans="2:19">
      <c r="B107" s="35">
        <v>46293</v>
      </c>
      <c r="C107" s="28" t="s">
        <v>177</v>
      </c>
      <c r="D107" s="28" t="s">
        <v>76</v>
      </c>
      <c r="E107" s="28" t="s">
        <v>178</v>
      </c>
      <c r="F107" s="28" t="s">
        <v>118</v>
      </c>
      <c r="G107" s="36">
        <v>2.98</v>
      </c>
      <c r="H107" s="37">
        <v>752</v>
      </c>
      <c r="I107" s="37">
        <v>730</v>
      </c>
      <c r="J107" s="38">
        <f>IF(tblCounts[[#This Row],[Date]]="","",tblCounts[[#This Row],[Counted qty (units)]]-tblCounts[[#This Row],[System qty (units)]])</f>
        <v>-22</v>
      </c>
      <c r="K107" s="39">
        <f>IF(tblCounts[[#This Row],[Date]]="","",IF(tblCounts[[#This Row],[System qty (units)]]&gt;0,tblCounts[[#This Row],[Variance (units)]]/tblCounts[[#This Row],[System qty (units)]],""))</f>
        <v>-0.0292553191489362</v>
      </c>
      <c r="L107" s="40">
        <f>IF(tblCounts[[#This Row],[Date]]="","",IF(tblCounts[[#This Row],[Class]]="A",TolA,IF(tblCounts[[#This Row],[Class]]="B",TolB,IF(tblCounts[[#This Row],[Class]]="C",TolC,""))))</f>
        <v>0.05</v>
      </c>
      <c r="M107" s="41" t="str">
        <f>IF(tblCounts[[#This Row],[Date]]="","",IF(tblCounts[[#This Row],[Tolerance]]="","",IF(IF(tblCounts[[#This Row],[System qty (units)]]&gt;0,ABS(tblCounts[[#This Row],[Variance (units)]])/tblCounts[[#This Row],[System qty (units)]],IF(tblCounts[[#This Row],[Counted qty (units)]]&gt;0,1,0))&lt;=tblCounts[[#This Row],[Tolerance]],"Yes","No")))</f>
        <v>Yes</v>
      </c>
      <c r="N107" s="42">
        <f>IF(tblCounts[[#This Row],[Date]]="","",tblCounts[[#This Row],[Variance (units)]]*tblCounts[[#This Row],[Unit cost]])</f>
        <v>-65.56</v>
      </c>
      <c r="O107" s="42">
        <f>IF(tblCounts[[#This Row],[Date]]="","",ABS(tblCounts[[#This Row],[Variance value]]))</f>
        <v>65.56</v>
      </c>
      <c r="P107" s="28" t="s">
        <v>119</v>
      </c>
      <c r="Q107" s="28" t="s">
        <v>129</v>
      </c>
      <c r="R10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7" s="28" t="s">
        <v>119</v>
      </c>
    </row>
    <row r="108" spans="2:19">
      <c r="B108" s="35">
        <v>46293</v>
      </c>
      <c r="C108" s="28" t="s">
        <v>175</v>
      </c>
      <c r="D108" s="28" t="s">
        <v>80</v>
      </c>
      <c r="E108" s="28" t="s">
        <v>176</v>
      </c>
      <c r="F108" s="28" t="s">
        <v>126</v>
      </c>
      <c r="G108" s="36">
        <v>322</v>
      </c>
      <c r="H108" s="37">
        <v>44</v>
      </c>
      <c r="I108" s="37">
        <v>44</v>
      </c>
      <c r="J108" s="38">
        <f>IF(tblCounts[[#This Row],[Date]]="","",tblCounts[[#This Row],[Counted qty (units)]]-tblCounts[[#This Row],[System qty (units)]])</f>
        <v>0</v>
      </c>
      <c r="K108" s="39">
        <f>IF(tblCounts[[#This Row],[Date]]="","",IF(tblCounts[[#This Row],[System qty (units)]]&gt;0,tblCounts[[#This Row],[Variance (units)]]/tblCounts[[#This Row],[System qty (units)]],""))</f>
        <v>0</v>
      </c>
      <c r="L108" s="40">
        <f>IF(tblCounts[[#This Row],[Date]]="","",IF(tblCounts[[#This Row],[Class]]="A",TolA,IF(tblCounts[[#This Row],[Class]]="B",TolB,IF(tblCounts[[#This Row],[Class]]="C",TolC,""))))</f>
        <v>0</v>
      </c>
      <c r="M108" s="41" t="str">
        <f>IF(tblCounts[[#This Row],[Date]]="","",IF(tblCounts[[#This Row],[Tolerance]]="","",IF(IF(tblCounts[[#This Row],[System qty (units)]]&gt;0,ABS(tblCounts[[#This Row],[Variance (units)]])/tblCounts[[#This Row],[System qty (units)]],IF(tblCounts[[#This Row],[Counted qty (units)]]&gt;0,1,0))&lt;=tblCounts[[#This Row],[Tolerance]],"Yes","No")))</f>
        <v>Yes</v>
      </c>
      <c r="N108" s="42">
        <f>IF(tblCounts[[#This Row],[Date]]="","",tblCounts[[#This Row],[Variance (units)]]*tblCounts[[#This Row],[Unit cost]])</f>
        <v>0</v>
      </c>
      <c r="O108" s="42">
        <f>IF(tblCounts[[#This Row],[Date]]="","",ABS(tblCounts[[#This Row],[Variance value]]))</f>
        <v>0</v>
      </c>
      <c r="P108" s="28" t="s">
        <v>119</v>
      </c>
      <c r="Q108" s="28" t="s">
        <v>129</v>
      </c>
      <c r="R10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8" s="28" t="s">
        <v>119</v>
      </c>
    </row>
    <row r="109" spans="2:19">
      <c r="B109" s="35">
        <v>46293</v>
      </c>
      <c r="C109" s="28" t="s">
        <v>155</v>
      </c>
      <c r="D109" s="28" t="s">
        <v>80</v>
      </c>
      <c r="E109" s="28" t="s">
        <v>156</v>
      </c>
      <c r="F109" s="28" t="s">
        <v>126</v>
      </c>
      <c r="G109" s="36">
        <v>309</v>
      </c>
      <c r="H109" s="37">
        <v>15</v>
      </c>
      <c r="I109" s="37">
        <v>15</v>
      </c>
      <c r="J109" s="38">
        <f>IF(tblCounts[[#This Row],[Date]]="","",tblCounts[[#This Row],[Counted qty (units)]]-tblCounts[[#This Row],[System qty (units)]])</f>
        <v>0</v>
      </c>
      <c r="K109" s="39">
        <f>IF(tblCounts[[#This Row],[Date]]="","",IF(tblCounts[[#This Row],[System qty (units)]]&gt;0,tblCounts[[#This Row],[Variance (units)]]/tblCounts[[#This Row],[System qty (units)]],""))</f>
        <v>0</v>
      </c>
      <c r="L109" s="40">
        <f>IF(tblCounts[[#This Row],[Date]]="","",IF(tblCounts[[#This Row],[Class]]="A",TolA,IF(tblCounts[[#This Row],[Class]]="B",TolB,IF(tblCounts[[#This Row],[Class]]="C",TolC,""))))</f>
        <v>0</v>
      </c>
      <c r="M109" s="41" t="str">
        <f>IF(tblCounts[[#This Row],[Date]]="","",IF(tblCounts[[#This Row],[Tolerance]]="","",IF(IF(tblCounts[[#This Row],[System qty (units)]]&gt;0,ABS(tblCounts[[#This Row],[Variance (units)]])/tblCounts[[#This Row],[System qty (units)]],IF(tblCounts[[#This Row],[Counted qty (units)]]&gt;0,1,0))&lt;=tblCounts[[#This Row],[Tolerance]],"Yes","No")))</f>
        <v>Yes</v>
      </c>
      <c r="N109" s="42">
        <f>IF(tblCounts[[#This Row],[Date]]="","",tblCounts[[#This Row],[Variance (units)]]*tblCounts[[#This Row],[Unit cost]])</f>
        <v>0</v>
      </c>
      <c r="O109" s="42">
        <f>IF(tblCounts[[#This Row],[Date]]="","",ABS(tblCounts[[#This Row],[Variance value]]))</f>
        <v>0</v>
      </c>
      <c r="P109" s="28" t="s">
        <v>119</v>
      </c>
      <c r="Q109" s="28" t="s">
        <v>129</v>
      </c>
      <c r="R10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09" s="28" t="s">
        <v>119</v>
      </c>
    </row>
    <row r="110" spans="2:19">
      <c r="B110" s="35">
        <v>46293</v>
      </c>
      <c r="C110" s="28" t="s">
        <v>157</v>
      </c>
      <c r="D110" s="28" t="s">
        <v>76</v>
      </c>
      <c r="E110" s="28" t="s">
        <v>158</v>
      </c>
      <c r="F110" s="28" t="s">
        <v>126</v>
      </c>
      <c r="G110" s="36">
        <v>75</v>
      </c>
      <c r="H110" s="37">
        <v>57</v>
      </c>
      <c r="I110" s="37">
        <v>54</v>
      </c>
      <c r="J110" s="38">
        <f>IF(tblCounts[[#This Row],[Date]]="","",tblCounts[[#This Row],[Counted qty (units)]]-tblCounts[[#This Row],[System qty (units)]])</f>
        <v>-3</v>
      </c>
      <c r="K110" s="39">
        <f>IF(tblCounts[[#This Row],[Date]]="","",IF(tblCounts[[#This Row],[System qty (units)]]&gt;0,tblCounts[[#This Row],[Variance (units)]]/tblCounts[[#This Row],[System qty (units)]],""))</f>
        <v>-0.0526315789473684</v>
      </c>
      <c r="L110" s="40">
        <f>IF(tblCounts[[#This Row],[Date]]="","",IF(tblCounts[[#This Row],[Class]]="A",TolA,IF(tblCounts[[#This Row],[Class]]="B",TolB,IF(tblCounts[[#This Row],[Class]]="C",TolC,""))))</f>
        <v>0</v>
      </c>
      <c r="M110" s="41" t="str">
        <f>IF(tblCounts[[#This Row],[Date]]="","",IF(tblCounts[[#This Row],[Tolerance]]="","",IF(IF(tblCounts[[#This Row],[System qty (units)]]&gt;0,ABS(tblCounts[[#This Row],[Variance (units)]])/tblCounts[[#This Row],[System qty (units)]],IF(tblCounts[[#This Row],[Counted qty (units)]]&gt;0,1,0))&lt;=tblCounts[[#This Row],[Tolerance]],"Yes","No")))</f>
        <v>No</v>
      </c>
      <c r="N110" s="42">
        <f>IF(tblCounts[[#This Row],[Date]]="","",tblCounts[[#This Row],[Variance (units)]]*tblCounts[[#This Row],[Unit cost]])</f>
        <v>-225</v>
      </c>
      <c r="O110" s="42">
        <f>IF(tblCounts[[#This Row],[Date]]="","",ABS(tblCounts[[#This Row],[Variance value]]))</f>
        <v>225</v>
      </c>
      <c r="P110" s="28" t="s">
        <v>91</v>
      </c>
      <c r="Q110" s="28" t="s">
        <v>120</v>
      </c>
      <c r="R11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0" s="28" t="s">
        <v>119</v>
      </c>
    </row>
    <row r="111" spans="2:19">
      <c r="B111" s="35">
        <v>46293</v>
      </c>
      <c r="C111" s="28" t="s">
        <v>196</v>
      </c>
      <c r="D111" s="28" t="s">
        <v>78</v>
      </c>
      <c r="E111" s="28" t="s">
        <v>197</v>
      </c>
      <c r="F111" s="28" t="s">
        <v>123</v>
      </c>
      <c r="G111" s="36">
        <v>5.75</v>
      </c>
      <c r="H111" s="37">
        <v>301</v>
      </c>
      <c r="I111" s="37">
        <v>301</v>
      </c>
      <c r="J111" s="38">
        <f>IF(tblCounts[[#This Row],[Date]]="","",tblCounts[[#This Row],[Counted qty (units)]]-tblCounts[[#This Row],[System qty (units)]])</f>
        <v>0</v>
      </c>
      <c r="K111" s="39">
        <f>IF(tblCounts[[#This Row],[Date]]="","",IF(tblCounts[[#This Row],[System qty (units)]]&gt;0,tblCounts[[#This Row],[Variance (units)]]/tblCounts[[#This Row],[System qty (units)]],""))</f>
        <v>0</v>
      </c>
      <c r="L111" s="40">
        <f>IF(tblCounts[[#This Row],[Date]]="","",IF(tblCounts[[#This Row],[Class]]="A",TolA,IF(tblCounts[[#This Row],[Class]]="B",TolB,IF(tblCounts[[#This Row],[Class]]="C",TolC,""))))</f>
        <v>0.02</v>
      </c>
      <c r="M111" s="41" t="str">
        <f>IF(tblCounts[[#This Row],[Date]]="","",IF(tblCounts[[#This Row],[Tolerance]]="","",IF(IF(tblCounts[[#This Row],[System qty (units)]]&gt;0,ABS(tblCounts[[#This Row],[Variance (units)]])/tblCounts[[#This Row],[System qty (units)]],IF(tblCounts[[#This Row],[Counted qty (units)]]&gt;0,1,0))&lt;=tblCounts[[#This Row],[Tolerance]],"Yes","No")))</f>
        <v>Yes</v>
      </c>
      <c r="N111" s="42">
        <f>IF(tblCounts[[#This Row],[Date]]="","",tblCounts[[#This Row],[Variance (units)]]*tblCounts[[#This Row],[Unit cost]])</f>
        <v>0</v>
      </c>
      <c r="O111" s="42">
        <f>IF(tblCounts[[#This Row],[Date]]="","",ABS(tblCounts[[#This Row],[Variance value]]))</f>
        <v>0</v>
      </c>
      <c r="P111" s="28" t="s">
        <v>119</v>
      </c>
      <c r="Q111" s="28" t="s">
        <v>132</v>
      </c>
      <c r="R11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1" s="28" t="s">
        <v>119</v>
      </c>
    </row>
    <row r="112" spans="2:19">
      <c r="B112" s="35">
        <v>46294</v>
      </c>
      <c r="C112" s="28" t="s">
        <v>151</v>
      </c>
      <c r="D112" s="28" t="s">
        <v>80</v>
      </c>
      <c r="E112" s="28" t="s">
        <v>152</v>
      </c>
      <c r="F112" s="28" t="s">
        <v>123</v>
      </c>
      <c r="G112" s="36">
        <v>70</v>
      </c>
      <c r="H112" s="37">
        <v>66</v>
      </c>
      <c r="I112" s="37">
        <v>66</v>
      </c>
      <c r="J112" s="38">
        <f>IF(tblCounts[[#This Row],[Date]]="","",tblCounts[[#This Row],[Counted qty (units)]]-tblCounts[[#This Row],[System qty (units)]])</f>
        <v>0</v>
      </c>
      <c r="K112" s="39">
        <f>IF(tblCounts[[#This Row],[Date]]="","",IF(tblCounts[[#This Row],[System qty (units)]]&gt;0,tblCounts[[#This Row],[Variance (units)]]/tblCounts[[#This Row],[System qty (units)]],""))</f>
        <v>0</v>
      </c>
      <c r="L112" s="40">
        <f>IF(tblCounts[[#This Row],[Date]]="","",IF(tblCounts[[#This Row],[Class]]="A",TolA,IF(tblCounts[[#This Row],[Class]]="B",TolB,IF(tblCounts[[#This Row],[Class]]="C",TolC,""))))</f>
        <v>0.02</v>
      </c>
      <c r="M112" s="41" t="str">
        <f>IF(tblCounts[[#This Row],[Date]]="","",IF(tblCounts[[#This Row],[Tolerance]]="","",IF(IF(tblCounts[[#This Row],[System qty (units)]]&gt;0,ABS(tblCounts[[#This Row],[Variance (units)]])/tblCounts[[#This Row],[System qty (units)]],IF(tblCounts[[#This Row],[Counted qty (units)]]&gt;0,1,0))&lt;=tblCounts[[#This Row],[Tolerance]],"Yes","No")))</f>
        <v>Yes</v>
      </c>
      <c r="N112" s="42">
        <f>IF(tblCounts[[#This Row],[Date]]="","",tblCounts[[#This Row],[Variance (units)]]*tblCounts[[#This Row],[Unit cost]])</f>
        <v>0</v>
      </c>
      <c r="O112" s="42">
        <f>IF(tblCounts[[#This Row],[Date]]="","",ABS(tblCounts[[#This Row],[Variance value]]))</f>
        <v>0</v>
      </c>
      <c r="P112" s="28" t="s">
        <v>119</v>
      </c>
      <c r="Q112" s="28" t="s">
        <v>132</v>
      </c>
      <c r="R11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2" s="28" t="s">
        <v>119</v>
      </c>
    </row>
    <row r="113" spans="2:19">
      <c r="B113" s="35">
        <v>46294</v>
      </c>
      <c r="C113" s="28" t="s">
        <v>133</v>
      </c>
      <c r="D113" s="28" t="s">
        <v>76</v>
      </c>
      <c r="E113" s="28" t="s">
        <v>134</v>
      </c>
      <c r="F113" s="28" t="s">
        <v>123</v>
      </c>
      <c r="G113" s="36">
        <v>18</v>
      </c>
      <c r="H113" s="37">
        <v>58</v>
      </c>
      <c r="I113" s="37">
        <v>58</v>
      </c>
      <c r="J113" s="38">
        <f>IF(tblCounts[[#This Row],[Date]]="","",tblCounts[[#This Row],[Counted qty (units)]]-tblCounts[[#This Row],[System qty (units)]])</f>
        <v>0</v>
      </c>
      <c r="K113" s="39">
        <f>IF(tblCounts[[#This Row],[Date]]="","",IF(tblCounts[[#This Row],[System qty (units)]]&gt;0,tblCounts[[#This Row],[Variance (units)]]/tblCounts[[#This Row],[System qty (units)]],""))</f>
        <v>0</v>
      </c>
      <c r="L113" s="40">
        <f>IF(tblCounts[[#This Row],[Date]]="","",IF(tblCounts[[#This Row],[Class]]="A",TolA,IF(tblCounts[[#This Row],[Class]]="B",TolB,IF(tblCounts[[#This Row],[Class]]="C",TolC,""))))</f>
        <v>0.02</v>
      </c>
      <c r="M113" s="41" t="str">
        <f>IF(tblCounts[[#This Row],[Date]]="","",IF(tblCounts[[#This Row],[Tolerance]]="","",IF(IF(tblCounts[[#This Row],[System qty (units)]]&gt;0,ABS(tblCounts[[#This Row],[Variance (units)]])/tblCounts[[#This Row],[System qty (units)]],IF(tblCounts[[#This Row],[Counted qty (units)]]&gt;0,1,0))&lt;=tblCounts[[#This Row],[Tolerance]],"Yes","No")))</f>
        <v>Yes</v>
      </c>
      <c r="N113" s="42">
        <f>IF(tblCounts[[#This Row],[Date]]="","",tblCounts[[#This Row],[Variance (units)]]*tblCounts[[#This Row],[Unit cost]])</f>
        <v>0</v>
      </c>
      <c r="O113" s="42">
        <f>IF(tblCounts[[#This Row],[Date]]="","",ABS(tblCounts[[#This Row],[Variance value]]))</f>
        <v>0</v>
      </c>
      <c r="P113" s="28" t="s">
        <v>119</v>
      </c>
      <c r="Q113" s="28" t="s">
        <v>120</v>
      </c>
      <c r="R11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3" s="28" t="s">
        <v>119</v>
      </c>
    </row>
    <row r="114" spans="2:19">
      <c r="B114" s="35">
        <v>46294</v>
      </c>
      <c r="C114" s="28" t="s">
        <v>202</v>
      </c>
      <c r="D114" s="28" t="s">
        <v>80</v>
      </c>
      <c r="E114" s="28" t="s">
        <v>203</v>
      </c>
      <c r="F114" s="28" t="s">
        <v>123</v>
      </c>
      <c r="G114" s="36">
        <v>127</v>
      </c>
      <c r="H114" s="37">
        <v>77</v>
      </c>
      <c r="I114" s="37">
        <v>77</v>
      </c>
      <c r="J114" s="38">
        <f>IF(tblCounts[[#This Row],[Date]]="","",tblCounts[[#This Row],[Counted qty (units)]]-tblCounts[[#This Row],[System qty (units)]])</f>
        <v>0</v>
      </c>
      <c r="K114" s="39">
        <f>IF(tblCounts[[#This Row],[Date]]="","",IF(tblCounts[[#This Row],[System qty (units)]]&gt;0,tblCounts[[#This Row],[Variance (units)]]/tblCounts[[#This Row],[System qty (units)]],""))</f>
        <v>0</v>
      </c>
      <c r="L114" s="40">
        <f>IF(tblCounts[[#This Row],[Date]]="","",IF(tblCounts[[#This Row],[Class]]="A",TolA,IF(tblCounts[[#This Row],[Class]]="B",TolB,IF(tblCounts[[#This Row],[Class]]="C",TolC,""))))</f>
        <v>0.02</v>
      </c>
      <c r="M114" s="41" t="str">
        <f>IF(tblCounts[[#This Row],[Date]]="","",IF(tblCounts[[#This Row],[Tolerance]]="","",IF(IF(tblCounts[[#This Row],[System qty (units)]]&gt;0,ABS(tblCounts[[#This Row],[Variance (units)]])/tblCounts[[#This Row],[System qty (units)]],IF(tblCounts[[#This Row],[Counted qty (units)]]&gt;0,1,0))&lt;=tblCounts[[#This Row],[Tolerance]],"Yes","No")))</f>
        <v>Yes</v>
      </c>
      <c r="N114" s="42">
        <f>IF(tblCounts[[#This Row],[Date]]="","",tblCounts[[#This Row],[Variance (units)]]*tblCounts[[#This Row],[Unit cost]])</f>
        <v>0</v>
      </c>
      <c r="O114" s="42">
        <f>IF(tblCounts[[#This Row],[Date]]="","",ABS(tblCounts[[#This Row],[Variance value]]))</f>
        <v>0</v>
      </c>
      <c r="P114" s="28" t="s">
        <v>119</v>
      </c>
      <c r="Q114" s="28" t="s">
        <v>120</v>
      </c>
      <c r="R11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4" s="28" t="s">
        <v>119</v>
      </c>
    </row>
    <row r="115" spans="2:19">
      <c r="B115" s="35">
        <v>46294</v>
      </c>
      <c r="C115" s="28" t="s">
        <v>124</v>
      </c>
      <c r="D115" s="28" t="s">
        <v>80</v>
      </c>
      <c r="E115" s="28" t="s">
        <v>204</v>
      </c>
      <c r="F115" s="28" t="s">
        <v>123</v>
      </c>
      <c r="G115" s="36">
        <v>72</v>
      </c>
      <c r="H115" s="37">
        <v>31</v>
      </c>
      <c r="I115" s="37">
        <v>31</v>
      </c>
      <c r="J115" s="38">
        <f>IF(tblCounts[[#This Row],[Date]]="","",tblCounts[[#This Row],[Counted qty (units)]]-tblCounts[[#This Row],[System qty (units)]])</f>
        <v>0</v>
      </c>
      <c r="K115" s="39">
        <f>IF(tblCounts[[#This Row],[Date]]="","",IF(tblCounts[[#This Row],[System qty (units)]]&gt;0,tblCounts[[#This Row],[Variance (units)]]/tblCounts[[#This Row],[System qty (units)]],""))</f>
        <v>0</v>
      </c>
      <c r="L115" s="40">
        <f>IF(tblCounts[[#This Row],[Date]]="","",IF(tblCounts[[#This Row],[Class]]="A",TolA,IF(tblCounts[[#This Row],[Class]]="B",TolB,IF(tblCounts[[#This Row],[Class]]="C",TolC,""))))</f>
        <v>0.02</v>
      </c>
      <c r="M115" s="41" t="str">
        <f>IF(tblCounts[[#This Row],[Date]]="","",IF(tblCounts[[#This Row],[Tolerance]]="","",IF(IF(tblCounts[[#This Row],[System qty (units)]]&gt;0,ABS(tblCounts[[#This Row],[Variance (units)]])/tblCounts[[#This Row],[System qty (units)]],IF(tblCounts[[#This Row],[Counted qty (units)]]&gt;0,1,0))&lt;=tblCounts[[#This Row],[Tolerance]],"Yes","No")))</f>
        <v>Yes</v>
      </c>
      <c r="N115" s="42">
        <f>IF(tblCounts[[#This Row],[Date]]="","",tblCounts[[#This Row],[Variance (units)]]*tblCounts[[#This Row],[Unit cost]])</f>
        <v>0</v>
      </c>
      <c r="O115" s="42">
        <f>IF(tblCounts[[#This Row],[Date]]="","",ABS(tblCounts[[#This Row],[Variance value]]))</f>
        <v>0</v>
      </c>
      <c r="P115" s="28" t="s">
        <v>119</v>
      </c>
      <c r="Q115" s="28" t="s">
        <v>129</v>
      </c>
      <c r="R11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5" s="28" t="s">
        <v>119</v>
      </c>
    </row>
    <row r="116" spans="2:19">
      <c r="B116" s="35">
        <v>46294</v>
      </c>
      <c r="C116" s="28" t="s">
        <v>141</v>
      </c>
      <c r="D116" s="28" t="s">
        <v>76</v>
      </c>
      <c r="E116" s="28" t="s">
        <v>142</v>
      </c>
      <c r="F116" s="28" t="s">
        <v>126</v>
      </c>
      <c r="G116" s="36">
        <v>222</v>
      </c>
      <c r="H116" s="37">
        <v>92</v>
      </c>
      <c r="I116" s="37">
        <v>92</v>
      </c>
      <c r="J116" s="38">
        <f>IF(tblCounts[[#This Row],[Date]]="","",tblCounts[[#This Row],[Counted qty (units)]]-tblCounts[[#This Row],[System qty (units)]])</f>
        <v>0</v>
      </c>
      <c r="K116" s="39">
        <f>IF(tblCounts[[#This Row],[Date]]="","",IF(tblCounts[[#This Row],[System qty (units)]]&gt;0,tblCounts[[#This Row],[Variance (units)]]/tblCounts[[#This Row],[System qty (units)]],""))</f>
        <v>0</v>
      </c>
      <c r="L116" s="40">
        <f>IF(tblCounts[[#This Row],[Date]]="","",IF(tblCounts[[#This Row],[Class]]="A",TolA,IF(tblCounts[[#This Row],[Class]]="B",TolB,IF(tblCounts[[#This Row],[Class]]="C",TolC,""))))</f>
        <v>0</v>
      </c>
      <c r="M116" s="41" t="str">
        <f>IF(tblCounts[[#This Row],[Date]]="","",IF(tblCounts[[#This Row],[Tolerance]]="","",IF(IF(tblCounts[[#This Row],[System qty (units)]]&gt;0,ABS(tblCounts[[#This Row],[Variance (units)]])/tblCounts[[#This Row],[System qty (units)]],IF(tblCounts[[#This Row],[Counted qty (units)]]&gt;0,1,0))&lt;=tblCounts[[#This Row],[Tolerance]],"Yes","No")))</f>
        <v>Yes</v>
      </c>
      <c r="N116" s="42">
        <f>IF(tblCounts[[#This Row],[Date]]="","",tblCounts[[#This Row],[Variance (units)]]*tblCounts[[#This Row],[Unit cost]])</f>
        <v>0</v>
      </c>
      <c r="O116" s="42">
        <f>IF(tblCounts[[#This Row],[Date]]="","",ABS(tblCounts[[#This Row],[Variance value]]))</f>
        <v>0</v>
      </c>
      <c r="P116" s="28" t="s">
        <v>119</v>
      </c>
      <c r="Q116" s="28" t="s">
        <v>132</v>
      </c>
      <c r="R11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6" s="28" t="s">
        <v>119</v>
      </c>
    </row>
    <row r="117" spans="2:19">
      <c r="B117" s="35">
        <v>46295</v>
      </c>
      <c r="C117" s="28" t="s">
        <v>139</v>
      </c>
      <c r="D117" s="28" t="s">
        <v>78</v>
      </c>
      <c r="E117" s="28" t="s">
        <v>140</v>
      </c>
      <c r="F117" s="28" t="s">
        <v>123</v>
      </c>
      <c r="G117" s="36">
        <v>14.74</v>
      </c>
      <c r="H117" s="37">
        <v>762</v>
      </c>
      <c r="I117" s="37">
        <v>752</v>
      </c>
      <c r="J117" s="38">
        <f>IF(tblCounts[[#This Row],[Date]]="","",tblCounts[[#This Row],[Counted qty (units)]]-tblCounts[[#This Row],[System qty (units)]])</f>
        <v>-10</v>
      </c>
      <c r="K117" s="39">
        <f>IF(tblCounts[[#This Row],[Date]]="","",IF(tblCounts[[#This Row],[System qty (units)]]&gt;0,tblCounts[[#This Row],[Variance (units)]]/tblCounts[[#This Row],[System qty (units)]],""))</f>
        <v>-0.0131233595800525</v>
      </c>
      <c r="L117" s="40">
        <f>IF(tblCounts[[#This Row],[Date]]="","",IF(tblCounts[[#This Row],[Class]]="A",TolA,IF(tblCounts[[#This Row],[Class]]="B",TolB,IF(tblCounts[[#This Row],[Class]]="C",TolC,""))))</f>
        <v>0.02</v>
      </c>
      <c r="M117" s="41" t="str">
        <f>IF(tblCounts[[#This Row],[Date]]="","",IF(tblCounts[[#This Row],[Tolerance]]="","",IF(IF(tblCounts[[#This Row],[System qty (units)]]&gt;0,ABS(tblCounts[[#This Row],[Variance (units)]])/tblCounts[[#This Row],[System qty (units)]],IF(tblCounts[[#This Row],[Counted qty (units)]]&gt;0,1,0))&lt;=tblCounts[[#This Row],[Tolerance]],"Yes","No")))</f>
        <v>Yes</v>
      </c>
      <c r="N117" s="42">
        <f>IF(tblCounts[[#This Row],[Date]]="","",tblCounts[[#This Row],[Variance (units)]]*tblCounts[[#This Row],[Unit cost]])</f>
        <v>-147.4</v>
      </c>
      <c r="O117" s="42">
        <f>IF(tblCounts[[#This Row],[Date]]="","",ABS(tblCounts[[#This Row],[Variance value]]))</f>
        <v>147.4</v>
      </c>
      <c r="P117" s="28" t="s">
        <v>119</v>
      </c>
      <c r="Q117" s="28" t="s">
        <v>132</v>
      </c>
      <c r="R11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7" s="28" t="s">
        <v>119</v>
      </c>
    </row>
    <row r="118" spans="2:19">
      <c r="B118" s="35">
        <v>46295</v>
      </c>
      <c r="C118" s="28" t="s">
        <v>155</v>
      </c>
      <c r="D118" s="28" t="s">
        <v>80</v>
      </c>
      <c r="E118" s="28" t="s">
        <v>156</v>
      </c>
      <c r="F118" s="28" t="s">
        <v>126</v>
      </c>
      <c r="G118" s="36">
        <v>309</v>
      </c>
      <c r="H118" s="37">
        <v>8</v>
      </c>
      <c r="I118" s="37">
        <v>8</v>
      </c>
      <c r="J118" s="38">
        <f>IF(tblCounts[[#This Row],[Date]]="","",tblCounts[[#This Row],[Counted qty (units)]]-tblCounts[[#This Row],[System qty (units)]])</f>
        <v>0</v>
      </c>
      <c r="K118" s="39">
        <f>IF(tblCounts[[#This Row],[Date]]="","",IF(tblCounts[[#This Row],[System qty (units)]]&gt;0,tblCounts[[#This Row],[Variance (units)]]/tblCounts[[#This Row],[System qty (units)]],""))</f>
        <v>0</v>
      </c>
      <c r="L118" s="40">
        <f>IF(tblCounts[[#This Row],[Date]]="","",IF(tblCounts[[#This Row],[Class]]="A",TolA,IF(tblCounts[[#This Row],[Class]]="B",TolB,IF(tblCounts[[#This Row],[Class]]="C",TolC,""))))</f>
        <v>0</v>
      </c>
      <c r="M118" s="41" t="str">
        <f>IF(tblCounts[[#This Row],[Date]]="","",IF(tblCounts[[#This Row],[Tolerance]]="","",IF(IF(tblCounts[[#This Row],[System qty (units)]]&gt;0,ABS(tblCounts[[#This Row],[Variance (units)]])/tblCounts[[#This Row],[System qty (units)]],IF(tblCounts[[#This Row],[Counted qty (units)]]&gt;0,1,0))&lt;=tblCounts[[#This Row],[Tolerance]],"Yes","No")))</f>
        <v>Yes</v>
      </c>
      <c r="N118" s="42">
        <f>IF(tblCounts[[#This Row],[Date]]="","",tblCounts[[#This Row],[Variance (units)]]*tblCounts[[#This Row],[Unit cost]])</f>
        <v>0</v>
      </c>
      <c r="O118" s="42">
        <f>IF(tblCounts[[#This Row],[Date]]="","",ABS(tblCounts[[#This Row],[Variance value]]))</f>
        <v>0</v>
      </c>
      <c r="P118" s="28" t="s">
        <v>119</v>
      </c>
      <c r="Q118" s="28" t="s">
        <v>120</v>
      </c>
      <c r="R11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8" s="28" t="s">
        <v>119</v>
      </c>
    </row>
    <row r="119" spans="2:19">
      <c r="B119" s="35">
        <v>46295</v>
      </c>
      <c r="C119" s="28" t="s">
        <v>157</v>
      </c>
      <c r="D119" s="28" t="s">
        <v>76</v>
      </c>
      <c r="E119" s="28" t="s">
        <v>158</v>
      </c>
      <c r="F119" s="28" t="s">
        <v>126</v>
      </c>
      <c r="G119" s="36">
        <v>75</v>
      </c>
      <c r="H119" s="37">
        <v>51</v>
      </c>
      <c r="I119" s="37">
        <v>51</v>
      </c>
      <c r="J119" s="38">
        <f>IF(tblCounts[[#This Row],[Date]]="","",tblCounts[[#This Row],[Counted qty (units)]]-tblCounts[[#This Row],[System qty (units)]])</f>
        <v>0</v>
      </c>
      <c r="K119" s="39">
        <f>IF(tblCounts[[#This Row],[Date]]="","",IF(tblCounts[[#This Row],[System qty (units)]]&gt;0,tblCounts[[#This Row],[Variance (units)]]/tblCounts[[#This Row],[System qty (units)]],""))</f>
        <v>0</v>
      </c>
      <c r="L119" s="40">
        <f>IF(tblCounts[[#This Row],[Date]]="","",IF(tblCounts[[#This Row],[Class]]="A",TolA,IF(tblCounts[[#This Row],[Class]]="B",TolB,IF(tblCounts[[#This Row],[Class]]="C",TolC,""))))</f>
        <v>0</v>
      </c>
      <c r="M119" s="41" t="str">
        <f>IF(tblCounts[[#This Row],[Date]]="","",IF(tblCounts[[#This Row],[Tolerance]]="","",IF(IF(tblCounts[[#This Row],[System qty (units)]]&gt;0,ABS(tblCounts[[#This Row],[Variance (units)]])/tblCounts[[#This Row],[System qty (units)]],IF(tblCounts[[#This Row],[Counted qty (units)]]&gt;0,1,0))&lt;=tblCounts[[#This Row],[Tolerance]],"Yes","No")))</f>
        <v>Yes</v>
      </c>
      <c r="N119" s="42">
        <f>IF(tblCounts[[#This Row],[Date]]="","",tblCounts[[#This Row],[Variance (units)]]*tblCounts[[#This Row],[Unit cost]])</f>
        <v>0</v>
      </c>
      <c r="O119" s="42">
        <f>IF(tblCounts[[#This Row],[Date]]="","",ABS(tblCounts[[#This Row],[Variance value]]))</f>
        <v>0</v>
      </c>
      <c r="P119" s="28" t="s">
        <v>119</v>
      </c>
      <c r="Q119" s="28" t="s">
        <v>120</v>
      </c>
      <c r="R11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19" s="28" t="s">
        <v>119</v>
      </c>
    </row>
    <row r="120" spans="2:19">
      <c r="B120" s="35">
        <v>46295</v>
      </c>
      <c r="C120" s="28" t="s">
        <v>151</v>
      </c>
      <c r="D120" s="28" t="s">
        <v>80</v>
      </c>
      <c r="E120" s="28" t="s">
        <v>152</v>
      </c>
      <c r="F120" s="28" t="s">
        <v>123</v>
      </c>
      <c r="G120" s="36">
        <v>70</v>
      </c>
      <c r="H120" s="37">
        <v>69</v>
      </c>
      <c r="I120" s="37">
        <v>69</v>
      </c>
      <c r="J120" s="38">
        <f>IF(tblCounts[[#This Row],[Date]]="","",tblCounts[[#This Row],[Counted qty (units)]]-tblCounts[[#This Row],[System qty (units)]])</f>
        <v>0</v>
      </c>
      <c r="K120" s="39">
        <f>IF(tblCounts[[#This Row],[Date]]="","",IF(tblCounts[[#This Row],[System qty (units)]]&gt;0,tblCounts[[#This Row],[Variance (units)]]/tblCounts[[#This Row],[System qty (units)]],""))</f>
        <v>0</v>
      </c>
      <c r="L120" s="40">
        <f>IF(tblCounts[[#This Row],[Date]]="","",IF(tblCounts[[#This Row],[Class]]="A",TolA,IF(tblCounts[[#This Row],[Class]]="B",TolB,IF(tblCounts[[#This Row],[Class]]="C",TolC,""))))</f>
        <v>0.02</v>
      </c>
      <c r="M120" s="41" t="str">
        <f>IF(tblCounts[[#This Row],[Date]]="","",IF(tblCounts[[#This Row],[Tolerance]]="","",IF(IF(tblCounts[[#This Row],[System qty (units)]]&gt;0,ABS(tblCounts[[#This Row],[Variance (units)]])/tblCounts[[#This Row],[System qty (units)]],IF(tblCounts[[#This Row],[Counted qty (units)]]&gt;0,1,0))&lt;=tblCounts[[#This Row],[Tolerance]],"Yes","No")))</f>
        <v>Yes</v>
      </c>
      <c r="N120" s="42">
        <f>IF(tblCounts[[#This Row],[Date]]="","",tblCounts[[#This Row],[Variance (units)]]*tblCounts[[#This Row],[Unit cost]])</f>
        <v>0</v>
      </c>
      <c r="O120" s="42">
        <f>IF(tblCounts[[#This Row],[Date]]="","",ABS(tblCounts[[#This Row],[Variance value]]))</f>
        <v>0</v>
      </c>
      <c r="P120" s="28" t="s">
        <v>119</v>
      </c>
      <c r="Q120" s="28" t="s">
        <v>129</v>
      </c>
      <c r="R12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0" s="28" t="s">
        <v>119</v>
      </c>
    </row>
    <row r="121" spans="2:19">
      <c r="B121" s="35">
        <v>46295</v>
      </c>
      <c r="C121" s="28" t="s">
        <v>124</v>
      </c>
      <c r="D121" s="28" t="s">
        <v>80</v>
      </c>
      <c r="E121" s="28" t="s">
        <v>125</v>
      </c>
      <c r="F121" s="28" t="s">
        <v>126</v>
      </c>
      <c r="G121" s="36">
        <v>418</v>
      </c>
      <c r="H121" s="37">
        <v>21</v>
      </c>
      <c r="I121" s="37">
        <v>21</v>
      </c>
      <c r="J121" s="38">
        <f>IF(tblCounts[[#This Row],[Date]]="","",tblCounts[[#This Row],[Counted qty (units)]]-tblCounts[[#This Row],[System qty (units)]])</f>
        <v>0</v>
      </c>
      <c r="K121" s="39">
        <f>IF(tblCounts[[#This Row],[Date]]="","",IF(tblCounts[[#This Row],[System qty (units)]]&gt;0,tblCounts[[#This Row],[Variance (units)]]/tblCounts[[#This Row],[System qty (units)]],""))</f>
        <v>0</v>
      </c>
      <c r="L121" s="40">
        <f>IF(tblCounts[[#This Row],[Date]]="","",IF(tblCounts[[#This Row],[Class]]="A",TolA,IF(tblCounts[[#This Row],[Class]]="B",TolB,IF(tblCounts[[#This Row],[Class]]="C",TolC,""))))</f>
        <v>0</v>
      </c>
      <c r="M121" s="41" t="str">
        <f>IF(tblCounts[[#This Row],[Date]]="","",IF(tblCounts[[#This Row],[Tolerance]]="","",IF(IF(tblCounts[[#This Row],[System qty (units)]]&gt;0,ABS(tblCounts[[#This Row],[Variance (units)]])/tblCounts[[#This Row],[System qty (units)]],IF(tblCounts[[#This Row],[Counted qty (units)]]&gt;0,1,0))&lt;=tblCounts[[#This Row],[Tolerance]],"Yes","No")))</f>
        <v>Yes</v>
      </c>
      <c r="N121" s="42">
        <f>IF(tblCounts[[#This Row],[Date]]="","",tblCounts[[#This Row],[Variance (units)]]*tblCounts[[#This Row],[Unit cost]])</f>
        <v>0</v>
      </c>
      <c r="O121" s="42">
        <f>IF(tblCounts[[#This Row],[Date]]="","",ABS(tblCounts[[#This Row],[Variance value]]))</f>
        <v>0</v>
      </c>
      <c r="P121" s="28" t="s">
        <v>119</v>
      </c>
      <c r="Q121" s="28" t="s">
        <v>132</v>
      </c>
      <c r="R12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1" s="28" t="s">
        <v>119</v>
      </c>
    </row>
    <row r="122" spans="2:19">
      <c r="B122" s="35">
        <v>46296</v>
      </c>
      <c r="C122" s="28" t="s">
        <v>191</v>
      </c>
      <c r="D122" s="28" t="s">
        <v>76</v>
      </c>
      <c r="E122" s="28" t="s">
        <v>192</v>
      </c>
      <c r="F122" s="28" t="s">
        <v>123</v>
      </c>
      <c r="G122" s="36">
        <v>25</v>
      </c>
      <c r="H122" s="37">
        <v>131</v>
      </c>
      <c r="I122" s="37">
        <v>131</v>
      </c>
      <c r="J122" s="38">
        <f>IF(tblCounts[[#This Row],[Date]]="","",tblCounts[[#This Row],[Counted qty (units)]]-tblCounts[[#This Row],[System qty (units)]])</f>
        <v>0</v>
      </c>
      <c r="K122" s="39">
        <f>IF(tblCounts[[#This Row],[Date]]="","",IF(tblCounts[[#This Row],[System qty (units)]]&gt;0,tblCounts[[#This Row],[Variance (units)]]/tblCounts[[#This Row],[System qty (units)]],""))</f>
        <v>0</v>
      </c>
      <c r="L122" s="40">
        <f>IF(tblCounts[[#This Row],[Date]]="","",IF(tblCounts[[#This Row],[Class]]="A",TolA,IF(tblCounts[[#This Row],[Class]]="B",TolB,IF(tblCounts[[#This Row],[Class]]="C",TolC,""))))</f>
        <v>0.02</v>
      </c>
      <c r="M122" s="41" t="str">
        <f>IF(tblCounts[[#This Row],[Date]]="","",IF(tblCounts[[#This Row],[Tolerance]]="","",IF(IF(tblCounts[[#This Row],[System qty (units)]]&gt;0,ABS(tblCounts[[#This Row],[Variance (units)]])/tblCounts[[#This Row],[System qty (units)]],IF(tblCounts[[#This Row],[Counted qty (units)]]&gt;0,1,0))&lt;=tblCounts[[#This Row],[Tolerance]],"Yes","No")))</f>
        <v>Yes</v>
      </c>
      <c r="N122" s="42">
        <f>IF(tblCounts[[#This Row],[Date]]="","",tblCounts[[#This Row],[Variance (units)]]*tblCounts[[#This Row],[Unit cost]])</f>
        <v>0</v>
      </c>
      <c r="O122" s="42">
        <f>IF(tblCounts[[#This Row],[Date]]="","",ABS(tblCounts[[#This Row],[Variance value]]))</f>
        <v>0</v>
      </c>
      <c r="P122" s="28" t="s">
        <v>119</v>
      </c>
      <c r="Q122" s="28" t="s">
        <v>129</v>
      </c>
      <c r="R12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2" s="28" t="s">
        <v>119</v>
      </c>
    </row>
    <row r="123" spans="2:19">
      <c r="B123" s="35">
        <v>46296</v>
      </c>
      <c r="C123" s="28" t="s">
        <v>205</v>
      </c>
      <c r="D123" s="28" t="s">
        <v>82</v>
      </c>
      <c r="E123" s="28" t="s">
        <v>206</v>
      </c>
      <c r="F123" s="28" t="s">
        <v>126</v>
      </c>
      <c r="G123" s="36">
        <v>1092</v>
      </c>
      <c r="H123" s="37">
        <v>10</v>
      </c>
      <c r="I123" s="37">
        <v>10</v>
      </c>
      <c r="J123" s="38">
        <f>IF(tblCounts[[#This Row],[Date]]="","",tblCounts[[#This Row],[Counted qty (units)]]-tblCounts[[#This Row],[System qty (units)]])</f>
        <v>0</v>
      </c>
      <c r="K123" s="39">
        <f>IF(tblCounts[[#This Row],[Date]]="","",IF(tblCounts[[#This Row],[System qty (units)]]&gt;0,tblCounts[[#This Row],[Variance (units)]]/tblCounts[[#This Row],[System qty (units)]],""))</f>
        <v>0</v>
      </c>
      <c r="L123" s="40">
        <f>IF(tblCounts[[#This Row],[Date]]="","",IF(tblCounts[[#This Row],[Class]]="A",TolA,IF(tblCounts[[#This Row],[Class]]="B",TolB,IF(tblCounts[[#This Row],[Class]]="C",TolC,""))))</f>
        <v>0</v>
      </c>
      <c r="M123" s="41" t="str">
        <f>IF(tblCounts[[#This Row],[Date]]="","",IF(tblCounts[[#This Row],[Tolerance]]="","",IF(IF(tblCounts[[#This Row],[System qty (units)]]&gt;0,ABS(tblCounts[[#This Row],[Variance (units)]])/tblCounts[[#This Row],[System qty (units)]],IF(tblCounts[[#This Row],[Counted qty (units)]]&gt;0,1,0))&lt;=tblCounts[[#This Row],[Tolerance]],"Yes","No")))</f>
        <v>Yes</v>
      </c>
      <c r="N123" s="42">
        <f>IF(tblCounts[[#This Row],[Date]]="","",tblCounts[[#This Row],[Variance (units)]]*tblCounts[[#This Row],[Unit cost]])</f>
        <v>0</v>
      </c>
      <c r="O123" s="42">
        <f>IF(tblCounts[[#This Row],[Date]]="","",ABS(tblCounts[[#This Row],[Variance value]]))</f>
        <v>0</v>
      </c>
      <c r="P123" s="28" t="s">
        <v>119</v>
      </c>
      <c r="Q123" s="28" t="s">
        <v>132</v>
      </c>
      <c r="R12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3" s="28" t="s">
        <v>119</v>
      </c>
    </row>
    <row r="124" spans="2:19">
      <c r="B124" s="35">
        <v>46296</v>
      </c>
      <c r="C124" s="28" t="s">
        <v>189</v>
      </c>
      <c r="D124" s="28" t="s">
        <v>78</v>
      </c>
      <c r="E124" s="28" t="s">
        <v>190</v>
      </c>
      <c r="F124" s="28" t="s">
        <v>118</v>
      </c>
      <c r="G124" s="36">
        <v>0.16</v>
      </c>
      <c r="H124" s="37">
        <v>650</v>
      </c>
      <c r="I124" s="37">
        <v>650</v>
      </c>
      <c r="J124" s="38">
        <f>IF(tblCounts[[#This Row],[Date]]="","",tblCounts[[#This Row],[Counted qty (units)]]-tblCounts[[#This Row],[System qty (units)]])</f>
        <v>0</v>
      </c>
      <c r="K124" s="39">
        <f>IF(tblCounts[[#This Row],[Date]]="","",IF(tblCounts[[#This Row],[System qty (units)]]&gt;0,tblCounts[[#This Row],[Variance (units)]]/tblCounts[[#This Row],[System qty (units)]],""))</f>
        <v>0</v>
      </c>
      <c r="L124" s="40">
        <f>IF(tblCounts[[#This Row],[Date]]="","",IF(tblCounts[[#This Row],[Class]]="A",TolA,IF(tblCounts[[#This Row],[Class]]="B",TolB,IF(tblCounts[[#This Row],[Class]]="C",TolC,""))))</f>
        <v>0.05</v>
      </c>
      <c r="M124" s="41" t="str">
        <f>IF(tblCounts[[#This Row],[Date]]="","",IF(tblCounts[[#This Row],[Tolerance]]="","",IF(IF(tblCounts[[#This Row],[System qty (units)]]&gt;0,ABS(tblCounts[[#This Row],[Variance (units)]])/tblCounts[[#This Row],[System qty (units)]],IF(tblCounts[[#This Row],[Counted qty (units)]]&gt;0,1,0))&lt;=tblCounts[[#This Row],[Tolerance]],"Yes","No")))</f>
        <v>Yes</v>
      </c>
      <c r="N124" s="42">
        <f>IF(tblCounts[[#This Row],[Date]]="","",tblCounts[[#This Row],[Variance (units)]]*tblCounts[[#This Row],[Unit cost]])</f>
        <v>0</v>
      </c>
      <c r="O124" s="42">
        <f>IF(tblCounts[[#This Row],[Date]]="","",ABS(tblCounts[[#This Row],[Variance value]]))</f>
        <v>0</v>
      </c>
      <c r="P124" s="28" t="s">
        <v>119</v>
      </c>
      <c r="Q124" s="28" t="s">
        <v>129</v>
      </c>
      <c r="R12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4" s="28" t="s">
        <v>119</v>
      </c>
    </row>
    <row r="125" spans="2:19">
      <c r="B125" s="35">
        <v>46296</v>
      </c>
      <c r="C125" s="28" t="s">
        <v>202</v>
      </c>
      <c r="D125" s="28" t="s">
        <v>80</v>
      </c>
      <c r="E125" s="28" t="s">
        <v>203</v>
      </c>
      <c r="F125" s="28" t="s">
        <v>123</v>
      </c>
      <c r="G125" s="36">
        <v>127</v>
      </c>
      <c r="H125" s="37">
        <v>10</v>
      </c>
      <c r="I125" s="37">
        <v>10</v>
      </c>
      <c r="J125" s="38">
        <f>IF(tblCounts[[#This Row],[Date]]="","",tblCounts[[#This Row],[Counted qty (units)]]-tblCounts[[#This Row],[System qty (units)]])</f>
        <v>0</v>
      </c>
      <c r="K125" s="39">
        <f>IF(tblCounts[[#This Row],[Date]]="","",IF(tblCounts[[#This Row],[System qty (units)]]&gt;0,tblCounts[[#This Row],[Variance (units)]]/tblCounts[[#This Row],[System qty (units)]],""))</f>
        <v>0</v>
      </c>
      <c r="L125" s="40">
        <f>IF(tblCounts[[#This Row],[Date]]="","",IF(tblCounts[[#This Row],[Class]]="A",TolA,IF(tblCounts[[#This Row],[Class]]="B",TolB,IF(tblCounts[[#This Row],[Class]]="C",TolC,""))))</f>
        <v>0.02</v>
      </c>
      <c r="M125" s="41" t="str">
        <f>IF(tblCounts[[#This Row],[Date]]="","",IF(tblCounts[[#This Row],[Tolerance]]="","",IF(IF(tblCounts[[#This Row],[System qty (units)]]&gt;0,ABS(tblCounts[[#This Row],[Variance (units)]])/tblCounts[[#This Row],[System qty (units)]],IF(tblCounts[[#This Row],[Counted qty (units)]]&gt;0,1,0))&lt;=tblCounts[[#This Row],[Tolerance]],"Yes","No")))</f>
        <v>Yes</v>
      </c>
      <c r="N125" s="42">
        <f>IF(tblCounts[[#This Row],[Date]]="","",tblCounts[[#This Row],[Variance (units)]]*tblCounts[[#This Row],[Unit cost]])</f>
        <v>0</v>
      </c>
      <c r="O125" s="42">
        <f>IF(tblCounts[[#This Row],[Date]]="","",ABS(tblCounts[[#This Row],[Variance value]]))</f>
        <v>0</v>
      </c>
      <c r="P125" s="28" t="s">
        <v>119</v>
      </c>
      <c r="Q125" s="28" t="s">
        <v>129</v>
      </c>
      <c r="R12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5" s="28" t="s">
        <v>119</v>
      </c>
    </row>
    <row r="126" spans="2:19">
      <c r="B126" s="35">
        <v>46296</v>
      </c>
      <c r="C126" s="28" t="s">
        <v>198</v>
      </c>
      <c r="D126" s="28" t="s">
        <v>78</v>
      </c>
      <c r="E126" s="28" t="s">
        <v>207</v>
      </c>
      <c r="F126" s="28" t="s">
        <v>118</v>
      </c>
      <c r="G126" s="36">
        <v>1.85</v>
      </c>
      <c r="H126" s="37">
        <v>802</v>
      </c>
      <c r="I126" s="37">
        <v>802</v>
      </c>
      <c r="J126" s="38">
        <f>IF(tblCounts[[#This Row],[Date]]="","",tblCounts[[#This Row],[Counted qty (units)]]-tblCounts[[#This Row],[System qty (units)]])</f>
        <v>0</v>
      </c>
      <c r="K126" s="39">
        <f>IF(tblCounts[[#This Row],[Date]]="","",IF(tblCounts[[#This Row],[System qty (units)]]&gt;0,tblCounts[[#This Row],[Variance (units)]]/tblCounts[[#This Row],[System qty (units)]],""))</f>
        <v>0</v>
      </c>
      <c r="L126" s="40">
        <f>IF(tblCounts[[#This Row],[Date]]="","",IF(tblCounts[[#This Row],[Class]]="A",TolA,IF(tblCounts[[#This Row],[Class]]="B",TolB,IF(tblCounts[[#This Row],[Class]]="C",TolC,""))))</f>
        <v>0.05</v>
      </c>
      <c r="M126" s="41" t="str">
        <f>IF(tblCounts[[#This Row],[Date]]="","",IF(tblCounts[[#This Row],[Tolerance]]="","",IF(IF(tblCounts[[#This Row],[System qty (units)]]&gt;0,ABS(tblCounts[[#This Row],[Variance (units)]])/tblCounts[[#This Row],[System qty (units)]],IF(tblCounts[[#This Row],[Counted qty (units)]]&gt;0,1,0))&lt;=tblCounts[[#This Row],[Tolerance]],"Yes","No")))</f>
        <v>Yes</v>
      </c>
      <c r="N126" s="42">
        <f>IF(tblCounts[[#This Row],[Date]]="","",tblCounts[[#This Row],[Variance (units)]]*tblCounts[[#This Row],[Unit cost]])</f>
        <v>0</v>
      </c>
      <c r="O126" s="42">
        <f>IF(tblCounts[[#This Row],[Date]]="","",ABS(tblCounts[[#This Row],[Variance value]]))</f>
        <v>0</v>
      </c>
      <c r="P126" s="28" t="s">
        <v>119</v>
      </c>
      <c r="Q126" s="28" t="s">
        <v>120</v>
      </c>
      <c r="R12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6" s="28" t="s">
        <v>119</v>
      </c>
    </row>
    <row r="127" spans="2:19">
      <c r="B127" s="35">
        <v>46297</v>
      </c>
      <c r="C127" s="28" t="s">
        <v>124</v>
      </c>
      <c r="D127" s="28" t="s">
        <v>80</v>
      </c>
      <c r="E127" s="28" t="s">
        <v>125</v>
      </c>
      <c r="F127" s="28" t="s">
        <v>126</v>
      </c>
      <c r="G127" s="36">
        <v>418</v>
      </c>
      <c r="H127" s="37">
        <v>54</v>
      </c>
      <c r="I127" s="37">
        <v>54</v>
      </c>
      <c r="J127" s="38">
        <f>IF(tblCounts[[#This Row],[Date]]="","",tblCounts[[#This Row],[Counted qty (units)]]-tblCounts[[#This Row],[System qty (units)]])</f>
        <v>0</v>
      </c>
      <c r="K127" s="39">
        <f>IF(tblCounts[[#This Row],[Date]]="","",IF(tblCounts[[#This Row],[System qty (units)]]&gt;0,tblCounts[[#This Row],[Variance (units)]]/tblCounts[[#This Row],[System qty (units)]],""))</f>
        <v>0</v>
      </c>
      <c r="L127" s="40">
        <f>IF(tblCounts[[#This Row],[Date]]="","",IF(tblCounts[[#This Row],[Class]]="A",TolA,IF(tblCounts[[#This Row],[Class]]="B",TolB,IF(tblCounts[[#This Row],[Class]]="C",TolC,""))))</f>
        <v>0</v>
      </c>
      <c r="M127" s="41" t="str">
        <f>IF(tblCounts[[#This Row],[Date]]="","",IF(tblCounts[[#This Row],[Tolerance]]="","",IF(IF(tblCounts[[#This Row],[System qty (units)]]&gt;0,ABS(tblCounts[[#This Row],[Variance (units)]])/tblCounts[[#This Row],[System qty (units)]],IF(tblCounts[[#This Row],[Counted qty (units)]]&gt;0,1,0))&lt;=tblCounts[[#This Row],[Tolerance]],"Yes","No")))</f>
        <v>Yes</v>
      </c>
      <c r="N127" s="42">
        <f>IF(tblCounts[[#This Row],[Date]]="","",tblCounts[[#This Row],[Variance (units)]]*tblCounts[[#This Row],[Unit cost]])</f>
        <v>0</v>
      </c>
      <c r="O127" s="42">
        <f>IF(tblCounts[[#This Row],[Date]]="","",ABS(tblCounts[[#This Row],[Variance value]]))</f>
        <v>0</v>
      </c>
      <c r="P127" s="28" t="s">
        <v>119</v>
      </c>
      <c r="Q127" s="28" t="s">
        <v>129</v>
      </c>
      <c r="R12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7" s="28" t="s">
        <v>119</v>
      </c>
    </row>
    <row r="128" spans="2:19">
      <c r="B128" s="35">
        <v>46297</v>
      </c>
      <c r="C128" s="28" t="s">
        <v>171</v>
      </c>
      <c r="D128" s="28" t="s">
        <v>78</v>
      </c>
      <c r="E128" s="28" t="s">
        <v>172</v>
      </c>
      <c r="F128" s="28" t="s">
        <v>118</v>
      </c>
      <c r="G128" s="36">
        <v>0.48</v>
      </c>
      <c r="H128" s="37">
        <v>900</v>
      </c>
      <c r="I128" s="37">
        <v>900</v>
      </c>
      <c r="J128" s="38">
        <f>IF(tblCounts[[#This Row],[Date]]="","",tblCounts[[#This Row],[Counted qty (units)]]-tblCounts[[#This Row],[System qty (units)]])</f>
        <v>0</v>
      </c>
      <c r="K128" s="39">
        <f>IF(tblCounts[[#This Row],[Date]]="","",IF(tblCounts[[#This Row],[System qty (units)]]&gt;0,tblCounts[[#This Row],[Variance (units)]]/tblCounts[[#This Row],[System qty (units)]],""))</f>
        <v>0</v>
      </c>
      <c r="L128" s="40">
        <f>IF(tblCounts[[#This Row],[Date]]="","",IF(tblCounts[[#This Row],[Class]]="A",TolA,IF(tblCounts[[#This Row],[Class]]="B",TolB,IF(tblCounts[[#This Row],[Class]]="C",TolC,""))))</f>
        <v>0.05</v>
      </c>
      <c r="M128" s="41" t="str">
        <f>IF(tblCounts[[#This Row],[Date]]="","",IF(tblCounts[[#This Row],[Tolerance]]="","",IF(IF(tblCounts[[#This Row],[System qty (units)]]&gt;0,ABS(tblCounts[[#This Row],[Variance (units)]])/tblCounts[[#This Row],[System qty (units)]],IF(tblCounts[[#This Row],[Counted qty (units)]]&gt;0,1,0))&lt;=tblCounts[[#This Row],[Tolerance]],"Yes","No")))</f>
        <v>Yes</v>
      </c>
      <c r="N128" s="42">
        <f>IF(tblCounts[[#This Row],[Date]]="","",tblCounts[[#This Row],[Variance (units)]]*tblCounts[[#This Row],[Unit cost]])</f>
        <v>0</v>
      </c>
      <c r="O128" s="42">
        <f>IF(tblCounts[[#This Row],[Date]]="","",ABS(tblCounts[[#This Row],[Variance value]]))</f>
        <v>0</v>
      </c>
      <c r="P128" s="28" t="s">
        <v>119</v>
      </c>
      <c r="Q128" s="28" t="s">
        <v>132</v>
      </c>
      <c r="R12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8" s="28" t="s">
        <v>119</v>
      </c>
    </row>
    <row r="129" spans="2:19">
      <c r="B129" s="35">
        <v>46297</v>
      </c>
      <c r="C129" s="28" t="s">
        <v>157</v>
      </c>
      <c r="D129" s="28" t="s">
        <v>76</v>
      </c>
      <c r="E129" s="28" t="s">
        <v>158</v>
      </c>
      <c r="F129" s="28" t="s">
        <v>126</v>
      </c>
      <c r="G129" s="36">
        <v>75</v>
      </c>
      <c r="H129" s="37">
        <v>75</v>
      </c>
      <c r="I129" s="37">
        <v>75</v>
      </c>
      <c r="J129" s="38">
        <f>IF(tblCounts[[#This Row],[Date]]="","",tblCounts[[#This Row],[Counted qty (units)]]-tblCounts[[#This Row],[System qty (units)]])</f>
        <v>0</v>
      </c>
      <c r="K129" s="39">
        <f>IF(tblCounts[[#This Row],[Date]]="","",IF(tblCounts[[#This Row],[System qty (units)]]&gt;0,tblCounts[[#This Row],[Variance (units)]]/tblCounts[[#This Row],[System qty (units)]],""))</f>
        <v>0</v>
      </c>
      <c r="L129" s="40">
        <f>IF(tblCounts[[#This Row],[Date]]="","",IF(tblCounts[[#This Row],[Class]]="A",TolA,IF(tblCounts[[#This Row],[Class]]="B",TolB,IF(tblCounts[[#This Row],[Class]]="C",TolC,""))))</f>
        <v>0</v>
      </c>
      <c r="M129" s="41" t="str">
        <f>IF(tblCounts[[#This Row],[Date]]="","",IF(tblCounts[[#This Row],[Tolerance]]="","",IF(IF(tblCounts[[#This Row],[System qty (units)]]&gt;0,ABS(tblCounts[[#This Row],[Variance (units)]])/tblCounts[[#This Row],[System qty (units)]],IF(tblCounts[[#This Row],[Counted qty (units)]]&gt;0,1,0))&lt;=tblCounts[[#This Row],[Tolerance]],"Yes","No")))</f>
        <v>Yes</v>
      </c>
      <c r="N129" s="42">
        <f>IF(tblCounts[[#This Row],[Date]]="","",tblCounts[[#This Row],[Variance (units)]]*tblCounts[[#This Row],[Unit cost]])</f>
        <v>0</v>
      </c>
      <c r="O129" s="42">
        <f>IF(tblCounts[[#This Row],[Date]]="","",ABS(tblCounts[[#This Row],[Variance value]]))</f>
        <v>0</v>
      </c>
      <c r="P129" s="28" t="s">
        <v>119</v>
      </c>
      <c r="Q129" s="28" t="s">
        <v>120</v>
      </c>
      <c r="R12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29" s="28" t="s">
        <v>119</v>
      </c>
    </row>
    <row r="130" spans="2:19">
      <c r="B130" s="35">
        <v>46297</v>
      </c>
      <c r="C130" s="28" t="s">
        <v>139</v>
      </c>
      <c r="D130" s="28" t="s">
        <v>78</v>
      </c>
      <c r="E130" s="28" t="s">
        <v>140</v>
      </c>
      <c r="F130" s="28" t="s">
        <v>123</v>
      </c>
      <c r="G130" s="36">
        <v>14.74</v>
      </c>
      <c r="H130" s="37">
        <v>286</v>
      </c>
      <c r="I130" s="37">
        <v>286</v>
      </c>
      <c r="J130" s="38">
        <f>IF(tblCounts[[#This Row],[Date]]="","",tblCounts[[#This Row],[Counted qty (units)]]-tblCounts[[#This Row],[System qty (units)]])</f>
        <v>0</v>
      </c>
      <c r="K130" s="39">
        <f>IF(tblCounts[[#This Row],[Date]]="","",IF(tblCounts[[#This Row],[System qty (units)]]&gt;0,tblCounts[[#This Row],[Variance (units)]]/tblCounts[[#This Row],[System qty (units)]],""))</f>
        <v>0</v>
      </c>
      <c r="L130" s="40">
        <f>IF(tblCounts[[#This Row],[Date]]="","",IF(tblCounts[[#This Row],[Class]]="A",TolA,IF(tblCounts[[#This Row],[Class]]="B",TolB,IF(tblCounts[[#This Row],[Class]]="C",TolC,""))))</f>
        <v>0.02</v>
      </c>
      <c r="M130" s="41" t="str">
        <f>IF(tblCounts[[#This Row],[Date]]="","",IF(tblCounts[[#This Row],[Tolerance]]="","",IF(IF(tblCounts[[#This Row],[System qty (units)]]&gt;0,ABS(tblCounts[[#This Row],[Variance (units)]])/tblCounts[[#This Row],[System qty (units)]],IF(tblCounts[[#This Row],[Counted qty (units)]]&gt;0,1,0))&lt;=tblCounts[[#This Row],[Tolerance]],"Yes","No")))</f>
        <v>Yes</v>
      </c>
      <c r="N130" s="42">
        <f>IF(tblCounts[[#This Row],[Date]]="","",tblCounts[[#This Row],[Variance (units)]]*tblCounts[[#This Row],[Unit cost]])</f>
        <v>0</v>
      </c>
      <c r="O130" s="42">
        <f>IF(tblCounts[[#This Row],[Date]]="","",ABS(tblCounts[[#This Row],[Variance value]]))</f>
        <v>0</v>
      </c>
      <c r="P130" s="28" t="s">
        <v>119</v>
      </c>
      <c r="Q130" s="28" t="s">
        <v>132</v>
      </c>
      <c r="R13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0" s="28" t="s">
        <v>119</v>
      </c>
    </row>
    <row r="131" spans="2:19">
      <c r="B131" s="35">
        <v>46297</v>
      </c>
      <c r="C131" s="28" t="s">
        <v>181</v>
      </c>
      <c r="D131" s="28" t="s">
        <v>82</v>
      </c>
      <c r="E131" s="28" t="s">
        <v>182</v>
      </c>
      <c r="F131" s="28" t="s">
        <v>118</v>
      </c>
      <c r="G131" s="36">
        <v>140</v>
      </c>
      <c r="H131" s="37">
        <v>25</v>
      </c>
      <c r="I131" s="37">
        <v>25</v>
      </c>
      <c r="J131" s="38">
        <f>IF(tblCounts[[#This Row],[Date]]="","",tblCounts[[#This Row],[Counted qty (units)]]-tblCounts[[#This Row],[System qty (units)]])</f>
        <v>0</v>
      </c>
      <c r="K131" s="39">
        <f>IF(tblCounts[[#This Row],[Date]]="","",IF(tblCounts[[#This Row],[System qty (units)]]&gt;0,tblCounts[[#This Row],[Variance (units)]]/tblCounts[[#This Row],[System qty (units)]],""))</f>
        <v>0</v>
      </c>
      <c r="L131" s="40">
        <f>IF(tblCounts[[#This Row],[Date]]="","",IF(tblCounts[[#This Row],[Class]]="A",TolA,IF(tblCounts[[#This Row],[Class]]="B",TolB,IF(tblCounts[[#This Row],[Class]]="C",TolC,""))))</f>
        <v>0.05</v>
      </c>
      <c r="M131" s="41" t="str">
        <f>IF(tblCounts[[#This Row],[Date]]="","",IF(tblCounts[[#This Row],[Tolerance]]="","",IF(IF(tblCounts[[#This Row],[System qty (units)]]&gt;0,ABS(tblCounts[[#This Row],[Variance (units)]])/tblCounts[[#This Row],[System qty (units)]],IF(tblCounts[[#This Row],[Counted qty (units)]]&gt;0,1,0))&lt;=tblCounts[[#This Row],[Tolerance]],"Yes","No")))</f>
        <v>Yes</v>
      </c>
      <c r="N131" s="42">
        <f>IF(tblCounts[[#This Row],[Date]]="","",tblCounts[[#This Row],[Variance (units)]]*tblCounts[[#This Row],[Unit cost]])</f>
        <v>0</v>
      </c>
      <c r="O131" s="42">
        <f>IF(tblCounts[[#This Row],[Date]]="","",ABS(tblCounts[[#This Row],[Variance value]]))</f>
        <v>0</v>
      </c>
      <c r="P131" s="28" t="s">
        <v>119</v>
      </c>
      <c r="Q131" s="28" t="s">
        <v>132</v>
      </c>
      <c r="R13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1" s="28" t="s">
        <v>119</v>
      </c>
    </row>
    <row r="132" spans="2:19">
      <c r="B132" s="35">
        <v>46300</v>
      </c>
      <c r="C132" s="28" t="s">
        <v>205</v>
      </c>
      <c r="D132" s="28" t="s">
        <v>82</v>
      </c>
      <c r="E132" s="28" t="s">
        <v>206</v>
      </c>
      <c r="F132" s="28" t="s">
        <v>126</v>
      </c>
      <c r="G132" s="36">
        <v>1092</v>
      </c>
      <c r="H132" s="37">
        <v>26</v>
      </c>
      <c r="I132" s="37">
        <v>26</v>
      </c>
      <c r="J132" s="38">
        <f>IF(tblCounts[[#This Row],[Date]]="","",tblCounts[[#This Row],[Counted qty (units)]]-tblCounts[[#This Row],[System qty (units)]])</f>
        <v>0</v>
      </c>
      <c r="K132" s="39">
        <f>IF(tblCounts[[#This Row],[Date]]="","",IF(tblCounts[[#This Row],[System qty (units)]]&gt;0,tblCounts[[#This Row],[Variance (units)]]/tblCounts[[#This Row],[System qty (units)]],""))</f>
        <v>0</v>
      </c>
      <c r="L132" s="40">
        <f>IF(tblCounts[[#This Row],[Date]]="","",IF(tblCounts[[#This Row],[Class]]="A",TolA,IF(tblCounts[[#This Row],[Class]]="B",TolB,IF(tblCounts[[#This Row],[Class]]="C",TolC,""))))</f>
        <v>0</v>
      </c>
      <c r="M132" s="41" t="str">
        <f>IF(tblCounts[[#This Row],[Date]]="","",IF(tblCounts[[#This Row],[Tolerance]]="","",IF(IF(tblCounts[[#This Row],[System qty (units)]]&gt;0,ABS(tblCounts[[#This Row],[Variance (units)]])/tblCounts[[#This Row],[System qty (units)]],IF(tblCounts[[#This Row],[Counted qty (units)]]&gt;0,1,0))&lt;=tblCounts[[#This Row],[Tolerance]],"Yes","No")))</f>
        <v>Yes</v>
      </c>
      <c r="N132" s="42">
        <f>IF(tblCounts[[#This Row],[Date]]="","",tblCounts[[#This Row],[Variance (units)]]*tblCounts[[#This Row],[Unit cost]])</f>
        <v>0</v>
      </c>
      <c r="O132" s="42">
        <f>IF(tblCounts[[#This Row],[Date]]="","",ABS(tblCounts[[#This Row],[Variance value]]))</f>
        <v>0</v>
      </c>
      <c r="P132" s="28" t="s">
        <v>119</v>
      </c>
      <c r="Q132" s="28" t="s">
        <v>129</v>
      </c>
      <c r="R13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2" s="28" t="s">
        <v>119</v>
      </c>
    </row>
    <row r="133" spans="2:19">
      <c r="B133" s="35">
        <v>46300</v>
      </c>
      <c r="C133" s="28" t="s">
        <v>151</v>
      </c>
      <c r="D133" s="28" t="s">
        <v>80</v>
      </c>
      <c r="E133" s="28" t="s">
        <v>152</v>
      </c>
      <c r="F133" s="28" t="s">
        <v>123</v>
      </c>
      <c r="G133" s="36">
        <v>70</v>
      </c>
      <c r="H133" s="37">
        <v>59</v>
      </c>
      <c r="I133" s="37">
        <v>59</v>
      </c>
      <c r="J133" s="38">
        <f>IF(tblCounts[[#This Row],[Date]]="","",tblCounts[[#This Row],[Counted qty (units)]]-tblCounts[[#This Row],[System qty (units)]])</f>
        <v>0</v>
      </c>
      <c r="K133" s="39">
        <f>IF(tblCounts[[#This Row],[Date]]="","",IF(tblCounts[[#This Row],[System qty (units)]]&gt;0,tblCounts[[#This Row],[Variance (units)]]/tblCounts[[#This Row],[System qty (units)]],""))</f>
        <v>0</v>
      </c>
      <c r="L133" s="40">
        <f>IF(tblCounts[[#This Row],[Date]]="","",IF(tblCounts[[#This Row],[Class]]="A",TolA,IF(tblCounts[[#This Row],[Class]]="B",TolB,IF(tblCounts[[#This Row],[Class]]="C",TolC,""))))</f>
        <v>0.02</v>
      </c>
      <c r="M133" s="41" t="str">
        <f>IF(tblCounts[[#This Row],[Date]]="","",IF(tblCounts[[#This Row],[Tolerance]]="","",IF(IF(tblCounts[[#This Row],[System qty (units)]]&gt;0,ABS(tblCounts[[#This Row],[Variance (units)]])/tblCounts[[#This Row],[System qty (units)]],IF(tblCounts[[#This Row],[Counted qty (units)]]&gt;0,1,0))&lt;=tblCounts[[#This Row],[Tolerance]],"Yes","No")))</f>
        <v>Yes</v>
      </c>
      <c r="N133" s="42">
        <f>IF(tblCounts[[#This Row],[Date]]="","",tblCounts[[#This Row],[Variance (units)]]*tblCounts[[#This Row],[Unit cost]])</f>
        <v>0</v>
      </c>
      <c r="O133" s="42">
        <f>IF(tblCounts[[#This Row],[Date]]="","",ABS(tblCounts[[#This Row],[Variance value]]))</f>
        <v>0</v>
      </c>
      <c r="P133" s="28" t="s">
        <v>119</v>
      </c>
      <c r="Q133" s="28" t="s">
        <v>129</v>
      </c>
      <c r="R13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3" s="28" t="s">
        <v>119</v>
      </c>
    </row>
    <row r="134" spans="2:19">
      <c r="B134" s="35">
        <v>46300</v>
      </c>
      <c r="C134" s="28" t="s">
        <v>196</v>
      </c>
      <c r="D134" s="28" t="s">
        <v>78</v>
      </c>
      <c r="E134" s="28" t="s">
        <v>197</v>
      </c>
      <c r="F134" s="28" t="s">
        <v>123</v>
      </c>
      <c r="G134" s="36">
        <v>5.75</v>
      </c>
      <c r="H134" s="37">
        <v>593</v>
      </c>
      <c r="I134" s="37">
        <v>590</v>
      </c>
      <c r="J134" s="38">
        <f>IF(tblCounts[[#This Row],[Date]]="","",tblCounts[[#This Row],[Counted qty (units)]]-tblCounts[[#This Row],[System qty (units)]])</f>
        <v>-3</v>
      </c>
      <c r="K134" s="39">
        <f>IF(tblCounts[[#This Row],[Date]]="","",IF(tblCounts[[#This Row],[System qty (units)]]&gt;0,tblCounts[[#This Row],[Variance (units)]]/tblCounts[[#This Row],[System qty (units)]],""))</f>
        <v>-0.00505902192242833</v>
      </c>
      <c r="L134" s="40">
        <f>IF(tblCounts[[#This Row],[Date]]="","",IF(tblCounts[[#This Row],[Class]]="A",TolA,IF(tblCounts[[#This Row],[Class]]="B",TolB,IF(tblCounts[[#This Row],[Class]]="C",TolC,""))))</f>
        <v>0.02</v>
      </c>
      <c r="M134" s="41" t="str">
        <f>IF(tblCounts[[#This Row],[Date]]="","",IF(tblCounts[[#This Row],[Tolerance]]="","",IF(IF(tblCounts[[#This Row],[System qty (units)]]&gt;0,ABS(tblCounts[[#This Row],[Variance (units)]])/tblCounts[[#This Row],[System qty (units)]],IF(tblCounts[[#This Row],[Counted qty (units)]]&gt;0,1,0))&lt;=tblCounts[[#This Row],[Tolerance]],"Yes","No")))</f>
        <v>Yes</v>
      </c>
      <c r="N134" s="42">
        <f>IF(tblCounts[[#This Row],[Date]]="","",tblCounts[[#This Row],[Variance (units)]]*tblCounts[[#This Row],[Unit cost]])</f>
        <v>-17.25</v>
      </c>
      <c r="O134" s="42">
        <f>IF(tblCounts[[#This Row],[Date]]="","",ABS(tblCounts[[#This Row],[Variance value]]))</f>
        <v>17.25</v>
      </c>
      <c r="P134" s="28" t="s">
        <v>119</v>
      </c>
      <c r="Q134" s="28" t="s">
        <v>132</v>
      </c>
      <c r="R13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4" s="28" t="s">
        <v>119</v>
      </c>
    </row>
    <row r="135" spans="2:19">
      <c r="B135" s="35">
        <v>46300</v>
      </c>
      <c r="C135" s="28" t="s">
        <v>167</v>
      </c>
      <c r="D135" s="28" t="s">
        <v>76</v>
      </c>
      <c r="E135" s="28" t="s">
        <v>168</v>
      </c>
      <c r="F135" s="28" t="s">
        <v>123</v>
      </c>
      <c r="G135" s="36">
        <v>57</v>
      </c>
      <c r="H135" s="37">
        <v>78</v>
      </c>
      <c r="I135" s="37">
        <v>78</v>
      </c>
      <c r="J135" s="38">
        <f>IF(tblCounts[[#This Row],[Date]]="","",tblCounts[[#This Row],[Counted qty (units)]]-tblCounts[[#This Row],[System qty (units)]])</f>
        <v>0</v>
      </c>
      <c r="K135" s="39">
        <f>IF(tblCounts[[#This Row],[Date]]="","",IF(tblCounts[[#This Row],[System qty (units)]]&gt;0,tblCounts[[#This Row],[Variance (units)]]/tblCounts[[#This Row],[System qty (units)]],""))</f>
        <v>0</v>
      </c>
      <c r="L135" s="40">
        <f>IF(tblCounts[[#This Row],[Date]]="","",IF(tblCounts[[#This Row],[Class]]="A",TolA,IF(tblCounts[[#This Row],[Class]]="B",TolB,IF(tblCounts[[#This Row],[Class]]="C",TolC,""))))</f>
        <v>0.02</v>
      </c>
      <c r="M135" s="41" t="str">
        <f>IF(tblCounts[[#This Row],[Date]]="","",IF(tblCounts[[#This Row],[Tolerance]]="","",IF(IF(tblCounts[[#This Row],[System qty (units)]]&gt;0,ABS(tblCounts[[#This Row],[Variance (units)]])/tblCounts[[#This Row],[System qty (units)]],IF(tblCounts[[#This Row],[Counted qty (units)]]&gt;0,1,0))&lt;=tblCounts[[#This Row],[Tolerance]],"Yes","No")))</f>
        <v>Yes</v>
      </c>
      <c r="N135" s="42">
        <f>IF(tblCounts[[#This Row],[Date]]="","",tblCounts[[#This Row],[Variance (units)]]*tblCounts[[#This Row],[Unit cost]])</f>
        <v>0</v>
      </c>
      <c r="O135" s="42">
        <f>IF(tblCounts[[#This Row],[Date]]="","",ABS(tblCounts[[#This Row],[Variance value]]))</f>
        <v>0</v>
      </c>
      <c r="P135" s="28" t="s">
        <v>119</v>
      </c>
      <c r="Q135" s="28" t="s">
        <v>132</v>
      </c>
      <c r="R13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5" s="28" t="s">
        <v>119</v>
      </c>
    </row>
    <row r="136" spans="2:19">
      <c r="B136" s="35">
        <v>46300</v>
      </c>
      <c r="C136" s="28" t="s">
        <v>187</v>
      </c>
      <c r="D136" s="28" t="s">
        <v>76</v>
      </c>
      <c r="E136" s="28" t="s">
        <v>188</v>
      </c>
      <c r="F136" s="28" t="s">
        <v>126</v>
      </c>
      <c r="G136" s="36">
        <v>198</v>
      </c>
      <c r="H136" s="37">
        <v>35</v>
      </c>
      <c r="I136" s="37">
        <v>35</v>
      </c>
      <c r="J136" s="38">
        <f>IF(tblCounts[[#This Row],[Date]]="","",tblCounts[[#This Row],[Counted qty (units)]]-tblCounts[[#This Row],[System qty (units)]])</f>
        <v>0</v>
      </c>
      <c r="K136" s="39">
        <f>IF(tblCounts[[#This Row],[Date]]="","",IF(tblCounts[[#This Row],[System qty (units)]]&gt;0,tblCounts[[#This Row],[Variance (units)]]/tblCounts[[#This Row],[System qty (units)]],""))</f>
        <v>0</v>
      </c>
      <c r="L136" s="40">
        <f>IF(tblCounts[[#This Row],[Date]]="","",IF(tblCounts[[#This Row],[Class]]="A",TolA,IF(tblCounts[[#This Row],[Class]]="B",TolB,IF(tblCounts[[#This Row],[Class]]="C",TolC,""))))</f>
        <v>0</v>
      </c>
      <c r="M136" s="41" t="str">
        <f>IF(tblCounts[[#This Row],[Date]]="","",IF(tblCounts[[#This Row],[Tolerance]]="","",IF(IF(tblCounts[[#This Row],[System qty (units)]]&gt;0,ABS(tblCounts[[#This Row],[Variance (units)]])/tblCounts[[#This Row],[System qty (units)]],IF(tblCounts[[#This Row],[Counted qty (units)]]&gt;0,1,0))&lt;=tblCounts[[#This Row],[Tolerance]],"Yes","No")))</f>
        <v>Yes</v>
      </c>
      <c r="N136" s="42">
        <f>IF(tblCounts[[#This Row],[Date]]="","",tblCounts[[#This Row],[Variance (units)]]*tblCounts[[#This Row],[Unit cost]])</f>
        <v>0</v>
      </c>
      <c r="O136" s="42">
        <f>IF(tblCounts[[#This Row],[Date]]="","",ABS(tblCounts[[#This Row],[Variance value]]))</f>
        <v>0</v>
      </c>
      <c r="P136" s="28" t="s">
        <v>119</v>
      </c>
      <c r="Q136" s="28" t="s">
        <v>120</v>
      </c>
      <c r="R13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6" s="28" t="s">
        <v>119</v>
      </c>
    </row>
    <row r="137" spans="2:19">
      <c r="B137" s="35">
        <v>46301</v>
      </c>
      <c r="C137" s="28" t="s">
        <v>181</v>
      </c>
      <c r="D137" s="28" t="s">
        <v>82</v>
      </c>
      <c r="E137" s="28" t="s">
        <v>182</v>
      </c>
      <c r="F137" s="28" t="s">
        <v>118</v>
      </c>
      <c r="G137" s="36">
        <v>140</v>
      </c>
      <c r="H137" s="37">
        <v>3</v>
      </c>
      <c r="I137" s="37">
        <v>3</v>
      </c>
      <c r="J137" s="38">
        <f>IF(tblCounts[[#This Row],[Date]]="","",tblCounts[[#This Row],[Counted qty (units)]]-tblCounts[[#This Row],[System qty (units)]])</f>
        <v>0</v>
      </c>
      <c r="K137" s="39">
        <f>IF(tblCounts[[#This Row],[Date]]="","",IF(tblCounts[[#This Row],[System qty (units)]]&gt;0,tblCounts[[#This Row],[Variance (units)]]/tblCounts[[#This Row],[System qty (units)]],""))</f>
        <v>0</v>
      </c>
      <c r="L137" s="40">
        <f>IF(tblCounts[[#This Row],[Date]]="","",IF(tblCounts[[#This Row],[Class]]="A",TolA,IF(tblCounts[[#This Row],[Class]]="B",TolB,IF(tblCounts[[#This Row],[Class]]="C",TolC,""))))</f>
        <v>0.05</v>
      </c>
      <c r="M137" s="41" t="str">
        <f>IF(tblCounts[[#This Row],[Date]]="","",IF(tblCounts[[#This Row],[Tolerance]]="","",IF(IF(tblCounts[[#This Row],[System qty (units)]]&gt;0,ABS(tblCounts[[#This Row],[Variance (units)]])/tblCounts[[#This Row],[System qty (units)]],IF(tblCounts[[#This Row],[Counted qty (units)]]&gt;0,1,0))&lt;=tblCounts[[#This Row],[Tolerance]],"Yes","No")))</f>
        <v>Yes</v>
      </c>
      <c r="N137" s="42">
        <f>IF(tblCounts[[#This Row],[Date]]="","",tblCounts[[#This Row],[Variance (units)]]*tblCounts[[#This Row],[Unit cost]])</f>
        <v>0</v>
      </c>
      <c r="O137" s="42">
        <f>IF(tblCounts[[#This Row],[Date]]="","",ABS(tblCounts[[#This Row],[Variance value]]))</f>
        <v>0</v>
      </c>
      <c r="P137" s="28" t="s">
        <v>119</v>
      </c>
      <c r="Q137" s="28" t="s">
        <v>129</v>
      </c>
      <c r="R13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7" s="28" t="s">
        <v>119</v>
      </c>
    </row>
    <row r="138" spans="2:19">
      <c r="B138" s="35">
        <v>46301</v>
      </c>
      <c r="C138" s="28" t="s">
        <v>143</v>
      </c>
      <c r="D138" s="28" t="s">
        <v>78</v>
      </c>
      <c r="E138" s="28" t="s">
        <v>144</v>
      </c>
      <c r="F138" s="28" t="s">
        <v>118</v>
      </c>
      <c r="G138" s="36">
        <v>2.3</v>
      </c>
      <c r="H138" s="37">
        <v>2861</v>
      </c>
      <c r="I138" s="37">
        <v>2861</v>
      </c>
      <c r="J138" s="38">
        <f>IF(tblCounts[[#This Row],[Date]]="","",tblCounts[[#This Row],[Counted qty (units)]]-tblCounts[[#This Row],[System qty (units)]])</f>
        <v>0</v>
      </c>
      <c r="K138" s="39">
        <f>IF(tblCounts[[#This Row],[Date]]="","",IF(tblCounts[[#This Row],[System qty (units)]]&gt;0,tblCounts[[#This Row],[Variance (units)]]/tblCounts[[#This Row],[System qty (units)]],""))</f>
        <v>0</v>
      </c>
      <c r="L138" s="40">
        <f>IF(tblCounts[[#This Row],[Date]]="","",IF(tblCounts[[#This Row],[Class]]="A",TolA,IF(tblCounts[[#This Row],[Class]]="B",TolB,IF(tblCounts[[#This Row],[Class]]="C",TolC,""))))</f>
        <v>0.05</v>
      </c>
      <c r="M138" s="41" t="str">
        <f>IF(tblCounts[[#This Row],[Date]]="","",IF(tblCounts[[#This Row],[Tolerance]]="","",IF(IF(tblCounts[[#This Row],[System qty (units)]]&gt;0,ABS(tblCounts[[#This Row],[Variance (units)]])/tblCounts[[#This Row],[System qty (units)]],IF(tblCounts[[#This Row],[Counted qty (units)]]&gt;0,1,0))&lt;=tblCounts[[#This Row],[Tolerance]],"Yes","No")))</f>
        <v>Yes</v>
      </c>
      <c r="N138" s="42">
        <f>IF(tblCounts[[#This Row],[Date]]="","",tblCounts[[#This Row],[Variance (units)]]*tblCounts[[#This Row],[Unit cost]])</f>
        <v>0</v>
      </c>
      <c r="O138" s="42">
        <f>IF(tblCounts[[#This Row],[Date]]="","",ABS(tblCounts[[#This Row],[Variance value]]))</f>
        <v>0</v>
      </c>
      <c r="P138" s="28" t="s">
        <v>119</v>
      </c>
      <c r="Q138" s="28" t="s">
        <v>120</v>
      </c>
      <c r="R13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8" s="28" t="s">
        <v>119</v>
      </c>
    </row>
    <row r="139" spans="2:19">
      <c r="B139" s="35">
        <v>46301</v>
      </c>
      <c r="C139" s="28" t="s">
        <v>147</v>
      </c>
      <c r="D139" s="28" t="s">
        <v>82</v>
      </c>
      <c r="E139" s="28" t="s">
        <v>148</v>
      </c>
      <c r="F139" s="28" t="s">
        <v>123</v>
      </c>
      <c r="G139" s="36">
        <v>867</v>
      </c>
      <c r="H139" s="37">
        <v>32</v>
      </c>
      <c r="I139" s="37">
        <v>32</v>
      </c>
      <c r="J139" s="38">
        <f>IF(tblCounts[[#This Row],[Date]]="","",tblCounts[[#This Row],[Counted qty (units)]]-tblCounts[[#This Row],[System qty (units)]])</f>
        <v>0</v>
      </c>
      <c r="K139" s="39">
        <f>IF(tblCounts[[#This Row],[Date]]="","",IF(tblCounts[[#This Row],[System qty (units)]]&gt;0,tblCounts[[#This Row],[Variance (units)]]/tblCounts[[#This Row],[System qty (units)]],""))</f>
        <v>0</v>
      </c>
      <c r="L139" s="40">
        <f>IF(tblCounts[[#This Row],[Date]]="","",IF(tblCounts[[#This Row],[Class]]="A",TolA,IF(tblCounts[[#This Row],[Class]]="B",TolB,IF(tblCounts[[#This Row],[Class]]="C",TolC,""))))</f>
        <v>0.02</v>
      </c>
      <c r="M139" s="41" t="str">
        <f>IF(tblCounts[[#This Row],[Date]]="","",IF(tblCounts[[#This Row],[Tolerance]]="","",IF(IF(tblCounts[[#This Row],[System qty (units)]]&gt;0,ABS(tblCounts[[#This Row],[Variance (units)]])/tblCounts[[#This Row],[System qty (units)]],IF(tblCounts[[#This Row],[Counted qty (units)]]&gt;0,1,0))&lt;=tblCounts[[#This Row],[Tolerance]],"Yes","No")))</f>
        <v>Yes</v>
      </c>
      <c r="N139" s="42">
        <f>IF(tblCounts[[#This Row],[Date]]="","",tblCounts[[#This Row],[Variance (units)]]*tblCounts[[#This Row],[Unit cost]])</f>
        <v>0</v>
      </c>
      <c r="O139" s="42">
        <f>IF(tblCounts[[#This Row],[Date]]="","",ABS(tblCounts[[#This Row],[Variance value]]))</f>
        <v>0</v>
      </c>
      <c r="P139" s="28" t="s">
        <v>119</v>
      </c>
      <c r="Q139" s="28" t="s">
        <v>132</v>
      </c>
      <c r="R13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39" s="28" t="s">
        <v>119</v>
      </c>
    </row>
    <row r="140" spans="2:19">
      <c r="B140" s="35">
        <v>46301</v>
      </c>
      <c r="C140" s="28" t="s">
        <v>202</v>
      </c>
      <c r="D140" s="28" t="s">
        <v>80</v>
      </c>
      <c r="E140" s="28" t="s">
        <v>208</v>
      </c>
      <c r="F140" s="28" t="s">
        <v>118</v>
      </c>
      <c r="G140" s="36">
        <v>22.16</v>
      </c>
      <c r="H140" s="37">
        <v>51</v>
      </c>
      <c r="I140" s="37">
        <v>51</v>
      </c>
      <c r="J140" s="38">
        <f>IF(tblCounts[[#This Row],[Date]]="","",tblCounts[[#This Row],[Counted qty (units)]]-tblCounts[[#This Row],[System qty (units)]])</f>
        <v>0</v>
      </c>
      <c r="K140" s="39">
        <f>IF(tblCounts[[#This Row],[Date]]="","",IF(tblCounts[[#This Row],[System qty (units)]]&gt;0,tblCounts[[#This Row],[Variance (units)]]/tblCounts[[#This Row],[System qty (units)]],""))</f>
        <v>0</v>
      </c>
      <c r="L140" s="40">
        <f>IF(tblCounts[[#This Row],[Date]]="","",IF(tblCounts[[#This Row],[Class]]="A",TolA,IF(tblCounts[[#This Row],[Class]]="B",TolB,IF(tblCounts[[#This Row],[Class]]="C",TolC,""))))</f>
        <v>0.05</v>
      </c>
      <c r="M140" s="41" t="str">
        <f>IF(tblCounts[[#This Row],[Date]]="","",IF(tblCounts[[#This Row],[Tolerance]]="","",IF(IF(tblCounts[[#This Row],[System qty (units)]]&gt;0,ABS(tblCounts[[#This Row],[Variance (units)]])/tblCounts[[#This Row],[System qty (units)]],IF(tblCounts[[#This Row],[Counted qty (units)]]&gt;0,1,0))&lt;=tblCounts[[#This Row],[Tolerance]],"Yes","No")))</f>
        <v>Yes</v>
      </c>
      <c r="N140" s="42">
        <f>IF(tblCounts[[#This Row],[Date]]="","",tblCounts[[#This Row],[Variance (units)]]*tblCounts[[#This Row],[Unit cost]])</f>
        <v>0</v>
      </c>
      <c r="O140" s="42">
        <f>IF(tblCounts[[#This Row],[Date]]="","",ABS(tblCounts[[#This Row],[Variance value]]))</f>
        <v>0</v>
      </c>
      <c r="P140" s="28" t="s">
        <v>119</v>
      </c>
      <c r="Q140" s="28" t="s">
        <v>129</v>
      </c>
      <c r="R14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0" s="28" t="s">
        <v>119</v>
      </c>
    </row>
    <row r="141" spans="2:19">
      <c r="B141" s="35">
        <v>46301</v>
      </c>
      <c r="C141" s="28" t="s">
        <v>163</v>
      </c>
      <c r="D141" s="28" t="s">
        <v>82</v>
      </c>
      <c r="E141" s="28" t="s">
        <v>164</v>
      </c>
      <c r="F141" s="28" t="s">
        <v>126</v>
      </c>
      <c r="G141" s="36">
        <v>1024</v>
      </c>
      <c r="H141" s="37">
        <v>28</v>
      </c>
      <c r="I141" s="37">
        <v>28</v>
      </c>
      <c r="J141" s="38">
        <f>IF(tblCounts[[#This Row],[Date]]="","",tblCounts[[#This Row],[Counted qty (units)]]-tblCounts[[#This Row],[System qty (units)]])</f>
        <v>0</v>
      </c>
      <c r="K141" s="39">
        <f>IF(tblCounts[[#This Row],[Date]]="","",IF(tblCounts[[#This Row],[System qty (units)]]&gt;0,tblCounts[[#This Row],[Variance (units)]]/tblCounts[[#This Row],[System qty (units)]],""))</f>
        <v>0</v>
      </c>
      <c r="L141" s="40">
        <f>IF(tblCounts[[#This Row],[Date]]="","",IF(tblCounts[[#This Row],[Class]]="A",TolA,IF(tblCounts[[#This Row],[Class]]="B",TolB,IF(tblCounts[[#This Row],[Class]]="C",TolC,""))))</f>
        <v>0</v>
      </c>
      <c r="M141" s="41" t="str">
        <f>IF(tblCounts[[#This Row],[Date]]="","",IF(tblCounts[[#This Row],[Tolerance]]="","",IF(IF(tblCounts[[#This Row],[System qty (units)]]&gt;0,ABS(tblCounts[[#This Row],[Variance (units)]])/tblCounts[[#This Row],[System qty (units)]],IF(tblCounts[[#This Row],[Counted qty (units)]]&gt;0,1,0))&lt;=tblCounts[[#This Row],[Tolerance]],"Yes","No")))</f>
        <v>Yes</v>
      </c>
      <c r="N141" s="42">
        <f>IF(tblCounts[[#This Row],[Date]]="","",tblCounts[[#This Row],[Variance (units)]]*tblCounts[[#This Row],[Unit cost]])</f>
        <v>0</v>
      </c>
      <c r="O141" s="42">
        <f>IF(tblCounts[[#This Row],[Date]]="","",ABS(tblCounts[[#This Row],[Variance value]]))</f>
        <v>0</v>
      </c>
      <c r="P141" s="28" t="s">
        <v>119</v>
      </c>
      <c r="Q141" s="28" t="s">
        <v>132</v>
      </c>
      <c r="R14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1" s="28" t="s">
        <v>119</v>
      </c>
    </row>
    <row r="142" spans="2:19">
      <c r="B142" s="35">
        <v>46302</v>
      </c>
      <c r="C142" s="28" t="s">
        <v>165</v>
      </c>
      <c r="D142" s="28" t="s">
        <v>76</v>
      </c>
      <c r="E142" s="28" t="s">
        <v>166</v>
      </c>
      <c r="F142" s="28" t="s">
        <v>126</v>
      </c>
      <c r="G142" s="36">
        <v>181</v>
      </c>
      <c r="H142" s="37">
        <v>85</v>
      </c>
      <c r="I142" s="37">
        <v>85</v>
      </c>
      <c r="J142" s="38">
        <f>IF(tblCounts[[#This Row],[Date]]="","",tblCounts[[#This Row],[Counted qty (units)]]-tblCounts[[#This Row],[System qty (units)]])</f>
        <v>0</v>
      </c>
      <c r="K142" s="39">
        <f>IF(tblCounts[[#This Row],[Date]]="","",IF(tblCounts[[#This Row],[System qty (units)]]&gt;0,tblCounts[[#This Row],[Variance (units)]]/tblCounts[[#This Row],[System qty (units)]],""))</f>
        <v>0</v>
      </c>
      <c r="L142" s="40">
        <f>IF(tblCounts[[#This Row],[Date]]="","",IF(tblCounts[[#This Row],[Class]]="A",TolA,IF(tblCounts[[#This Row],[Class]]="B",TolB,IF(tblCounts[[#This Row],[Class]]="C",TolC,""))))</f>
        <v>0</v>
      </c>
      <c r="M142" s="41" t="str">
        <f>IF(tblCounts[[#This Row],[Date]]="","",IF(tblCounts[[#This Row],[Tolerance]]="","",IF(IF(tblCounts[[#This Row],[System qty (units)]]&gt;0,ABS(tblCounts[[#This Row],[Variance (units)]])/tblCounts[[#This Row],[System qty (units)]],IF(tblCounts[[#This Row],[Counted qty (units)]]&gt;0,1,0))&lt;=tblCounts[[#This Row],[Tolerance]],"Yes","No")))</f>
        <v>Yes</v>
      </c>
      <c r="N142" s="42">
        <f>IF(tblCounts[[#This Row],[Date]]="","",tblCounts[[#This Row],[Variance (units)]]*tblCounts[[#This Row],[Unit cost]])</f>
        <v>0</v>
      </c>
      <c r="O142" s="42">
        <f>IF(tblCounts[[#This Row],[Date]]="","",ABS(tblCounts[[#This Row],[Variance value]]))</f>
        <v>0</v>
      </c>
      <c r="P142" s="28" t="s">
        <v>119</v>
      </c>
      <c r="Q142" s="28" t="s">
        <v>129</v>
      </c>
      <c r="R14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2" s="28" t="s">
        <v>119</v>
      </c>
    </row>
    <row r="143" spans="2:19">
      <c r="B143" s="35">
        <v>46302</v>
      </c>
      <c r="C143" s="28" t="s">
        <v>175</v>
      </c>
      <c r="D143" s="28" t="s">
        <v>80</v>
      </c>
      <c r="E143" s="28" t="s">
        <v>176</v>
      </c>
      <c r="F143" s="28" t="s">
        <v>126</v>
      </c>
      <c r="G143" s="36">
        <v>322</v>
      </c>
      <c r="H143" s="37">
        <v>19</v>
      </c>
      <c r="I143" s="37">
        <v>19</v>
      </c>
      <c r="J143" s="38">
        <f>IF(tblCounts[[#This Row],[Date]]="","",tblCounts[[#This Row],[Counted qty (units)]]-tblCounts[[#This Row],[System qty (units)]])</f>
        <v>0</v>
      </c>
      <c r="K143" s="39">
        <f>IF(tblCounts[[#This Row],[Date]]="","",IF(tblCounts[[#This Row],[System qty (units)]]&gt;0,tblCounts[[#This Row],[Variance (units)]]/tblCounts[[#This Row],[System qty (units)]],""))</f>
        <v>0</v>
      </c>
      <c r="L143" s="40">
        <f>IF(tblCounts[[#This Row],[Date]]="","",IF(tblCounts[[#This Row],[Class]]="A",TolA,IF(tblCounts[[#This Row],[Class]]="B",TolB,IF(tblCounts[[#This Row],[Class]]="C",TolC,""))))</f>
        <v>0</v>
      </c>
      <c r="M143" s="41" t="str">
        <f>IF(tblCounts[[#This Row],[Date]]="","",IF(tblCounts[[#This Row],[Tolerance]]="","",IF(IF(tblCounts[[#This Row],[System qty (units)]]&gt;0,ABS(tblCounts[[#This Row],[Variance (units)]])/tblCounts[[#This Row],[System qty (units)]],IF(tblCounts[[#This Row],[Counted qty (units)]]&gt;0,1,0))&lt;=tblCounts[[#This Row],[Tolerance]],"Yes","No")))</f>
        <v>Yes</v>
      </c>
      <c r="N143" s="42">
        <f>IF(tblCounts[[#This Row],[Date]]="","",tblCounts[[#This Row],[Variance (units)]]*tblCounts[[#This Row],[Unit cost]])</f>
        <v>0</v>
      </c>
      <c r="O143" s="42">
        <f>IF(tblCounts[[#This Row],[Date]]="","",ABS(tblCounts[[#This Row],[Variance value]]))</f>
        <v>0</v>
      </c>
      <c r="P143" s="28" t="s">
        <v>119</v>
      </c>
      <c r="Q143" s="28" t="s">
        <v>129</v>
      </c>
      <c r="R14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3" s="28" t="s">
        <v>119</v>
      </c>
    </row>
    <row r="144" spans="2:19">
      <c r="B144" s="35">
        <v>46302</v>
      </c>
      <c r="C144" s="28" t="s">
        <v>124</v>
      </c>
      <c r="D144" s="28" t="s">
        <v>80</v>
      </c>
      <c r="E144" s="28" t="s">
        <v>125</v>
      </c>
      <c r="F144" s="28" t="s">
        <v>126</v>
      </c>
      <c r="G144" s="36">
        <v>418</v>
      </c>
      <c r="H144" s="37">
        <v>47</v>
      </c>
      <c r="I144" s="37">
        <v>47</v>
      </c>
      <c r="J144" s="38">
        <f>IF(tblCounts[[#This Row],[Date]]="","",tblCounts[[#This Row],[Counted qty (units)]]-tblCounts[[#This Row],[System qty (units)]])</f>
        <v>0</v>
      </c>
      <c r="K144" s="39">
        <f>IF(tblCounts[[#This Row],[Date]]="","",IF(tblCounts[[#This Row],[System qty (units)]]&gt;0,tblCounts[[#This Row],[Variance (units)]]/tblCounts[[#This Row],[System qty (units)]],""))</f>
        <v>0</v>
      </c>
      <c r="L144" s="40">
        <f>IF(tblCounts[[#This Row],[Date]]="","",IF(tblCounts[[#This Row],[Class]]="A",TolA,IF(tblCounts[[#This Row],[Class]]="B",TolB,IF(tblCounts[[#This Row],[Class]]="C",TolC,""))))</f>
        <v>0</v>
      </c>
      <c r="M144" s="41" t="str">
        <f>IF(tblCounts[[#This Row],[Date]]="","",IF(tblCounts[[#This Row],[Tolerance]]="","",IF(IF(tblCounts[[#This Row],[System qty (units)]]&gt;0,ABS(tblCounts[[#This Row],[Variance (units)]])/tblCounts[[#This Row],[System qty (units)]],IF(tblCounts[[#This Row],[Counted qty (units)]]&gt;0,1,0))&lt;=tblCounts[[#This Row],[Tolerance]],"Yes","No")))</f>
        <v>Yes</v>
      </c>
      <c r="N144" s="42">
        <f>IF(tblCounts[[#This Row],[Date]]="","",tblCounts[[#This Row],[Variance (units)]]*tblCounts[[#This Row],[Unit cost]])</f>
        <v>0</v>
      </c>
      <c r="O144" s="42">
        <f>IF(tblCounts[[#This Row],[Date]]="","",ABS(tblCounts[[#This Row],[Variance value]]))</f>
        <v>0</v>
      </c>
      <c r="P144" s="28" t="s">
        <v>119</v>
      </c>
      <c r="Q144" s="28" t="s">
        <v>132</v>
      </c>
      <c r="R14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4" s="28" t="s">
        <v>119</v>
      </c>
    </row>
    <row r="145" spans="2:19">
      <c r="B145" s="35">
        <v>46302</v>
      </c>
      <c r="C145" s="28" t="s">
        <v>209</v>
      </c>
      <c r="D145" s="28" t="s">
        <v>78</v>
      </c>
      <c r="E145" s="28" t="s">
        <v>210</v>
      </c>
      <c r="F145" s="28" t="s">
        <v>118</v>
      </c>
      <c r="G145" s="36">
        <v>0.73</v>
      </c>
      <c r="H145" s="37">
        <v>2000</v>
      </c>
      <c r="I145" s="37">
        <v>2000</v>
      </c>
      <c r="J145" s="38">
        <f>IF(tblCounts[[#This Row],[Date]]="","",tblCounts[[#This Row],[Counted qty (units)]]-tblCounts[[#This Row],[System qty (units)]])</f>
        <v>0</v>
      </c>
      <c r="K145" s="39">
        <f>IF(tblCounts[[#This Row],[Date]]="","",IF(tblCounts[[#This Row],[System qty (units)]]&gt;0,tblCounts[[#This Row],[Variance (units)]]/tblCounts[[#This Row],[System qty (units)]],""))</f>
        <v>0</v>
      </c>
      <c r="L145" s="40">
        <f>IF(tblCounts[[#This Row],[Date]]="","",IF(tblCounts[[#This Row],[Class]]="A",TolA,IF(tblCounts[[#This Row],[Class]]="B",TolB,IF(tblCounts[[#This Row],[Class]]="C",TolC,""))))</f>
        <v>0.05</v>
      </c>
      <c r="M145" s="41" t="str">
        <f>IF(tblCounts[[#This Row],[Date]]="","",IF(tblCounts[[#This Row],[Tolerance]]="","",IF(IF(tblCounts[[#This Row],[System qty (units)]]&gt;0,ABS(tblCounts[[#This Row],[Variance (units)]])/tblCounts[[#This Row],[System qty (units)]],IF(tblCounts[[#This Row],[Counted qty (units)]]&gt;0,1,0))&lt;=tblCounts[[#This Row],[Tolerance]],"Yes","No")))</f>
        <v>Yes</v>
      </c>
      <c r="N145" s="42">
        <f>IF(tblCounts[[#This Row],[Date]]="","",tblCounts[[#This Row],[Variance (units)]]*tblCounts[[#This Row],[Unit cost]])</f>
        <v>0</v>
      </c>
      <c r="O145" s="42">
        <f>IF(tblCounts[[#This Row],[Date]]="","",ABS(tblCounts[[#This Row],[Variance value]]))</f>
        <v>0</v>
      </c>
      <c r="P145" s="28" t="s">
        <v>119</v>
      </c>
      <c r="Q145" s="28" t="s">
        <v>132</v>
      </c>
      <c r="R14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5" s="28" t="s">
        <v>119</v>
      </c>
    </row>
    <row r="146" spans="2:19">
      <c r="B146" s="35">
        <v>46302</v>
      </c>
      <c r="C146" s="28" t="s">
        <v>137</v>
      </c>
      <c r="D146" s="28" t="s">
        <v>82</v>
      </c>
      <c r="E146" s="28" t="s">
        <v>138</v>
      </c>
      <c r="F146" s="28" t="s">
        <v>123</v>
      </c>
      <c r="G146" s="36">
        <v>315</v>
      </c>
      <c r="H146" s="37">
        <v>20</v>
      </c>
      <c r="I146" s="37">
        <v>20</v>
      </c>
      <c r="J146" s="38">
        <f>IF(tblCounts[[#This Row],[Date]]="","",tblCounts[[#This Row],[Counted qty (units)]]-tblCounts[[#This Row],[System qty (units)]])</f>
        <v>0</v>
      </c>
      <c r="K146" s="39">
        <f>IF(tblCounts[[#This Row],[Date]]="","",IF(tblCounts[[#This Row],[System qty (units)]]&gt;0,tblCounts[[#This Row],[Variance (units)]]/tblCounts[[#This Row],[System qty (units)]],""))</f>
        <v>0</v>
      </c>
      <c r="L146" s="40">
        <f>IF(tblCounts[[#This Row],[Date]]="","",IF(tblCounts[[#This Row],[Class]]="A",TolA,IF(tblCounts[[#This Row],[Class]]="B",TolB,IF(tblCounts[[#This Row],[Class]]="C",TolC,""))))</f>
        <v>0.02</v>
      </c>
      <c r="M146" s="41" t="str">
        <f>IF(tblCounts[[#This Row],[Date]]="","",IF(tblCounts[[#This Row],[Tolerance]]="","",IF(IF(tblCounts[[#This Row],[System qty (units)]]&gt;0,ABS(tblCounts[[#This Row],[Variance (units)]])/tblCounts[[#This Row],[System qty (units)]],IF(tblCounts[[#This Row],[Counted qty (units)]]&gt;0,1,0))&lt;=tblCounts[[#This Row],[Tolerance]],"Yes","No")))</f>
        <v>Yes</v>
      </c>
      <c r="N146" s="42">
        <f>IF(tblCounts[[#This Row],[Date]]="","",tblCounts[[#This Row],[Variance (units)]]*tblCounts[[#This Row],[Unit cost]])</f>
        <v>0</v>
      </c>
      <c r="O146" s="42">
        <f>IF(tblCounts[[#This Row],[Date]]="","",ABS(tblCounts[[#This Row],[Variance value]]))</f>
        <v>0</v>
      </c>
      <c r="P146" s="28" t="s">
        <v>119</v>
      </c>
      <c r="Q146" s="28" t="s">
        <v>120</v>
      </c>
      <c r="R14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6" s="28" t="s">
        <v>119</v>
      </c>
    </row>
    <row r="147" spans="2:19">
      <c r="B147" s="35">
        <v>46303</v>
      </c>
      <c r="C147" s="28" t="s">
        <v>139</v>
      </c>
      <c r="D147" s="28" t="s">
        <v>78</v>
      </c>
      <c r="E147" s="28" t="s">
        <v>140</v>
      </c>
      <c r="F147" s="28" t="s">
        <v>123</v>
      </c>
      <c r="G147" s="36">
        <v>14.74</v>
      </c>
      <c r="H147" s="37">
        <v>454</v>
      </c>
      <c r="I147" s="37">
        <v>454</v>
      </c>
      <c r="J147" s="38">
        <f>IF(tblCounts[[#This Row],[Date]]="","",tblCounts[[#This Row],[Counted qty (units)]]-tblCounts[[#This Row],[System qty (units)]])</f>
        <v>0</v>
      </c>
      <c r="K147" s="39">
        <f>IF(tblCounts[[#This Row],[Date]]="","",IF(tblCounts[[#This Row],[System qty (units)]]&gt;0,tblCounts[[#This Row],[Variance (units)]]/tblCounts[[#This Row],[System qty (units)]],""))</f>
        <v>0</v>
      </c>
      <c r="L147" s="40">
        <f>IF(tblCounts[[#This Row],[Date]]="","",IF(tblCounts[[#This Row],[Class]]="A",TolA,IF(tblCounts[[#This Row],[Class]]="B",TolB,IF(tblCounts[[#This Row],[Class]]="C",TolC,""))))</f>
        <v>0.02</v>
      </c>
      <c r="M147" s="41" t="str">
        <f>IF(tblCounts[[#This Row],[Date]]="","",IF(tblCounts[[#This Row],[Tolerance]]="","",IF(IF(tblCounts[[#This Row],[System qty (units)]]&gt;0,ABS(tblCounts[[#This Row],[Variance (units)]])/tblCounts[[#This Row],[System qty (units)]],IF(tblCounts[[#This Row],[Counted qty (units)]]&gt;0,1,0))&lt;=tblCounts[[#This Row],[Tolerance]],"Yes","No")))</f>
        <v>Yes</v>
      </c>
      <c r="N147" s="42">
        <f>IF(tblCounts[[#This Row],[Date]]="","",tblCounts[[#This Row],[Variance (units)]]*tblCounts[[#This Row],[Unit cost]])</f>
        <v>0</v>
      </c>
      <c r="O147" s="42">
        <f>IF(tblCounts[[#This Row],[Date]]="","",ABS(tblCounts[[#This Row],[Variance value]]))</f>
        <v>0</v>
      </c>
      <c r="P147" s="28" t="s">
        <v>119</v>
      </c>
      <c r="Q147" s="28" t="s">
        <v>120</v>
      </c>
      <c r="R147"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7" s="28" t="s">
        <v>119</v>
      </c>
    </row>
    <row r="148" spans="2:19">
      <c r="B148" s="35">
        <v>46303</v>
      </c>
      <c r="C148" s="28" t="s">
        <v>124</v>
      </c>
      <c r="D148" s="28" t="s">
        <v>80</v>
      </c>
      <c r="E148" s="28" t="s">
        <v>125</v>
      </c>
      <c r="F148" s="28" t="s">
        <v>126</v>
      </c>
      <c r="G148" s="36">
        <v>418</v>
      </c>
      <c r="H148" s="37">
        <v>13</v>
      </c>
      <c r="I148" s="37">
        <v>13</v>
      </c>
      <c r="J148" s="38">
        <f>IF(tblCounts[[#This Row],[Date]]="","",tblCounts[[#This Row],[Counted qty (units)]]-tblCounts[[#This Row],[System qty (units)]])</f>
        <v>0</v>
      </c>
      <c r="K148" s="39">
        <f>IF(tblCounts[[#This Row],[Date]]="","",IF(tblCounts[[#This Row],[System qty (units)]]&gt;0,tblCounts[[#This Row],[Variance (units)]]/tblCounts[[#This Row],[System qty (units)]],""))</f>
        <v>0</v>
      </c>
      <c r="L148" s="40">
        <f>IF(tblCounts[[#This Row],[Date]]="","",IF(tblCounts[[#This Row],[Class]]="A",TolA,IF(tblCounts[[#This Row],[Class]]="B",TolB,IF(tblCounts[[#This Row],[Class]]="C",TolC,""))))</f>
        <v>0</v>
      </c>
      <c r="M148" s="41" t="str">
        <f>IF(tblCounts[[#This Row],[Date]]="","",IF(tblCounts[[#This Row],[Tolerance]]="","",IF(IF(tblCounts[[#This Row],[System qty (units)]]&gt;0,ABS(tblCounts[[#This Row],[Variance (units)]])/tblCounts[[#This Row],[System qty (units)]],IF(tblCounts[[#This Row],[Counted qty (units)]]&gt;0,1,0))&lt;=tblCounts[[#This Row],[Tolerance]],"Yes","No")))</f>
        <v>Yes</v>
      </c>
      <c r="N148" s="42">
        <f>IF(tblCounts[[#This Row],[Date]]="","",tblCounts[[#This Row],[Variance (units)]]*tblCounts[[#This Row],[Unit cost]])</f>
        <v>0</v>
      </c>
      <c r="O148" s="42">
        <f>IF(tblCounts[[#This Row],[Date]]="","",ABS(tblCounts[[#This Row],[Variance value]]))</f>
        <v>0</v>
      </c>
      <c r="P148" s="28" t="s">
        <v>119</v>
      </c>
      <c r="Q148" s="28" t="s">
        <v>132</v>
      </c>
      <c r="R148"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8" s="28" t="s">
        <v>119</v>
      </c>
    </row>
    <row r="149" spans="2:19">
      <c r="B149" s="35">
        <v>46303</v>
      </c>
      <c r="C149" s="28" t="s">
        <v>200</v>
      </c>
      <c r="D149" s="28" t="s">
        <v>82</v>
      </c>
      <c r="E149" s="28" t="s">
        <v>201</v>
      </c>
      <c r="F149" s="28" t="s">
        <v>126</v>
      </c>
      <c r="G149" s="36">
        <v>1642</v>
      </c>
      <c r="H149" s="37">
        <v>19</v>
      </c>
      <c r="I149" s="37">
        <v>19</v>
      </c>
      <c r="J149" s="38">
        <f>IF(tblCounts[[#This Row],[Date]]="","",tblCounts[[#This Row],[Counted qty (units)]]-tblCounts[[#This Row],[System qty (units)]])</f>
        <v>0</v>
      </c>
      <c r="K149" s="39">
        <f>IF(tblCounts[[#This Row],[Date]]="","",IF(tblCounts[[#This Row],[System qty (units)]]&gt;0,tblCounts[[#This Row],[Variance (units)]]/tblCounts[[#This Row],[System qty (units)]],""))</f>
        <v>0</v>
      </c>
      <c r="L149" s="40">
        <f>IF(tblCounts[[#This Row],[Date]]="","",IF(tblCounts[[#This Row],[Class]]="A",TolA,IF(tblCounts[[#This Row],[Class]]="B",TolB,IF(tblCounts[[#This Row],[Class]]="C",TolC,""))))</f>
        <v>0</v>
      </c>
      <c r="M149" s="41" t="str">
        <f>IF(tblCounts[[#This Row],[Date]]="","",IF(tblCounts[[#This Row],[Tolerance]]="","",IF(IF(tblCounts[[#This Row],[System qty (units)]]&gt;0,ABS(tblCounts[[#This Row],[Variance (units)]])/tblCounts[[#This Row],[System qty (units)]],IF(tblCounts[[#This Row],[Counted qty (units)]]&gt;0,1,0))&lt;=tblCounts[[#This Row],[Tolerance]],"Yes","No")))</f>
        <v>Yes</v>
      </c>
      <c r="N149" s="42">
        <f>IF(tblCounts[[#This Row],[Date]]="","",tblCounts[[#This Row],[Variance (units)]]*tblCounts[[#This Row],[Unit cost]])</f>
        <v>0</v>
      </c>
      <c r="O149" s="42">
        <f>IF(tblCounts[[#This Row],[Date]]="","",ABS(tblCounts[[#This Row],[Variance value]]))</f>
        <v>0</v>
      </c>
      <c r="P149" s="28" t="s">
        <v>119</v>
      </c>
      <c r="Q149" s="28" t="s">
        <v>132</v>
      </c>
      <c r="R149"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49" s="28" t="s">
        <v>119</v>
      </c>
    </row>
    <row r="150" spans="2:19">
      <c r="B150" s="35">
        <v>46303</v>
      </c>
      <c r="C150" s="28" t="s">
        <v>211</v>
      </c>
      <c r="D150" s="28" t="s">
        <v>78</v>
      </c>
      <c r="E150" s="28" t="s">
        <v>212</v>
      </c>
      <c r="F150" s="28" t="s">
        <v>118</v>
      </c>
      <c r="G150" s="36">
        <v>0.13</v>
      </c>
      <c r="H150" s="37">
        <v>1000</v>
      </c>
      <c r="I150" s="37">
        <v>1000</v>
      </c>
      <c r="J150" s="38">
        <f>IF(tblCounts[[#This Row],[Date]]="","",tblCounts[[#This Row],[Counted qty (units)]]-tblCounts[[#This Row],[System qty (units)]])</f>
        <v>0</v>
      </c>
      <c r="K150" s="39">
        <f>IF(tblCounts[[#This Row],[Date]]="","",IF(tblCounts[[#This Row],[System qty (units)]]&gt;0,tblCounts[[#This Row],[Variance (units)]]/tblCounts[[#This Row],[System qty (units)]],""))</f>
        <v>0</v>
      </c>
      <c r="L150" s="40">
        <f>IF(tblCounts[[#This Row],[Date]]="","",IF(tblCounts[[#This Row],[Class]]="A",TolA,IF(tblCounts[[#This Row],[Class]]="B",TolB,IF(tblCounts[[#This Row],[Class]]="C",TolC,""))))</f>
        <v>0.05</v>
      </c>
      <c r="M150" s="41" t="str">
        <f>IF(tblCounts[[#This Row],[Date]]="","",IF(tblCounts[[#This Row],[Tolerance]]="","",IF(IF(tblCounts[[#This Row],[System qty (units)]]&gt;0,ABS(tblCounts[[#This Row],[Variance (units)]])/tblCounts[[#This Row],[System qty (units)]],IF(tblCounts[[#This Row],[Counted qty (units)]]&gt;0,1,0))&lt;=tblCounts[[#This Row],[Tolerance]],"Yes","No")))</f>
        <v>Yes</v>
      </c>
      <c r="N150" s="42">
        <f>IF(tblCounts[[#This Row],[Date]]="","",tblCounts[[#This Row],[Variance (units)]]*tblCounts[[#This Row],[Unit cost]])</f>
        <v>0</v>
      </c>
      <c r="O150" s="42">
        <f>IF(tblCounts[[#This Row],[Date]]="","",ABS(tblCounts[[#This Row],[Variance value]]))</f>
        <v>0</v>
      </c>
      <c r="P150" s="28" t="s">
        <v>119</v>
      </c>
      <c r="Q150" s="28" t="s">
        <v>132</v>
      </c>
      <c r="R150"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50" s="28" t="s">
        <v>119</v>
      </c>
    </row>
    <row r="151" spans="2:19">
      <c r="B151" s="35">
        <v>46303</v>
      </c>
      <c r="C151" s="28" t="s">
        <v>198</v>
      </c>
      <c r="D151" s="28" t="s">
        <v>78</v>
      </c>
      <c r="E151" s="28" t="s">
        <v>207</v>
      </c>
      <c r="F151" s="28" t="s">
        <v>118</v>
      </c>
      <c r="G151" s="36">
        <v>1.85</v>
      </c>
      <c r="H151" s="37">
        <v>236</v>
      </c>
      <c r="I151" s="37">
        <v>236</v>
      </c>
      <c r="J151" s="38">
        <f>IF(tblCounts[[#This Row],[Date]]="","",tblCounts[[#This Row],[Counted qty (units)]]-tblCounts[[#This Row],[System qty (units)]])</f>
        <v>0</v>
      </c>
      <c r="K151" s="39">
        <f>IF(tblCounts[[#This Row],[Date]]="","",IF(tblCounts[[#This Row],[System qty (units)]]&gt;0,tblCounts[[#This Row],[Variance (units)]]/tblCounts[[#This Row],[System qty (units)]],""))</f>
        <v>0</v>
      </c>
      <c r="L151" s="40">
        <f>IF(tblCounts[[#This Row],[Date]]="","",IF(tblCounts[[#This Row],[Class]]="A",TolA,IF(tblCounts[[#This Row],[Class]]="B",TolB,IF(tblCounts[[#This Row],[Class]]="C",TolC,""))))</f>
        <v>0.05</v>
      </c>
      <c r="M151" s="41" t="str">
        <f>IF(tblCounts[[#This Row],[Date]]="","",IF(tblCounts[[#This Row],[Tolerance]]="","",IF(IF(tblCounts[[#This Row],[System qty (units)]]&gt;0,ABS(tblCounts[[#This Row],[Variance (units)]])/tblCounts[[#This Row],[System qty (units)]],IF(tblCounts[[#This Row],[Counted qty (units)]]&gt;0,1,0))&lt;=tblCounts[[#This Row],[Tolerance]],"Yes","No")))</f>
        <v>Yes</v>
      </c>
      <c r="N151" s="42">
        <f>IF(tblCounts[[#This Row],[Date]]="","",tblCounts[[#This Row],[Variance (units)]]*tblCounts[[#This Row],[Unit cost]])</f>
        <v>0</v>
      </c>
      <c r="O151" s="42">
        <f>IF(tblCounts[[#This Row],[Date]]="","",ABS(tblCounts[[#This Row],[Variance value]]))</f>
        <v>0</v>
      </c>
      <c r="P151" s="28" t="s">
        <v>119</v>
      </c>
      <c r="Q151" s="28" t="s">
        <v>132</v>
      </c>
      <c r="R151"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51" s="28" t="s">
        <v>119</v>
      </c>
    </row>
    <row r="152" spans="2:19">
      <c r="B152" s="35">
        <v>46304</v>
      </c>
      <c r="C152" s="28" t="s">
        <v>213</v>
      </c>
      <c r="D152" s="28" t="s">
        <v>76</v>
      </c>
      <c r="E152" s="28" t="s">
        <v>214</v>
      </c>
      <c r="F152" s="28" t="s">
        <v>118</v>
      </c>
      <c r="G152" s="36">
        <v>6.84</v>
      </c>
      <c r="H152" s="37">
        <v>423</v>
      </c>
      <c r="I152" s="37">
        <v>419</v>
      </c>
      <c r="J152" s="38">
        <f>IF(tblCounts[[#This Row],[Date]]="","",tblCounts[[#This Row],[Counted qty (units)]]-tblCounts[[#This Row],[System qty (units)]])</f>
        <v>-4</v>
      </c>
      <c r="K152" s="39">
        <f>IF(tblCounts[[#This Row],[Date]]="","",IF(tblCounts[[#This Row],[System qty (units)]]&gt;0,tblCounts[[#This Row],[Variance (units)]]/tblCounts[[#This Row],[System qty (units)]],""))</f>
        <v>-0.00945626477541371</v>
      </c>
      <c r="L152" s="40">
        <f>IF(tblCounts[[#This Row],[Date]]="","",IF(tblCounts[[#This Row],[Class]]="A",TolA,IF(tblCounts[[#This Row],[Class]]="B",TolB,IF(tblCounts[[#This Row],[Class]]="C",TolC,""))))</f>
        <v>0.05</v>
      </c>
      <c r="M152" s="41" t="str">
        <f>IF(tblCounts[[#This Row],[Date]]="","",IF(tblCounts[[#This Row],[Tolerance]]="","",IF(IF(tblCounts[[#This Row],[System qty (units)]]&gt;0,ABS(tblCounts[[#This Row],[Variance (units)]])/tblCounts[[#This Row],[System qty (units)]],IF(tblCounts[[#This Row],[Counted qty (units)]]&gt;0,1,0))&lt;=tblCounts[[#This Row],[Tolerance]],"Yes","No")))</f>
        <v>Yes</v>
      </c>
      <c r="N152" s="42">
        <f>IF(tblCounts[[#This Row],[Date]]="","",tblCounts[[#This Row],[Variance (units)]]*tblCounts[[#This Row],[Unit cost]])</f>
        <v>-27.36</v>
      </c>
      <c r="O152" s="42">
        <f>IF(tblCounts[[#This Row],[Date]]="","",ABS(tblCounts[[#This Row],[Variance value]]))</f>
        <v>27.36</v>
      </c>
      <c r="P152" s="28" t="s">
        <v>119</v>
      </c>
      <c r="Q152" s="28" t="s">
        <v>120</v>
      </c>
      <c r="R152"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52" s="28" t="s">
        <v>119</v>
      </c>
    </row>
    <row r="153" spans="2:19">
      <c r="B153" s="35">
        <v>46304</v>
      </c>
      <c r="C153" s="28" t="s">
        <v>215</v>
      </c>
      <c r="D153" s="28" t="s">
        <v>82</v>
      </c>
      <c r="E153" s="28" t="s">
        <v>216</v>
      </c>
      <c r="F153" s="28" t="s">
        <v>118</v>
      </c>
      <c r="G153" s="36">
        <v>213</v>
      </c>
      <c r="H153" s="37">
        <v>5</v>
      </c>
      <c r="I153" s="37">
        <v>5</v>
      </c>
      <c r="J153" s="38">
        <f>IF(tblCounts[[#This Row],[Date]]="","",tblCounts[[#This Row],[Counted qty (units)]]-tblCounts[[#This Row],[System qty (units)]])</f>
        <v>0</v>
      </c>
      <c r="K153" s="39">
        <f>IF(tblCounts[[#This Row],[Date]]="","",IF(tblCounts[[#This Row],[System qty (units)]]&gt;0,tblCounts[[#This Row],[Variance (units)]]/tblCounts[[#This Row],[System qty (units)]],""))</f>
        <v>0</v>
      </c>
      <c r="L153" s="40">
        <f>IF(tblCounts[[#This Row],[Date]]="","",IF(tblCounts[[#This Row],[Class]]="A",TolA,IF(tblCounts[[#This Row],[Class]]="B",TolB,IF(tblCounts[[#This Row],[Class]]="C",TolC,""))))</f>
        <v>0.05</v>
      </c>
      <c r="M153" s="41" t="str">
        <f>IF(tblCounts[[#This Row],[Date]]="","",IF(tblCounts[[#This Row],[Tolerance]]="","",IF(IF(tblCounts[[#This Row],[System qty (units)]]&gt;0,ABS(tblCounts[[#This Row],[Variance (units)]])/tblCounts[[#This Row],[System qty (units)]],IF(tblCounts[[#This Row],[Counted qty (units)]]&gt;0,1,0))&lt;=tblCounts[[#This Row],[Tolerance]],"Yes","No")))</f>
        <v>Yes</v>
      </c>
      <c r="N153" s="42">
        <f>IF(tblCounts[[#This Row],[Date]]="","",tblCounts[[#This Row],[Variance (units)]]*tblCounts[[#This Row],[Unit cost]])</f>
        <v>0</v>
      </c>
      <c r="O153" s="42">
        <f>IF(tblCounts[[#This Row],[Date]]="","",ABS(tblCounts[[#This Row],[Variance value]]))</f>
        <v>0</v>
      </c>
      <c r="P153" s="28" t="s">
        <v>119</v>
      </c>
      <c r="Q153" s="28" t="s">
        <v>129</v>
      </c>
      <c r="R153"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53" s="28" t="s">
        <v>119</v>
      </c>
    </row>
    <row r="154" spans="2:19">
      <c r="B154" s="35">
        <v>46304</v>
      </c>
      <c r="C154" s="28" t="s">
        <v>200</v>
      </c>
      <c r="D154" s="28" t="s">
        <v>82</v>
      </c>
      <c r="E154" s="28" t="s">
        <v>201</v>
      </c>
      <c r="F154" s="28" t="s">
        <v>126</v>
      </c>
      <c r="G154" s="36">
        <v>1642</v>
      </c>
      <c r="H154" s="37">
        <v>7</v>
      </c>
      <c r="I154" s="37">
        <v>7</v>
      </c>
      <c r="J154" s="38">
        <f>IF(tblCounts[[#This Row],[Date]]="","",tblCounts[[#This Row],[Counted qty (units)]]-tblCounts[[#This Row],[System qty (units)]])</f>
        <v>0</v>
      </c>
      <c r="K154" s="39">
        <f>IF(tblCounts[[#This Row],[Date]]="","",IF(tblCounts[[#This Row],[System qty (units)]]&gt;0,tblCounts[[#This Row],[Variance (units)]]/tblCounts[[#This Row],[System qty (units)]],""))</f>
        <v>0</v>
      </c>
      <c r="L154" s="40">
        <f>IF(tblCounts[[#This Row],[Date]]="","",IF(tblCounts[[#This Row],[Class]]="A",TolA,IF(tblCounts[[#This Row],[Class]]="B",TolB,IF(tblCounts[[#This Row],[Class]]="C",TolC,""))))</f>
        <v>0</v>
      </c>
      <c r="M154" s="41" t="str">
        <f>IF(tblCounts[[#This Row],[Date]]="","",IF(tblCounts[[#This Row],[Tolerance]]="","",IF(IF(tblCounts[[#This Row],[System qty (units)]]&gt;0,ABS(tblCounts[[#This Row],[Variance (units)]])/tblCounts[[#This Row],[System qty (units)]],IF(tblCounts[[#This Row],[Counted qty (units)]]&gt;0,1,0))&lt;=tblCounts[[#This Row],[Tolerance]],"Yes","No")))</f>
        <v>Yes</v>
      </c>
      <c r="N154" s="42">
        <f>IF(tblCounts[[#This Row],[Date]]="","",tblCounts[[#This Row],[Variance (units)]]*tblCounts[[#This Row],[Unit cost]])</f>
        <v>0</v>
      </c>
      <c r="O154" s="42">
        <f>IF(tblCounts[[#This Row],[Date]]="","",ABS(tblCounts[[#This Row],[Variance value]]))</f>
        <v>0</v>
      </c>
      <c r="P154" s="28" t="s">
        <v>119</v>
      </c>
      <c r="Q154" s="28" t="s">
        <v>120</v>
      </c>
      <c r="R154"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54" s="28" t="s">
        <v>119</v>
      </c>
    </row>
    <row r="155" spans="2:19">
      <c r="B155" s="35">
        <v>46304</v>
      </c>
      <c r="C155" s="28" t="s">
        <v>145</v>
      </c>
      <c r="D155" s="28" t="s">
        <v>82</v>
      </c>
      <c r="E155" s="28" t="s">
        <v>146</v>
      </c>
      <c r="F155" s="28" t="s">
        <v>118</v>
      </c>
      <c r="G155" s="36">
        <v>180</v>
      </c>
      <c r="H155" s="37">
        <v>20</v>
      </c>
      <c r="I155" s="37">
        <v>20</v>
      </c>
      <c r="J155" s="38">
        <f>IF(tblCounts[[#This Row],[Date]]="","",tblCounts[[#This Row],[Counted qty (units)]]-tblCounts[[#This Row],[System qty (units)]])</f>
        <v>0</v>
      </c>
      <c r="K155" s="39">
        <f>IF(tblCounts[[#This Row],[Date]]="","",IF(tblCounts[[#This Row],[System qty (units)]]&gt;0,tblCounts[[#This Row],[Variance (units)]]/tblCounts[[#This Row],[System qty (units)]],""))</f>
        <v>0</v>
      </c>
      <c r="L155" s="40">
        <f>IF(tblCounts[[#This Row],[Date]]="","",IF(tblCounts[[#This Row],[Class]]="A",TolA,IF(tblCounts[[#This Row],[Class]]="B",TolB,IF(tblCounts[[#This Row],[Class]]="C",TolC,""))))</f>
        <v>0.05</v>
      </c>
      <c r="M155" s="41" t="str">
        <f>IF(tblCounts[[#This Row],[Date]]="","",IF(tblCounts[[#This Row],[Tolerance]]="","",IF(IF(tblCounts[[#This Row],[System qty (units)]]&gt;0,ABS(tblCounts[[#This Row],[Variance (units)]])/tblCounts[[#This Row],[System qty (units)]],IF(tblCounts[[#This Row],[Counted qty (units)]]&gt;0,1,0))&lt;=tblCounts[[#This Row],[Tolerance]],"Yes","No")))</f>
        <v>Yes</v>
      </c>
      <c r="N155" s="42">
        <f>IF(tblCounts[[#This Row],[Date]]="","",tblCounts[[#This Row],[Variance (units)]]*tblCounts[[#This Row],[Unit cost]])</f>
        <v>0</v>
      </c>
      <c r="O155" s="42">
        <f>IF(tblCounts[[#This Row],[Date]]="","",ABS(tblCounts[[#This Row],[Variance value]]))</f>
        <v>0</v>
      </c>
      <c r="P155" s="28" t="s">
        <v>119</v>
      </c>
      <c r="Q155" s="28" t="s">
        <v>129</v>
      </c>
      <c r="R155"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55" s="28" t="s">
        <v>119</v>
      </c>
    </row>
    <row r="156" spans="2:19">
      <c r="B156" s="35">
        <v>46304</v>
      </c>
      <c r="C156" s="28" t="s">
        <v>187</v>
      </c>
      <c r="D156" s="28" t="s">
        <v>76</v>
      </c>
      <c r="E156" s="28" t="s">
        <v>188</v>
      </c>
      <c r="F156" s="28" t="s">
        <v>126</v>
      </c>
      <c r="G156" s="36">
        <v>198</v>
      </c>
      <c r="H156" s="37">
        <v>82</v>
      </c>
      <c r="I156" s="37">
        <v>71</v>
      </c>
      <c r="J156" s="38">
        <f>IF(tblCounts[[#This Row],[Date]]="","",tblCounts[[#This Row],[Counted qty (units)]]-tblCounts[[#This Row],[System qty (units)]])</f>
        <v>-11</v>
      </c>
      <c r="K156" s="39">
        <f>IF(tblCounts[[#This Row],[Date]]="","",IF(tblCounts[[#This Row],[System qty (units)]]&gt;0,tblCounts[[#This Row],[Variance (units)]]/tblCounts[[#This Row],[System qty (units)]],""))</f>
        <v>-0.134146341463415</v>
      </c>
      <c r="L156" s="40">
        <f>IF(tblCounts[[#This Row],[Date]]="","",IF(tblCounts[[#This Row],[Class]]="A",TolA,IF(tblCounts[[#This Row],[Class]]="B",TolB,IF(tblCounts[[#This Row],[Class]]="C",TolC,""))))</f>
        <v>0</v>
      </c>
      <c r="M156" s="41" t="str">
        <f>IF(tblCounts[[#This Row],[Date]]="","",IF(tblCounts[[#This Row],[Tolerance]]="","",IF(IF(tblCounts[[#This Row],[System qty (units)]]&gt;0,ABS(tblCounts[[#This Row],[Variance (units)]])/tblCounts[[#This Row],[System qty (units)]],IF(tblCounts[[#This Row],[Counted qty (units)]]&gt;0,1,0))&lt;=tblCounts[[#This Row],[Tolerance]],"Yes","No")))</f>
        <v>No</v>
      </c>
      <c r="N156" s="42">
        <f>IF(tblCounts[[#This Row],[Date]]="","",tblCounts[[#This Row],[Variance (units)]]*tblCounts[[#This Row],[Unit cost]])</f>
        <v>-2178</v>
      </c>
      <c r="O156" s="42">
        <f>IF(tblCounts[[#This Row],[Date]]="","",ABS(tblCounts[[#This Row],[Variance value]]))</f>
        <v>2178</v>
      </c>
      <c r="P156" s="28" t="s">
        <v>91</v>
      </c>
      <c r="Q156" s="28" t="s">
        <v>129</v>
      </c>
      <c r="R156" s="43" t="str">
        <f>IF(tblCounts[[#This Row],[Date]]="","",IF(tblCounts[[#This Row],[Location]]="","Missing location",IF(tblCounts[[#This Row],[Zone]]="","Missing zone",IF(tblCounts[[#This Row],[Item]]="","Missing item",IF(tblCounts[[#This Row],[Class]]="","Missing class",IF(tblCounts[[#This Row],[System qty (units)]]="","Missing system qty",IF(tblCounts[[#This Row],[Counted qty (units)]]="","Missing counted qty",IF(AND(tblCounts[[#This Row],[Match]]="No",tblCounts[[#This Row],[Reason]]=""),"Reason missing for a miss",IF(COUNTIF(tblZones[Zone],tblCounts[[#This Row],[Zone]])=0,"Zone not on Setup list",IF(AND(tblCounts[[#This Row],[Reason]]&lt;&gt;"",COUNTIF(tblReasons[Reason],tblCounts[[#This Row],[Reason]])=0),"Reason not on Setup list",IF(COUNTIFS(tblCounts[Date],tblCounts[[#This Row],[Date]],tblCounts[Location],tblCounts[[#This Row],[Location]],tblCounts[Item],tblCounts[[#This Row],[Item]])&gt;1,"Counted twice on one day","OK")))))))))))</f>
        <v>OK</v>
      </c>
      <c r="S156" s="28" t="s">
        <v>119</v>
      </c>
    </row>
  </sheetData>
  <mergeCells count="3">
    <mergeCell ref="A1:S1"/>
    <mergeCell ref="B2:R2"/>
    <mergeCell ref="B4:S4"/>
  </mergeCells>
  <conditionalFormatting sqref="M7:M65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7:R656">
    <cfRule type="expression" dxfId="3" priority="21">
      <formula>$R7="OK"</formula>
    </cfRule>
    <cfRule type="expression" dxfId="1" priority="22">
      <formula>AND($R7&lt;&gt;"",$R7&lt;&gt;"OK")</formula>
    </cfRule>
  </conditionalFormatting>
  <dataValidations count="11">
    <dataValidation type="date" allowBlank="1" showInputMessage="1" showErrorMessage="1" errorTitle="Check this entry" error="Enter a date between 01 Jan 2000 and 31 Dec 2100." promptTitle="Date" prompt="Enter a date between 01 Jan 2000 and 31 Dec 2100." sqref="B7:B656">
      <formula1>36526</formula1>
      <formula2>73415</formula2>
    </dataValidation>
    <dataValidation type="textLength" allowBlank="1" showInputMessage="1" showErrorMessage="1" errorTitle="Check this entry" error="Text up to 40 characters." promptTitle="Location" prompt="Text up to 40 characters." sqref="C7:C656">
      <formula1>0</formula1>
      <formula2>40</formula2>
    </dataValidation>
    <dataValidation type="list" allowBlank="1" showInputMessage="1" showErrorMessage="1" errorTitle="Check this entry" error="Pick from the list (edit the list on Setup: Zones)." promptTitle="Zone" prompt="Pick from the list (edit the list on Setup: Zones)." sqref="D7:D656">
      <formula1>Zones</formula1>
    </dataValidation>
    <dataValidation type="textLength" allowBlank="1" showInputMessage="1" showErrorMessage="1" errorTitle="Check this entry" error="Text up to 40 characters." promptTitle="Item" prompt="Text up to 40 characters." sqref="E7:E656">
      <formula1>0</formula1>
      <formula2>40</formula2>
    </dataValidation>
    <dataValidation type="list" allowBlank="1" showInputMessage="1" showErrorMessage="1" errorTitle="Check this entry" error="Pick one of: A, B, C." promptTitle="Class" prompt="ABC class of the item (see the ABC Inventory Analysis template). Sets the count tolerance. Pick one of: A, B, C." sqref="F7:F656">
      <formula1>"A,B,C"</formula1>
    </dataValidation>
    <dataValidation type="decimal" allowBlank="1" showInputMessage="1" showErrorMessage="1" errorTitle="Check this entry" error="Enter a number of at least 0." promptTitle="Unit cost" prompt="Standard or average cost per unit. Enter a number of at least 0." sqref="G7:G656">
      <formula1>0</formula1>
      <formula2>1000000000.0</formula2>
    </dataValidation>
    <dataValidation type="decimal" allowBlank="1" showInputMessage="1" showErrorMessage="1" errorTitle="Check this entry" error="Enter a number of at least 0." promptTitle="System qty (units)" prompt="Quantity the system shows for this item in this location at the time of the count. Enter a number of at least 0." sqref="H7:H656">
      <formula1>0</formula1>
      <formula2>10000000000.0</formula2>
    </dataValidation>
    <dataValidation type="decimal" allowBlank="1" showInputMessage="1" showErrorMessage="1" errorTitle="Check this entry" error="Enter a number of at least 0." promptTitle="Counted qty (units)" prompt="Verified physical count. If the first count missed, recount and enter the verified quantity. Enter a number of at least 0." sqref="I7:I656">
      <formula1>0</formula1>
      <formula2>10000000000.0</formula2>
    </dataValidation>
    <dataValidation type="list" allowBlank="1" showInputMessage="1" showErrorMessage="1" errorTitle="Check this entry" error="Pick from the list (edit the list on Setup: Reasons)." promptTitle="Reason" prompt="Why the record was wrong. Required when Match is No. Pick from the list (edit the list on Setup: Reasons)." sqref="P7:P656">
      <formula1>Reasons</formula1>
    </dataValidation>
    <dataValidation type="textLength" allowBlank="1" showInputMessage="1" showErrorMessage="1" errorTitle="Check this entry" error="Text up to 40 characters." promptTitle="Counter" prompt="Text up to 40 characters." sqref="Q7:Q656">
      <formula1>0</formula1>
      <formula2>40</formula2>
    </dataValidation>
    <dataValidation type="textLength" allowBlank="1" showInputMessage="1" showErrorMessage="1" errorTitle="Check this entry" error="Text up to 255 characters." promptTitle="Notes" prompt="Text up to 255 characters." sqref="S7:S656">
      <formula1>0</formula1>
      <formula2>255</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Cycle Count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67"/>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44" t="str">
        <f>"Showing "&amp;(COUNTIFS(tblCounts[Match],"Yes")+COUNTIFS(tblCounts[Match],"No"))&amp;" counts for "&amp;CompanyName&amp;". A count matches when its variance is within the tolerance for its class (Setup)."</f>
        <v>Showing 150 counts for Calder Pump Company (example). A count matches when its variance is within the tolerance for its class (Setup).</v>
      </c>
      <c r="C4" s="44"/>
      <c r="D4" s="44"/>
      <c r="E4" s="44"/>
      <c r="F4" s="44"/>
      <c r="G4" s="44"/>
      <c r="H4" s="44"/>
      <c r="I4" s="44"/>
      <c r="J4" s="44"/>
      <c r="K4" s="44"/>
      <c r="L4" s="44"/>
    </row>
    <row r="6" spans="1:12" ht="18" customHeight="1" x14ac:dyDescent="0.25">
      <c r="B6" s="45" t="s">
        <v>217</v>
      </c>
      <c r="C6" s="45"/>
      <c r="D6" s="45" t="s">
        <v>218</v>
      </c>
      <c r="E6" s="45"/>
      <c r="F6" s="45"/>
      <c r="G6" s="45" t="str">
        <f>"GROSS ADJUSTMENT VALUE ("&amp;Currency&amp;")"</f>
        <v>GROSS ADJUSTMENT VALUE (GBP)</v>
      </c>
      <c r="H6" s="45"/>
      <c r="I6" s="45"/>
      <c r="J6" s="45" t="s">
        <v>219</v>
      </c>
      <c r="K6" s="45"/>
      <c r="L6" s="45"/>
    </row>
    <row r="7" spans="1:12" ht="21" customHeight="1" x14ac:dyDescent="0.25">
      <c r="B7" s="46">
        <f>IF((COUNTIFS(tblCounts[Match],"Yes")+COUNTIFS(tblCounts[Match],"No"))=0,"",(COUNTIFS(tblCounts[Match],"Yes"))/(COUNTIFS(tblCounts[Match],"Yes")+COUNTIFS(tblCounts[Match],"No")))</f>
        <v>0.88</v>
      </c>
      <c r="C7" s="46"/>
      <c r="D7" s="47">
        <f>COUNTIFS(tblCounts[Match],"Yes")+COUNTIFS(tblCounts[Match],"No")</f>
        <v>150</v>
      </c>
      <c r="E7" s="47"/>
      <c r="F7" s="47"/>
      <c r="G7" s="47">
        <f>SUM(tblCounts[Abs variance value])</f>
        <v>17459.58</v>
      </c>
      <c r="H7" s="47"/>
      <c r="I7" s="47"/>
      <c r="J7" s="48" t="str">
        <f>IF(INDEX($E$57:$E$63,1)&gt;0,INDEX($C$57:$C$63,1),"No misses")</f>
        <v>Wrong location</v>
      </c>
      <c r="K7" s="48"/>
      <c r="L7" s="48"/>
    </row>
    <row r="8" spans="1:12" ht="21" customHeight="1" x14ac:dyDescent="0.25">
      <c r="B8" s="46"/>
      <c r="C8" s="46"/>
      <c r="D8" s="47"/>
      <c r="E8" s="47"/>
      <c r="F8" s="47"/>
      <c r="G8" s="47"/>
      <c r="H8" s="47"/>
      <c r="I8" s="47"/>
      <c r="J8" s="48"/>
      <c r="K8" s="48"/>
      <c r="L8" s="48"/>
    </row>
    <row r="9" spans="1:12" x14ac:dyDescent="0.25">
      <c r="B9" s="49">
        <f>TargetAccuracy</f>
        <v>0.95</v>
      </c>
      <c r="C9" s="49"/>
      <c r="D9" s="50" t="s">
        <v>220</v>
      </c>
      <c r="E9" s="50"/>
      <c r="F9" s="50"/>
      <c r="G9" s="50" t="s">
        <v>221</v>
      </c>
      <c r="H9" s="50"/>
      <c r="I9" s="50"/>
      <c r="J9" s="50" t="s">
        <v>222</v>
      </c>
      <c r="K9" s="50"/>
      <c r="L9" s="50"/>
    </row>
    <row r="10" spans="1:12" ht="18" customHeight="1" x14ac:dyDescent="0.25">
      <c r="B10" s="51" t="str">
        <f>IF(NOT(ISNUMBER(KpiAcc)),"No data",IF(KpiAcc&gt;=(TargetAccuracy),"On target",IF(KpiAcc&gt;=(TargetAccuracy)*(1-0.05),"Near target","Below target")))</f>
        <v>Below target</v>
      </c>
      <c r="C10" s="51"/>
      <c r="D10" s="51"/>
      <c r="E10" s="51"/>
      <c r="F10" s="51"/>
      <c r="G10" s="51"/>
      <c r="H10" s="51"/>
      <c r="I10" s="51"/>
      <c r="J10" s="51"/>
      <c r="K10" s="51"/>
      <c r="L10" s="51"/>
    </row>
    <row r="28" spans="2:8" x14ac:dyDescent="0.25">
      <c r="B28" s="30" t="s">
        <v>223</v>
      </c>
      <c r="C28" s="30"/>
      <c r="D28" s="30"/>
      <c r="E28" s="30"/>
      <c r="F28" s="30"/>
      <c r="G28" s="30"/>
      <c r="H28" s="30"/>
    </row>
    <row r="29" spans="2:8" ht="32" customHeight="1" x14ac:dyDescent="0.25">
      <c r="B29" s="52" t="s">
        <v>224</v>
      </c>
      <c r="C29" s="31" t="s">
        <v>225</v>
      </c>
      <c r="D29" s="31" t="s">
        <v>226</v>
      </c>
      <c r="E29" s="31" t="s">
        <v>227</v>
      </c>
      <c r="F29" s="31" t="s">
        <v>228</v>
      </c>
      <c r="G29" s="31" t="s">
        <v>229</v>
      </c>
      <c r="H29" s="31" t="s">
        <v>230</v>
      </c>
    </row>
    <row r="30" spans="2:8" ht="14" customHeight="1" x14ac:dyDescent="0.25">
      <c r="B30" s="34"/>
      <c r="C30" s="34"/>
      <c r="D30" s="34"/>
      <c r="E30" s="34"/>
      <c r="F30" s="34"/>
      <c r="G30" s="34" t="str">
        <f>Currency</f>
        <v>GBP</v>
      </c>
      <c r="H30" s="34" t="str">
        <f>Currency</f>
        <v>GBP</v>
      </c>
    </row>
    <row r="31" spans="2:8" x14ac:dyDescent="0.25">
      <c r="B31" s="53">
        <f>IF($B$32="","",IF($B$32-1&lt;MIN(tblCounts[Date]),"",$B$32-7))</f>
        <v>46265</v>
      </c>
      <c r="C31" s="54">
        <f>IF($B$31="","",COUNTIFS(tblCounts[Date],"&gt;="&amp;$B$31,tblCounts[Date],"&lt;"&amp;$B$31+7,tblCounts[Match],"Yes")+COUNTIFS(tblCounts[Date],"&gt;="&amp;$B$31,tblCounts[Date],"&lt;"&amp;$B$31+7,tblCounts[Match],"No"))</f>
        <v>25</v>
      </c>
      <c r="D31" s="54">
        <f>IF($B$31="","",COUNTIFS(tblCounts[Date],"&gt;="&amp;$B$31,tblCounts[Date],"&lt;"&amp;$B$31+7,tblCounts[Match],"No"))</f>
        <v>5</v>
      </c>
      <c r="E31" s="40">
        <f>IF($B$31="","",IF(($C$31)=0,"",(COUNTIFS(tblCounts[Date],"&gt;="&amp;$B$31,tblCounts[Date],"&lt;"&amp;$B$31+7,tblCounts[Match],"Yes"))/($C$31)))</f>
        <v>0.8</v>
      </c>
      <c r="F31" s="55">
        <f>TargetAccuracy</f>
        <v>0.95</v>
      </c>
      <c r="G31" s="54">
        <f>IF($B$31="","",SUMIFS(tblCounts[Variance value],tblCounts[Date],"&gt;="&amp;$B$31,tblCounts[Date],"&lt;"&amp;$B$31+7))</f>
        <v>-2051.64</v>
      </c>
      <c r="H31" s="54">
        <f>IF($B$31="","",SUMIFS(tblCounts[Abs variance value],tblCounts[Date],"&gt;="&amp;$B$31,tblCounts[Date],"&lt;"&amp;$B$31+7))</f>
        <v>2051.64</v>
      </c>
    </row>
    <row r="32" spans="2:8" x14ac:dyDescent="0.25">
      <c r="B32" s="53">
        <f>IF($B$33="","",IF($B$33-1&lt;MIN(tblCounts[Date]),"",$B$33-7))</f>
        <v>46272</v>
      </c>
      <c r="C32" s="54">
        <f>IF($B$32="","",COUNTIFS(tblCounts[Date],"&gt;="&amp;$B$32,tblCounts[Date],"&lt;"&amp;$B$32+7,tblCounts[Match],"Yes")+COUNTIFS(tblCounts[Date],"&gt;="&amp;$B$32,tblCounts[Date],"&lt;"&amp;$B$32+7,tblCounts[Match],"No"))</f>
        <v>25</v>
      </c>
      <c r="D32" s="54">
        <f>IF($B$32="","",COUNTIFS(tblCounts[Date],"&gt;="&amp;$B$32,tblCounts[Date],"&lt;"&amp;$B$32+7,tblCounts[Match],"No"))</f>
        <v>7</v>
      </c>
      <c r="E32" s="40">
        <f>IF($B$32="","",IF(($C$32)=0,"",(COUNTIFS(tblCounts[Date],"&gt;="&amp;$B$32,tblCounts[Date],"&lt;"&amp;$B$32+7,tblCounts[Match],"Yes"))/($C$32)))</f>
        <v>0.72</v>
      </c>
      <c r="F32" s="55">
        <f>TargetAccuracy</f>
        <v>0.95</v>
      </c>
      <c r="G32" s="54">
        <f>IF($B$32="","",SUMIFS(tblCounts[Variance value],tblCounts[Date],"&gt;="&amp;$B$32,tblCounts[Date],"&lt;"&amp;$B$32+7))</f>
        <v>-4753.07</v>
      </c>
      <c r="H32" s="54">
        <f>IF($B$32="","",SUMIFS(tblCounts[Abs variance value],tblCounts[Date],"&gt;="&amp;$B$32,tblCounts[Date],"&lt;"&amp;$B$32+7))</f>
        <v>7095.07</v>
      </c>
    </row>
    <row r="33" spans="2:8" x14ac:dyDescent="0.25">
      <c r="B33" s="53">
        <f>IF($B$34="","",IF($B$34-1&lt;MIN(tblCounts[Date]),"",$B$34-7))</f>
        <v>46279</v>
      </c>
      <c r="C33" s="54">
        <f>IF($B$33="","",COUNTIFS(tblCounts[Date],"&gt;="&amp;$B$33,tblCounts[Date],"&lt;"&amp;$B$33+7,tblCounts[Match],"Yes")+COUNTIFS(tblCounts[Date],"&gt;="&amp;$B$33,tblCounts[Date],"&lt;"&amp;$B$33+7,tblCounts[Match],"No"))</f>
        <v>25</v>
      </c>
      <c r="D33" s="54">
        <f>IF($B$33="","",COUNTIFS(tblCounts[Date],"&gt;="&amp;$B$33,tblCounts[Date],"&lt;"&amp;$B$33+7,tblCounts[Match],"No"))</f>
        <v>4</v>
      </c>
      <c r="E33" s="40">
        <f>IF($B$33="","",IF(($C$33)=0,"",(COUNTIFS(tblCounts[Date],"&gt;="&amp;$B$33,tblCounts[Date],"&lt;"&amp;$B$33+7,tblCounts[Match],"Yes"))/($C$33)))</f>
        <v>0.84</v>
      </c>
      <c r="F33" s="55">
        <f>TargetAccuracy</f>
        <v>0.95</v>
      </c>
      <c r="G33" s="54">
        <f>IF($B$33="","",SUMIFS(tblCounts[Variance value],tblCounts[Date],"&gt;="&amp;$B$33,tblCounts[Date],"&lt;"&amp;$B$33+7))</f>
        <v>5021.7</v>
      </c>
      <c r="H33" s="54">
        <f>IF($B$33="","",SUMIFS(tblCounts[Abs variance value],tblCounts[Date],"&gt;="&amp;$B$33,tblCounts[Date],"&lt;"&amp;$B$33+7))</f>
        <v>5634.3</v>
      </c>
    </row>
    <row r="34" spans="2:8" x14ac:dyDescent="0.25">
      <c r="B34" s="53">
        <f>IF($B$35="","",IF($B$35-1&lt;MIN(tblCounts[Date]),"",$B$35-7))</f>
        <v>46286</v>
      </c>
      <c r="C34" s="54">
        <f>IF($B$34="","",COUNTIFS(tblCounts[Date],"&gt;="&amp;$B$34,tblCounts[Date],"&lt;"&amp;$B$34+7,tblCounts[Match],"Yes")+COUNTIFS(tblCounts[Date],"&gt;="&amp;$B$34,tblCounts[Date],"&lt;"&amp;$B$34+7,tblCounts[Match],"No"))</f>
        <v>25</v>
      </c>
      <c r="D34" s="54">
        <f>IF($B$34="","",COUNTIFS(tblCounts[Date],"&gt;="&amp;$B$34,tblCounts[Date],"&lt;"&amp;$B$34+7,tblCounts[Match],"No"))</f>
        <v>0</v>
      </c>
      <c r="E34" s="40">
        <f>IF($B$34="","",IF(($C$34)=0,"",(COUNTIFS(tblCounts[Date],"&gt;="&amp;$B$34,tblCounts[Date],"&lt;"&amp;$B$34+7,tblCounts[Match],"Yes"))/($C$34)))</f>
        <v>1</v>
      </c>
      <c r="F34" s="55">
        <f>TargetAccuracy</f>
        <v>0.95</v>
      </c>
      <c r="G34" s="54">
        <f>IF($B$34="","",SUMIFS(tblCounts[Variance value],tblCounts[Date],"&gt;="&amp;$B$34,tblCounts[Date],"&lt;"&amp;$B$34+7))</f>
        <v>-18</v>
      </c>
      <c r="H34" s="54">
        <f>IF($B$34="","",SUMIFS(tblCounts[Abs variance value],tblCounts[Date],"&gt;="&amp;$B$34,tblCounts[Date],"&lt;"&amp;$B$34+7))</f>
        <v>18</v>
      </c>
    </row>
    <row r="35" spans="2:8" x14ac:dyDescent="0.25">
      <c r="B35" s="53">
        <f>IF($B$36="","",IF($B$36-1&lt;MIN(tblCounts[Date]),"",$B$36-7))</f>
        <v>46293</v>
      </c>
      <c r="C35" s="54">
        <f>IF($B$35="","",COUNTIFS(tblCounts[Date],"&gt;="&amp;$B$35,tblCounts[Date],"&lt;"&amp;$B$35+7,tblCounts[Match],"Yes")+COUNTIFS(tblCounts[Date],"&gt;="&amp;$B$35,tblCounts[Date],"&lt;"&amp;$B$35+7,tblCounts[Match],"No"))</f>
        <v>25</v>
      </c>
      <c r="D35" s="54">
        <f>IF($B$35="","",COUNTIFS(tblCounts[Date],"&gt;="&amp;$B$35,tblCounts[Date],"&lt;"&amp;$B$35+7,tblCounts[Match],"No"))</f>
        <v>1</v>
      </c>
      <c r="E35" s="40">
        <f>IF($B$35="","",IF(($C$35)=0,"",(COUNTIFS(tblCounts[Date],"&gt;="&amp;$B$35,tblCounts[Date],"&lt;"&amp;$B$35+7,tblCounts[Match],"Yes"))/($C$35)))</f>
        <v>0.96</v>
      </c>
      <c r="F35" s="55">
        <f>TargetAccuracy</f>
        <v>0.95</v>
      </c>
      <c r="G35" s="54">
        <f>IF($B$35="","",SUMIFS(tblCounts[Variance value],tblCounts[Date],"&gt;="&amp;$B$35,tblCounts[Date],"&lt;"&amp;$B$35+7))</f>
        <v>-437.96</v>
      </c>
      <c r="H35" s="54">
        <f>IF($B$35="","",SUMIFS(tblCounts[Abs variance value],tblCounts[Date],"&gt;="&amp;$B$35,tblCounts[Date],"&lt;"&amp;$B$35+7))</f>
        <v>437.96</v>
      </c>
    </row>
    <row r="36" spans="2:8" x14ac:dyDescent="0.25">
      <c r="B36" s="53">
        <f>IF(COUNT(tblCounts[Date])=0,"",MAX(tblCounts[Date])-WEEKDAY(MAX(tblCounts[Date]),2)+1)</f>
        <v>46300</v>
      </c>
      <c r="C36" s="54">
        <f>IF($B$36="","",COUNTIFS(tblCounts[Date],"&gt;="&amp;$B$36,tblCounts[Date],"&lt;"&amp;$B$36+7,tblCounts[Match],"Yes")+COUNTIFS(tblCounts[Date],"&gt;="&amp;$B$36,tblCounts[Date],"&lt;"&amp;$B$36+7,tblCounts[Match],"No"))</f>
        <v>25</v>
      </c>
      <c r="D36" s="54">
        <f>IF($B$36="","",COUNTIFS(tblCounts[Date],"&gt;="&amp;$B$36,tblCounts[Date],"&lt;"&amp;$B$36+7,tblCounts[Match],"No"))</f>
        <v>1</v>
      </c>
      <c r="E36" s="40">
        <f>IF($B$36="","",IF(($C$36)=0,"",(COUNTIFS(tblCounts[Date],"&gt;="&amp;$B$36,tblCounts[Date],"&lt;"&amp;$B$36+7,tblCounts[Match],"Yes"))/($C$36)))</f>
        <v>0.96</v>
      </c>
      <c r="F36" s="55">
        <f>TargetAccuracy</f>
        <v>0.95</v>
      </c>
      <c r="G36" s="54">
        <f>IF($B$36="","",SUMIFS(tblCounts[Variance value],tblCounts[Date],"&gt;="&amp;$B$36,tblCounts[Date],"&lt;"&amp;$B$36+7))</f>
        <v>-2222.61</v>
      </c>
      <c r="H36" s="54">
        <f>IF($B$36="","",SUMIFS(tblCounts[Abs variance value],tblCounts[Date],"&gt;="&amp;$B$36,tblCounts[Date],"&lt;"&amp;$B$36+7))</f>
        <v>2222.61</v>
      </c>
    </row>
    <row r="38" spans="2:8" x14ac:dyDescent="0.25">
      <c r="B38" s="30" t="s">
        <v>231</v>
      </c>
      <c r="C38" s="30"/>
      <c r="D38" s="30"/>
      <c r="E38" s="30"/>
      <c r="F38" s="30"/>
      <c r="G38" s="30"/>
    </row>
    <row r="39" spans="2:8" ht="20" customHeight="1" x14ac:dyDescent="0.25">
      <c r="B39" s="52" t="s">
        <v>102</v>
      </c>
      <c r="C39" s="31" t="s">
        <v>225</v>
      </c>
      <c r="D39" s="31" t="s">
        <v>226</v>
      </c>
      <c r="E39" s="31" t="s">
        <v>232</v>
      </c>
      <c r="F39" s="31" t="s">
        <v>108</v>
      </c>
      <c r="G39" s="31" t="s">
        <v>233</v>
      </c>
    </row>
    <row r="40" spans="2:8" ht="14" customHeight="1" x14ac:dyDescent="0.25">
      <c r="B40" s="34"/>
      <c r="C40" s="34"/>
      <c r="D40" s="34"/>
      <c r="E40" s="34"/>
      <c r="F40" s="34"/>
      <c r="G40" s="34" t="str">
        <f>Currency</f>
        <v>GBP</v>
      </c>
    </row>
    <row r="41" spans="2:8" x14ac:dyDescent="0.25">
      <c r="B41" s="56" t="s">
        <v>126</v>
      </c>
      <c r="C41" s="54">
        <f>COUNTIFS(tblCounts[Class],$B$41,tblCounts[Match],"Yes")+COUNTIFS(tblCounts[Class],$B$41,tblCounts[Match],"No")</f>
        <v>62</v>
      </c>
      <c r="D41" s="54">
        <f>COUNTIFS(tblCounts[Class],$B$41,tblCounts[Match],"No")</f>
        <v>5</v>
      </c>
      <c r="E41" s="40">
        <f>IF(($C$41)=0,"",(COUNTIFS(tblCounts[Class],$B$41,tblCounts[Match],"Yes"))/($C$41))</f>
        <v>0.919354838709677</v>
      </c>
      <c r="F41" s="55">
        <f>IF($B$41="A",TolA,IF($B$41="B",TolB,TolC))</f>
        <v>0</v>
      </c>
      <c r="G41" s="54">
        <f>SUMIFS(tblCounts[Abs variance value],tblCounts[Class],$B$41)</f>
        <v>9210</v>
      </c>
    </row>
    <row r="42" spans="2:8" x14ac:dyDescent="0.25">
      <c r="B42" s="56" t="s">
        <v>123</v>
      </c>
      <c r="C42" s="54">
        <f>COUNTIFS(tblCounts[Class],$B$42,tblCounts[Match],"Yes")+COUNTIFS(tblCounts[Class],$B$42,tblCounts[Match],"No")</f>
        <v>52</v>
      </c>
      <c r="D42" s="54">
        <f>COUNTIFS(tblCounts[Class],$B$42,tblCounts[Match],"No")</f>
        <v>8</v>
      </c>
      <c r="E42" s="40">
        <f>IF(($C$42)=0,"",(COUNTIFS(tblCounts[Class],$B$42,tblCounts[Match],"Yes"))/($C$42))</f>
        <v>0.846153846153846</v>
      </c>
      <c r="F42" s="55">
        <f>IF($B$42="A",TolA,IF($B$42="B",TolB,TolC))</f>
        <v>0.02</v>
      </c>
      <c r="G42" s="54">
        <f>SUMIFS(tblCounts[Abs variance value],tblCounts[Class],$B$42)</f>
        <v>6757.58</v>
      </c>
    </row>
    <row r="43" spans="2:8" x14ac:dyDescent="0.25">
      <c r="B43" s="56" t="s">
        <v>118</v>
      </c>
      <c r="C43" s="54">
        <f>COUNTIFS(tblCounts[Class],$B$43,tblCounts[Match],"Yes")+COUNTIFS(tblCounts[Class],$B$43,tblCounts[Match],"No")</f>
        <v>36</v>
      </c>
      <c r="D43" s="54">
        <f>COUNTIFS(tblCounts[Class],$B$43,tblCounts[Match],"No")</f>
        <v>5</v>
      </c>
      <c r="E43" s="40">
        <f>IF(($C$43)=0,"",(COUNTIFS(tblCounts[Class],$B$43,tblCounts[Match],"Yes"))/($C$43))</f>
        <v>0.861111111111111</v>
      </c>
      <c r="F43" s="55">
        <f>IF($B$43="A",TolA,IF($B$43="B",TolB,TolC))</f>
        <v>0.05</v>
      </c>
      <c r="G43" s="54">
        <f>SUMIFS(tblCounts[Abs variance value],tblCounts[Class],$B$43)</f>
        <v>1492</v>
      </c>
    </row>
    <row r="44" spans="2:8" x14ac:dyDescent="0.25">
      <c r="B44" s="57" t="s">
        <v>234</v>
      </c>
      <c r="C44" s="58">
        <f>SUM($C$41:$C$43)</f>
        <v>150</v>
      </c>
      <c r="D44" s="58">
        <f>SUM($D$41:$D$43)</f>
        <v>18</v>
      </c>
      <c r="G44" s="58">
        <f>SUM($G$41:$G$43)</f>
        <v>17459.58</v>
      </c>
    </row>
    <row r="46" spans="2:8" x14ac:dyDescent="0.25">
      <c r="B46" s="30" t="s">
        <v>235</v>
      </c>
      <c r="C46" s="30"/>
      <c r="D46" s="30"/>
      <c r="E46" s="30"/>
      <c r="F46" s="30"/>
    </row>
    <row r="47" spans="2:8" ht="20" customHeight="1" x14ac:dyDescent="0.25">
      <c r="B47" s="52" t="s">
        <v>60</v>
      </c>
      <c r="C47" s="31" t="s">
        <v>225</v>
      </c>
      <c r="D47" s="31" t="s">
        <v>226</v>
      </c>
      <c r="E47" s="31" t="s">
        <v>232</v>
      </c>
      <c r="F47" s="31" t="s">
        <v>233</v>
      </c>
    </row>
    <row r="48" spans="2:8" ht="14" customHeight="1" x14ac:dyDescent="0.25">
      <c r="B48" s="34"/>
      <c r="C48" s="34"/>
      <c r="D48" s="34"/>
      <c r="E48" s="34"/>
      <c r="F48" s="34" t="str">
        <f>Currency</f>
        <v>GBP</v>
      </c>
    </row>
    <row r="49" spans="2:43" x14ac:dyDescent="0.25">
      <c r="B49" s="56" t="str">
        <f>IFERROR(INDEX(tblZones[Zone],1)&amp;"","")</f>
        <v>Raw material</v>
      </c>
      <c r="C49" s="54">
        <f>IF($B$49="","",COUNTIFS(tblCounts[Zone],$B$49,tblCounts[Match],"Yes")+COUNTIFS(tblCounts[Zone],$B$49,tblCounts[Match],"No"))</f>
        <v>41</v>
      </c>
      <c r="D49" s="54">
        <f>IF($B$49="","",COUNTIFS(tblCounts[Zone],$B$49,tblCounts[Match],"No"))</f>
        <v>7</v>
      </c>
      <c r="E49" s="40">
        <f>IF($B$49="","",IF(($C$49)=0,"",(COUNTIFS(tblCounts[Zone],$B$49,tblCounts[Match],"Yes"))/($C$49)))</f>
        <v>0.829268292682927</v>
      </c>
      <c r="F49" s="54">
        <f>IF($B$49="","",SUMIFS(tblCounts[Abs variance value],tblCounts[Zone],$B$49))</f>
        <v>9080.85</v>
      </c>
    </row>
    <row r="50" spans="2:43" x14ac:dyDescent="0.25">
      <c r="B50" s="56" t="str">
        <f>IFERROR(INDEX(tblZones[Zone],2)&amp;"","")</f>
        <v>Small parts</v>
      </c>
      <c r="C50" s="54">
        <f>IF($B$50="","",COUNTIFS(tblCounts[Zone],$B$50,tblCounts[Match],"Yes")+COUNTIFS(tblCounts[Zone],$B$50,tblCounts[Match],"No"))</f>
        <v>41</v>
      </c>
      <c r="D50" s="54">
        <f>IF($B$50="","",COUNTIFS(tblCounts[Zone],$B$50,tblCounts[Match],"No"))</f>
        <v>7</v>
      </c>
      <c r="E50" s="40">
        <f>IF($B$50="","",IF(($C$50)=0,"",(COUNTIFS(tblCounts[Zone],$B$50,tblCounts[Match],"Yes"))/($C$50)))</f>
        <v>0.829268292682927</v>
      </c>
      <c r="F50" s="54">
        <f>IF($B$50="","",SUMIFS(tblCounts[Abs variance value],tblCounts[Zone],$B$50))</f>
        <v>3867.73</v>
      </c>
    </row>
    <row r="51" spans="2:43" x14ac:dyDescent="0.25">
      <c r="B51" s="56" t="str">
        <f>IFERROR(INDEX(tblZones[Zone],3)&amp;"","")</f>
        <v>Bulk racking</v>
      </c>
      <c r="C51" s="54">
        <f>IF($B$51="","",COUNTIFS(tblCounts[Zone],$B$51,tblCounts[Match],"Yes")+COUNTIFS(tblCounts[Zone],$B$51,tblCounts[Match],"No"))</f>
        <v>40</v>
      </c>
      <c r="D51" s="54">
        <f>IF($B$51="","",COUNTIFS(tblCounts[Zone],$B$51,tblCounts[Match],"No"))</f>
        <v>3</v>
      </c>
      <c r="E51" s="40">
        <f>IF($B$51="","",IF(($C$51)=0,"",(COUNTIFS(tblCounts[Zone],$B$51,tblCounts[Match],"Yes"))/($C$51)))</f>
        <v>0.925</v>
      </c>
      <c r="F51" s="54">
        <f>IF($B$51="","",SUMIFS(tblCounts[Abs variance value],tblCounts[Zone],$B$51))</f>
        <v>1381</v>
      </c>
    </row>
    <row r="52" spans="2:43" x14ac:dyDescent="0.25">
      <c r="B52" s="56" t="str">
        <f>IFERROR(INDEX(tblZones[Zone],4)&amp;"","")</f>
        <v>Finished goods</v>
      </c>
      <c r="C52" s="54">
        <f>IF($B$52="","",COUNTIFS(tblCounts[Zone],$B$52,tblCounts[Match],"Yes")+COUNTIFS(tblCounts[Zone],$B$52,tblCounts[Match],"No"))</f>
        <v>28</v>
      </c>
      <c r="D52" s="54">
        <f>IF($B$52="","",COUNTIFS(tblCounts[Zone],$B$52,tblCounts[Match],"No"))</f>
        <v>1</v>
      </c>
      <c r="E52" s="40">
        <f>IF($B$52="","",IF(($C$52)=0,"",(COUNTIFS(tblCounts[Zone],$B$52,tblCounts[Match],"Yes"))/($C$52)))</f>
        <v>0.964285714285714</v>
      </c>
      <c r="F52" s="54">
        <f>IF($B$52="","",SUMIFS(tblCounts[Abs variance value],tblCounts[Zone],$B$52))</f>
        <v>3130</v>
      </c>
    </row>
    <row r="54" spans="2:43" x14ac:dyDescent="0.25">
      <c r="B54" s="30" t="s">
        <v>236</v>
      </c>
      <c r="C54" s="30"/>
      <c r="D54" s="30"/>
      <c r="E54" s="30"/>
      <c r="F54" s="30"/>
      <c r="G54" s="30"/>
    </row>
    <row r="55" spans="2:43" ht="20" customHeight="1" x14ac:dyDescent="0.25">
      <c r="B55" s="31" t="s">
        <v>237</v>
      </c>
      <c r="C55" s="52" t="s">
        <v>62</v>
      </c>
      <c r="D55" s="52"/>
      <c r="E55" s="31" t="s">
        <v>226</v>
      </c>
      <c r="F55" s="31" t="s">
        <v>238</v>
      </c>
      <c r="G55" s="31" t="s">
        <v>239</v>
      </c>
      <c r="AO55" s="7" t="s">
        <v>240</v>
      </c>
      <c r="AP55" s="7" t="s">
        <v>241</v>
      </c>
      <c r="AQ55" s="7" t="s">
        <v>242</v>
      </c>
    </row>
    <row r="56" spans="2:43" x14ac:dyDescent="0.25">
      <c r="B56" s="34"/>
      <c r="C56" s="34"/>
      <c r="D56" s="34"/>
      <c r="E56" s="34" t="s">
        <v>243</v>
      </c>
      <c r="F56" s="34" t="s">
        <v>244</v>
      </c>
      <c r="G56" s="34" t="s">
        <v>244</v>
      </c>
    </row>
    <row r="57" spans="2:43" x14ac:dyDescent="0.25">
      <c r="B57" s="59">
        <v>1</v>
      </c>
      <c r="C57" s="60" t="str">
        <f>IF(INDEX($AP$57:$AP$63,MATCH(1,$AQ$57:$AQ$63,0))&lt;0,"",INDEX($AO$57:$AO$63,MATCH(1,$AQ$57:$AQ$63,0)))</f>
        <v>Wrong location</v>
      </c>
      <c r="D57" s="60"/>
      <c r="E57" s="54">
        <f>IF($C$57="","",INDEX($AP$57:$AP$63,MATCH(1,$AQ$57:$AQ$63,0)))</f>
        <v>8</v>
      </c>
      <c r="F57" s="40">
        <f>IF(OR($C$57="",$E$64=0),"",$E$57/$E$64)</f>
        <v>0.444444444444444</v>
      </c>
      <c r="G57" s="40">
        <f>IF(OR($C$57="",$E$64=0),"",SUM($E$57:$E$57)/$E$64)</f>
        <v>0.444444444444444</v>
      </c>
      <c r="AO57" s="11" t="str">
        <f>IFERROR(INDEX(tblReasons[Reason],1)&amp;"","")</f>
        <v>Picking error</v>
      </c>
      <c r="AP57" s="61">
        <f>IF($AO$57="",-1,COUNTIFS(tblCounts[Reason],$AO$57,tblCounts[Match],"No"))</f>
        <v>5</v>
      </c>
      <c r="AQ57" s="61">
        <f>COUNTIF($AP$57:$AP$63,"&gt;"&amp;$AP$57)+COUNTIF($AP$57:$AP$57,$AP$57)</f>
        <v>2</v>
      </c>
    </row>
    <row r="58" spans="2:43" x14ac:dyDescent="0.25">
      <c r="B58" s="59">
        <v>2</v>
      </c>
      <c r="C58" s="60" t="str">
        <f>IF(INDEX($AP$57:$AP$63,MATCH(2,$AQ$57:$AQ$63,0))&lt;0,"",INDEX($AO$57:$AO$63,MATCH(2,$AQ$57:$AQ$63,0)))</f>
        <v>Picking error</v>
      </c>
      <c r="D58" s="60"/>
      <c r="E58" s="54">
        <f>IF($C$58="","",INDEX($AP$57:$AP$63,MATCH(2,$AQ$57:$AQ$63,0)))</f>
        <v>5</v>
      </c>
      <c r="F58" s="40">
        <f>IF(OR($C$58="",$E$64=0),"",$E$58/$E$64)</f>
        <v>0.277777777777778</v>
      </c>
      <c r="G58" s="40">
        <f>IF(OR($C$58="",$E$64=0),"",SUM($E$57:$E$58)/$E$64)</f>
        <v>0.722222222222222</v>
      </c>
      <c r="AO58" s="11" t="str">
        <f>IFERROR(INDEX(tblReasons[Reason],2)&amp;"","")</f>
        <v>Receiving error</v>
      </c>
      <c r="AP58" s="61">
        <f>IF($AO$58="",-1,COUNTIFS(tblCounts[Reason],$AO$58,tblCounts[Match],"No"))</f>
        <v>2</v>
      </c>
      <c r="AQ58" s="61">
        <f>COUNTIF($AP$57:$AP$63,"&gt;"&amp;$AP$58)+COUNTIF($AP$57:$AP$58,$AP$58)</f>
        <v>3</v>
      </c>
    </row>
    <row r="59" spans="2:43" x14ac:dyDescent="0.25">
      <c r="B59" s="59">
        <v>3</v>
      </c>
      <c r="C59" s="60" t="str">
        <f>IF(INDEX($AP$57:$AP$63,MATCH(3,$AQ$57:$AQ$63,0))&lt;0,"",INDEX($AO$57:$AO$63,MATCH(3,$AQ$57:$AQ$63,0)))</f>
        <v>Receiving error</v>
      </c>
      <c r="D59" s="60"/>
      <c r="E59" s="54">
        <f>IF($C$59="","",INDEX($AP$57:$AP$63,MATCH(3,$AQ$57:$AQ$63,0)))</f>
        <v>2</v>
      </c>
      <c r="F59" s="40">
        <f>IF(OR($C$59="",$E$64=0),"",$E$59/$E$64)</f>
        <v>0.111111111111111</v>
      </c>
      <c r="G59" s="40">
        <f>IF(OR($C$59="",$E$64=0),"",SUM($E$57:$E$59)/$E$64)</f>
        <v>0.833333333333333</v>
      </c>
      <c r="AO59" s="11" t="str">
        <f>IFERROR(INDEX(tblReasons[Reason],3)&amp;"","")</f>
        <v>Unrecorded issue</v>
      </c>
      <c r="AP59" s="61">
        <f>IF($AO$59="",-1,COUNTIFS(tblCounts[Reason],$AO$59,tblCounts[Match],"No"))</f>
        <v>0</v>
      </c>
      <c r="AQ59" s="61">
        <f>COUNTIF($AP$57:$AP$63,"&gt;"&amp;$AP$59)+COUNTIF($AP$57:$AP$59,$AP$59)</f>
        <v>6</v>
      </c>
    </row>
    <row r="60" spans="2:43" x14ac:dyDescent="0.25">
      <c r="B60" s="59">
        <v>4</v>
      </c>
      <c r="C60" s="60" t="str">
        <f>IF(INDEX($AP$57:$AP$63,MATCH(4,$AQ$57:$AQ$63,0))&lt;0,"",INDEX($AO$57:$AO$63,MATCH(4,$AQ$57:$AQ$63,0)))</f>
        <v>Unrecorded scrap</v>
      </c>
      <c r="D60" s="60"/>
      <c r="E60" s="54">
        <f>IF($C$60="","",INDEX($AP$57:$AP$63,MATCH(4,$AQ$57:$AQ$63,0)))</f>
        <v>2</v>
      </c>
      <c r="F60" s="40">
        <f>IF(OR($C$60="",$E$64=0),"",$E$60/$E$64)</f>
        <v>0.111111111111111</v>
      </c>
      <c r="G60" s="40">
        <f>IF(OR($C$60="",$E$64=0),"",SUM($E$57:$E$60)/$E$64)</f>
        <v>0.944444444444444</v>
      </c>
      <c r="AO60" s="11" t="str">
        <f>IFERROR(INDEX(tblReasons[Reason],4)&amp;"","")</f>
        <v>Wrong location</v>
      </c>
      <c r="AP60" s="61">
        <f>IF($AO$60="",-1,COUNTIFS(tblCounts[Reason],$AO$60,tblCounts[Match],"No"))</f>
        <v>8</v>
      </c>
      <c r="AQ60" s="61">
        <f>COUNTIF($AP$57:$AP$63,"&gt;"&amp;$AP$60)+COUNTIF($AP$57:$AP$60,$AP$60)</f>
        <v>1</v>
      </c>
    </row>
    <row r="61" spans="2:43" x14ac:dyDescent="0.25">
      <c r="B61" s="59">
        <v>5</v>
      </c>
      <c r="C61" s="60" t="str">
        <f>IF(INDEX($AP$57:$AP$63,MATCH(5,$AQ$57:$AQ$63,0))&lt;0,"",INDEX($AO$57:$AO$63,MATCH(5,$AQ$57:$AQ$63,0)))</f>
        <v>Other</v>
      </c>
      <c r="D61" s="60"/>
      <c r="E61" s="54">
        <f>IF($C$61="","",INDEX($AP$57:$AP$63,MATCH(5,$AQ$57:$AQ$63,0)))</f>
        <v>1</v>
      </c>
      <c r="F61" s="40">
        <f>IF(OR($C$61="",$E$64=0),"",$E$61/$E$64)</f>
        <v>0.0555555555555556</v>
      </c>
      <c r="G61" s="40">
        <f>IF(OR($C$61="",$E$64=0),"",SUM($E$57:$E$61)/$E$64)</f>
        <v>1</v>
      </c>
      <c r="AO61" s="11" t="str">
        <f>IFERROR(INDEX(tblReasons[Reason],5)&amp;"","")</f>
        <v>Unit of measure</v>
      </c>
      <c r="AP61" s="61">
        <f>IF($AO$61="",-1,COUNTIFS(tblCounts[Reason],$AO$61,tblCounts[Match],"No"))</f>
        <v>0</v>
      </c>
      <c r="AQ61" s="61">
        <f>COUNTIF($AP$57:$AP$63,"&gt;"&amp;$AP$61)+COUNTIF($AP$57:$AP$61,$AP$61)</f>
        <v>7</v>
      </c>
    </row>
    <row r="62" spans="2:43" x14ac:dyDescent="0.25">
      <c r="B62" s="59">
        <v>6</v>
      </c>
      <c r="C62" s="60" t="str">
        <f>IF(INDEX($AP$57:$AP$63,MATCH(6,$AQ$57:$AQ$63,0))&lt;0,"",INDEX($AO$57:$AO$63,MATCH(6,$AQ$57:$AQ$63,0)))</f>
        <v>Unrecorded issue</v>
      </c>
      <c r="D62" s="60"/>
      <c r="E62" s="54">
        <f>IF($C$62="","",INDEX($AP$57:$AP$63,MATCH(6,$AQ$57:$AQ$63,0)))</f>
        <v>0</v>
      </c>
      <c r="F62" s="40">
        <f>IF(OR($C$62="",$E$64=0),"",$E$62/$E$64)</f>
        <v>0</v>
      </c>
      <c r="G62" s="40">
        <f>IF(OR($C$62="",$E$64=0),"",SUM($E$57:$E$62)/$E$64)</f>
        <v>1</v>
      </c>
      <c r="AO62" s="11" t="str">
        <f>IFERROR(INDEX(tblReasons[Reason],6)&amp;"","")</f>
        <v>Unrecorded scrap</v>
      </c>
      <c r="AP62" s="61">
        <f>IF($AO$62="",-1,COUNTIFS(tblCounts[Reason],$AO$62,tblCounts[Match],"No"))</f>
        <v>2</v>
      </c>
      <c r="AQ62" s="61">
        <f>COUNTIF($AP$57:$AP$63,"&gt;"&amp;$AP$62)+COUNTIF($AP$57:$AP$62,$AP$62)</f>
        <v>4</v>
      </c>
    </row>
    <row r="63" spans="2:43" x14ac:dyDescent="0.25">
      <c r="B63" s="59">
        <v>7</v>
      </c>
      <c r="C63" s="60" t="str">
        <f>IF(INDEX($AP$57:$AP$63,MATCH(7,$AQ$57:$AQ$63,0))&lt;0,"",INDEX($AO$57:$AO$63,MATCH(7,$AQ$57:$AQ$63,0)))</f>
        <v>Unit of measure</v>
      </c>
      <c r="D63" s="60"/>
      <c r="E63" s="54">
        <f>IF($C$63="","",INDEX($AP$57:$AP$63,MATCH(7,$AQ$57:$AQ$63,0)))</f>
        <v>0</v>
      </c>
      <c r="F63" s="40">
        <f>IF(OR($C$63="",$E$64=0),"",$E$63/$E$64)</f>
        <v>0</v>
      </c>
      <c r="G63" s="40">
        <f>IF(OR($C$63="",$E$64=0),"",SUM($E$57:$E$63)/$E$64)</f>
        <v>1</v>
      </c>
      <c r="AO63" s="11" t="str">
        <f>IFERROR(INDEX(tblReasons[Reason],7)&amp;"","")</f>
        <v>Other</v>
      </c>
      <c r="AP63" s="61">
        <f>IF($AO$63="",-1,COUNTIFS(tblCounts[Reason],$AO$63,tblCounts[Match],"No"))</f>
        <v>1</v>
      </c>
      <c r="AQ63" s="61">
        <f>COUNTIF($AP$57:$AP$63,"&gt;"&amp;$AP$63)+COUNTIF($AP$57:$AP$63,$AP$63)</f>
        <v>5</v>
      </c>
    </row>
    <row r="64" spans="2:43" x14ac:dyDescent="0.25">
      <c r="B64" s="57"/>
      <c r="C64" s="57" t="s">
        <v>234</v>
      </c>
      <c r="D64" s="57"/>
      <c r="E64" s="58">
        <f>SUMIF($AP$57:$AP$63,"&gt;0")</f>
        <v>18</v>
      </c>
      <c r="F64" s="57"/>
      <c r="G64" s="57"/>
    </row>
    <row r="65" spans="2:12" ht="8" customHeight="1" x14ac:dyDescent="0.25"/>
    <row r="66" spans="2:12" x14ac:dyDescent="0.25">
      <c r="B66" s="21" t="s">
        <v>245</v>
      </c>
      <c r="C66" s="21"/>
      <c r="D66" s="21"/>
      <c r="E66" s="21"/>
      <c r="F66" s="21"/>
      <c r="G66" s="21"/>
      <c r="H66" s="21"/>
      <c r="I66" s="21"/>
      <c r="J66" s="21"/>
      <c r="K66" s="21"/>
      <c r="L66" s="21"/>
    </row>
    <row r="67" spans="2:12" x14ac:dyDescent="0.25">
      <c r="B67" s="62">
        <f>IF(OR(COUNTA(tblZones[Zone])&gt;4,COUNTA(tblReasons[Reason])&gt;7),"Setup lists are longer than the Dashboard blocks: some zones or reasons are not shown.","")</f>
        <v/>
      </c>
      <c r="C67" s="62"/>
      <c r="D67" s="62"/>
      <c r="E67" s="62"/>
      <c r="F67" s="62"/>
      <c r="G67" s="62"/>
      <c r="H67" s="62"/>
      <c r="I67" s="62"/>
      <c r="J67" s="62"/>
      <c r="K67" s="62"/>
      <c r="L67" s="62"/>
    </row>
  </sheetData>
  <sheetProtection sheet="1" formatColumns="0" formatRows="0"/>
  <mergeCells count="36">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8:H28"/>
    <mergeCell ref="B38:G38"/>
    <mergeCell ref="B46:F46"/>
    <mergeCell ref="B54:G54"/>
    <mergeCell ref="C55:D55"/>
    <mergeCell ref="C56:D56"/>
    <mergeCell ref="C57:D57"/>
    <mergeCell ref="C58:D58"/>
    <mergeCell ref="C59:D59"/>
    <mergeCell ref="C60:D60"/>
    <mergeCell ref="C61:D61"/>
    <mergeCell ref="C62:D62"/>
    <mergeCell ref="C63:D63"/>
    <mergeCell ref="C64:D64"/>
    <mergeCell ref="B66:L66"/>
    <mergeCell ref="B67:L67"/>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31:E36">
    <cfRule type="expression" dxfId="3" priority="21" stopIfTrue="1">
      <formula>AND(ISNUMBER(E31),E31&gt;=(TargetAccuracy))</formula>
    </cfRule>
    <cfRule type="expression" dxfId="4" priority="22" stopIfTrue="1">
      <formula>AND(ISNUMBER(E31),E31&gt;=(TargetAccuracy)*(1-0.05))</formula>
    </cfRule>
    <cfRule type="expression" dxfId="5" priority="23">
      <formula>ISNUMBER(E31)</formula>
    </cfRule>
  </conditionalFormatting>
  <conditionalFormatting sqref="E41:E43">
    <cfRule type="expression" dxfId="3" priority="24" stopIfTrue="1">
      <formula>AND(ISNUMBER(E41),E41&gt;=(TargetAccuracy))</formula>
    </cfRule>
    <cfRule type="expression" dxfId="4" priority="25" stopIfTrue="1">
      <formula>AND(ISNUMBER(E41),E41&gt;=(TargetAccuracy)*(1-0.05))</formula>
    </cfRule>
    <cfRule type="expression" dxfId="5" priority="26">
      <formula>ISNUMBER(E41)</formula>
    </cfRule>
  </conditionalFormatting>
  <conditionalFormatting sqref="E49:E52">
    <cfRule type="expression" dxfId="3" priority="27" stopIfTrue="1">
      <formula>AND(ISNUMBER(E49),E49&gt;=(TargetAccuracy))</formula>
    </cfRule>
    <cfRule type="expression" dxfId="4" priority="28" stopIfTrue="1">
      <formula>AND(ISNUMBER(E49),E49&gt;=(TargetAccuracy)*(1-0.05))</formula>
    </cfRule>
    <cfRule type="expression" dxfId="5" priority="29">
      <formula>ISNUMBER(E49)</formula>
    </cfRule>
  </conditionalFormatting>
  <conditionalFormatting sqref="E57:E63">
    <cfRule type="dataBar" priority="30">
      <dataBar>
        <cfvo type="num" val="0"/>
        <cfvo type="max"/>
        <color rgb="FFA8BDF0"/>
      </dataBar>
      <extLst>
        <ext xmlns:x14="http://schemas.microsoft.com/office/spreadsheetml/2009/9/main" uri="{B025F937-C7B1-47D3-B67F-A62EFF666E3E}">
          <x14:id>{DA7ABA51-AAAA-BBBB-0004-000000000001}</x14:id>
        </ext>
      </extLst>
    </cfRule>
  </conditionalFormatting>
  <hyperlinks>
    <hyperlink ref="K2" r:id="rId1" tooltip="Free manufacturing calculators and templates"/>
  </hyperlinks>
  <pageMargins left="0.4" right="0.4" top="0.7" bottom="0.65" header="0.3" footer="0.3"/>
  <pageSetup fitToHeight="0" orientation="landscape"/>
  <headerFooter>
    <oddHeader>&amp;L&amp;8MFG Calcs - Cycle Count Tracker&amp;R&amp;8&amp;A</oddHeader>
    <oddFooter>&amp;L&amp;8mfgcalcs.com - free manufacturing templates&amp;R&amp;8Page &amp;P of &amp;N</oddFooter>
  </headerFooter>
  <rowBreaks count="2" manualBreakCount="2">
    <brk id="27" max="16383" man="1"/>
    <brk id="53"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E57:E63</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246</v>
      </c>
      <c r="C4" s="8"/>
      <c r="D4" s="8"/>
    </row>
    <row r="5" spans="1:4" ht="5" customHeight="1"/>
    <row r="6" spans="1:4" ht="55.8" customHeight="1">
      <c r="B6" s="10" t="s">
        <v>247</v>
      </c>
      <c r="C6" s="10"/>
      <c r="D6" s="10"/>
    </row>
    <row r="8" spans="1:4" ht="21" customHeight="1">
      <c r="B8" s="8" t="s">
        <v>248</v>
      </c>
      <c r="C8" s="8"/>
      <c r="D8" s="8"/>
    </row>
    <row r="9" spans="1:4" ht="5" customHeight="1"/>
    <row r="10" spans="1:4" ht="20" customHeight="1">
      <c r="B10" s="52" t="s">
        <v>249</v>
      </c>
      <c r="C10" s="52" t="s">
        <v>250</v>
      </c>
      <c r="D10" s="31" t="s">
        <v>251</v>
      </c>
    </row>
    <row r="11" spans="1:4" ht="17.2" customHeight="1">
      <c r="B11" s="63" t="s">
        <v>252</v>
      </c>
      <c r="C11" s="64" t="s">
        <v>253</v>
      </c>
      <c r="D11" s="65" t="s">
        <v>254</v>
      </c>
    </row>
    <row r="12" spans="1:4" ht="17.2" customHeight="1">
      <c r="B12" s="63" t="s">
        <v>255</v>
      </c>
      <c r="C12" s="64" t="s">
        <v>256</v>
      </c>
      <c r="D12" s="65" t="s">
        <v>244</v>
      </c>
    </row>
    <row r="13" spans="1:4" ht="17.2" customHeight="1">
      <c r="B13" s="63" t="s">
        <v>108</v>
      </c>
      <c r="C13" s="64" t="s">
        <v>257</v>
      </c>
      <c r="D13" s="65" t="s">
        <v>244</v>
      </c>
    </row>
    <row r="14" spans="1:4" ht="30.4" customHeight="1">
      <c r="B14" s="63" t="s">
        <v>109</v>
      </c>
      <c r="C14" s="64" t="s">
        <v>258</v>
      </c>
      <c r="D14" s="65" t="s">
        <v>259</v>
      </c>
    </row>
    <row r="15" spans="1:4" ht="30.4" customHeight="1">
      <c r="B15" s="63" t="s">
        <v>110</v>
      </c>
      <c r="C15" s="64" t="s">
        <v>260</v>
      </c>
      <c r="D15" s="65" t="s">
        <v>261</v>
      </c>
    </row>
    <row r="16" spans="1:4" ht="30.4" customHeight="1">
      <c r="B16" s="63" t="s">
        <v>227</v>
      </c>
      <c r="C16" s="64" t="s">
        <v>262</v>
      </c>
      <c r="D16" s="65" t="s">
        <v>244</v>
      </c>
    </row>
    <row r="17" spans="2:4" ht="30.4" customHeight="1">
      <c r="B17" s="63" t="s">
        <v>263</v>
      </c>
      <c r="C17" s="64" t="s">
        <v>264</v>
      </c>
      <c r="D17" s="65" t="s">
        <v>261</v>
      </c>
    </row>
    <row r="18" spans="2:4" ht="30.4" customHeight="1">
      <c r="B18" s="63" t="s">
        <v>265</v>
      </c>
      <c r="C18" s="64" t="s">
        <v>266</v>
      </c>
      <c r="D18" s="65" t="s">
        <v>243</v>
      </c>
    </row>
    <row r="19" spans="2:4" ht="30.4" customHeight="1">
      <c r="B19" s="63" t="s">
        <v>267</v>
      </c>
      <c r="C19" s="64" t="s">
        <v>268</v>
      </c>
      <c r="D19" s="65" t="s">
        <v>269</v>
      </c>
    </row>
    <row r="21" spans="2:4" ht="21" customHeight="1">
      <c r="B21" s="8" t="s">
        <v>270</v>
      </c>
      <c r="C21" s="8"/>
      <c r="D21" s="8"/>
    </row>
    <row r="22" spans="2:4" ht="5" customHeight="1"/>
    <row r="23" spans="2:4" ht="16.2" customHeight="1">
      <c r="B23" s="26" t="s">
        <v>53</v>
      </c>
      <c r="C23" s="10" t="s">
        <v>271</v>
      </c>
      <c r="D23" s="10"/>
    </row>
    <row r="24" spans="2:4" ht="29.4" customHeight="1">
      <c r="B24" s="26" t="s">
        <v>53</v>
      </c>
      <c r="C24" s="10" t="s">
        <v>272</v>
      </c>
      <c r="D24" s="10"/>
    </row>
    <row r="25" spans="2:4" ht="29.4" customHeight="1">
      <c r="B25" s="26" t="s">
        <v>53</v>
      </c>
      <c r="C25" s="10" t="s">
        <v>273</v>
      </c>
      <c r="D25" s="10"/>
    </row>
    <row r="26" spans="2:4" ht="16.2" customHeight="1">
      <c r="B26" s="26" t="s">
        <v>53</v>
      </c>
      <c r="C26" s="10" t="s">
        <v>274</v>
      </c>
      <c r="D26" s="10"/>
    </row>
    <row r="28" spans="2:4" ht="21" customHeight="1">
      <c r="B28" s="8" t="s">
        <v>275</v>
      </c>
      <c r="C28" s="8"/>
      <c r="D28" s="8"/>
    </row>
    <row r="29" spans="2:4" ht="5" customHeight="1"/>
    <row r="30" spans="2:4" ht="29.4" customHeight="1">
      <c r="B30" s="26" t="s">
        <v>53</v>
      </c>
      <c r="C30" s="10" t="s">
        <v>276</v>
      </c>
      <c r="D30" s="10"/>
    </row>
    <row r="31" spans="2:4" ht="16.2" customHeight="1">
      <c r="B31" s="26" t="s">
        <v>53</v>
      </c>
      <c r="C31" s="10" t="s">
        <v>277</v>
      </c>
      <c r="D31" s="10"/>
    </row>
    <row r="32" spans="2:4" ht="29.4" customHeight="1">
      <c r="B32" s="26" t="s">
        <v>53</v>
      </c>
      <c r="C32" s="10" t="s">
        <v>278</v>
      </c>
      <c r="D32" s="10"/>
    </row>
    <row r="33" spans="2:4" ht="29.4" customHeight="1">
      <c r="B33" s="26" t="s">
        <v>53</v>
      </c>
      <c r="C33" s="10" t="s">
        <v>279</v>
      </c>
      <c r="D33" s="10"/>
    </row>
    <row r="35" spans="2:4" ht="21" customHeight="1">
      <c r="B35" s="8" t="s">
        <v>280</v>
      </c>
      <c r="C35" s="8"/>
      <c r="D35" s="8"/>
    </row>
    <row r="36" spans="2:4" ht="5" customHeight="1"/>
    <row r="37" spans="2:4" ht="69" customHeight="1">
      <c r="B37" s="10" t="s">
        <v>281</v>
      </c>
      <c r="C37" s="10"/>
      <c r="D37" s="10"/>
    </row>
    <row r="38" spans="2:4">
      <c r="B38" s="24" t="s">
        <v>282</v>
      </c>
      <c r="C38" s="24"/>
      <c r="D38" s="24"/>
    </row>
    <row r="40" spans="2:4" ht="21" customHeight="1">
      <c r="B40" s="8" t="s">
        <v>40</v>
      </c>
      <c r="C40" s="8"/>
      <c r="D40" s="8"/>
    </row>
    <row r="41" spans="2:4" ht="5" customHeight="1"/>
    <row r="42" spans="2:4" ht="42.6" customHeight="1">
      <c r="B42" s="10" t="s">
        <v>283</v>
      </c>
      <c r="C42" s="10"/>
      <c r="D42" s="10"/>
    </row>
    <row r="44" spans="2:4" ht="21" customHeight="1">
      <c r="B44" s="8" t="s">
        <v>284</v>
      </c>
      <c r="C44" s="8"/>
      <c r="D44" s="8"/>
    </row>
    <row r="45" spans="2:4" ht="5" customHeight="1"/>
    <row r="46" spans="2:4" ht="29.4" customHeight="1">
      <c r="B46" s="26" t="s">
        <v>53</v>
      </c>
      <c r="C46" s="10" t="s">
        <v>285</v>
      </c>
      <c r="D46" s="10"/>
    </row>
    <row r="47" spans="2:4" ht="29.4" customHeight="1">
      <c r="B47" s="26" t="s">
        <v>53</v>
      </c>
      <c r="C47" s="10" t="s">
        <v>286</v>
      </c>
      <c r="D47" s="10"/>
    </row>
    <row r="48" spans="2:4" ht="29.4" customHeight="1">
      <c r="B48" s="26" t="s">
        <v>53</v>
      </c>
      <c r="C48" s="10" t="s">
        <v>287</v>
      </c>
      <c r="D48" s="10"/>
    </row>
    <row r="49" spans="2:4">
      <c r="B49" s="21" t="s">
        <v>288</v>
      </c>
      <c r="C49" s="21"/>
      <c r="D49" s="21"/>
    </row>
    <row r="51" spans="2:4" ht="21" customHeight="1">
      <c r="B51" s="8" t="s">
        <v>289</v>
      </c>
      <c r="C51" s="8"/>
      <c r="D51" s="8"/>
    </row>
    <row r="52" spans="2:4" ht="5" customHeight="1"/>
    <row r="53" spans="2:4">
      <c r="B53" s="52" t="s">
        <v>48</v>
      </c>
      <c r="C53" s="52" t="s">
        <v>290</v>
      </c>
      <c r="D53" s="31" t="s">
        <v>99</v>
      </c>
    </row>
    <row r="54" spans="2:4" ht="16.2" customHeight="1">
      <c r="B54" s="66" t="s">
        <v>291</v>
      </c>
      <c r="C54" s="67" t="s">
        <v>292</v>
      </c>
      <c r="D54" s="68" t="s">
        <v>293</v>
      </c>
    </row>
    <row r="56" spans="2:4">
      <c r="B56" s="21" t="s">
        <v>59</v>
      </c>
      <c r="C56" s="21"/>
      <c r="D56" s="21"/>
    </row>
  </sheetData>
  <sheetProtection sheet="1" formatColumns="0" formatRows="0"/>
  <mergeCells count="27">
    <mergeCell ref="A1:D1"/>
    <mergeCell ref="B2:C2"/>
    <mergeCell ref="B4:D4"/>
    <mergeCell ref="B6:D6"/>
    <mergeCell ref="B8:D8"/>
    <mergeCell ref="B21:D21"/>
    <mergeCell ref="C23:D23"/>
    <mergeCell ref="C24:D24"/>
    <mergeCell ref="C25:D25"/>
    <mergeCell ref="C26:D26"/>
    <mergeCell ref="B28:D28"/>
    <mergeCell ref="C30:D30"/>
    <mergeCell ref="C31:D31"/>
    <mergeCell ref="C32:D32"/>
    <mergeCell ref="C33:D33"/>
    <mergeCell ref="B35:D35"/>
    <mergeCell ref="B37:D37"/>
    <mergeCell ref="B38:D38"/>
    <mergeCell ref="B40:D40"/>
    <mergeCell ref="B42:D42"/>
    <mergeCell ref="B44:D44"/>
    <mergeCell ref="C46:D46"/>
    <mergeCell ref="C47:D47"/>
    <mergeCell ref="C48:D48"/>
    <mergeCell ref="B49:D49"/>
    <mergeCell ref="B51:D51"/>
    <mergeCell ref="B56:D56"/>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Cycle Count Tracker&amp;R&amp;8&amp;A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S73"/>
  <sheetViews>
    <sheetView showGridLines="0" workbookViewId="0"/>
  </sheetViews>
  <sheetFormatPr defaultRowHeight="15"/>
  <cols>
    <col min="1" max="1" width="2.7109375" customWidth="1"/>
    <col min="2" max="19" width="12.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26</v>
      </c>
      <c r="C2" s="2"/>
      <c r="D2" s="2"/>
      <c r="E2" s="2"/>
      <c r="F2" s="2"/>
      <c r="G2" s="2"/>
      <c r="H2" s="2"/>
      <c r="I2" s="2"/>
      <c r="J2" s="2"/>
      <c r="K2" s="2"/>
      <c r="L2" s="2"/>
      <c r="M2" s="2"/>
      <c r="N2" s="2"/>
      <c r="O2" s="2"/>
      <c r="P2" s="2"/>
      <c r="Q2" s="2"/>
      <c r="R2" s="2"/>
      <c r="S2" s="3" t="s">
        <v>2</v>
      </c>
    </row>
    <row r="3" spans="1:19" ht="6" customHeight="1"/>
    <row r="4" spans="1:19" ht="30" customHeight="1">
      <c r="B4" s="69" t="s">
        <v>294</v>
      </c>
      <c r="C4" s="69"/>
      <c r="D4" s="22" t="str">
        <f>IF(COUNTIF($K$11:$K$26,"PASS")=16,"PASS","FAIL")</f>
        <v>PASS</v>
      </c>
      <c r="E4" s="22"/>
      <c r="F4" s="23" t="str">
        <f>COUNTIF($K$11:$K$26,"PASS")&amp;" of 16 checks pass"</f>
        <v>16 of 16 checks pass</v>
      </c>
      <c r="G4" s="23"/>
      <c r="H4" s="23"/>
      <c r="I4" s="23"/>
      <c r="J4" s="23"/>
    </row>
    <row r="6" spans="1:19" ht="29.4" customHeight="1">
      <c r="B6" s="10" t="s">
        <v>295</v>
      </c>
      <c r="C6" s="10"/>
      <c r="D6" s="10"/>
      <c r="E6" s="10"/>
      <c r="F6" s="10"/>
      <c r="G6" s="10"/>
      <c r="H6" s="10"/>
      <c r="I6" s="10"/>
      <c r="J6" s="10"/>
      <c r="K6" s="10"/>
      <c r="L6" s="10"/>
    </row>
    <row r="8" spans="1:19" ht="21" customHeight="1">
      <c r="B8" s="8" t="s">
        <v>296</v>
      </c>
      <c r="C8" s="8"/>
      <c r="D8" s="8"/>
      <c r="E8" s="8"/>
      <c r="F8" s="8"/>
      <c r="G8" s="8"/>
      <c r="H8" s="8"/>
      <c r="I8" s="8"/>
      <c r="J8" s="8"/>
      <c r="K8" s="8"/>
      <c r="L8" s="8"/>
    </row>
    <row r="9" spans="1:19" ht="5" customHeight="1"/>
    <row r="10" spans="1:19" ht="30" customHeight="1">
      <c r="B10" s="31" t="s">
        <v>297</v>
      </c>
      <c r="C10" s="52" t="s">
        <v>113</v>
      </c>
      <c r="D10" s="52"/>
      <c r="E10" s="52"/>
      <c r="F10" s="52"/>
      <c r="G10" s="31" t="s">
        <v>298</v>
      </c>
      <c r="H10" s="31" t="s">
        <v>299</v>
      </c>
      <c r="I10" s="31" t="s">
        <v>300</v>
      </c>
      <c r="J10" s="31" t="s">
        <v>108</v>
      </c>
      <c r="K10" s="31" t="s">
        <v>301</v>
      </c>
    </row>
    <row r="11" spans="1:19" ht="16.2" customHeight="1">
      <c r="B11" s="59">
        <v>1</v>
      </c>
      <c r="C11" s="67" t="s">
        <v>302</v>
      </c>
      <c r="D11" s="67"/>
      <c r="E11" s="67"/>
      <c r="F11" s="67"/>
      <c r="G11" s="66" t="s">
        <v>303</v>
      </c>
      <c r="H11" s="60" t="str">
        <f>$M$50</f>
        <v>Yes</v>
      </c>
      <c r="I11" s="60"/>
      <c r="J11" s="68" t="s">
        <v>304</v>
      </c>
      <c r="K11" s="41" t="str">
        <f>IF($H$11&amp;""=$G$11&amp;"","PASS","FAIL")</f>
        <v>PASS</v>
      </c>
    </row>
    <row r="12" spans="1:19" ht="16.2" customHeight="1">
      <c r="B12" s="59">
        <v>2</v>
      </c>
      <c r="C12" s="67" t="s">
        <v>305</v>
      </c>
      <c r="D12" s="67"/>
      <c r="E12" s="67"/>
      <c r="F12" s="67"/>
      <c r="G12" s="66" t="s">
        <v>306</v>
      </c>
      <c r="H12" s="60" t="str">
        <f>$M$51</f>
        <v>No</v>
      </c>
      <c r="I12" s="60"/>
      <c r="J12" s="68" t="s">
        <v>304</v>
      </c>
      <c r="K12" s="41" t="str">
        <f>IF($H$12&amp;""=$G$12&amp;"","PASS","FAIL")</f>
        <v>PASS</v>
      </c>
    </row>
    <row r="13" spans="1:19" ht="16.2" customHeight="1">
      <c r="B13" s="59">
        <v>3</v>
      </c>
      <c r="C13" s="67" t="s">
        <v>307</v>
      </c>
      <c r="D13" s="67"/>
      <c r="E13" s="67"/>
      <c r="F13" s="67"/>
      <c r="G13" s="70">
        <v>-85.5</v>
      </c>
      <c r="H13" s="42">
        <f>$N$51</f>
        <v>-85.5</v>
      </c>
      <c r="I13" s="71">
        <f>IF(AND(ISNUMBER($G$13),ISNUMBER($H$13)),ABS($H$13-$G$13),"")</f>
        <v>0</v>
      </c>
      <c r="J13" s="72">
        <v>1E-09</v>
      </c>
      <c r="K13" s="41" t="str">
        <f>IF(AND(ISNUMBER($G$13),ISNUMBER($H$13)),IF(ABS($H$13-$G$13)&lt;=$J$13,"PASS","FAIL"),"FAIL")</f>
        <v>PASS</v>
      </c>
    </row>
    <row r="14" spans="1:19" ht="16.2" customHeight="1">
      <c r="B14" s="59">
        <v>4</v>
      </c>
      <c r="C14" s="67" t="s">
        <v>308</v>
      </c>
      <c r="D14" s="67"/>
      <c r="E14" s="67"/>
      <c r="F14" s="67"/>
      <c r="G14" s="66" t="s">
        <v>303</v>
      </c>
      <c r="H14" s="60" t="str">
        <f>$M$52</f>
        <v>Yes</v>
      </c>
      <c r="I14" s="60"/>
      <c r="J14" s="68" t="s">
        <v>304</v>
      </c>
      <c r="K14" s="41" t="str">
        <f>IF($H$14&amp;""=$G$14&amp;"","PASS","FAIL")</f>
        <v>PASS</v>
      </c>
    </row>
    <row r="15" spans="1:19" ht="16.2" customHeight="1">
      <c r="B15" s="59">
        <v>5</v>
      </c>
      <c r="C15" s="67" t="s">
        <v>309</v>
      </c>
      <c r="D15" s="67"/>
      <c r="E15" s="67"/>
      <c r="F15" s="67"/>
      <c r="G15" s="73">
        <v>-0.02</v>
      </c>
      <c r="H15" s="74">
        <f>$K$52</f>
        <v>-0.02</v>
      </c>
      <c r="I15" s="71">
        <f>IF(AND(ISNUMBER($G$15),ISNUMBER($H$15)),ABS($H$15-$G$15),"")</f>
        <v>0</v>
      </c>
      <c r="J15" s="72">
        <v>1E-09</v>
      </c>
      <c r="K15" s="41" t="str">
        <f>IF(AND(ISNUMBER($G$15),ISNUMBER($H$15)),IF(ABS($H$15-$G$15)&lt;=$J$15,"PASS","FAIL"),"FAIL")</f>
        <v>PASS</v>
      </c>
    </row>
    <row r="16" spans="1:19" ht="16.2" customHeight="1">
      <c r="B16" s="59">
        <v>6</v>
      </c>
      <c r="C16" s="67" t="s">
        <v>310</v>
      </c>
      <c r="D16" s="67"/>
      <c r="E16" s="67"/>
      <c r="F16" s="67"/>
      <c r="G16" s="66" t="s">
        <v>306</v>
      </c>
      <c r="H16" s="60" t="str">
        <f>$M$53</f>
        <v>No</v>
      </c>
      <c r="I16" s="60"/>
      <c r="J16" s="68" t="s">
        <v>304</v>
      </c>
      <c r="K16" s="41" t="str">
        <f>IF($H$16&amp;""=$G$16&amp;"","PASS","FAIL")</f>
        <v>PASS</v>
      </c>
    </row>
    <row r="17" spans="2:12" ht="16.2" customHeight="1">
      <c r="B17" s="59">
        <v>7</v>
      </c>
      <c r="C17" s="67" t="s">
        <v>311</v>
      </c>
      <c r="D17" s="67"/>
      <c r="E17" s="67"/>
      <c r="F17" s="67"/>
      <c r="G17" s="70">
        <v>21</v>
      </c>
      <c r="H17" s="42">
        <f>$O$53</f>
        <v>21</v>
      </c>
      <c r="I17" s="71">
        <f>IF(AND(ISNUMBER($G$17),ISNUMBER($H$17)),ABS($H$17-$G$17),"")</f>
        <v>0</v>
      </c>
      <c r="J17" s="72">
        <v>1E-09</v>
      </c>
      <c r="K17" s="41" t="str">
        <f>IF(AND(ISNUMBER($G$17),ISNUMBER($H$17)),IF(ABS($H$17-$G$17)&lt;=$J$17,"PASS","FAIL"),"FAIL")</f>
        <v>PASS</v>
      </c>
    </row>
    <row r="18" spans="2:12" ht="16.2" customHeight="1">
      <c r="B18" s="59">
        <v>8</v>
      </c>
      <c r="C18" s="67" t="s">
        <v>312</v>
      </c>
      <c r="D18" s="67"/>
      <c r="E18" s="67"/>
      <c r="F18" s="67"/>
      <c r="G18" s="66" t="s">
        <v>306</v>
      </c>
      <c r="H18" s="60" t="str">
        <f>$M$54</f>
        <v>No</v>
      </c>
      <c r="I18" s="60"/>
      <c r="J18" s="68" t="s">
        <v>304</v>
      </c>
      <c r="K18" s="41" t="str">
        <f>IF($H$18&amp;""=$G$18&amp;"","PASS","FAIL")</f>
        <v>PASS</v>
      </c>
    </row>
    <row r="19" spans="2:12" ht="16.2" customHeight="1">
      <c r="B19" s="59">
        <v>9</v>
      </c>
      <c r="C19" s="67" t="s">
        <v>313</v>
      </c>
      <c r="D19" s="67"/>
      <c r="E19" s="67"/>
      <c r="F19" s="67"/>
      <c r="G19" s="66" t="s">
        <v>119</v>
      </c>
      <c r="H19" s="60">
        <f>$K$54</f>
        <v/>
      </c>
      <c r="I19" s="60"/>
      <c r="J19" s="68" t="s">
        <v>304</v>
      </c>
      <c r="K19" s="41" t="str">
        <f>IF($H$19&amp;""=$G$19&amp;"","PASS","FAIL")</f>
        <v>PASS</v>
      </c>
    </row>
    <row r="20" spans="2:12" ht="16.2" customHeight="1">
      <c r="B20" s="59">
        <v>10</v>
      </c>
      <c r="C20" s="67" t="s">
        <v>314</v>
      </c>
      <c r="D20" s="67"/>
      <c r="E20" s="67"/>
      <c r="F20" s="67"/>
      <c r="G20" s="66" t="s">
        <v>315</v>
      </c>
      <c r="H20" s="60" t="str">
        <f>$R$55</f>
        <v>Reason missing for a miss</v>
      </c>
      <c r="I20" s="60"/>
      <c r="J20" s="68" t="s">
        <v>304</v>
      </c>
      <c r="K20" s="41" t="str">
        <f>IF($H$20&amp;""=$G$20&amp;"","PASS","FAIL")</f>
        <v>PASS</v>
      </c>
    </row>
    <row r="21" spans="2:12" ht="16.2" customHeight="1">
      <c r="B21" s="59">
        <v>11</v>
      </c>
      <c r="C21" s="67" t="s">
        <v>316</v>
      </c>
      <c r="D21" s="67"/>
      <c r="E21" s="67"/>
      <c r="F21" s="67"/>
      <c r="G21" s="73">
        <v>0.3333333333333333</v>
      </c>
      <c r="H21" s="74">
        <f>IF((COUNTIFS(tblVerifyCounts[Match],"Yes")+COUNTIFS(tblVerifyCounts[Match],"No"))=0,"",(COUNTIFS(tblVerifyCounts[Match],"Yes"))/(COUNTIFS(tblVerifyCounts[Match],"Yes")+COUNTIFS(tblVerifyCounts[Match],"No")))</f>
        <v>0.333333333333333</v>
      </c>
      <c r="I21" s="71">
        <f>IF(AND(ISNUMBER($G$21),ISNUMBER($H$21)),ABS($H$21-$G$21),"")</f>
        <v>0</v>
      </c>
      <c r="J21" s="72">
        <v>1E-09</v>
      </c>
      <c r="K21" s="41" t="str">
        <f>IF(AND(ISNUMBER($G$21),ISNUMBER($H$21)),IF(ABS($H$21-$G$21)&lt;=$J$21,"PASS","FAIL"),"FAIL")</f>
        <v>PASS</v>
      </c>
    </row>
    <row r="22" spans="2:12" ht="16.2" customHeight="1">
      <c r="B22" s="59">
        <v>12</v>
      </c>
      <c r="C22" s="67" t="s">
        <v>317</v>
      </c>
      <c r="D22" s="67"/>
      <c r="E22" s="67"/>
      <c r="F22" s="67"/>
      <c r="G22" s="70">
        <v>1048.5</v>
      </c>
      <c r="H22" s="42">
        <f>SUM(tblVerifyCounts[Abs variance value])</f>
        <v>1048.5</v>
      </c>
      <c r="I22" s="71">
        <f>IF(AND(ISNUMBER($G$22),ISNUMBER($H$22)),ABS($H$22-$G$22),"")</f>
        <v>0</v>
      </c>
      <c r="J22" s="72">
        <v>1E-06</v>
      </c>
      <c r="K22" s="41" t="str">
        <f>IF(AND(ISNUMBER($G$22),ISNUMBER($H$22)),IF(ABS($H$22-$G$22)&lt;=$J$22,"PASS","FAIL"),"FAIL")</f>
        <v>PASS</v>
      </c>
    </row>
    <row r="23" spans="2:12" ht="16.2" customHeight="1">
      <c r="B23" s="59">
        <v>13</v>
      </c>
      <c r="C23" s="67" t="s">
        <v>318</v>
      </c>
      <c r="D23" s="67"/>
      <c r="E23" s="67"/>
      <c r="F23" s="67"/>
      <c r="G23" s="70">
        <v>253.5</v>
      </c>
      <c r="H23" s="42">
        <f>SUM(tblVerifyCounts[Variance value])</f>
        <v>253.5</v>
      </c>
      <c r="I23" s="71">
        <f>IF(AND(ISNUMBER($G$23),ISNUMBER($H$23)),ABS($H$23-$G$23),"")</f>
        <v>0</v>
      </c>
      <c r="J23" s="72">
        <v>1E-06</v>
      </c>
      <c r="K23" s="41" t="str">
        <f>IF(AND(ISNUMBER($G$23),ISNUMBER($H$23)),IF(ABS($H$23-$G$23)&lt;=$J$23,"PASS","FAIL"),"FAIL")</f>
        <v>PASS</v>
      </c>
    </row>
    <row r="24" spans="2:12" ht="16.2" customHeight="1">
      <c r="B24" s="59">
        <v>14</v>
      </c>
      <c r="C24" s="67" t="s">
        <v>319</v>
      </c>
      <c r="D24" s="67"/>
      <c r="E24" s="67"/>
      <c r="F24" s="67"/>
      <c r="G24" s="55">
        <v>0</v>
      </c>
      <c r="H24" s="40">
        <f>$E$62</f>
        <v>0</v>
      </c>
      <c r="I24" s="71">
        <f>IF(AND(ISNUMBER($G$24),ISNUMBER($H$24)),ABS($H$24-$G$24),"")</f>
        <v>0</v>
      </c>
      <c r="J24" s="72">
        <v>1E-09</v>
      </c>
      <c r="K24" s="41" t="str">
        <f>IF(AND(ISNUMBER($G$24),ISNUMBER($H$24)),IF(ABS($H$24-$G$24)&lt;=$J$24,"PASS","FAIL"),"FAIL")</f>
        <v>PASS</v>
      </c>
    </row>
    <row r="25" spans="2:12" ht="16.2" customHeight="1">
      <c r="B25" s="59">
        <v>15</v>
      </c>
      <c r="C25" s="67" t="s">
        <v>320</v>
      </c>
      <c r="D25" s="67"/>
      <c r="E25" s="67"/>
      <c r="F25" s="67"/>
      <c r="G25" s="75">
        <v>2</v>
      </c>
      <c r="H25" s="54">
        <f>$D$73</f>
        <v>2</v>
      </c>
      <c r="I25" s="71">
        <f>IF(AND(ISNUMBER($G$25),ISNUMBER($H$25)),ABS($H$25-$G$25),"")</f>
        <v>0</v>
      </c>
      <c r="J25" s="72">
        <v>1E-09</v>
      </c>
      <c r="K25" s="41" t="str">
        <f>IF(AND(ISNUMBER($G$25),ISNUMBER($H$25)),IF(ABS($H$25-$G$25)&lt;=$J$25,"PASS","FAIL"),"FAIL")</f>
        <v>PASS</v>
      </c>
    </row>
    <row r="26" spans="2:12" ht="16.2" customHeight="1">
      <c r="B26" s="59">
        <v>16</v>
      </c>
      <c r="C26" s="67" t="s">
        <v>321</v>
      </c>
      <c r="D26" s="67"/>
      <c r="E26" s="67"/>
      <c r="F26" s="67"/>
      <c r="G26" s="55">
        <v>0.5</v>
      </c>
      <c r="H26" s="40">
        <f>$E$72</f>
        <v>0.5</v>
      </c>
      <c r="I26" s="71">
        <f>IF(AND(ISNUMBER($G$26),ISNUMBER($H$26)),ABS($H$26-$G$26),"")</f>
        <v>0</v>
      </c>
      <c r="J26" s="72">
        <v>1E-09</v>
      </c>
      <c r="K26" s="41" t="str">
        <f>IF(AND(ISNUMBER($G$26),ISNUMBER($H$26)),IF(ABS($H$26-$G$26)&lt;=$J$26,"PASS","FAIL"),"FAIL")</f>
        <v>PASS</v>
      </c>
    </row>
    <row r="28" spans="2:12" ht="21" customHeight="1">
      <c r="B28" s="8" t="s">
        <v>322</v>
      </c>
      <c r="C28" s="8"/>
      <c r="D28" s="8"/>
      <c r="E28" s="8"/>
      <c r="F28" s="8"/>
      <c r="G28" s="8"/>
      <c r="H28" s="8"/>
      <c r="I28" s="8"/>
      <c r="J28" s="8"/>
      <c r="K28" s="8"/>
      <c r="L28" s="8"/>
    </row>
    <row r="29" spans="2:12" ht="5" customHeight="1"/>
    <row r="30" spans="2:12">
      <c r="B30" s="21" t="s">
        <v>323</v>
      </c>
      <c r="C30" s="21"/>
      <c r="D30" s="21"/>
      <c r="E30" s="21"/>
      <c r="F30" s="21"/>
      <c r="G30" s="21"/>
      <c r="H30" s="21"/>
      <c r="I30" s="21"/>
      <c r="J30" s="21"/>
      <c r="K30" s="21"/>
      <c r="L30" s="21"/>
    </row>
    <row r="31" spans="2:12">
      <c r="B31" s="30" t="s">
        <v>324</v>
      </c>
      <c r="C31" s="30"/>
      <c r="D31" s="30"/>
      <c r="E31" s="30"/>
      <c r="F31" s="30"/>
    </row>
    <row r="32" spans="2:12">
      <c r="B32" s="27" t="s">
        <v>325</v>
      </c>
      <c r="C32" s="27"/>
      <c r="D32" s="27"/>
      <c r="E32" s="55">
        <v>0</v>
      </c>
      <c r="F32" s="7"/>
    </row>
    <row r="33" spans="2:19">
      <c r="B33" s="27" t="s">
        <v>326</v>
      </c>
      <c r="C33" s="27"/>
      <c r="D33" s="27"/>
      <c r="E33" s="55">
        <v>0.02</v>
      </c>
      <c r="F33" s="7"/>
    </row>
    <row r="34" spans="2:19">
      <c r="B34" s="27" t="s">
        <v>327</v>
      </c>
      <c r="C34" s="27"/>
      <c r="D34" s="27"/>
      <c r="E34" s="55">
        <v>0.05</v>
      </c>
      <c r="F34" s="7"/>
    </row>
    <row r="35" spans="2:19">
      <c r="B35" s="27" t="s">
        <v>328</v>
      </c>
      <c r="C35" s="27"/>
      <c r="D35" s="27"/>
      <c r="E35" s="55">
        <v>0.95</v>
      </c>
      <c r="F35" s="7"/>
    </row>
    <row r="37" spans="2:19">
      <c r="B37" s="30" t="s">
        <v>329</v>
      </c>
      <c r="C37" s="30"/>
      <c r="D37" s="30"/>
      <c r="E37" s="30"/>
      <c r="F37" s="30"/>
      <c r="G37" s="30"/>
      <c r="H37" s="30"/>
      <c r="I37" s="30"/>
      <c r="J37" s="30"/>
      <c r="K37" s="30"/>
      <c r="L37" s="30"/>
    </row>
    <row r="38" spans="2:19" ht="20" customHeight="1">
      <c r="B38" s="31" t="s">
        <v>60</v>
      </c>
      <c r="C38" s="31" t="s">
        <v>61</v>
      </c>
    </row>
    <row r="39" spans="2:19">
      <c r="B39" s="66" t="s">
        <v>78</v>
      </c>
      <c r="C39" s="66" t="s">
        <v>330</v>
      </c>
    </row>
    <row r="40" spans="2:19">
      <c r="B40" s="66" t="s">
        <v>80</v>
      </c>
      <c r="C40" s="66" t="s">
        <v>330</v>
      </c>
    </row>
    <row r="42" spans="2:19">
      <c r="B42" s="30" t="s">
        <v>331</v>
      </c>
      <c r="C42" s="30"/>
      <c r="D42" s="30"/>
      <c r="E42" s="30"/>
      <c r="F42" s="30"/>
      <c r="G42" s="30"/>
      <c r="H42" s="30"/>
      <c r="I42" s="30"/>
      <c r="J42" s="30"/>
      <c r="K42" s="30"/>
      <c r="L42" s="30"/>
    </row>
    <row r="43" spans="2:19" ht="20" customHeight="1">
      <c r="B43" s="31" t="s">
        <v>62</v>
      </c>
      <c r="C43" s="31" t="s">
        <v>63</v>
      </c>
    </row>
    <row r="44" spans="2:19">
      <c r="B44" s="66" t="s">
        <v>85</v>
      </c>
      <c r="C44" s="66" t="s">
        <v>330</v>
      </c>
    </row>
    <row r="45" spans="2:19">
      <c r="B45" s="66" t="s">
        <v>91</v>
      </c>
      <c r="C45" s="66" t="s">
        <v>330</v>
      </c>
    </row>
    <row r="47" spans="2:19">
      <c r="B47" s="30" t="s">
        <v>332</v>
      </c>
      <c r="C47" s="30"/>
      <c r="D47" s="30"/>
      <c r="E47" s="30"/>
      <c r="F47" s="30"/>
      <c r="G47" s="30"/>
      <c r="H47" s="30"/>
      <c r="I47" s="30"/>
      <c r="J47" s="30"/>
      <c r="K47" s="30"/>
      <c r="L47" s="30"/>
    </row>
    <row r="48" spans="2:19" ht="14" customHeight="1">
      <c r="B48" s="34"/>
      <c r="C48" s="34"/>
      <c r="D48" s="34"/>
      <c r="E48" s="34"/>
      <c r="F48" s="34"/>
      <c r="G48" s="34" t="str">
        <f>Currency&amp;"/unit"</f>
        <v>GBP/unit</v>
      </c>
      <c r="H48" s="34"/>
      <c r="I48" s="34"/>
      <c r="J48" s="34"/>
      <c r="K48" s="34"/>
      <c r="L48" s="34"/>
      <c r="M48" s="34"/>
      <c r="N48" s="34" t="str">
        <f>Currency</f>
        <v>GBP</v>
      </c>
      <c r="O48" s="34" t="str">
        <f>Currency</f>
        <v>GBP</v>
      </c>
      <c r="P48" s="34"/>
      <c r="Q48" s="34"/>
      <c r="R48" s="34"/>
      <c r="S48" s="34"/>
    </row>
    <row r="49" spans="2:19" ht="32" customHeight="1">
      <c r="B49" s="31" t="s">
        <v>99</v>
      </c>
      <c r="C49" s="31" t="s">
        <v>100</v>
      </c>
      <c r="D49" s="31" t="s">
        <v>60</v>
      </c>
      <c r="E49" s="31" t="s">
        <v>101</v>
      </c>
      <c r="F49" s="31" t="s">
        <v>102</v>
      </c>
      <c r="G49" s="31" t="s">
        <v>103</v>
      </c>
      <c r="H49" s="31" t="s">
        <v>104</v>
      </c>
      <c r="I49" s="31" t="s">
        <v>105</v>
      </c>
      <c r="J49" s="31" t="s">
        <v>106</v>
      </c>
      <c r="K49" s="31" t="s">
        <v>107</v>
      </c>
      <c r="L49" s="31" t="s">
        <v>108</v>
      </c>
      <c r="M49" s="31" t="s">
        <v>109</v>
      </c>
      <c r="N49" s="31" t="s">
        <v>110</v>
      </c>
      <c r="O49" s="31" t="s">
        <v>111</v>
      </c>
      <c r="P49" s="31" t="s">
        <v>62</v>
      </c>
      <c r="Q49" s="31" t="s">
        <v>112</v>
      </c>
      <c r="R49" s="31" t="s">
        <v>113</v>
      </c>
      <c r="S49" s="31" t="s">
        <v>114</v>
      </c>
    </row>
    <row r="50" spans="2:19">
      <c r="B50" s="76">
        <v>46027</v>
      </c>
      <c r="C50" s="66" t="s">
        <v>333</v>
      </c>
      <c r="D50" s="66" t="s">
        <v>78</v>
      </c>
      <c r="E50" s="66" t="s">
        <v>334</v>
      </c>
      <c r="F50" s="66" t="s">
        <v>126</v>
      </c>
      <c r="G50" s="70">
        <v>120</v>
      </c>
      <c r="H50" s="75">
        <v>40</v>
      </c>
      <c r="I50" s="75">
        <v>40</v>
      </c>
      <c r="J50" s="38">
        <f>IF(tblVerifyCounts[[#This Row],[Date]]="","",tblVerifyCounts[[#This Row],[Counted qty (units)]]-tblVerifyCounts[[#This Row],[System qty (units)]])</f>
        <v>0</v>
      </c>
      <c r="K50" s="39">
        <f>IF(tblVerifyCounts[[#This Row],[Date]]="","",IF(tblVerifyCounts[[#This Row],[System qty (units)]]&gt;0,tblVerifyCounts[[#This Row],[Variance (units)]]/tblVerifyCounts[[#This Row],[System qty (units)]],""))</f>
        <v>0</v>
      </c>
      <c r="L50" s="40">
        <f>IF(tblVerifyCounts[[#This Row],[Date]]="","",IF(tblVerifyCounts[[#This Row],[Class]]="A",$E$32,IF(tblVerifyCounts[[#This Row],[Class]]="B",$E$33,IF(tblVerifyCounts[[#This Row],[Class]]="C",$E$34,""))))</f>
        <v>0</v>
      </c>
      <c r="M50" s="41" t="str">
        <f>IF(tblVerifyCounts[[#This Row],[Date]]="","",IF(tblVerifyCounts[[#This Row],[Tolerance]]="","",IF(IF(tblVerifyCounts[[#This Row],[System qty (units)]]&gt;0,ABS(tblVerifyCounts[[#This Row],[Variance (units)]])/tblVerifyCounts[[#This Row],[System qty (units)]],IF(tblVerifyCounts[[#This Row],[Counted qty (units)]]&gt;0,1,0))&lt;=tblVerifyCounts[[#This Row],[Tolerance]],"Yes","No")))</f>
        <v>Yes</v>
      </c>
      <c r="N50" s="42">
        <f>IF(tblVerifyCounts[[#This Row],[Date]]="","",tblVerifyCounts[[#This Row],[Variance (units)]]*tblVerifyCounts[[#This Row],[Unit cost]])</f>
        <v>0</v>
      </c>
      <c r="O50" s="42">
        <f>IF(tblVerifyCounts[[#This Row],[Date]]="","",ABS(tblVerifyCounts[[#This Row],[Variance value]]))</f>
        <v>0</v>
      </c>
      <c r="P50" s="66" t="s">
        <v>119</v>
      </c>
      <c r="Q50" s="66" t="s">
        <v>335</v>
      </c>
      <c r="R50" s="43" t="str">
        <f>IF(tblVerifyCounts[[#This Row],[Date]]="","",IF(tblVerifyCounts[[#This Row],[Location]]="","Missing location",IF(tblVerifyCounts[[#This Row],[Zone]]="","Missing zone",IF(tblVerifyCounts[[#This Row],[Item]]="","Missing item",IF(tblVerifyCounts[[#This Row],[Class]]="","Missing class",IF(tblVerifyCounts[[#This Row],[System qty (units)]]="","Missing system qty",IF(tblVerifyCounts[[#This Row],[Counted qty (units)]]="","Missing counted qty",IF(AND(tblVerifyCounts[[#This Row],[Match]]="No",tblVerifyCounts[[#This Row],[Reason]]=""),"Reason missing for a miss",IF(COUNTIF(tblVerifyZones[Zone],tblVerifyCounts[[#This Row],[Zone]])=0,"Zone not on Setup list",IF(AND(tblVerifyCounts[[#This Row],[Reason]]&lt;&gt;"",COUNTIF(tblVerifyReasons[Reason],tblVerifyCounts[[#This Row],[Reason]])=0),"Reason not on Setup list",IF(COUNTIFS(tblVerifyCounts[Date],tblVerifyCounts[[#This Row],[Date]],tblVerifyCounts[Location],tblVerifyCounts[[#This Row],[Location]],tblVerifyCounts[Item],tblVerifyCounts[[#This Row],[Item]])&gt;1,"Counted twice on one day","OK")))))))))))</f>
        <v>OK</v>
      </c>
      <c r="S50" s="66" t="s">
        <v>119</v>
      </c>
    </row>
    <row r="51" spans="2:19">
      <c r="B51" s="76">
        <v>46027</v>
      </c>
      <c r="C51" s="66" t="s">
        <v>336</v>
      </c>
      <c r="D51" s="66" t="s">
        <v>78</v>
      </c>
      <c r="E51" s="66" t="s">
        <v>337</v>
      </c>
      <c r="F51" s="66" t="s">
        <v>126</v>
      </c>
      <c r="G51" s="70">
        <v>85.5</v>
      </c>
      <c r="H51" s="75">
        <v>60</v>
      </c>
      <c r="I51" s="75">
        <v>59</v>
      </c>
      <c r="J51" s="38">
        <f>IF(tblVerifyCounts[[#This Row],[Date]]="","",tblVerifyCounts[[#This Row],[Counted qty (units)]]-tblVerifyCounts[[#This Row],[System qty (units)]])</f>
        <v>-1</v>
      </c>
      <c r="K51" s="39">
        <f>IF(tblVerifyCounts[[#This Row],[Date]]="","",IF(tblVerifyCounts[[#This Row],[System qty (units)]]&gt;0,tblVerifyCounts[[#This Row],[Variance (units)]]/tblVerifyCounts[[#This Row],[System qty (units)]],""))</f>
        <v>-0.0166666666666667</v>
      </c>
      <c r="L51" s="40">
        <f>IF(tblVerifyCounts[[#This Row],[Date]]="","",IF(tblVerifyCounts[[#This Row],[Class]]="A",$E$32,IF(tblVerifyCounts[[#This Row],[Class]]="B",$E$33,IF(tblVerifyCounts[[#This Row],[Class]]="C",$E$34,""))))</f>
        <v>0</v>
      </c>
      <c r="M51" s="41" t="str">
        <f>IF(tblVerifyCounts[[#This Row],[Date]]="","",IF(tblVerifyCounts[[#This Row],[Tolerance]]="","",IF(IF(tblVerifyCounts[[#This Row],[System qty (units)]]&gt;0,ABS(tblVerifyCounts[[#This Row],[Variance (units)]])/tblVerifyCounts[[#This Row],[System qty (units)]],IF(tblVerifyCounts[[#This Row],[Counted qty (units)]]&gt;0,1,0))&lt;=tblVerifyCounts[[#This Row],[Tolerance]],"Yes","No")))</f>
        <v>No</v>
      </c>
      <c r="N51" s="42">
        <f>IF(tblVerifyCounts[[#This Row],[Date]]="","",tblVerifyCounts[[#This Row],[Variance (units)]]*tblVerifyCounts[[#This Row],[Unit cost]])</f>
        <v>-85.5</v>
      </c>
      <c r="O51" s="42">
        <f>IF(tblVerifyCounts[[#This Row],[Date]]="","",ABS(tblVerifyCounts[[#This Row],[Variance value]]))</f>
        <v>85.5</v>
      </c>
      <c r="P51" s="66" t="s">
        <v>85</v>
      </c>
      <c r="Q51" s="66" t="s">
        <v>335</v>
      </c>
      <c r="R51" s="43" t="str">
        <f>IF(tblVerifyCounts[[#This Row],[Date]]="","",IF(tblVerifyCounts[[#This Row],[Location]]="","Missing location",IF(tblVerifyCounts[[#This Row],[Zone]]="","Missing zone",IF(tblVerifyCounts[[#This Row],[Item]]="","Missing item",IF(tblVerifyCounts[[#This Row],[Class]]="","Missing class",IF(tblVerifyCounts[[#This Row],[System qty (units)]]="","Missing system qty",IF(tblVerifyCounts[[#This Row],[Counted qty (units)]]="","Missing counted qty",IF(AND(tblVerifyCounts[[#This Row],[Match]]="No",tblVerifyCounts[[#This Row],[Reason]]=""),"Reason missing for a miss",IF(COUNTIF(tblVerifyZones[Zone],tblVerifyCounts[[#This Row],[Zone]])=0,"Zone not on Setup list",IF(AND(tblVerifyCounts[[#This Row],[Reason]]&lt;&gt;"",COUNTIF(tblVerifyReasons[Reason],tblVerifyCounts[[#This Row],[Reason]])=0),"Reason not on Setup list",IF(COUNTIFS(tblVerifyCounts[Date],tblVerifyCounts[[#This Row],[Date]],tblVerifyCounts[Location],tblVerifyCounts[[#This Row],[Location]],tblVerifyCounts[Item],tblVerifyCounts[[#This Row],[Item]])&gt;1,"Counted twice on one day","OK")))))))))))</f>
        <v>OK</v>
      </c>
      <c r="S51" s="66" t="s">
        <v>119</v>
      </c>
    </row>
    <row r="52" spans="2:19">
      <c r="B52" s="76">
        <v>46027</v>
      </c>
      <c r="C52" s="66" t="s">
        <v>338</v>
      </c>
      <c r="D52" s="66" t="s">
        <v>78</v>
      </c>
      <c r="E52" s="66" t="s">
        <v>339</v>
      </c>
      <c r="F52" s="66" t="s">
        <v>123</v>
      </c>
      <c r="G52" s="70">
        <v>12.4</v>
      </c>
      <c r="H52" s="75">
        <v>250</v>
      </c>
      <c r="I52" s="75">
        <v>245</v>
      </c>
      <c r="J52" s="38">
        <f>IF(tblVerifyCounts[[#This Row],[Date]]="","",tblVerifyCounts[[#This Row],[Counted qty (units)]]-tblVerifyCounts[[#This Row],[System qty (units)]])</f>
        <v>-5</v>
      </c>
      <c r="K52" s="39">
        <f>IF(tblVerifyCounts[[#This Row],[Date]]="","",IF(tblVerifyCounts[[#This Row],[System qty (units)]]&gt;0,tblVerifyCounts[[#This Row],[Variance (units)]]/tblVerifyCounts[[#This Row],[System qty (units)]],""))</f>
        <v>-0.02</v>
      </c>
      <c r="L52" s="40">
        <f>IF(tblVerifyCounts[[#This Row],[Date]]="","",IF(tblVerifyCounts[[#This Row],[Class]]="A",$E$32,IF(tblVerifyCounts[[#This Row],[Class]]="B",$E$33,IF(tblVerifyCounts[[#This Row],[Class]]="C",$E$34,""))))</f>
        <v>0.02</v>
      </c>
      <c r="M52" s="41" t="str">
        <f>IF(tblVerifyCounts[[#This Row],[Date]]="","",IF(tblVerifyCounts[[#This Row],[Tolerance]]="","",IF(IF(tblVerifyCounts[[#This Row],[System qty (units)]]&gt;0,ABS(tblVerifyCounts[[#This Row],[Variance (units)]])/tblVerifyCounts[[#This Row],[System qty (units)]],IF(tblVerifyCounts[[#This Row],[Counted qty (units)]]&gt;0,1,0))&lt;=tblVerifyCounts[[#This Row],[Tolerance]],"Yes","No")))</f>
        <v>Yes</v>
      </c>
      <c r="N52" s="42">
        <f>IF(tblVerifyCounts[[#This Row],[Date]]="","",tblVerifyCounts[[#This Row],[Variance (units)]]*tblVerifyCounts[[#This Row],[Unit cost]])</f>
        <v>-62</v>
      </c>
      <c r="O52" s="42">
        <f>IF(tblVerifyCounts[[#This Row],[Date]]="","",ABS(tblVerifyCounts[[#This Row],[Variance value]]))</f>
        <v>62</v>
      </c>
      <c r="P52" s="66" t="s">
        <v>119</v>
      </c>
      <c r="Q52" s="66" t="s">
        <v>335</v>
      </c>
      <c r="R52" s="43" t="str">
        <f>IF(tblVerifyCounts[[#This Row],[Date]]="","",IF(tblVerifyCounts[[#This Row],[Location]]="","Missing location",IF(tblVerifyCounts[[#This Row],[Zone]]="","Missing zone",IF(tblVerifyCounts[[#This Row],[Item]]="","Missing item",IF(tblVerifyCounts[[#This Row],[Class]]="","Missing class",IF(tblVerifyCounts[[#This Row],[System qty (units)]]="","Missing system qty",IF(tblVerifyCounts[[#This Row],[Counted qty (units)]]="","Missing counted qty",IF(AND(tblVerifyCounts[[#This Row],[Match]]="No",tblVerifyCounts[[#This Row],[Reason]]=""),"Reason missing for a miss",IF(COUNTIF(tblVerifyZones[Zone],tblVerifyCounts[[#This Row],[Zone]])=0,"Zone not on Setup list",IF(AND(tblVerifyCounts[[#This Row],[Reason]]&lt;&gt;"",COUNTIF(tblVerifyReasons[Reason],tblVerifyCounts[[#This Row],[Reason]])=0),"Reason not on Setup list",IF(COUNTIFS(tblVerifyCounts[Date],tblVerifyCounts[[#This Row],[Date]],tblVerifyCounts[Location],tblVerifyCounts[[#This Row],[Location]],tblVerifyCounts[Item],tblVerifyCounts[[#This Row],[Item]])&gt;1,"Counted twice on one day","OK")))))))))))</f>
        <v>OK</v>
      </c>
      <c r="S52" s="66" t="s">
        <v>119</v>
      </c>
    </row>
    <row r="53" spans="2:19">
      <c r="B53" s="76">
        <v>46027</v>
      </c>
      <c r="C53" s="66" t="s">
        <v>340</v>
      </c>
      <c r="D53" s="66" t="s">
        <v>78</v>
      </c>
      <c r="E53" s="66" t="s">
        <v>341</v>
      </c>
      <c r="F53" s="66" t="s">
        <v>118</v>
      </c>
      <c r="G53" s="70">
        <v>0.35</v>
      </c>
      <c r="H53" s="75">
        <v>1000</v>
      </c>
      <c r="I53" s="75">
        <v>1060</v>
      </c>
      <c r="J53" s="38">
        <f>IF(tblVerifyCounts[[#This Row],[Date]]="","",tblVerifyCounts[[#This Row],[Counted qty (units)]]-tblVerifyCounts[[#This Row],[System qty (units)]])</f>
        <v>60</v>
      </c>
      <c r="K53" s="39">
        <f>IF(tblVerifyCounts[[#This Row],[Date]]="","",IF(tblVerifyCounts[[#This Row],[System qty (units)]]&gt;0,tblVerifyCounts[[#This Row],[Variance (units)]]/tblVerifyCounts[[#This Row],[System qty (units)]],""))</f>
        <v>0.06</v>
      </c>
      <c r="L53" s="40">
        <f>IF(tblVerifyCounts[[#This Row],[Date]]="","",IF(tblVerifyCounts[[#This Row],[Class]]="A",$E$32,IF(tblVerifyCounts[[#This Row],[Class]]="B",$E$33,IF(tblVerifyCounts[[#This Row],[Class]]="C",$E$34,""))))</f>
        <v>0.05</v>
      </c>
      <c r="M53" s="41" t="str">
        <f>IF(tblVerifyCounts[[#This Row],[Date]]="","",IF(tblVerifyCounts[[#This Row],[Tolerance]]="","",IF(IF(tblVerifyCounts[[#This Row],[System qty (units)]]&gt;0,ABS(tblVerifyCounts[[#This Row],[Variance (units)]])/tblVerifyCounts[[#This Row],[System qty (units)]],IF(tblVerifyCounts[[#This Row],[Counted qty (units)]]&gt;0,1,0))&lt;=tblVerifyCounts[[#This Row],[Tolerance]],"Yes","No")))</f>
        <v>No</v>
      </c>
      <c r="N53" s="42">
        <f>IF(tblVerifyCounts[[#This Row],[Date]]="","",tblVerifyCounts[[#This Row],[Variance (units)]]*tblVerifyCounts[[#This Row],[Unit cost]])</f>
        <v>21</v>
      </c>
      <c r="O53" s="42">
        <f>IF(tblVerifyCounts[[#This Row],[Date]]="","",ABS(tblVerifyCounts[[#This Row],[Variance value]]))</f>
        <v>21</v>
      </c>
      <c r="P53" s="66" t="s">
        <v>91</v>
      </c>
      <c r="Q53" s="66" t="s">
        <v>335</v>
      </c>
      <c r="R53" s="43" t="str">
        <f>IF(tblVerifyCounts[[#This Row],[Date]]="","",IF(tblVerifyCounts[[#This Row],[Location]]="","Missing location",IF(tblVerifyCounts[[#This Row],[Zone]]="","Missing zone",IF(tblVerifyCounts[[#This Row],[Item]]="","Missing item",IF(tblVerifyCounts[[#This Row],[Class]]="","Missing class",IF(tblVerifyCounts[[#This Row],[System qty (units)]]="","Missing system qty",IF(tblVerifyCounts[[#This Row],[Counted qty (units)]]="","Missing counted qty",IF(AND(tblVerifyCounts[[#This Row],[Match]]="No",tblVerifyCounts[[#This Row],[Reason]]=""),"Reason missing for a miss",IF(COUNTIF(tblVerifyZones[Zone],tblVerifyCounts[[#This Row],[Zone]])=0,"Zone not on Setup list",IF(AND(tblVerifyCounts[[#This Row],[Reason]]&lt;&gt;"",COUNTIF(tblVerifyReasons[Reason],tblVerifyCounts[[#This Row],[Reason]])=0),"Reason not on Setup list",IF(COUNTIFS(tblVerifyCounts[Date],tblVerifyCounts[[#This Row],[Date]],tblVerifyCounts[Location],tblVerifyCounts[[#This Row],[Location]],tblVerifyCounts[Item],tblVerifyCounts[[#This Row],[Item]])&gt;1,"Counted twice on one day","OK")))))))))))</f>
        <v>OK</v>
      </c>
      <c r="S53" s="66" t="s">
        <v>119</v>
      </c>
    </row>
    <row r="54" spans="2:19">
      <c r="B54" s="76">
        <v>46034</v>
      </c>
      <c r="C54" s="66" t="s">
        <v>342</v>
      </c>
      <c r="D54" s="66" t="s">
        <v>80</v>
      </c>
      <c r="E54" s="66" t="s">
        <v>343</v>
      </c>
      <c r="F54" s="66" t="s">
        <v>123</v>
      </c>
      <c r="G54" s="70">
        <v>210</v>
      </c>
      <c r="H54" s="75">
        <v>0</v>
      </c>
      <c r="I54" s="75">
        <v>3</v>
      </c>
      <c r="J54" s="38">
        <f>IF(tblVerifyCounts[[#This Row],[Date]]="","",tblVerifyCounts[[#This Row],[Counted qty (units)]]-tblVerifyCounts[[#This Row],[System qty (units)]])</f>
        <v>3</v>
      </c>
      <c r="K54" s="39">
        <f>IF(tblVerifyCounts[[#This Row],[Date]]="","",IF(tblVerifyCounts[[#This Row],[System qty (units)]]&gt;0,tblVerifyCounts[[#This Row],[Variance (units)]]/tblVerifyCounts[[#This Row],[System qty (units)]],""))</f>
        <v/>
      </c>
      <c r="L54" s="40">
        <f>IF(tblVerifyCounts[[#This Row],[Date]]="","",IF(tblVerifyCounts[[#This Row],[Class]]="A",$E$32,IF(tblVerifyCounts[[#This Row],[Class]]="B",$E$33,IF(tblVerifyCounts[[#This Row],[Class]]="C",$E$34,""))))</f>
        <v>0.02</v>
      </c>
      <c r="M54" s="41" t="str">
        <f>IF(tblVerifyCounts[[#This Row],[Date]]="","",IF(tblVerifyCounts[[#This Row],[Tolerance]]="","",IF(IF(tblVerifyCounts[[#This Row],[System qty (units)]]&gt;0,ABS(tblVerifyCounts[[#This Row],[Variance (units)]])/tblVerifyCounts[[#This Row],[System qty (units)]],IF(tblVerifyCounts[[#This Row],[Counted qty (units)]]&gt;0,1,0))&lt;=tblVerifyCounts[[#This Row],[Tolerance]],"Yes","No")))</f>
        <v>No</v>
      </c>
      <c r="N54" s="42">
        <f>IF(tblVerifyCounts[[#This Row],[Date]]="","",tblVerifyCounts[[#This Row],[Variance (units)]]*tblVerifyCounts[[#This Row],[Unit cost]])</f>
        <v>630</v>
      </c>
      <c r="O54" s="42">
        <f>IF(tblVerifyCounts[[#This Row],[Date]]="","",ABS(tblVerifyCounts[[#This Row],[Variance value]]))</f>
        <v>630</v>
      </c>
      <c r="P54" s="66" t="s">
        <v>91</v>
      </c>
      <c r="Q54" s="66" t="s">
        <v>335</v>
      </c>
      <c r="R54" s="43" t="str">
        <f>IF(tblVerifyCounts[[#This Row],[Date]]="","",IF(tblVerifyCounts[[#This Row],[Location]]="","Missing location",IF(tblVerifyCounts[[#This Row],[Zone]]="","Missing zone",IF(tblVerifyCounts[[#This Row],[Item]]="","Missing item",IF(tblVerifyCounts[[#This Row],[Class]]="","Missing class",IF(tblVerifyCounts[[#This Row],[System qty (units)]]="","Missing system qty",IF(tblVerifyCounts[[#This Row],[Counted qty (units)]]="","Missing counted qty",IF(AND(tblVerifyCounts[[#This Row],[Match]]="No",tblVerifyCounts[[#This Row],[Reason]]=""),"Reason missing for a miss",IF(COUNTIF(tblVerifyZones[Zone],tblVerifyCounts[[#This Row],[Zone]])=0,"Zone not on Setup list",IF(AND(tblVerifyCounts[[#This Row],[Reason]]&lt;&gt;"",COUNTIF(tblVerifyReasons[Reason],tblVerifyCounts[[#This Row],[Reason]])=0),"Reason not on Setup list",IF(COUNTIFS(tblVerifyCounts[Date],tblVerifyCounts[[#This Row],[Date]],tblVerifyCounts[Location],tblVerifyCounts[[#This Row],[Location]],tblVerifyCounts[Item],tblVerifyCounts[[#This Row],[Item]])&gt;1,"Counted twice on one day","OK")))))))))))</f>
        <v>OK</v>
      </c>
      <c r="S54" s="66" t="s">
        <v>119</v>
      </c>
    </row>
    <row r="55" spans="2:19">
      <c r="B55" s="76">
        <v>46034</v>
      </c>
      <c r="C55" s="66" t="s">
        <v>344</v>
      </c>
      <c r="D55" s="66" t="s">
        <v>78</v>
      </c>
      <c r="E55" s="66" t="s">
        <v>345</v>
      </c>
      <c r="F55" s="66" t="s">
        <v>118</v>
      </c>
      <c r="G55" s="70">
        <v>2.5</v>
      </c>
      <c r="H55" s="75">
        <v>400</v>
      </c>
      <c r="I55" s="75">
        <v>300</v>
      </c>
      <c r="J55" s="38">
        <f>IF(tblVerifyCounts[[#This Row],[Date]]="","",tblVerifyCounts[[#This Row],[Counted qty (units)]]-tblVerifyCounts[[#This Row],[System qty (units)]])</f>
        <v>-100</v>
      </c>
      <c r="K55" s="39">
        <f>IF(tblVerifyCounts[[#This Row],[Date]]="","",IF(tblVerifyCounts[[#This Row],[System qty (units)]]&gt;0,tblVerifyCounts[[#This Row],[Variance (units)]]/tblVerifyCounts[[#This Row],[System qty (units)]],""))</f>
        <v>-0.25</v>
      </c>
      <c r="L55" s="40">
        <f>IF(tblVerifyCounts[[#This Row],[Date]]="","",IF(tblVerifyCounts[[#This Row],[Class]]="A",$E$32,IF(tblVerifyCounts[[#This Row],[Class]]="B",$E$33,IF(tblVerifyCounts[[#This Row],[Class]]="C",$E$34,""))))</f>
        <v>0.05</v>
      </c>
      <c r="M55" s="41" t="str">
        <f>IF(tblVerifyCounts[[#This Row],[Date]]="","",IF(tblVerifyCounts[[#This Row],[Tolerance]]="","",IF(IF(tblVerifyCounts[[#This Row],[System qty (units)]]&gt;0,ABS(tblVerifyCounts[[#This Row],[Variance (units)]])/tblVerifyCounts[[#This Row],[System qty (units)]],IF(tblVerifyCounts[[#This Row],[Counted qty (units)]]&gt;0,1,0))&lt;=tblVerifyCounts[[#This Row],[Tolerance]],"Yes","No")))</f>
        <v>No</v>
      </c>
      <c r="N55" s="42">
        <f>IF(tblVerifyCounts[[#This Row],[Date]]="","",tblVerifyCounts[[#This Row],[Variance (units)]]*tblVerifyCounts[[#This Row],[Unit cost]])</f>
        <v>-250</v>
      </c>
      <c r="O55" s="42">
        <f>IF(tblVerifyCounts[[#This Row],[Date]]="","",ABS(tblVerifyCounts[[#This Row],[Variance value]]))</f>
        <v>250</v>
      </c>
      <c r="P55" s="66" t="s">
        <v>119</v>
      </c>
      <c r="Q55" s="66" t="s">
        <v>335</v>
      </c>
      <c r="R55" s="43" t="str">
        <f>IF(tblVerifyCounts[[#This Row],[Date]]="","",IF(tblVerifyCounts[[#This Row],[Location]]="","Missing location",IF(tblVerifyCounts[[#This Row],[Zone]]="","Missing zone",IF(tblVerifyCounts[[#This Row],[Item]]="","Missing item",IF(tblVerifyCounts[[#This Row],[Class]]="","Missing class",IF(tblVerifyCounts[[#This Row],[System qty (units)]]="","Missing system qty",IF(tblVerifyCounts[[#This Row],[Counted qty (units)]]="","Missing counted qty",IF(AND(tblVerifyCounts[[#This Row],[Match]]="No",tblVerifyCounts[[#This Row],[Reason]]=""),"Reason missing for a miss",IF(COUNTIF(tblVerifyZones[Zone],tblVerifyCounts[[#This Row],[Zone]])=0,"Zone not on Setup list",IF(AND(tblVerifyCounts[[#This Row],[Reason]]&lt;&gt;"",COUNTIF(tblVerifyReasons[Reason],tblVerifyCounts[[#This Row],[Reason]])=0),"Reason not on Setup list",IF(COUNTIFS(tblVerifyCounts[Date],tblVerifyCounts[[#This Row],[Date]],tblVerifyCounts[Location],tblVerifyCounts[[#This Row],[Location]],tblVerifyCounts[Item],tblVerifyCounts[[#This Row],[Item]])&gt;1,"Counted twice on one day","OK")))))))))))</f>
        <v>Reason missing for a miss</v>
      </c>
      <c r="S55" s="66" t="s">
        <v>119</v>
      </c>
    </row>
    <row r="57" spans="2:19">
      <c r="B57" s="30" t="s">
        <v>346</v>
      </c>
      <c r="C57" s="30"/>
      <c r="D57" s="30"/>
      <c r="E57" s="30"/>
      <c r="F57" s="30"/>
      <c r="G57" s="30"/>
      <c r="H57" s="30"/>
      <c r="I57" s="30"/>
      <c r="J57" s="30"/>
      <c r="K57" s="30"/>
      <c r="L57" s="30"/>
    </row>
    <row r="58" spans="2:19" ht="20" customHeight="1">
      <c r="B58" s="52" t="s">
        <v>102</v>
      </c>
      <c r="C58" s="31" t="s">
        <v>225</v>
      </c>
      <c r="D58" s="31" t="s">
        <v>226</v>
      </c>
      <c r="E58" s="31" t="s">
        <v>232</v>
      </c>
      <c r="F58" s="31" t="s">
        <v>108</v>
      </c>
      <c r="G58" s="31" t="s">
        <v>233</v>
      </c>
    </row>
    <row r="59" spans="2:19" ht="14" customHeight="1">
      <c r="B59" s="34"/>
      <c r="C59" s="34"/>
      <c r="D59" s="34"/>
      <c r="E59" s="34"/>
      <c r="F59" s="34"/>
      <c r="G59" s="34" t="str">
        <f>Currency</f>
        <v>GBP</v>
      </c>
    </row>
    <row r="60" spans="2:19">
      <c r="B60" s="56" t="s">
        <v>126</v>
      </c>
      <c r="C60" s="54">
        <f>COUNTIFS(tblVerifyCounts[Class],$B$60,tblVerifyCounts[Match],"Yes")+COUNTIFS(tblVerifyCounts[Class],$B$60,tblVerifyCounts[Match],"No")</f>
        <v>2</v>
      </c>
      <c r="D60" s="54">
        <f>COUNTIFS(tblVerifyCounts[Class],$B$60,tblVerifyCounts[Match],"No")</f>
        <v>1</v>
      </c>
      <c r="E60" s="40">
        <f>IF(($C$60)=0,"",(COUNTIFS(tblVerifyCounts[Class],$B$60,tblVerifyCounts[Match],"Yes"))/($C$60))</f>
        <v>0.5</v>
      </c>
      <c r="F60" s="55">
        <f>IF($B$60="A",$E$32,IF($B$60="B",$E$33,$E$34))</f>
        <v>0</v>
      </c>
      <c r="G60" s="54">
        <f>SUMIFS(tblVerifyCounts[Abs variance value],tblVerifyCounts[Class],$B$60)</f>
        <v>85.5</v>
      </c>
    </row>
    <row r="61" spans="2:19">
      <c r="B61" s="56" t="s">
        <v>123</v>
      </c>
      <c r="C61" s="54">
        <f>COUNTIFS(tblVerifyCounts[Class],$B$61,tblVerifyCounts[Match],"Yes")+COUNTIFS(tblVerifyCounts[Class],$B$61,tblVerifyCounts[Match],"No")</f>
        <v>2</v>
      </c>
      <c r="D61" s="54">
        <f>COUNTIFS(tblVerifyCounts[Class],$B$61,tblVerifyCounts[Match],"No")</f>
        <v>1</v>
      </c>
      <c r="E61" s="40">
        <f>IF(($C$61)=0,"",(COUNTIFS(tblVerifyCounts[Class],$B$61,tblVerifyCounts[Match],"Yes"))/($C$61))</f>
        <v>0.5</v>
      </c>
      <c r="F61" s="55">
        <f>IF($B$61="A",$E$32,IF($B$61="B",$E$33,$E$34))</f>
        <v>0.02</v>
      </c>
      <c r="G61" s="54">
        <f>SUMIFS(tblVerifyCounts[Abs variance value],tblVerifyCounts[Class],$B$61)</f>
        <v>692</v>
      </c>
    </row>
    <row r="62" spans="2:19">
      <c r="B62" s="56" t="s">
        <v>118</v>
      </c>
      <c r="C62" s="54">
        <f>COUNTIFS(tblVerifyCounts[Class],$B$62,tblVerifyCounts[Match],"Yes")+COUNTIFS(tblVerifyCounts[Class],$B$62,tblVerifyCounts[Match],"No")</f>
        <v>2</v>
      </c>
      <c r="D62" s="54">
        <f>COUNTIFS(tblVerifyCounts[Class],$B$62,tblVerifyCounts[Match],"No")</f>
        <v>2</v>
      </c>
      <c r="E62" s="40">
        <f>IF(($C$62)=0,"",(COUNTIFS(tblVerifyCounts[Class],$B$62,tblVerifyCounts[Match],"Yes"))/($C$62))</f>
        <v>0</v>
      </c>
      <c r="F62" s="55">
        <f>IF($B$62="A",$E$32,IF($B$62="B",$E$33,$E$34))</f>
        <v>0.05</v>
      </c>
      <c r="G62" s="54">
        <f>SUMIFS(tblVerifyCounts[Abs variance value],tblVerifyCounts[Class],$B$62)</f>
        <v>271</v>
      </c>
    </row>
    <row r="63" spans="2:19">
      <c r="B63" s="57" t="s">
        <v>234</v>
      </c>
      <c r="C63" s="58">
        <f>SUM($C$60:$C$62)</f>
        <v>6</v>
      </c>
      <c r="D63" s="58">
        <f>SUM($D$60:$D$62)</f>
        <v>4</v>
      </c>
      <c r="G63" s="58">
        <f>SUM($G$60:$G$62)</f>
        <v>1048.5</v>
      </c>
    </row>
    <row r="65" spans="2:12">
      <c r="B65" s="30" t="s">
        <v>347</v>
      </c>
      <c r="C65" s="30"/>
      <c r="D65" s="30"/>
      <c r="E65" s="30"/>
      <c r="F65" s="30"/>
      <c r="G65" s="30"/>
      <c r="H65" s="30"/>
      <c r="I65" s="30"/>
      <c r="J65" s="30"/>
      <c r="K65" s="30"/>
      <c r="L65" s="30"/>
    </row>
    <row r="66" spans="2:12" ht="32" customHeight="1">
      <c r="B66" s="52" t="s">
        <v>224</v>
      </c>
      <c r="C66" s="31" t="s">
        <v>225</v>
      </c>
      <c r="D66" s="31" t="s">
        <v>226</v>
      </c>
      <c r="E66" s="31" t="s">
        <v>227</v>
      </c>
      <c r="F66" s="31" t="s">
        <v>228</v>
      </c>
      <c r="G66" s="31" t="s">
        <v>229</v>
      </c>
      <c r="H66" s="31" t="s">
        <v>230</v>
      </c>
    </row>
    <row r="67" spans="2:12" ht="14" customHeight="1">
      <c r="B67" s="34"/>
      <c r="C67" s="34"/>
      <c r="D67" s="34"/>
      <c r="E67" s="34"/>
      <c r="F67" s="34"/>
      <c r="G67" s="34" t="str">
        <f>Currency</f>
        <v>GBP</v>
      </c>
      <c r="H67" s="34" t="str">
        <f>Currency</f>
        <v>GBP</v>
      </c>
    </row>
    <row r="68" spans="2:12">
      <c r="B68" s="53">
        <f>IF($B$69="","",IF($B$69-1&lt;MIN(tblVerifyCounts[Date]),"",$B$69-7))</f>
        <v/>
      </c>
      <c r="C68" s="54">
        <f>IF($B$68="","",COUNTIFS(tblVerifyCounts[Date],"&gt;="&amp;$B$68,tblVerifyCounts[Date],"&lt;"&amp;$B$68+7,tblVerifyCounts[Match],"Yes")+COUNTIFS(tblVerifyCounts[Date],"&gt;="&amp;$B$68,tblVerifyCounts[Date],"&lt;"&amp;$B$68+7,tblVerifyCounts[Match],"No"))</f>
        <v/>
      </c>
      <c r="D68" s="54">
        <f>IF($B$68="","",COUNTIFS(tblVerifyCounts[Date],"&gt;="&amp;$B$68,tblVerifyCounts[Date],"&lt;"&amp;$B$68+7,tblVerifyCounts[Match],"No"))</f>
        <v/>
      </c>
      <c r="E68" s="40">
        <f>IF($B$68="","",IF(($C$68)=0,"",(COUNTIFS(tblVerifyCounts[Date],"&gt;="&amp;$B$68,tblVerifyCounts[Date],"&lt;"&amp;$B$68+7,tblVerifyCounts[Match],"Yes"))/($C$68)))</f>
        <v/>
      </c>
      <c r="F68" s="55">
        <f>$E$35</f>
        <v>0.95</v>
      </c>
      <c r="G68" s="54">
        <f>IF($B$68="","",SUMIFS(tblVerifyCounts[Variance value],tblVerifyCounts[Date],"&gt;="&amp;$B$68,tblVerifyCounts[Date],"&lt;"&amp;$B$68+7))</f>
        <v/>
      </c>
      <c r="H68" s="54">
        <f>IF($B$68="","",SUMIFS(tblVerifyCounts[Abs variance value],tblVerifyCounts[Date],"&gt;="&amp;$B$68,tblVerifyCounts[Date],"&lt;"&amp;$B$68+7))</f>
        <v/>
      </c>
    </row>
    <row r="69" spans="2:12">
      <c r="B69" s="53">
        <f>IF($B$70="","",IF($B$70-1&lt;MIN(tblVerifyCounts[Date]),"",$B$70-7))</f>
        <v/>
      </c>
      <c r="C69" s="54">
        <f>IF($B$69="","",COUNTIFS(tblVerifyCounts[Date],"&gt;="&amp;$B$69,tblVerifyCounts[Date],"&lt;"&amp;$B$69+7,tblVerifyCounts[Match],"Yes")+COUNTIFS(tblVerifyCounts[Date],"&gt;="&amp;$B$69,tblVerifyCounts[Date],"&lt;"&amp;$B$69+7,tblVerifyCounts[Match],"No"))</f>
        <v/>
      </c>
      <c r="D69" s="54">
        <f>IF($B$69="","",COUNTIFS(tblVerifyCounts[Date],"&gt;="&amp;$B$69,tblVerifyCounts[Date],"&lt;"&amp;$B$69+7,tblVerifyCounts[Match],"No"))</f>
        <v/>
      </c>
      <c r="E69" s="40">
        <f>IF($B$69="","",IF(($C$69)=0,"",(COUNTIFS(tblVerifyCounts[Date],"&gt;="&amp;$B$69,tblVerifyCounts[Date],"&lt;"&amp;$B$69+7,tblVerifyCounts[Match],"Yes"))/($C$69)))</f>
        <v/>
      </c>
      <c r="F69" s="55">
        <f>$E$35</f>
        <v>0.95</v>
      </c>
      <c r="G69" s="54">
        <f>IF($B$69="","",SUMIFS(tblVerifyCounts[Variance value],tblVerifyCounts[Date],"&gt;="&amp;$B$69,tblVerifyCounts[Date],"&lt;"&amp;$B$69+7))</f>
        <v/>
      </c>
      <c r="H69" s="54">
        <f>IF($B$69="","",SUMIFS(tblVerifyCounts[Abs variance value],tblVerifyCounts[Date],"&gt;="&amp;$B$69,tblVerifyCounts[Date],"&lt;"&amp;$B$69+7))</f>
        <v/>
      </c>
    </row>
    <row r="70" spans="2:12">
      <c r="B70" s="53">
        <f>IF($B$71="","",IF($B$71-1&lt;MIN(tblVerifyCounts[Date]),"",$B$71-7))</f>
        <v/>
      </c>
      <c r="C70" s="54">
        <f>IF($B$70="","",COUNTIFS(tblVerifyCounts[Date],"&gt;="&amp;$B$70,tblVerifyCounts[Date],"&lt;"&amp;$B$70+7,tblVerifyCounts[Match],"Yes")+COUNTIFS(tblVerifyCounts[Date],"&gt;="&amp;$B$70,tblVerifyCounts[Date],"&lt;"&amp;$B$70+7,tblVerifyCounts[Match],"No"))</f>
        <v/>
      </c>
      <c r="D70" s="54">
        <f>IF($B$70="","",COUNTIFS(tblVerifyCounts[Date],"&gt;="&amp;$B$70,tblVerifyCounts[Date],"&lt;"&amp;$B$70+7,tblVerifyCounts[Match],"No"))</f>
        <v/>
      </c>
      <c r="E70" s="40">
        <f>IF($B$70="","",IF(($C$70)=0,"",(COUNTIFS(tblVerifyCounts[Date],"&gt;="&amp;$B$70,tblVerifyCounts[Date],"&lt;"&amp;$B$70+7,tblVerifyCounts[Match],"Yes"))/($C$70)))</f>
        <v/>
      </c>
      <c r="F70" s="55">
        <f>$E$35</f>
        <v>0.95</v>
      </c>
      <c r="G70" s="54">
        <f>IF($B$70="","",SUMIFS(tblVerifyCounts[Variance value],tblVerifyCounts[Date],"&gt;="&amp;$B$70,tblVerifyCounts[Date],"&lt;"&amp;$B$70+7))</f>
        <v/>
      </c>
      <c r="H70" s="54">
        <f>IF($B$70="","",SUMIFS(tblVerifyCounts[Abs variance value],tblVerifyCounts[Date],"&gt;="&amp;$B$70,tblVerifyCounts[Date],"&lt;"&amp;$B$70+7))</f>
        <v/>
      </c>
    </row>
    <row r="71" spans="2:12">
      <c r="B71" s="53">
        <f>IF($B$72="","",IF($B$72-1&lt;MIN(tblVerifyCounts[Date]),"",$B$72-7))</f>
        <v/>
      </c>
      <c r="C71" s="54">
        <f>IF($B$71="","",COUNTIFS(tblVerifyCounts[Date],"&gt;="&amp;$B$71,tblVerifyCounts[Date],"&lt;"&amp;$B$71+7,tblVerifyCounts[Match],"Yes")+COUNTIFS(tblVerifyCounts[Date],"&gt;="&amp;$B$71,tblVerifyCounts[Date],"&lt;"&amp;$B$71+7,tblVerifyCounts[Match],"No"))</f>
        <v/>
      </c>
      <c r="D71" s="54">
        <f>IF($B$71="","",COUNTIFS(tblVerifyCounts[Date],"&gt;="&amp;$B$71,tblVerifyCounts[Date],"&lt;"&amp;$B$71+7,tblVerifyCounts[Match],"No"))</f>
        <v/>
      </c>
      <c r="E71" s="40">
        <f>IF($B$71="","",IF(($C$71)=0,"",(COUNTIFS(tblVerifyCounts[Date],"&gt;="&amp;$B$71,tblVerifyCounts[Date],"&lt;"&amp;$B$71+7,tblVerifyCounts[Match],"Yes"))/($C$71)))</f>
        <v/>
      </c>
      <c r="F71" s="55">
        <f>$E$35</f>
        <v>0.95</v>
      </c>
      <c r="G71" s="54">
        <f>IF($B$71="","",SUMIFS(tblVerifyCounts[Variance value],tblVerifyCounts[Date],"&gt;="&amp;$B$71,tblVerifyCounts[Date],"&lt;"&amp;$B$71+7))</f>
        <v/>
      </c>
      <c r="H71" s="54">
        <f>IF($B$71="","",SUMIFS(tblVerifyCounts[Abs variance value],tblVerifyCounts[Date],"&gt;="&amp;$B$71,tblVerifyCounts[Date],"&lt;"&amp;$B$71+7))</f>
        <v/>
      </c>
    </row>
    <row r="72" spans="2:12">
      <c r="B72" s="53">
        <f>IF($B$73="","",IF($B$73-1&lt;MIN(tblVerifyCounts[Date]),"",$B$73-7))</f>
        <v>46027</v>
      </c>
      <c r="C72" s="54">
        <f>IF($B$72="","",COUNTIFS(tblVerifyCounts[Date],"&gt;="&amp;$B$72,tblVerifyCounts[Date],"&lt;"&amp;$B$72+7,tblVerifyCounts[Match],"Yes")+COUNTIFS(tblVerifyCounts[Date],"&gt;="&amp;$B$72,tblVerifyCounts[Date],"&lt;"&amp;$B$72+7,tblVerifyCounts[Match],"No"))</f>
        <v>4</v>
      </c>
      <c r="D72" s="54">
        <f>IF($B$72="","",COUNTIFS(tblVerifyCounts[Date],"&gt;="&amp;$B$72,tblVerifyCounts[Date],"&lt;"&amp;$B$72+7,tblVerifyCounts[Match],"No"))</f>
        <v>2</v>
      </c>
      <c r="E72" s="40">
        <f>IF($B$72="","",IF(($C$72)=0,"",(COUNTIFS(tblVerifyCounts[Date],"&gt;="&amp;$B$72,tblVerifyCounts[Date],"&lt;"&amp;$B$72+7,tblVerifyCounts[Match],"Yes"))/($C$72)))</f>
        <v>0.5</v>
      </c>
      <c r="F72" s="55">
        <f>$E$35</f>
        <v>0.95</v>
      </c>
      <c r="G72" s="54">
        <f>IF($B$72="","",SUMIFS(tblVerifyCounts[Variance value],tblVerifyCounts[Date],"&gt;="&amp;$B$72,tblVerifyCounts[Date],"&lt;"&amp;$B$72+7))</f>
        <v>-126.5</v>
      </c>
      <c r="H72" s="54">
        <f>IF($B$72="","",SUMIFS(tblVerifyCounts[Abs variance value],tblVerifyCounts[Date],"&gt;="&amp;$B$72,tblVerifyCounts[Date],"&lt;"&amp;$B$72+7))</f>
        <v>168.5</v>
      </c>
    </row>
    <row r="73" spans="2:12">
      <c r="B73" s="53">
        <f>IF(COUNT(tblVerifyCounts[Date])=0,"",MAX(tblVerifyCounts[Date])-WEEKDAY(MAX(tblVerifyCounts[Date]),2)+1)</f>
        <v>46034</v>
      </c>
      <c r="C73" s="54">
        <f>IF($B$73="","",COUNTIFS(tblVerifyCounts[Date],"&gt;="&amp;$B$73,tblVerifyCounts[Date],"&lt;"&amp;$B$73+7,tblVerifyCounts[Match],"Yes")+COUNTIFS(tblVerifyCounts[Date],"&gt;="&amp;$B$73,tblVerifyCounts[Date],"&lt;"&amp;$B$73+7,tblVerifyCounts[Match],"No"))</f>
        <v>2</v>
      </c>
      <c r="D73" s="54">
        <f>IF($B$73="","",COUNTIFS(tblVerifyCounts[Date],"&gt;="&amp;$B$73,tblVerifyCounts[Date],"&lt;"&amp;$B$73+7,tblVerifyCounts[Match],"No"))</f>
        <v>2</v>
      </c>
      <c r="E73" s="40">
        <f>IF($B$73="","",IF(($C$73)=0,"",(COUNTIFS(tblVerifyCounts[Date],"&gt;="&amp;$B$73,tblVerifyCounts[Date],"&lt;"&amp;$B$73+7,tblVerifyCounts[Match],"Yes"))/($C$73)))</f>
        <v>0</v>
      </c>
      <c r="F73" s="55">
        <f>$E$35</f>
        <v>0.95</v>
      </c>
      <c r="G73" s="54">
        <f>IF($B$73="","",SUMIFS(tblVerifyCounts[Variance value],tblVerifyCounts[Date],"&gt;="&amp;$B$73,tblVerifyCounts[Date],"&lt;"&amp;$B$73+7))</f>
        <v>380</v>
      </c>
      <c r="H73" s="54">
        <f>IF($B$73="","",SUMIFS(tblVerifyCounts[Abs variance value],tblVerifyCounts[Date],"&gt;="&amp;$B$73,tblVerifyCounts[Date],"&lt;"&amp;$B$73+7))</f>
        <v>880</v>
      </c>
    </row>
  </sheetData>
  <sheetProtection sheet="1" formatColumns="0" formatRows="0"/>
  <mergeCells count="36">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B28:L28"/>
    <mergeCell ref="B30:L30"/>
    <mergeCell ref="B31:F31"/>
    <mergeCell ref="B32:D32"/>
    <mergeCell ref="B33:D33"/>
    <mergeCell ref="B34:D34"/>
    <mergeCell ref="B35:D35"/>
    <mergeCell ref="B37:L37"/>
    <mergeCell ref="B42:L42"/>
    <mergeCell ref="B47:L47"/>
    <mergeCell ref="B57:L57"/>
    <mergeCell ref="B65:L6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60:E62">
    <cfRule type="expression" dxfId="3" priority="43" stopIfTrue="1">
      <formula>AND(ISNUMBER(E60),E60&gt;=($E$35))</formula>
    </cfRule>
    <cfRule type="expression" dxfId="4" priority="44" stopIfTrue="1">
      <formula>AND(ISNUMBER(E60),E60&gt;=($E$35)*(1-0.05))</formula>
    </cfRule>
    <cfRule type="expression" dxfId="5" priority="45">
      <formula>ISNUMBER(E60)</formula>
    </cfRule>
  </conditionalFormatting>
  <conditionalFormatting sqref="E68:E73">
    <cfRule type="expression" dxfId="3" priority="46" stopIfTrue="1">
      <formula>AND(ISNUMBER(E68),E68&gt;=($E$35))</formula>
    </cfRule>
    <cfRule type="expression" dxfId="4" priority="47" stopIfTrue="1">
      <formula>AND(ISNUMBER(E68),E68&gt;=($E$35)*(1-0.05))</formula>
    </cfRule>
    <cfRule type="expression" dxfId="5" priority="48">
      <formula>ISNUMBER(E68)</formula>
    </cfRule>
  </conditionalFormatting>
  <conditionalFormatting sqref="K11:K2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50:R55">
    <cfRule type="expression" dxfId="3" priority="41">
      <formula>$R50="OK"</formula>
    </cfRule>
    <cfRule type="expression" dxfId="1" priority="42">
      <formula>AND($R50&lt;&gt;"",$R50&lt;&gt;"OK")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Cycle Count Tracker&amp;R&amp;8&amp;A</oddHeader>
    <oddFooter>&amp;L&amp;8mfgcalcs.com - free manufacturing templates&amp;R&amp;8Page &amp;P of &amp;N</oddFooter>
  </headerFooter>
  <rowBreaks count="1" manualBreakCount="1">
    <brk id="46"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20</vt:i4>
      </vt:variant>
    </vt:vector>
  </HeadingPairs>
  <TitlesOfParts>
    <vt:vector size="26" baseType="lpstr">
      <vt:lpstr>Start Here</vt:lpstr>
      <vt:lpstr>Setup</vt:lpstr>
      <vt:lpstr>Count Log</vt:lpstr>
      <vt:lpstr>Dashboard</vt:lpstr>
      <vt:lpstr>Method</vt:lpstr>
      <vt:lpstr>Verify</vt:lpstr>
      <vt:lpstr>CompanyName</vt:lpstr>
      <vt:lpstr>Currency</vt:lpstr>
      <vt:lpstr>KpiAcc</vt:lpstr>
      <vt:lpstr>KpiGross</vt:lpstr>
      <vt:lpstr>KpiN</vt:lpstr>
      <vt:lpstr>KpiTop</vt:lpstr>
      <vt:lpstr>'Count Log'!Print_Area</vt:lpstr>
      <vt:lpstr>Dashboard!Print_Area</vt:lpstr>
      <vt:lpstr>Method!Print_Area</vt:lpstr>
      <vt:lpstr>Setup!Print_Area</vt:lpstr>
      <vt:lpstr>'Start Here'!Print_Area</vt:lpstr>
      <vt:lpstr>Verify!Print_Area</vt:lpstr>
      <vt:lpstr>'Count Log'!Print_Titles</vt:lpstr>
      <vt:lpstr>Method!Print_Titles</vt:lpstr>
      <vt:lpstr>SelfCheck</vt:lpstr>
      <vt:lpstr>SelfCheckSummary</vt:lpstr>
      <vt:lpstr>TargetAccuracy</vt:lpstr>
      <vt:lpstr>TolA</vt:lpstr>
      <vt:lpstr>TolB</vt:lpstr>
      <vt:lpstr>TolC</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Cycle Count Tracker - free Excel template from MFG Calcs</dc:title>
  <dc:subject>Log every cycle count against the system quantity and see location accuracy, adjustment value and why records go wrong, week by week.</dc:subject>
  <dc:creator>MFG Calcs</dc:creator>
  <cp:keywords>cycle count, inventory accuracy, location accuracy, inventory record accuracy, count variance, stock adjustment, ABC cycle counting</cp:keywords>
  <dc:description>https://www.mfgcalcs.com/templates/cycle-count-tracker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cycle-count-tracker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https://www.mfgcalcs.com/templates/cycle-count-tracker</vt:lpwstr>
  </property>
  <property fmtid="{D5CDD505-2E9C-101B-9397-08002B2CF9AE}" pid="7" name="Template sheet roles">
    <vt:lpwstr>Start Here=start;Setup=setup;Count Log=work;Dashboard=dashboard;Method=method;Verify=verify</vt:lpwstr>
  </property>
</Properties>
</file>