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sharedStrings.xml" ContentType="application/vnd.openxmlformats-officedocument.spreadsheetml.sharedString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tart Here" sheetId="1" r:id="rId1"/>
    <sheet name="Setup" sheetId="2" r:id="rId2"/>
    <sheet name="Observation Log" sheetId="3" r:id="rId3"/>
    <sheet name="Dashboard" sheetId="4" r:id="rId4"/>
    <sheet name="Method" sheetId="5" r:id="rId5"/>
    <sheet name="Verify" sheetId="6" r:id="rId6"/>
  </sheets>
  <definedNames>
    <definedName name="BreakMin">Setup!$C$11</definedName>
    <definedName name="ChartStation">IF(DashStation="",KpiBottleneck,DashStation)</definedName>
    <definedName name="DashFrom">Dashboard!$G$4</definedName>
    <definedName name="DashStation">Dashboard!$C$4</definedName>
    <definedName name="DashTo">Dashboard!$K$4</definedName>
    <definedName name="Demand">Setup!$C$13</definedName>
    <definedName name="FFrom">IF(DashFrom="",0,DashFrom)</definedName>
    <definedName name="FTo">IF(DashTo="",2958465,DashTo)</definedName>
    <definedName name="KpiBnCycle">Dashboard!$G$8</definedName>
    <definedName name="KpiBnOver">Dashboard!$D$32</definedName>
    <definedName name="KpiBottleneck">Dashboard!$D$8</definedName>
    <definedName name="KpiCapacity">Dashboard!$J$8</definedName>
    <definedName name="KpiCycles">Dashboard!$B$32</definedName>
    <definedName name="KpiOvertime">Dashboard!$J$32</definedName>
    <definedName name="KpiSurplus">Dashboard!$G$32</definedName>
    <definedName name="KpiTakt">Dashboard!$B$8</definedName>
    <definedName name="LineName">Setup!$C$6</definedName>
    <definedName name="NearAt">Setup!$C$21</definedName>
    <definedName name="NetMin">Setup!$C$14</definedName>
    <definedName name="OverAt">Setup!$C$22</definedName>
    <definedName name="PlannedDown">Setup!$C$12</definedName>
    <definedName name="_xlnm.Print_Area" localSheetId="3">Dashboard!$A$1:$L$71</definedName>
    <definedName name="_xlnm.Print_Area" localSheetId="4">Method!$A$1:$D$63</definedName>
    <definedName name="_xlnm.Print_Area" localSheetId="2">'Observation Log'!$A$1:$N$125</definedName>
    <definedName name="_xlnm.Print_Area" localSheetId="1">Setup!$A$1:$E$34</definedName>
    <definedName name="_xlnm.Print_Area" localSheetId="0">'Start Here'!$A$1:$F$56</definedName>
    <definedName name="_xlnm.Print_Area" localSheetId="5">Verify!$A$1:$N$119</definedName>
    <definedName name="_xlnm.Print_Titles" localSheetId="4">Method!$1:$2</definedName>
    <definedName name="_xlnm.Print_Titles" localSheetId="2">'Observation Log'!$1:$5</definedName>
    <definedName name="SelfCheck">Verify!$D$4</definedName>
    <definedName name="SelfCheckSummary">Verify!$F$4</definedName>
    <definedName name="ShiftMin">Setup!$C$10</definedName>
    <definedName name="Stations">tblStations[Station]</definedName>
    <definedName name="Takt">Setup!$C$15</definedName>
  </definedNames>
  <calcPr calcId="124519" fullCalcOnLoad="1"/>
</workbook>
</file>

<file path=xl/sharedStrings.xml><?xml version="1.0" encoding="utf-8"?>
<sst xmlns="http://schemas.openxmlformats.org/spreadsheetml/2006/main" count="970" uniqueCount="295">
  <si>
    <t>Cycle Time Tracker</t>
  </si>
  <si>
    <t>Read this first: what the workbook does and how to use it.</t>
  </si>
  <si>
    <t>mfgcalcs.com</t>
  </si>
  <si>
    <t>Log timed cycles station by station and see each station's average, spread and loading against takt, the bottleneck, and the output it allows per shift.</t>
  </si>
  <si>
    <t>For: Industrial and manufacturing engineers, line supervisors and continuous-improvement leads running time studies on assembly and machining lines.</t>
  </si>
  <si>
    <t>Version 1.0.0  ·  updated 15 October 2026</t>
  </si>
  <si>
    <t>Quick start</t>
  </si>
  <si>
    <t>1.</t>
  </si>
  <si>
    <t>On Setup, type the shift length, breaks, planned downtime and demand per shift (takt time calculates), then replace the example stations and their standard cycles.</t>
  </si>
  <si>
    <t>2.</t>
  </si>
  <si>
    <t>On Observation Log, add one row per timed cycle: date, station, operator and the cycle in seconds.</t>
  </si>
  <si>
    <t>3.</t>
  </si>
  <si>
    <t>Mark an abnormal cycle (dropped part, waiting, tool fault) Exclude = Yes and say why in Notes; it stays on the log but is not counted.</t>
  </si>
  <si>
    <t>4.</t>
  </si>
  <si>
    <t>Read the Check column: anything other than OK names the problem in words.</t>
  </si>
  <si>
    <t>5.</t>
  </si>
  <si>
    <t>Open the Dashboard: the bottleneck, each station against takt, and a run chart. Use the date filters to compare one study with another.</t>
  </si>
  <si>
    <t>What is in this workbook</t>
  </si>
  <si>
    <t>Start Here</t>
  </si>
  <si>
    <t>Setup</t>
  </si>
  <si>
    <t>Takt time from your shift and demand, the loading thresholds and the station list.</t>
  </si>
  <si>
    <t>Observation Log</t>
  </si>
  <si>
    <t>One row per timed cycle: date, station, operator and seconds. Abnormal cycles stay on the log, marked Exclude.</t>
  </si>
  <si>
    <t>Dashboard</t>
  </si>
  <si>
    <t>The bottleneck, every station against takt, and a run chart of one station, for the dates you choose.</t>
  </si>
  <si>
    <t>Method</t>
  </si>
  <si>
    <t>How every number is calculated, with assumptions, limits and sources.</t>
  </si>
  <si>
    <t>Verify</t>
  </si>
  <si>
    <t>Self-check: the workbook's formulas recomputed on fixed inputs against an independent reference.</t>
  </si>
  <si>
    <t>Colour key</t>
  </si>
  <si>
    <t>Input</t>
  </si>
  <si>
    <t>Yellow cells are yours: type a value or pick from the list. Each one says what it accepts when you click it.</t>
  </si>
  <si>
    <t>Calculated</t>
  </si>
  <si>
    <t>Blue cells are formulas. They update as you type; overwrite one and that row stops calculating.</t>
  </si>
  <si>
    <t>Note</t>
  </si>
  <si>
    <t>Grey boxes are guidance and labelled example data.</t>
  </si>
  <si>
    <t>Status words</t>
  </si>
  <si>
    <t>On target / PASS / OK</t>
  </si>
  <si>
    <t>Near target / Check</t>
  </si>
  <si>
    <t>Below target / FAIL</t>
  </si>
  <si>
    <t>Status is always written in words; the colour only repeats it, so the workbook reads the same in black-and-white print and for colour-blind readers.</t>
  </si>
  <si>
    <t>Self-check and links</t>
  </si>
  <si>
    <t>Self-check</t>
  </si>
  <si>
    <t>The Verify sheet recomputes this workbook's formulas on fixed test inputs and compares them with an independent reference calculation. PASS means every check agreed when you opened the file.</t>
  </si>
  <si>
    <t>Run it live</t>
  </si>
  <si>
    <t>Cycle Time Calculator on mfgcalcs.com</t>
  </si>
  <si>
    <t>Latest version</t>
  </si>
  <si>
    <t>mfgcalcs.com/templates/cycle-time-tracker</t>
  </si>
  <si>
    <t>More free templates</t>
  </si>
  <si>
    <t>mfgcalcs.com/templates</t>
  </si>
  <si>
    <t>Version</t>
  </si>
  <si>
    <t>1.0.0 (updated 15 October 2026)</t>
  </si>
  <si>
    <t>About the example data</t>
  </si>
  <si>
    <t>Every number already in this workbook is example data for Kestrel Controls, a fictional business invented for this template, so the dashboard and charts show something meaningful on day one. It times six stations of a pneumatic valve assembly line on three study days (8, 10 and 15 September 2026), 20 cycles per station, generated from a fixed seed; a new torque tool was fitted at S4 before the third study. To clear it: on each working sheet, select the example rows of the table, right-click and choose Delete &gt; Table Rows. The formulas stay, and every new row you type below the table picks them up.</t>
  </si>
  <si>
    <t>Good to know</t>
  </si>
  <si>
    <t>•</t>
  </si>
  <si>
    <t>Sheets Start Here, Dashboard, Method, Verify are protected without a password so formulas and layout are not overwritten by accident. To change them: Review &gt; Unprotect Sheet.</t>
  </si>
  <si>
    <t>Setup and the working sheets are not protected, so tables grow as you add rows.</t>
  </si>
  <si>
    <t>Works in Excel 2016 and later, Microsoft 365, LibreOffice 24 and Google Sheets (File &gt; Import). No macros, no external links, no add-ins.</t>
  </si>
  <si>
    <t>Money is shown in the currency you type on Setup; no exchange rates are applied.</t>
  </si>
  <si>
    <t>Free from MFG Calcs - keep this credit when you share it.</t>
  </si>
  <si>
    <t>Engineering estimates for planning and improvement work. Verify the results against your own process, data and standards before you rely on them.</t>
  </si>
  <si>
    <t>Station</t>
  </si>
  <si>
    <t>Standard cycle (s)</t>
  </si>
  <si>
    <t>Work content</t>
  </si>
  <si>
    <t>Line</t>
  </si>
  <si>
    <t>Line or cell name</t>
  </si>
  <si>
    <t>Kestrel Controls - valve line 2 (example)</t>
  </si>
  <si>
    <t>Takt time</t>
  </si>
  <si>
    <t>Shift length</t>
  </si>
  <si>
    <t>min</t>
  </si>
  <si>
    <t>Breaks and meetings</t>
  </si>
  <si>
    <t>min per shift</t>
  </si>
  <si>
    <t>Planned downtime</t>
  </si>
  <si>
    <t>Customer demand</t>
  </si>
  <si>
    <t>units per shift</t>
  </si>
  <si>
    <t>Net available time</t>
  </si>
  <si>
    <t>s per unit</t>
  </si>
  <si>
    <t>Takt time = net available time x 60 / demand: the pace the line must hold to make the demand in the time it has. With the example's 420 net minutes and 450 units it is 56.0 s per unit.</t>
  </si>
  <si>
    <t>Loading thresholds</t>
  </si>
  <si>
    <t>Near capacity from</t>
  </si>
  <si>
    <t>of takt</t>
  </si>
  <si>
    <t>Over capacity above</t>
  </si>
  <si>
    <t>Stations (in line order)</t>
  </si>
  <si>
    <t>The standard cycle is your engineered or agreed time for one unit at the station; the log compares every timed cycle with it. Keep station names unique and short (they label the charts).</t>
  </si>
  <si>
    <t>Stations (example)</t>
  </si>
  <si>
    <t>S1 Body load</t>
  </si>
  <si>
    <t>Load valve body, fit three O-rings</t>
  </si>
  <si>
    <t>S2 Spool fit</t>
  </si>
  <si>
    <t>Grease and insert spool, check travel</t>
  </si>
  <si>
    <t>S3 Spring/cap</t>
  </si>
  <si>
    <t>Fit spring and end cap, press home</t>
  </si>
  <si>
    <t>S4 Solenoid</t>
  </si>
  <si>
    <t>Fit solenoid, run down and torque four screws</t>
  </si>
  <si>
    <t>S5 Leak test</t>
  </si>
  <si>
    <t>Automatic air leak test (machine-paced)</t>
  </si>
  <si>
    <t>S6 Pack</t>
  </si>
  <si>
    <t>Label, bag and pack</t>
  </si>
  <si>
    <t>Date</t>
  </si>
  <si>
    <t>Operator</t>
  </si>
  <si>
    <t>Cycle (s)</t>
  </si>
  <si>
    <t>Exclude</t>
  </si>
  <si>
    <t>Standard (s)</t>
  </si>
  <si>
    <t>Vs standard (s)</t>
  </si>
  <si>
    <t>Loading (% of takt)</t>
  </si>
  <si>
    <t>Pace vs takt</t>
  </si>
  <si>
    <t>View date</t>
  </si>
  <si>
    <t>Chart no.</t>
  </si>
  <si>
    <t>Check</t>
  </si>
  <si>
    <t>Notes</t>
  </si>
  <si>
    <t>Example data for Kestrel Controls (fictional). Replace it with your own: select the example rows, right-click, Delete &gt; Table Rows. Yellow = you type; blue = calculated; Check names any problem. Three abnormal cycles are kept and marked Exclude = Yes, with the reason in Notes.</t>
  </si>
  <si>
    <t>JM</t>
  </si>
  <si>
    <t>No</t>
  </si>
  <si>
    <t/>
  </si>
  <si>
    <t>Yes</t>
  </si>
  <si>
    <t>Dropped an O-ring and re-picked: excluded</t>
  </si>
  <si>
    <t>AT</t>
  </si>
  <si>
    <t>DW</t>
  </si>
  <si>
    <t>MO</t>
  </si>
  <si>
    <t>Torque tool faulted, reset: excluded</t>
  </si>
  <si>
    <t>CB</t>
  </si>
  <si>
    <t>LF</t>
  </si>
  <si>
    <t>RK</t>
  </si>
  <si>
    <t>SN</t>
  </si>
  <si>
    <t>Waited for end caps from stores: excluded</t>
  </si>
  <si>
    <t>HV</t>
  </si>
  <si>
    <t>PL</t>
  </si>
  <si>
    <t>First study with the new torque tool</t>
  </si>
  <si>
    <t>Run chart station</t>
  </si>
  <si>
    <t>From</t>
  </si>
  <si>
    <t>To</t>
  </si>
  <si>
    <t>TAKT TIME  (s)</t>
  </si>
  <si>
    <t>BOTTLENECK STATION</t>
  </si>
  <si>
    <t>BOTTLENECK AVERAGE CYCLE  (s)</t>
  </si>
  <si>
    <t>LINE CAPACITY PER SHIFT  (units)</t>
  </si>
  <si>
    <t>Net available time x 60 / demand</t>
  </si>
  <si>
    <t>Slowest average cycle in view</t>
  </si>
  <si>
    <t>CYCLES COUNTED</t>
  </si>
  <si>
    <t>BOTTLENECK CYCLES OVER TAKT</t>
  </si>
  <si>
    <t>SURPLUS OVER DEMAND  (units/shift)</t>
  </si>
  <si>
    <t>OVERTIME TO MEET DEMAND  (min/shift)</t>
  </si>
  <si>
    <t>Excluded cycles are not counted</t>
  </si>
  <si>
    <t>Share of its counted cycles</t>
  </si>
  <si>
    <t>Capacity minus demand; negative = short</t>
  </si>
  <si>
    <t>At the bottleneck's average pace</t>
  </si>
  <si>
    <t>By station (counted cycles in view)</t>
  </si>
  <si>
    <t>Cycles timed</t>
  </si>
  <si>
    <t>Average (s)</t>
  </si>
  <si>
    <t>Slowest (s)</t>
  </si>
  <si>
    <t>Std dev (s)</t>
  </si>
  <si>
    <t>Takt (s)</t>
  </si>
  <si>
    <t>Cycles over takt</t>
  </si>
  <si>
    <t>Capacity per shift</t>
  </si>
  <si>
    <t>Status</t>
  </si>
  <si>
    <t>cycles</t>
  </si>
  <si>
    <t>s</t>
  </si>
  <si>
    <t>%</t>
  </si>
  <si>
    <t>units</t>
  </si>
  <si>
    <t>Run chart data: the last 20 counted cycles of the chart station</t>
  </si>
  <si>
    <t>Cycle no.</t>
  </si>
  <si>
    <t>Station average (s)</t>
  </si>
  <si>
    <t>The Dashboard shows the 6 stations of the Setup list. If you add stations, extend the 'By station' block (see Method) or they will not appear here.</t>
  </si>
  <si>
    <t>What this workbook calculates</t>
  </si>
  <si>
    <t>A time study measures how long each station really takes per unit, by timing repeated cycles. This workbook keeps every timed cycle on one log, rolls the counted cycles up per station, and compares each station with takt time, the pace the line must hold to meet demand. The station with the slowest average is the bottleneck: it sets the line's capacity per shift. Abnormal cycles are kept on the log for the record but marked Exclude, so one dropped part does not move the average.</t>
  </si>
  <si>
    <t>Calculations</t>
  </si>
  <si>
    <t>Quantity</t>
  </si>
  <si>
    <t>How it is calculated</t>
  </si>
  <si>
    <t>Units</t>
  </si>
  <si>
    <t>Shift length - breaks and meetings - planned downtime (Setup).</t>
  </si>
  <si>
    <t>Net available time x 60 / customer demand per shift.</t>
  </si>
  <si>
    <t>Vs standard</t>
  </si>
  <si>
    <t>Cycle - the station's standard cycle from Setup (positive = slower than standard).</t>
  </si>
  <si>
    <t>Loading</t>
  </si>
  <si>
    <t>Cycle (or a station's average cycle) / takt time.</t>
  </si>
  <si>
    <t>% of takt</t>
  </si>
  <si>
    <t>Pace vs takt and Status</t>
  </si>
  <si>
    <t>Under capacity below the Near-capacity threshold, Near capacity from it up to the Over-capacity threshold, Over capacity above it (Setup). Excluded cycles read Excluded.</t>
  </si>
  <si>
    <t>-</t>
  </si>
  <si>
    <t>Counted cycle</t>
  </si>
  <si>
    <t>A cycle not marked Exclude and inside the Dashboard date filters; its View date is filled in. Every Dashboard figure uses counted cycles only.</t>
  </si>
  <si>
    <t>Cycles timed (n)</t>
  </si>
  <si>
    <t>COUNTIFS of counted cycles at the station.</t>
  </si>
  <si>
    <t>Average</t>
  </si>
  <si>
    <t>SUMIFS of counted cycles at the station / n.</t>
  </si>
  <si>
    <t>Slowest</t>
  </si>
  <si>
    <t>The largest counted cycle at the station: SUMPRODUCT(MAX((station = key) x counted x cycle)).</t>
  </si>
  <si>
    <t>Std dev</t>
  </si>
  <si>
    <t>Sample standard deviation of the counted cycles: SQRT((sum of squares - n x average^2) / (n - 1)); blank below two cycles.</t>
  </si>
  <si>
    <t>Counted cycles slower than takt / n.</t>
  </si>
  <si>
    <t>Net available time x 60 / the station's average cycle. For the line, the bottleneck's.</t>
  </si>
  <si>
    <t>Bottleneck</t>
  </si>
  <si>
    <t>The station with the highest average cycle in view.</t>
  </si>
  <si>
    <t>Surplus over demand</t>
  </si>
  <si>
    <t>Line capacity per shift - demand (negative = short).</t>
  </si>
  <si>
    <t>Overtime to meet demand</t>
  </si>
  <si>
    <t>MAX(0, demand x bottleneck average / 60 - net available time).</t>
  </si>
  <si>
    <t>Run chart</t>
  </si>
  <si>
    <t>Chart no. numbers the counted cycles of the chosen station in log order (COUNTIFS over the rows above); the chart shows the last 20 with the station average and takt.</t>
  </si>
  <si>
    <t>Assumptions</t>
  </si>
  <si>
    <t>One operator per station and one unit per cycle; for a station that makes two units per cycle, enter the time per unit.</t>
  </si>
  <si>
    <t>The log order is the order the cycles were timed; the run chart uses it.</t>
  </si>
  <si>
    <t>The station's average over counted cycles represents its pace; the line runs at the pace of its slowest station.</t>
  </si>
  <si>
    <t>Takt is for one product at one demand rate. For a product mix, use the weighted demand or study each product separately.</t>
  </si>
  <si>
    <t>Limitations</t>
  </si>
  <si>
    <t>Averages hide blocking and starving between stations: a station under takt on average can still hold the line up when its slow cycles bunch together. Watch 'Cycles over takt' and the run chart.</t>
  </si>
  <si>
    <t>Capacity per shift assumes the bottleneck runs at its average pace through the whole net available time, with no unplanned stops or scrap; use the Throughput Analysis template for what the line really made.</t>
  </si>
  <si>
    <t>Twenty or so cycles per station give a usable average for a stable manual task; a study does not replace a statistically designed work measurement when you set paid rates.</t>
  </si>
  <si>
    <t>The Dashboard has fixed blocks for the 6 stations in the example list (a warning appears when the list is longer); the run chart shows up to 20 cycles.</t>
  </si>
  <si>
    <t>Agreement with the live calculator</t>
  </si>
  <si>
    <t>The live Cycle Time calculator takes one shift (length, breaks, planned downtime, demand and good units made) and works out the achieved cycle time, takt, the surplus and the overtime needed. This workbook uses the same net available time and takt formulas, and its capacity, surplus and overtime are the calculator's for a shift in which the line makes exactly what its bottleneck's average cycle allows: capacity = net x 60 / cycle, overtime = MAX(0, demand x cycle / 60 - net). The build checks both against the calculator's engine: its own example (480 min shift, 30 min breaks, 20 min planned downtime, 1,200 demand: takt 21.5 s) and the Verify case (420 net minutes, 450 demand, a 60.0 s bottleneck: 420 units, 30 short, 30 min overtime).</t>
  </si>
  <si>
    <t>Open the Cycle Time Calculator</t>
  </si>
  <si>
    <t>The Verify sheet holds fixed test inputs. Its formulas are the same formula text as the working sheets, placed against those inputs, and each result is compared with a value computed independently by the template's Python reference implementation when the file was built. If you edit a formula on a working sheet, the Verify sheet still tests the original formula text, so it will not detect your change.</t>
  </si>
  <si>
    <t>Sources and standards</t>
  </si>
  <si>
    <t>Niebel and Freivalds, Methods, Standards, and Work Design (time study and work measurement).</t>
  </si>
  <si>
    <t>Rother and Harris, Creating Continuous Flow (Lean Enterprise Institute): takt time, cycle time and operator balance charts.</t>
  </si>
  <si>
    <t>MFG Calcs Cycle Time calculator (cycle-time): net available time, takt time, output against demand and overtime for one shift.</t>
  </si>
  <si>
    <t>Standards are cited by name so you can look them up; no copyrighted standard text or tables are reproduced. Statistical constants used are public.</t>
  </si>
  <si>
    <t>Version history</t>
  </si>
  <si>
    <t>Change</t>
  </si>
  <si>
    <t>1.0.0</t>
  </si>
  <si>
    <t>First release.</t>
  </si>
  <si>
    <t>15 October 2026</t>
  </si>
  <si>
    <t>Self-check status</t>
  </si>
  <si>
    <t>This sheet recomputes the workbook's own formulas on fixed test inputs and compares each result with a value computed independently by the template's Python reference implementation when the file was built. Every row should read PASS. The test inputs are fixed and do not change when you edit Setup or the working sheets.</t>
  </si>
  <si>
    <t>Checks</t>
  </si>
  <si>
    <t>No.</t>
  </si>
  <si>
    <t>Expected (reference)</t>
  </si>
  <si>
    <t>Workbook result</t>
  </si>
  <si>
    <t>Difference</t>
  </si>
  <si>
    <t>Tolerance</t>
  </si>
  <si>
    <t>Result</t>
  </si>
  <si>
    <t>Net available time (480 - 40 - 20)</t>
  </si>
  <si>
    <t>Takt time (420 min x 60 / 450 units)</t>
  </si>
  <si>
    <t>Row 2: vs standard (58.0 - 55.0)</t>
  </si>
  <si>
    <t>Row 2: loading (58.0 s / 56.0 s takt)</t>
  </si>
  <si>
    <t>Row 1: pace vs takt (50.0 s is 89% of takt)</t>
  </si>
  <si>
    <t>Under capacity</t>
  </si>
  <si>
    <t>exact</t>
  </si>
  <si>
    <t>Row 2: pace vs takt (58.0 s)</t>
  </si>
  <si>
    <t>Over capacity</t>
  </si>
  <si>
    <t>Row 8: an excluded cycle reads Excluded</t>
  </si>
  <si>
    <t>Excluded</t>
  </si>
  <si>
    <t>Row 11: Check flags a counted cycle over 2x standard</t>
  </si>
  <si>
    <t>Over 2x standard</t>
  </si>
  <si>
    <t>Row 12: Check flags an exclusion without a reason</t>
  </si>
  <si>
    <t>Exclude: no reason</t>
  </si>
  <si>
    <t>Row 1: Check reads OK</t>
  </si>
  <si>
    <t>OK</t>
  </si>
  <si>
    <t>Station A: cycles counted</t>
  </si>
  <si>
    <t>Station A: average</t>
  </si>
  <si>
    <t>Station A: slowest</t>
  </si>
  <si>
    <t>Station A: standard deviation</t>
  </si>
  <si>
    <t>Station A: share of cycles over takt</t>
  </si>
  <si>
    <t>Station A: status</t>
  </si>
  <si>
    <t>Near capacity</t>
  </si>
  <si>
    <t>Station B: cycles counted</t>
  </si>
  <si>
    <t>Station B: average</t>
  </si>
  <si>
    <t>Station B: slowest</t>
  </si>
  <si>
    <t>Station B: standard deviation</t>
  </si>
  <si>
    <t>Station B: share of cycles over takt</t>
  </si>
  <si>
    <t>Station B: status</t>
  </si>
  <si>
    <t>Station C: cycles counted</t>
  </si>
  <si>
    <t>Station C: average</t>
  </si>
  <si>
    <t>Station C: slowest</t>
  </si>
  <si>
    <t>Station C: standard deviation</t>
  </si>
  <si>
    <t>Station C: share of cycles over takt</t>
  </si>
  <si>
    <t>Station C: status</t>
  </si>
  <si>
    <t>Station B: loading</t>
  </si>
  <si>
    <t>Station B: capacity per shift</t>
  </si>
  <si>
    <t>Bottleneck station (Dashboard formula)</t>
  </si>
  <si>
    <t>B</t>
  </si>
  <si>
    <t>Bottleneck average cycle (Dashboard formula)</t>
  </si>
  <si>
    <t>Line capacity per shift (Dashboard formula)</t>
  </si>
  <si>
    <t>Surplus over demand (Dashboard formula)</t>
  </si>
  <si>
    <t>Overtime to meet demand (Dashboard formula)</t>
  </si>
  <si>
    <t>Run chart: last slot is station B's 4th counted cycle</t>
  </si>
  <si>
    <t>Run chart: first used slot is station B's 1st counted cycle</t>
  </si>
  <si>
    <t>Fixed test inputs</t>
  </si>
  <si>
    <t>White cells are fixed test inputs; blue cells are the workbook's formulas evaluated on them.</t>
  </si>
  <si>
    <t>Parameters</t>
  </si>
  <si>
    <t>Filter: from (0 = no limit)</t>
  </si>
  <si>
    <t>Filter: to (2958465 = no limit)</t>
  </si>
  <si>
    <t>Test takt inputs (480 min shift, 40 min breaks, 20 min planned downtime, 450 units)</t>
  </si>
  <si>
    <t>Test table: Stations</t>
  </si>
  <si>
    <t>A</t>
  </si>
  <si>
    <t>Test station A</t>
  </si>
  <si>
    <t>Test station B (bottleneck)</t>
  </si>
  <si>
    <t>C</t>
  </si>
  <si>
    <t>Test station C</t>
  </si>
  <si>
    <t>Test table: Obs</t>
  </si>
  <si>
    <t>T</t>
  </si>
  <si>
    <t>x</t>
  </si>
  <si>
    <t>Fault, excluded</t>
  </si>
  <si>
    <t>Test grid: by station</t>
  </si>
  <si>
    <t>Test grid: run chart data (station B)</t>
  </si>
</sst>
</file>

<file path=xl/styles.xml><?xml version="1.0" encoding="utf-8"?>
<styleSheet xmlns="http://schemas.openxmlformats.org/spreadsheetml/2006/main">
  <numFmts count="13">
    <numFmt numFmtId="164" formatCode="#,##0"/>
    <numFmt numFmtId="165" formatCode="#,##0.0"/>
    <numFmt numFmtId="166" formatCode="0%"/>
    <numFmt numFmtId="167" formatCode="d mmm yyyy"/>
    <numFmt numFmtId="168" formatCode="+#,##0.0;-#,##0.0;0.0"/>
    <numFmt numFmtId="169" formatCode="&quot;Takt &quot;#,##0.0"/>
    <numFmt numFmtId="170" formatCode="&quot;Demand &quot;#,##0"/>
    <numFmt numFmtId="171" formatCode="+#,##0;-#,##0;0"/>
    <numFmt numFmtId="172" formatCode="d mmm"/>
    <numFmt numFmtId="173" formatCode="0.0E+00"/>
    <numFmt numFmtId="174" formatCode="0.0000"/>
    <numFmt numFmtId="175" formatCode="#,##0.00"/>
    <numFmt numFmtId="176" formatCode="0.00%"/>
  </numFmts>
  <fonts count="25">
    <font>
      <sz val="11"/>
      <color theme="1"/>
      <name val="Calibri"/>
      <family val="2"/>
      <scheme val="minor"/>
    </font>
    <font>
      <b/>
      <sz val="15"/>
      <color rgb="FFFFFFFF"/>
      <name val="Calibri"/>
      <family val="2"/>
      <scheme val="minor"/>
    </font>
    <font>
      <i/>
      <sz val="10"/>
      <color rgb="FF4A5361"/>
      <name val="Calibri"/>
      <family val="2"/>
      <scheme val="minor"/>
    </font>
    <font>
      <u/>
      <sz val="9"/>
      <color rgb="FF3B64D8"/>
      <name val="Calibri"/>
      <family val="2"/>
      <scheme val="minor"/>
    </font>
    <font>
      <b/>
      <sz val="22"/>
      <color rgb="FF14386C"/>
      <name val="Calibri"/>
      <family val="2"/>
      <scheme val="minor"/>
    </font>
    <font>
      <sz val="11"/>
      <color rgb="FF1B2430"/>
      <name val="Calibri"/>
      <family val="2"/>
      <scheme val="minor"/>
    </font>
    <font>
      <sz val="10"/>
      <color rgb="FF4A5361"/>
      <name val="Calibri"/>
      <family val="2"/>
      <scheme val="minor"/>
    </font>
    <font>
      <sz val="9"/>
      <color rgb="FF6B7280"/>
      <name val="Calibri"/>
      <family val="2"/>
      <scheme val="minor"/>
    </font>
    <font>
      <b/>
      <sz val="12"/>
      <color rgb="FF14386C"/>
      <name val="Calibri"/>
      <family val="2"/>
      <scheme val="minor"/>
    </font>
    <font>
      <b/>
      <sz val="10"/>
      <color rgb="FF1B2430"/>
      <name val="Calibri"/>
      <family val="2"/>
      <scheme val="minor"/>
    </font>
    <font>
      <sz val="10"/>
      <color rgb="FF1B2430"/>
      <name val="Calibri"/>
      <family val="2"/>
      <scheme val="minor"/>
    </font>
    <font>
      <b/>
      <u/>
      <sz val="10"/>
      <color rgb="FF3B64D8"/>
      <name val="Calibri"/>
      <family val="2"/>
      <scheme val="minor"/>
    </font>
    <font>
      <b/>
      <sz val="10"/>
      <color rgb="FF007840"/>
      <name val="Calibri"/>
      <family val="2"/>
      <scheme val="minor"/>
    </font>
    <font>
      <b/>
      <sz val="10"/>
      <color rgb="FF8A4A06"/>
      <name val="Calibri"/>
      <family val="2"/>
      <scheme val="minor"/>
    </font>
    <font>
      <b/>
      <sz val="10"/>
      <color rgb="FFB3000C"/>
      <name val="Calibri"/>
      <family val="2"/>
      <scheme val="minor"/>
    </font>
    <font>
      <b/>
      <sz val="18"/>
      <color rgb="FF14386C"/>
      <name val="Calibri"/>
      <family val="2"/>
      <scheme val="minor"/>
    </font>
    <font>
      <u/>
      <sz val="10"/>
      <color rgb="FF3B64D8"/>
      <name val="Calibri"/>
      <family val="2"/>
      <scheme val="minor"/>
    </font>
    <font>
      <b/>
      <sz val="10"/>
      <color rgb="FF14386C"/>
      <name val="Calibri"/>
      <family val="2"/>
      <scheme val="minor"/>
    </font>
    <font>
      <b/>
      <sz val="10"/>
      <color rgb="FFFFFFFF"/>
      <name val="Calibri"/>
      <family val="2"/>
      <scheme val="minor"/>
    </font>
    <font>
      <sz val="9"/>
      <color rgb="FF8A4A06"/>
      <name val="Calibri"/>
      <family val="2"/>
      <scheme val="minor"/>
    </font>
    <font>
      <sz val="9"/>
      <color rgb="FF1B2430"/>
      <name val="Calibri"/>
      <family val="2"/>
      <scheme val="minor"/>
    </font>
    <font>
      <i/>
      <sz val="9"/>
      <color rgb="FF6B7280"/>
      <name val="Calibri"/>
      <family val="2"/>
      <scheme val="minor"/>
    </font>
    <font>
      <b/>
      <sz val="9"/>
      <color rgb="FF4A5361"/>
      <name val="Calibri"/>
      <family val="2"/>
      <scheme val="minor"/>
    </font>
    <font>
      <b/>
      <sz val="16"/>
      <color rgb="FF14386C"/>
      <name val="Calibri"/>
      <family val="2"/>
      <scheme val="minor"/>
    </font>
    <font>
      <sz val="9"/>
      <color rgb="FF4A5361"/>
      <name val="Calibri"/>
      <family val="2"/>
      <scheme val="minor"/>
    </font>
  </fonts>
  <fills count="10">
    <fill>
      <patternFill patternType="none"/>
    </fill>
    <fill>
      <patternFill patternType="gray125"/>
    </fill>
    <fill>
      <patternFill patternType="solid">
        <fgColor rgb="FF14386C"/>
        <bgColor indexed="64"/>
      </patternFill>
    </fill>
    <fill>
      <patternFill patternType="solid">
        <fgColor rgb="FFFFF7DC"/>
        <bgColor indexed="64"/>
      </patternFill>
    </fill>
    <fill>
      <patternFill patternType="solid">
        <fgColor rgb="FFEEF3FB"/>
        <bgColor indexed="64"/>
      </patternFill>
    </fill>
    <fill>
      <patternFill patternType="solid">
        <fgColor rgb="FFF4F6F8"/>
        <bgColor indexed="64"/>
      </patternFill>
    </fill>
    <fill>
      <patternFill patternType="solid">
        <fgColor rgb="FFE2F3E9"/>
        <bgColor indexed="64"/>
      </patternFill>
    </fill>
    <fill>
      <patternFill patternType="solid">
        <fgColor rgb="FFFDF0CF"/>
        <bgColor indexed="64"/>
      </patternFill>
    </fill>
    <fill>
      <patternFill patternType="solid">
        <fgColor rgb="FFFBE4E4"/>
        <bgColor indexed="64"/>
      </patternFill>
    </fill>
    <fill>
      <patternFill patternType="solid">
        <fgColor rgb="FFFFFFFF"/>
        <bgColor indexed="64"/>
      </patternFill>
    </fill>
  </fills>
  <borders count="10">
    <border>
      <left/>
      <right/>
      <top/>
      <bottom/>
      <diagonal/>
    </border>
    <border>
      <left/>
      <right/>
      <top/>
      <bottom style="medium">
        <color rgb="FF3B64D8"/>
      </bottom>
      <diagonal/>
    </border>
    <border>
      <left style="thin">
        <color rgb="FFE3CF95"/>
      </left>
      <right style="thin">
        <color rgb="FFE3CF95"/>
      </right>
      <top style="thin">
        <color rgb="FFE3CF95"/>
      </top>
      <bottom style="thin">
        <color rgb="FFE3CF95"/>
      </bottom>
      <diagonal/>
    </border>
    <border>
      <left style="thin">
        <color rgb="FFC7D4EE"/>
      </left>
      <right style="thin">
        <color rgb="FFC7D4EE"/>
      </right>
      <top style="thin">
        <color rgb="FFC7D4EE"/>
      </top>
      <bottom style="thin">
        <color rgb="FFC7D4EE"/>
      </bottom>
      <diagonal/>
    </border>
    <border>
      <left style="thin">
        <color rgb="FFE1E5EA"/>
      </left>
      <right style="thin">
        <color rgb="FFE1E5EA"/>
      </right>
      <top style="thin">
        <color rgb="FFE1E5EA"/>
      </top>
      <bottom style="thin">
        <color rgb="FFE1E5EA"/>
      </bottom>
      <diagonal/>
    </border>
    <border>
      <left style="thin">
        <color rgb="FF0E2A52"/>
      </left>
      <right style="thin">
        <color rgb="FF0E2A52"/>
      </right>
      <top style="thin">
        <color rgb="FF0E2A52"/>
      </top>
      <bottom style="thin">
        <color rgb="FF0E2A52"/>
      </bottom>
      <diagonal/>
    </border>
    <border>
      <left style="thin">
        <color rgb="FFD6DBE3"/>
      </left>
      <right style="thin">
        <color rgb="FFD6DBE3"/>
      </right>
      <top style="medium">
        <color rgb="FF14386C"/>
      </top>
      <bottom/>
      <diagonal/>
    </border>
    <border>
      <left style="thin">
        <color rgb="FFD6DBE3"/>
      </left>
      <right style="thin">
        <color rgb="FFD6DBE3"/>
      </right>
      <top/>
      <bottom/>
      <diagonal/>
    </border>
    <border>
      <left style="thin">
        <color rgb="FFD6DBE3"/>
      </left>
      <right style="thin">
        <color rgb="FFD6DBE3"/>
      </right>
      <top/>
      <bottom style="thin">
        <color rgb="FFD6DBE3"/>
      </bottom>
      <diagonal/>
    </border>
    <border>
      <left style="thin">
        <color rgb="FFD6DBE3"/>
      </left>
      <right style="thin">
        <color rgb="FFD6DBE3"/>
      </right>
      <top style="thin">
        <color rgb="FFD6DBE3"/>
      </top>
      <bottom style="thin">
        <color rgb="FFD6DBE3"/>
      </bottom>
      <diagonal/>
    </border>
  </borders>
  <cellStyleXfs count="1">
    <xf numFmtId="0" fontId="0" fillId="0" borderId="0"/>
  </cellStyleXfs>
  <cellXfs count="84">
    <xf numFmtId="0" fontId="0" fillId="0" borderId="0" xfId="0"/>
    <xf numFmtId="0" fontId="1" fillId="2" borderId="0" xfId="0" applyFont="1" applyFill="1" applyAlignment="1">
      <alignment horizontal="left" vertical="center" indent="1"/>
    </xf>
    <xf numFmtId="0" fontId="2" fillId="0" borderId="0" xfId="0" applyFont="1" applyAlignment="1">
      <alignment vertical="top" wrapText="1"/>
    </xf>
    <xf numFmtId="0" fontId="3" fillId="0" borderId="0" xfId="0" applyFont="1" applyAlignment="1">
      <alignment horizontal="right" vertical="top"/>
    </xf>
    <xf numFmtId="0" fontId="4" fillId="0" borderId="0" xfId="0" applyFont="1" applyAlignment="1"/>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center"/>
    </xf>
    <xf numFmtId="0" fontId="8" fillId="0" borderId="1" xfId="0" applyFont="1" applyBorder="1" applyAlignment="1">
      <alignment vertical="center"/>
    </xf>
    <xf numFmtId="0" fontId="9" fillId="0" borderId="0" xfId="0" applyFont="1" applyAlignment="1">
      <alignment horizontal="right" vertical="top"/>
    </xf>
    <xf numFmtId="0" fontId="10" fillId="0" borderId="0" xfId="0" applyFont="1" applyAlignment="1">
      <alignment vertical="top" wrapText="1"/>
    </xf>
    <xf numFmtId="0" fontId="10" fillId="0" borderId="0" xfId="0" applyFont="1" applyAlignment="1">
      <alignment vertical="center"/>
    </xf>
    <xf numFmtId="0" fontId="11" fillId="0" borderId="0" xfId="0" applyFont="1" applyAlignment="1">
      <alignment vertical="top"/>
    </xf>
    <xf numFmtId="0" fontId="9" fillId="3" borderId="2" xfId="0" applyFont="1" applyFill="1" applyBorder="1" applyAlignment="1">
      <alignment horizontal="center" vertical="center"/>
    </xf>
    <xf numFmtId="0" fontId="10" fillId="0" borderId="0" xfId="0" applyFont="1" applyAlignment="1">
      <alignment vertical="top" indent="1" wrapText="1"/>
    </xf>
    <xf numFmtId="0" fontId="9" fillId="4"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0" borderId="0" xfId="0" applyFont="1" applyAlignment="1">
      <alignment vertical="center"/>
    </xf>
    <xf numFmtId="0" fontId="12" fillId="6" borderId="0" xfId="0" applyFont="1" applyFill="1" applyAlignment="1">
      <alignment horizontal="center" vertical="center"/>
    </xf>
    <xf numFmtId="0" fontId="13" fillId="7" borderId="0" xfId="0" applyFont="1" applyFill="1" applyAlignment="1">
      <alignment horizontal="center" vertical="center"/>
    </xf>
    <xf numFmtId="0" fontId="14" fillId="8" borderId="0" xfId="0" applyFont="1" applyFill="1" applyAlignment="1">
      <alignment horizontal="center" vertical="center"/>
    </xf>
    <xf numFmtId="0" fontId="7" fillId="0" borderId="0" xfId="0" applyFont="1" applyAlignment="1">
      <alignment vertical="top" wrapText="1"/>
    </xf>
    <xf numFmtId="0" fontId="15" fillId="4" borderId="3" xfId="0" applyFont="1" applyFill="1" applyBorder="1" applyAlignment="1">
      <alignment horizontal="center" vertical="center"/>
    </xf>
    <xf numFmtId="0" fontId="2" fillId="0" borderId="0" xfId="0" applyFont="1" applyAlignment="1">
      <alignment vertical="center"/>
    </xf>
    <xf numFmtId="0" fontId="16" fillId="0" borderId="0" xfId="0" applyFont="1" applyAlignment="1">
      <alignment vertical="center"/>
    </xf>
    <xf numFmtId="0" fontId="6" fillId="5" borderId="4" xfId="0" applyFont="1" applyFill="1" applyBorder="1" applyAlignment="1">
      <alignment vertical="top" wrapText="1"/>
    </xf>
    <xf numFmtId="0" fontId="10" fillId="0" borderId="0" xfId="0" applyFont="1" applyAlignment="1">
      <alignment horizontal="right" vertical="top"/>
    </xf>
    <xf numFmtId="0" fontId="6" fillId="0" borderId="0" xfId="0" applyFont="1" applyAlignment="1">
      <alignment vertical="center"/>
    </xf>
    <xf numFmtId="0" fontId="10" fillId="3" borderId="2" xfId="0" applyFont="1" applyFill="1" applyBorder="1" applyAlignment="1" applyProtection="1">
      <alignment vertical="center"/>
      <protection locked="0"/>
    </xf>
    <xf numFmtId="164" fontId="10" fillId="3" borderId="2" xfId="0" applyNumberFormat="1" applyFont="1" applyFill="1" applyBorder="1" applyAlignment="1" applyProtection="1">
      <alignment vertical="center"/>
      <protection locked="0"/>
    </xf>
    <xf numFmtId="164" fontId="10" fillId="4" borderId="3" xfId="0" applyNumberFormat="1" applyFont="1" applyFill="1" applyBorder="1" applyAlignment="1">
      <alignment vertical="center"/>
    </xf>
    <xf numFmtId="165" fontId="9" fillId="4" borderId="3" xfId="0" applyNumberFormat="1" applyFont="1" applyFill="1" applyBorder="1" applyAlignment="1">
      <alignment vertical="center"/>
    </xf>
    <xf numFmtId="166" fontId="10" fillId="3" borderId="2" xfId="0" applyNumberFormat="1" applyFont="1" applyFill="1" applyBorder="1" applyAlignment="1" applyProtection="1">
      <alignment vertical="center"/>
      <protection locked="0"/>
    </xf>
    <xf numFmtId="0" fontId="17" fillId="0" borderId="0" xfId="0" applyFont="1" applyAlignment="1">
      <alignment vertical="center"/>
    </xf>
    <xf numFmtId="0" fontId="18" fillId="2" borderId="5" xfId="0" applyFont="1" applyFill="1" applyBorder="1" applyAlignment="1">
      <alignment horizontal="center" vertical="center" wrapText="1"/>
    </xf>
    <xf numFmtId="165" fontId="10" fillId="3" borderId="2" xfId="0" applyNumberFormat="1" applyFont="1" applyFill="1" applyBorder="1" applyAlignment="1" applyProtection="1">
      <alignment vertical="center"/>
      <protection locked="0"/>
    </xf>
    <xf numFmtId="0" fontId="19" fillId="7" borderId="2" xfId="0" applyFont="1" applyFill="1" applyBorder="1" applyAlignment="1">
      <alignment vertical="center" wrapText="1"/>
    </xf>
    <xf numFmtId="167" fontId="10" fillId="3" borderId="2" xfId="0" applyNumberFormat="1" applyFont="1" applyFill="1" applyBorder="1" applyAlignment="1" applyProtection="1">
      <alignment vertical="center"/>
      <protection locked="0"/>
    </xf>
    <xf numFmtId="165" fontId="10" fillId="4" borderId="3" xfId="0" applyNumberFormat="1" applyFont="1" applyFill="1" applyBorder="1" applyAlignment="1">
      <alignment vertical="center"/>
    </xf>
    <xf numFmtId="168" fontId="10" fillId="4" borderId="3" xfId="0" applyNumberFormat="1" applyFont="1" applyFill="1" applyBorder="1" applyAlignment="1">
      <alignment vertical="center"/>
    </xf>
    <xf numFmtId="166" fontId="10" fillId="4" borderId="3" xfId="0" applyNumberFormat="1" applyFont="1" applyFill="1" applyBorder="1" applyAlignment="1">
      <alignment vertical="center"/>
    </xf>
    <xf numFmtId="0" fontId="10" fillId="4" borderId="3" xfId="0" applyFont="1" applyFill="1" applyBorder="1" applyAlignment="1">
      <alignment horizontal="center" vertical="center"/>
    </xf>
    <xf numFmtId="167" fontId="10" fillId="4" borderId="3" xfId="0" applyNumberFormat="1" applyFont="1" applyFill="1" applyBorder="1" applyAlignment="1">
      <alignment vertical="center"/>
    </xf>
    <xf numFmtId="0" fontId="20" fillId="4" borderId="3" xfId="0" applyFont="1" applyFill="1" applyBorder="1" applyAlignment="1">
      <alignment vertical="center"/>
    </xf>
    <xf numFmtId="0" fontId="10" fillId="3" borderId="2" xfId="0" applyFont="1" applyFill="1" applyBorder="1" applyAlignment="1" applyProtection="1">
      <alignment vertical="top" wrapText="1"/>
      <protection locked="0"/>
    </xf>
    <xf numFmtId="167" fontId="10" fillId="3" borderId="2" xfId="0" applyNumberFormat="1" applyFont="1" applyFill="1" applyBorder="1" applyAlignment="1" applyProtection="1">
      <alignment horizontal="left" vertical="center"/>
      <protection locked="0"/>
    </xf>
    <xf numFmtId="0" fontId="21" fillId="0" borderId="0" xfId="0" applyFont="1" applyAlignment="1">
      <alignment vertical="center"/>
    </xf>
    <xf numFmtId="0" fontId="22" fillId="9" borderId="6" xfId="0" applyFont="1" applyFill="1" applyBorder="1" applyAlignment="1">
      <alignment vertical="center" wrapText="1"/>
    </xf>
    <xf numFmtId="165" fontId="4" fillId="9" borderId="7" xfId="0" applyNumberFormat="1" applyFont="1" applyFill="1" applyBorder="1" applyAlignment="1">
      <alignment horizontal="left" vertical="center"/>
    </xf>
    <xf numFmtId="0" fontId="23" fillId="9" borderId="7" xfId="0" applyFont="1" applyFill="1" applyBorder="1" applyAlignment="1">
      <alignment horizontal="left" vertical="center"/>
    </xf>
    <xf numFmtId="164" fontId="4" fillId="9" borderId="7" xfId="0" applyNumberFormat="1" applyFont="1" applyFill="1" applyBorder="1" applyAlignment="1">
      <alignment horizontal="left" vertical="center"/>
    </xf>
    <xf numFmtId="0" fontId="24" fillId="9" borderId="7" xfId="0" applyFont="1" applyFill="1" applyBorder="1" applyAlignment="1">
      <alignment vertical="center"/>
    </xf>
    <xf numFmtId="169" fontId="24" fillId="9" borderId="7" xfId="0" applyNumberFormat="1" applyFont="1" applyFill="1" applyBorder="1" applyAlignment="1">
      <alignment horizontal="left" vertical="center"/>
    </xf>
    <xf numFmtId="170" fontId="24" fillId="9" borderId="7" xfId="0" applyNumberFormat="1" applyFont="1" applyFill="1" applyBorder="1" applyAlignment="1">
      <alignment horizontal="left" vertical="center"/>
    </xf>
    <xf numFmtId="0" fontId="22" fillId="9" borderId="8" xfId="0" applyFont="1" applyFill="1" applyBorder="1" applyAlignment="1">
      <alignment vertical="center"/>
    </xf>
    <xf numFmtId="166" fontId="4" fillId="9" borderId="7" xfId="0" applyNumberFormat="1" applyFont="1" applyFill="1" applyBorder="1" applyAlignment="1">
      <alignment horizontal="left" vertical="center"/>
    </xf>
    <xf numFmtId="171" fontId="4" fillId="9" borderId="7" xfId="0" applyNumberFormat="1" applyFont="1" applyFill="1" applyBorder="1" applyAlignment="1">
      <alignment horizontal="left" vertical="center"/>
    </xf>
    <xf numFmtId="0" fontId="18" fillId="2" borderId="5" xfId="0" applyFont="1" applyFill="1" applyBorder="1" applyAlignment="1">
      <alignment horizontal="left" vertical="center" wrapText="1"/>
    </xf>
    <xf numFmtId="0" fontId="21" fillId="0" borderId="0" xfId="0" applyFont="1" applyAlignment="1">
      <alignment horizontal="center" vertical="center"/>
    </xf>
    <xf numFmtId="0" fontId="9" fillId="0" borderId="9" xfId="0" applyFont="1" applyBorder="1" applyAlignment="1">
      <alignment vertical="center"/>
    </xf>
    <xf numFmtId="165" fontId="10" fillId="0" borderId="9" xfId="0" applyNumberFormat="1" applyFont="1" applyBorder="1" applyAlignment="1">
      <alignment vertical="center"/>
    </xf>
    <xf numFmtId="164" fontId="9" fillId="0" borderId="9" xfId="0" applyNumberFormat="1" applyFont="1" applyBorder="1" applyAlignment="1">
      <alignment vertical="center"/>
    </xf>
    <xf numFmtId="172" fontId="10" fillId="4" borderId="3" xfId="0" applyNumberFormat="1" applyFont="1" applyFill="1" applyBorder="1" applyAlignment="1">
      <alignment vertical="center"/>
    </xf>
    <xf numFmtId="0" fontId="13" fillId="0" borderId="0" xfId="0" applyFont="1" applyAlignment="1">
      <alignment vertical="center"/>
    </xf>
    <xf numFmtId="0" fontId="9" fillId="0" borderId="9" xfId="0" applyFont="1" applyBorder="1" applyAlignment="1">
      <alignment vertical="top" wrapText="1"/>
    </xf>
    <xf numFmtId="0" fontId="10" fillId="0" borderId="9" xfId="0" applyFont="1" applyBorder="1" applyAlignment="1">
      <alignment vertical="top" wrapText="1"/>
    </xf>
    <xf numFmtId="0" fontId="10" fillId="0" borderId="9" xfId="0" applyFont="1" applyBorder="1" applyAlignment="1">
      <alignment horizontal="center" vertical="top"/>
    </xf>
    <xf numFmtId="0" fontId="10" fillId="0" borderId="9" xfId="0" applyFont="1" applyBorder="1" applyAlignment="1">
      <alignment vertical="center"/>
    </xf>
    <xf numFmtId="0" fontId="10" fillId="0" borderId="9" xfId="0" applyFont="1" applyBorder="1" applyAlignment="1">
      <alignment vertical="center" wrapText="1"/>
    </xf>
    <xf numFmtId="0" fontId="10" fillId="0" borderId="9" xfId="0" applyFont="1" applyBorder="1" applyAlignment="1">
      <alignment horizontal="center" vertical="center"/>
    </xf>
    <xf numFmtId="0" fontId="8" fillId="0" borderId="0" xfId="0" applyFont="1" applyAlignment="1">
      <alignment vertical="center"/>
    </xf>
    <xf numFmtId="164" fontId="9" fillId="0" borderId="9" xfId="0" applyNumberFormat="1" applyFont="1" applyBorder="1" applyAlignment="1">
      <alignment horizontal="center" vertical="center"/>
    </xf>
    <xf numFmtId="164" fontId="10" fillId="0" borderId="9" xfId="0" applyNumberFormat="1" applyFont="1" applyBorder="1" applyAlignment="1">
      <alignment vertical="center"/>
    </xf>
    <xf numFmtId="173" fontId="10" fillId="4" borderId="3" xfId="0" applyNumberFormat="1" applyFont="1" applyFill="1" applyBorder="1" applyAlignment="1">
      <alignment vertical="center"/>
    </xf>
    <xf numFmtId="173" fontId="10" fillId="0" borderId="9" xfId="0" applyNumberFormat="1" applyFont="1" applyBorder="1" applyAlignment="1">
      <alignment vertical="center"/>
    </xf>
    <xf numFmtId="174" fontId="10" fillId="0" borderId="9" xfId="0" applyNumberFormat="1" applyFont="1" applyBorder="1" applyAlignment="1">
      <alignment vertical="center"/>
    </xf>
    <xf numFmtId="174" fontId="10" fillId="4" borderId="3" xfId="0" applyNumberFormat="1" applyFont="1" applyFill="1" applyBorder="1" applyAlignment="1">
      <alignment vertical="center"/>
    </xf>
    <xf numFmtId="175" fontId="10" fillId="0" borderId="9" xfId="0" applyNumberFormat="1" applyFont="1" applyBorder="1" applyAlignment="1">
      <alignment vertical="center"/>
    </xf>
    <xf numFmtId="175" fontId="10" fillId="4" borderId="3" xfId="0" applyNumberFormat="1" applyFont="1" applyFill="1" applyBorder="1" applyAlignment="1">
      <alignment vertical="center"/>
    </xf>
    <xf numFmtId="176" fontId="10" fillId="0" borderId="9" xfId="0" applyNumberFormat="1" applyFont="1" applyBorder="1" applyAlignment="1">
      <alignment vertical="center"/>
    </xf>
    <xf numFmtId="176" fontId="10" fillId="4" borderId="3" xfId="0" applyNumberFormat="1" applyFont="1" applyFill="1" applyBorder="1" applyAlignment="1">
      <alignment vertical="center"/>
    </xf>
    <xf numFmtId="0" fontId="10" fillId="4" borderId="3" xfId="0" applyFont="1" applyFill="1" applyBorder="1" applyAlignment="1">
      <alignment vertical="center"/>
    </xf>
    <xf numFmtId="166" fontId="10" fillId="0" borderId="9" xfId="0" applyNumberFormat="1" applyFont="1" applyBorder="1" applyAlignment="1">
      <alignment vertical="center"/>
    </xf>
    <xf numFmtId="167" fontId="10" fillId="0" borderId="9" xfId="0" applyNumberFormat="1" applyFont="1" applyBorder="1" applyAlignment="1">
      <alignment vertical="center"/>
    </xf>
  </cellXfs>
  <cellStyles count="1">
    <cellStyle name="Normal" xfId="0" builtinId="0"/>
  </cellStyles>
  <dxfs count="4">
    <dxf>
      <font>
        <color rgb="FF007840"/>
      </font>
      <fill>
        <patternFill>
          <bgColor rgb="FFE2F3E9"/>
        </patternFill>
      </fill>
    </dxf>
    <dxf>
      <font>
        <color rgb="FF8A4A06"/>
      </font>
      <fill>
        <patternFill>
          <bgColor rgb="FFFDF0CF"/>
        </patternFill>
      </fill>
    </dxf>
    <dxf>
      <font>
        <color rgb="FFB3000C"/>
      </font>
      <fill>
        <patternFill>
          <bgColor rgb="FFFBE4E4"/>
        </patternFill>
      </fill>
    </dxf>
    <dxf>
      <font>
        <b/>
        <color rgb="FF007840"/>
      </font>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Average and slowest cycle by station</a:t>
            </a:r>
          </a:p>
        </c:rich>
      </c:tx>
      <c:layout/>
    </c:title>
    <c:plotArea>
      <c:layout/>
      <c:barChart>
        <c:barDir val="col"/>
        <c:grouping val="clustered"/>
        <c:ser>
          <c:idx val="0"/>
          <c:order val="0"/>
          <c:tx>
            <c:v>Average</c:v>
          </c:tx>
          <c:spPr>
            <a:solidFill>
              <a:srgbClr val="3B64D8"/>
            </a:solidFill>
            <a:ln w="9525">
              <a:solidFill>
                <a:srgbClr val="FFFFFF"/>
              </a:solidFill>
            </a:ln>
          </c:spPr>
          <c:dLbls>
            <c:numFmt formatCode="0.0" sourceLinked="0"/>
            <c:txPr>
              <a:bodyPr/>
              <a:lstStyle/>
              <a:p>
                <a:pPr>
                  <a:defRPr sz="800" b="1" baseline="0">
                    <a:solidFill>
                      <a:srgbClr val="FFFFFF"/>
                    </a:solidFill>
                    <a:latin typeface="Calibri"/>
                  </a:defRPr>
                </a:pPr>
                <a:endParaRPr lang="en-US"/>
              </a:p>
            </c:txPr>
            <c:dLblPos val="inBase"/>
            <c:showVal val="1"/>
          </c:dLbls>
          <c:cat>
            <c:strRef>
              <c:f>Dashboard!$B$40:$B$45</c:f>
              <c:strCache>
                <c:ptCount val="6"/>
                <c:pt idx="0">
                  <c:v>S1 Body load</c:v>
                </c:pt>
                <c:pt idx="1">
                  <c:v>S2 Spool fit</c:v>
                </c:pt>
                <c:pt idx="2">
                  <c:v>S3 Spring/cap</c:v>
                </c:pt>
                <c:pt idx="3">
                  <c:v>S4 Solenoid</c:v>
                </c:pt>
                <c:pt idx="4">
                  <c:v>S5 Leak test</c:v>
                </c:pt>
                <c:pt idx="5">
                  <c:v>S6 Pack</c:v>
                </c:pt>
              </c:strCache>
            </c:strRef>
          </c:cat>
          <c:val>
            <c:numRef>
              <c:f>Dashboard!$D$40:$D$45</c:f>
              <c:numCache>
                <c:formatCode>General</c:formatCode>
                <c:ptCount val="6"/>
                <c:pt idx="0">
                  <c:v>47.4947368421053</c:v>
                </c:pt>
                <c:pt idx="1">
                  <c:v>42.745</c:v>
                </c:pt>
                <c:pt idx="2">
                  <c:v>50.8947368421053</c:v>
                </c:pt>
                <c:pt idx="3">
                  <c:v>57.9578947368421</c:v>
                </c:pt>
                <c:pt idx="4">
                  <c:v>51.865</c:v>
                </c:pt>
                <c:pt idx="5">
                  <c:v>37.235</c:v>
                </c:pt>
              </c:numCache>
            </c:numRef>
          </c:val>
        </c:ser>
        <c:gapWidth val="60"/>
        <c:overlap val="-10"/>
        <c:axId val="50010001"/>
        <c:axId val="50010002"/>
      </c:barChart>
      <c:lineChart>
        <c:grouping val="standard"/>
        <c:ser>
          <c:idx val="1"/>
          <c:order val="1"/>
          <c:tx>
            <c:v>Slowest</c:v>
          </c:tx>
          <c:spPr>
            <a:ln>
              <a:noFill/>
            </a:ln>
          </c:spPr>
          <c:marker>
            <c:symbol val="circle"/>
            <c:size val="6"/>
            <c:spPr>
              <a:solidFill>
                <a:srgbClr val="E8702A"/>
              </a:solidFill>
              <a:ln>
                <a:solidFill>
                  <a:srgbClr val="E8702A"/>
                </a:solidFill>
              </a:ln>
            </c:spPr>
          </c:marker>
          <c:cat>
            <c:strRef>
              <c:f>Dashboard!$B$40:$B$45</c:f>
              <c:strCache>
                <c:ptCount val="6"/>
                <c:pt idx="0">
                  <c:v>S1 Body load</c:v>
                </c:pt>
                <c:pt idx="1">
                  <c:v>S2 Spool fit</c:v>
                </c:pt>
                <c:pt idx="2">
                  <c:v>S3 Spring/cap</c:v>
                </c:pt>
                <c:pt idx="3">
                  <c:v>S4 Solenoid</c:v>
                </c:pt>
                <c:pt idx="4">
                  <c:v>S5 Leak test</c:v>
                </c:pt>
                <c:pt idx="5">
                  <c:v>S6 Pack</c:v>
                </c:pt>
              </c:strCache>
            </c:strRef>
          </c:cat>
          <c:val>
            <c:numRef>
              <c:f>Dashboard!$E$40:$E$45</c:f>
              <c:numCache>
                <c:formatCode>General</c:formatCode>
                <c:ptCount val="6"/>
                <c:pt idx="0">
                  <c:v>51.7</c:v>
                </c:pt>
                <c:pt idx="1">
                  <c:v>45.5</c:v>
                </c:pt>
                <c:pt idx="2">
                  <c:v>56</c:v>
                </c:pt>
                <c:pt idx="3">
                  <c:v>63.7</c:v>
                </c:pt>
                <c:pt idx="4">
                  <c:v>52.9</c:v>
                </c:pt>
                <c:pt idx="5">
                  <c:v>41</c:v>
                </c:pt>
              </c:numCache>
            </c:numRef>
          </c:val>
        </c:ser>
        <c:ser>
          <c:idx val="2"/>
          <c:order val="2"/>
          <c:tx>
            <c:v>Takt</c:v>
          </c:tx>
          <c:spPr>
            <a:ln w="19050">
              <a:solidFill>
                <a:srgbClr val="B3000C"/>
              </a:solidFill>
              <a:prstDash val="dash"/>
            </a:ln>
          </c:spPr>
          <c:marker>
            <c:symbol val="none"/>
          </c:marker>
          <c:cat>
            <c:strRef>
              <c:f>Dashboard!$B$40:$B$45</c:f>
              <c:strCache>
                <c:ptCount val="6"/>
                <c:pt idx="0">
                  <c:v>S1 Body load</c:v>
                </c:pt>
                <c:pt idx="1">
                  <c:v>S2 Spool fit</c:v>
                </c:pt>
                <c:pt idx="2">
                  <c:v>S3 Spring/cap</c:v>
                </c:pt>
                <c:pt idx="3">
                  <c:v>S4 Solenoid</c:v>
                </c:pt>
                <c:pt idx="4">
                  <c:v>S5 Leak test</c:v>
                </c:pt>
                <c:pt idx="5">
                  <c:v>S6 Pack</c:v>
                </c:pt>
              </c:strCache>
            </c:strRef>
          </c:cat>
          <c:val>
            <c:numRef>
              <c:f>Dashboard!$G$40:$G$45</c:f>
              <c:numCache>
                <c:formatCode>General</c:formatCode>
                <c:ptCount val="6"/>
                <c:pt idx="0">
                  <c:v>56</c:v>
                </c:pt>
                <c:pt idx="1">
                  <c:v>56</c:v>
                </c:pt>
                <c:pt idx="2">
                  <c:v>56</c:v>
                </c:pt>
                <c:pt idx="3">
                  <c:v>56</c:v>
                </c:pt>
                <c:pt idx="4">
                  <c:v>56</c:v>
                </c:pt>
                <c:pt idx="5">
                  <c:v>56</c:v>
                </c:pt>
              </c:numCache>
            </c:numRef>
          </c:val>
        </c:ser>
        <c:marker val="1"/>
        <c:axId val="50010001"/>
        <c:axId val="50010002"/>
      </c:lineChart>
      <c:catAx>
        <c:axId val="50010001"/>
        <c:scaling>
          <c:orientation val="minMax"/>
        </c:scaling>
        <c:axPos val="b"/>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10002"/>
        <c:crosses val="autoZero"/>
        <c:lblAlgn val="ctr"/>
        <c:lblOffset val="100"/>
      </c:catAx>
      <c:valAx>
        <c:axId val="50010002"/>
        <c:scaling>
          <c:orientation val="minMax"/>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1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Run chart: last 20 counted cycles</a:t>
            </a:r>
          </a:p>
        </c:rich>
      </c:tx>
      <c:layout/>
    </c:title>
    <c:plotArea>
      <c:layout/>
      <c:barChart>
        <c:barDir val="col"/>
        <c:grouping val="clustered"/>
        <c:ser>
          <c:idx val="0"/>
          <c:order val="0"/>
          <c:tx>
            <c:v>Cycle</c:v>
          </c:tx>
          <c:spPr>
            <a:solidFill>
              <a:srgbClr val="3B64D8"/>
            </a:solidFill>
            <a:ln w="9525">
              <a:solidFill>
                <a:srgbClr val="FFFFFF"/>
              </a:solidFill>
            </a:ln>
          </c:spPr>
          <c:cat>
            <c:strRef>
              <c:f>Dashboard!$B$49:$B$68</c:f>
              <c:strCache>
                <c:ptCount val="20"/>
                <c:pt idx="0">
                  <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strCache>
            </c:strRef>
          </c:cat>
          <c:val>
            <c:numRef>
              <c:f>Dashboard!$D$49:$D$68</c:f>
              <c:numCache>
                <c:formatCode>General</c:formatCode>
                <c:ptCount val="20"/>
                <c:pt idx="0">
                  <c:v>0</c:v>
                </c:pt>
                <c:pt idx="1">
                  <c:v>59.2</c:v>
                </c:pt>
                <c:pt idx="2">
                  <c:v>61.5</c:v>
                </c:pt>
                <c:pt idx="3">
                  <c:v>60.7</c:v>
                </c:pt>
                <c:pt idx="4">
                  <c:v>57.3</c:v>
                </c:pt>
                <c:pt idx="5">
                  <c:v>61.1</c:v>
                </c:pt>
                <c:pt idx="6">
                  <c:v>59.2</c:v>
                </c:pt>
                <c:pt idx="7">
                  <c:v>57.3</c:v>
                </c:pt>
                <c:pt idx="8">
                  <c:v>60.6</c:v>
                </c:pt>
                <c:pt idx="9">
                  <c:v>63</c:v>
                </c:pt>
                <c:pt idx="10">
                  <c:v>62.8</c:v>
                </c:pt>
                <c:pt idx="11">
                  <c:v>55</c:v>
                </c:pt>
                <c:pt idx="12">
                  <c:v>57.5</c:v>
                </c:pt>
                <c:pt idx="13">
                  <c:v>63.7</c:v>
                </c:pt>
                <c:pt idx="14">
                  <c:v>52.2</c:v>
                </c:pt>
                <c:pt idx="15">
                  <c:v>54.1</c:v>
                </c:pt>
                <c:pt idx="16">
                  <c:v>55.3</c:v>
                </c:pt>
                <c:pt idx="17">
                  <c:v>52.3</c:v>
                </c:pt>
                <c:pt idx="18">
                  <c:v>54.2</c:v>
                </c:pt>
                <c:pt idx="19">
                  <c:v>54.2</c:v>
                </c:pt>
              </c:numCache>
            </c:numRef>
          </c:val>
        </c:ser>
        <c:gapWidth val="60"/>
        <c:overlap val="-10"/>
        <c:axId val="50020001"/>
        <c:axId val="50020002"/>
      </c:barChart>
      <c:lineChart>
        <c:grouping val="standard"/>
        <c:ser>
          <c:idx val="1"/>
          <c:order val="1"/>
          <c:tx>
            <c:v>Station average</c:v>
          </c:tx>
          <c:spPr>
            <a:ln w="19050">
              <a:solidFill>
                <a:srgbClr val="4A5361"/>
              </a:solidFill>
              <a:prstDash val="dash"/>
            </a:ln>
          </c:spPr>
          <c:marker>
            <c:symbol val="none"/>
          </c:marker>
          <c:cat>
            <c:strRef>
              <c:f>Dashboard!$B$49:$B$68</c:f>
              <c:strCache>
                <c:ptCount val="20"/>
                <c:pt idx="0">
                  <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strCache>
            </c:strRef>
          </c:cat>
          <c:val>
            <c:numRef>
              <c:f>Dashboard!$E$49:$E$68</c:f>
              <c:numCache>
                <c:formatCode>General</c:formatCode>
                <c:ptCount val="20"/>
                <c:pt idx="0">
                  <c:v>57.9578947368421</c:v>
                </c:pt>
                <c:pt idx="1">
                  <c:v>57.9578947368421</c:v>
                </c:pt>
                <c:pt idx="2">
                  <c:v>57.9578947368421</c:v>
                </c:pt>
                <c:pt idx="3">
                  <c:v>57.9578947368421</c:v>
                </c:pt>
                <c:pt idx="4">
                  <c:v>57.9578947368421</c:v>
                </c:pt>
                <c:pt idx="5">
                  <c:v>57.9578947368421</c:v>
                </c:pt>
                <c:pt idx="6">
                  <c:v>57.9578947368421</c:v>
                </c:pt>
                <c:pt idx="7">
                  <c:v>57.9578947368421</c:v>
                </c:pt>
                <c:pt idx="8">
                  <c:v>57.9578947368421</c:v>
                </c:pt>
                <c:pt idx="9">
                  <c:v>57.9578947368421</c:v>
                </c:pt>
                <c:pt idx="10">
                  <c:v>57.9578947368421</c:v>
                </c:pt>
                <c:pt idx="11">
                  <c:v>57.9578947368421</c:v>
                </c:pt>
                <c:pt idx="12">
                  <c:v>57.9578947368421</c:v>
                </c:pt>
                <c:pt idx="13">
                  <c:v>57.9578947368421</c:v>
                </c:pt>
                <c:pt idx="14">
                  <c:v>57.9578947368421</c:v>
                </c:pt>
                <c:pt idx="15">
                  <c:v>57.9578947368421</c:v>
                </c:pt>
                <c:pt idx="16">
                  <c:v>57.9578947368421</c:v>
                </c:pt>
                <c:pt idx="17">
                  <c:v>57.9578947368421</c:v>
                </c:pt>
                <c:pt idx="18">
                  <c:v>57.9578947368421</c:v>
                </c:pt>
                <c:pt idx="19">
                  <c:v>57.9578947368421</c:v>
                </c:pt>
              </c:numCache>
            </c:numRef>
          </c:val>
        </c:ser>
        <c:ser>
          <c:idx val="2"/>
          <c:order val="2"/>
          <c:tx>
            <c:v>Takt</c:v>
          </c:tx>
          <c:spPr>
            <a:ln w="19050">
              <a:solidFill>
                <a:srgbClr val="B3000C"/>
              </a:solidFill>
              <a:prstDash val="dash"/>
            </a:ln>
          </c:spPr>
          <c:marker>
            <c:symbol val="none"/>
          </c:marker>
          <c:cat>
            <c:strRef>
              <c:f>Dashboard!$B$49:$B$68</c:f>
              <c:strCache>
                <c:ptCount val="20"/>
                <c:pt idx="0">
                  <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strCache>
            </c:strRef>
          </c:cat>
          <c:val>
            <c:numRef>
              <c:f>Dashboard!$F$49:$F$68</c:f>
              <c:numCache>
                <c:formatCode>General</c:formatCode>
                <c:ptCount val="20"/>
                <c:pt idx="0">
                  <c:v>56</c:v>
                </c:pt>
                <c:pt idx="1">
                  <c:v>56</c:v>
                </c:pt>
                <c:pt idx="2">
                  <c:v>56</c:v>
                </c:pt>
                <c:pt idx="3">
                  <c:v>56</c:v>
                </c:pt>
                <c:pt idx="4">
                  <c:v>56</c:v>
                </c:pt>
                <c:pt idx="5">
                  <c:v>56</c:v>
                </c:pt>
                <c:pt idx="6">
                  <c:v>56</c:v>
                </c:pt>
                <c:pt idx="7">
                  <c:v>56</c:v>
                </c:pt>
                <c:pt idx="8">
                  <c:v>56</c:v>
                </c:pt>
                <c:pt idx="9">
                  <c:v>56</c:v>
                </c:pt>
                <c:pt idx="10">
                  <c:v>56</c:v>
                </c:pt>
                <c:pt idx="11">
                  <c:v>56</c:v>
                </c:pt>
                <c:pt idx="12">
                  <c:v>56</c:v>
                </c:pt>
                <c:pt idx="13">
                  <c:v>56</c:v>
                </c:pt>
                <c:pt idx="14">
                  <c:v>56</c:v>
                </c:pt>
                <c:pt idx="15">
                  <c:v>56</c:v>
                </c:pt>
                <c:pt idx="16">
                  <c:v>56</c:v>
                </c:pt>
                <c:pt idx="17">
                  <c:v>56</c:v>
                </c:pt>
                <c:pt idx="18">
                  <c:v>56</c:v>
                </c:pt>
                <c:pt idx="19">
                  <c:v>56</c:v>
                </c:pt>
              </c:numCache>
            </c:numRef>
          </c:val>
        </c:ser>
        <c:marker val="1"/>
        <c:axId val="50020001"/>
        <c:axId val="50020002"/>
      </c:lineChart>
      <c:catAx>
        <c:axId val="50020001"/>
        <c:scaling>
          <c:orientation val="minMax"/>
        </c:scaling>
        <c:axPos val="b"/>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20002"/>
        <c:crosses val="autoZero"/>
        <c:lblAlgn val="ctr"/>
        <c:lblOffset val="100"/>
      </c:catAx>
      <c:valAx>
        <c:axId val="50020002"/>
        <c:scaling>
          <c:orientation val="minMax"/>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2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editAs="absolute">
    <xdr:from>
      <xdr:col>1</xdr:col>
      <xdr:colOff>19050</xdr:colOff>
      <xdr:row>3</xdr:row>
      <xdr:rowOff>57150</xdr:rowOff>
    </xdr:from>
    <xdr:to>
      <xdr:col>2</xdr:col>
      <xdr:colOff>1543050</xdr:colOff>
      <xdr:row>6</xdr:row>
      <xdr:rowOff>73025</xdr:rowOff>
    </xdr:to>
    <xdr:pic>
      <xdr:nvPicPr>
        <xdr:cNvPr id="2" name="Picture 1" descr="MFG Calcs"/>
        <xdr:cNvPicPr>
          <a:picLocks noChangeAspect="1"/>
        </xdr:cNvPicPr>
      </xdr:nvPicPr>
      <xdr:blipFill>
        <a:blip xmlns:r="http://schemas.openxmlformats.org/officeDocument/2006/relationships" r:embed="rId1"/>
        <a:stretch>
          <a:fillRect/>
        </a:stretch>
      </xdr:blipFill>
      <xdr:spPr>
        <a:xfrm>
          <a:off x="200025" y="781050"/>
          <a:ext cx="1905000" cy="8350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13</xdr:row>
      <xdr:rowOff>38100</xdr:rowOff>
    </xdr:from>
    <xdr:to>
      <xdr:col>5</xdr:col>
      <xdr:colOff>676275</xdr:colOff>
      <xdr:row>28</xdr:row>
      <xdr:rowOff>152400</xdr:rowOff>
    </xdr:to>
    <xdr:graphicFrame macro="">
      <xdr:nvGraphicFramePr>
        <xdr:cNvPr id="2" name="Chart 1" descr="Column chart of each station's average cycle time in seconds, with its slowest counted cycle as a marker and takt time as a dashed red line."/>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38100</xdr:colOff>
      <xdr:row>13</xdr:row>
      <xdr:rowOff>38100</xdr:rowOff>
    </xdr:from>
    <xdr:to>
      <xdr:col>11</xdr:col>
      <xdr:colOff>676275</xdr:colOff>
      <xdr:row>28</xdr:row>
      <xdr:rowOff>152400</xdr:rowOff>
    </xdr:to>
    <xdr:graphicFrame macro="">
      <xdr:nvGraphicFramePr>
        <xdr:cNvPr id="3" name="Chart 2" descr="Column chart of the last twenty counted cycles of the run-chart station in log order, with the station average as a dashed grey line and takt time as a dashed red line."/>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ables/table1.xml><?xml version="1.0" encoding="utf-8"?>
<table xmlns="http://schemas.openxmlformats.org/spreadsheetml/2006/main" id="1" name="tblStations" displayName="tblStations" ref="B28:D34" totalsRowShown="0">
  <autoFilter ref="B28:D34"/>
  <tableColumns count="3">
    <tableColumn id="1" name="Station"/>
    <tableColumn id="2" name="Standard cycle (s)"/>
    <tableColumn id="3" name="Work content"/>
  </tableColumns>
  <tableStyleInfo name="TableStyleLight1" showFirstColumn="0" showLastColumn="0" showRowStripes="0" showColumnStripes="0"/>
</table>
</file>

<file path=xl/tables/table2.xml><?xml version="1.0" encoding="utf-8"?>
<table xmlns="http://schemas.openxmlformats.org/spreadsheetml/2006/main" id="2" name="tblObs" displayName="tblObs" ref="B5:N125" totalsRowShown="0">
  <autoFilter ref="B5:N125"/>
  <tableColumns count="13">
    <tableColumn id="1" name="Date"/>
    <tableColumn id="2" name="Station"/>
    <tableColumn id="3" name="Operator"/>
    <tableColumn id="4" name="Cycle (s)"/>
    <tableColumn id="5" name="Exclude"/>
    <tableColumn id="6" name="Standard (s)">
      <calculatedColumnFormula>IF(tblObs[[#This Row],[Date]]="","",IFERROR(INDEX(tblStations[Standard cycle (s)],MATCH(tblObs[[#This Row],[Station]],tblStations[Station],0)),""))</calculatedColumnFormula>
    </tableColumn>
    <tableColumn id="7" name="Vs standard (s)">
      <calculatedColumnFormula>IF(tblObs[[#This Row],[Date]]="","",IF(ISNUMBER(tblObs[[#This Row],[Standard (s)]]),tblObs[[#This Row],[Cycle (s)]]-tblObs[[#This Row],[Standard (s)]],""))</calculatedColumnFormula>
    </tableColumn>
    <tableColumn id="8" name="Loading (% of takt)">
      <calculatedColumnFormula>IF(tblObs[[#This Row],[Date]]="","",IF(ISNUMBER(Takt),tblObs[[#This Row],[Cycle (s)]]/Takt,""))</calculatedColumnFormula>
    </tableColumn>
    <tableColumn id="9" name="Pace vs takt">
      <calculatedColumnFormula>IF(tblObs[[#This Row],[Date]]="","",IF(tblObs[[#This Row],[Exclude]]="Yes","Excluded",IF(NOT(ISNUMBER(tblObs[[#This Row],[Loading (% of takt)]])),"",IF(tblObs[[#This Row],[Loading (% of takt)]]&gt;OverAt,"Over capacity",IF(tblObs[[#This Row],[Loading (% of takt)]]&gt;=NearAt,"Near capacity","Under capacity")))))</calculatedColumnFormula>
    </tableColumn>
    <tableColumn id="10" name="View date">
      <calculatedColumnFormula>IF(tblObs[[#This Row],[Date]]="","",IF(AND(tblObs[[#This Row],[Exclude]]&lt;&gt;"Yes",tblObs[[#This Row],[Date]]&gt;=FFrom,tblObs[[#This Row],[Date]]&lt;=FTo),tblObs[[#This Row],[Date]],""))</calculatedColumnFormula>
    </tableColumn>
    <tableColumn id="11" name="Chart no.">
      <calculatedColumnFormula>IF(tblObs[[#This Row],[Date]]="","",IF(AND(tblObs[[#This Row],[Station]]=ChartStation,ISNUMBER(tblObs[[#This Row],[View date]])),COUNTIFS(INDEX(tblObs[Station],1):tblObs[[#This Row],[Station]],tblObs[[#This Row],[Station]],INDEX(tblObs[View date],1):tblObs[[#This Row],[View date]],"&gt;0"),""))</calculatedColumnFormula>
    </tableColumn>
    <tableColumn id="12" name="Check">
      <calculatedColumnFormula>IF(tblObs[[#This Row],[Date]]="","",IF(tblObs[[#This Row],[Station]]="","Missing station",IF(tblObs[[#This Row],[Cycle (s)]]="","Missing cycle",IF(tblObs[[#This Row],[Exclude]]="","Missing exclude",IF(COUNTIF(tblStations[Station],tblObs[[#This Row],[Station]])=0,"Station not on Setup list",IF(AND(tblObs[[#This Row],[Exclude]]="Yes",tblObs[[#This Row],[Notes]]=""),"Exclude: no reason",IF(AND(tblObs[[#This Row],[Exclude]]&lt;&gt;"Yes",ISNUMBER(tblObs[[#This Row],[Standard (s)]]),tblObs[[#This Row],[Cycle (s)]]&gt;2*tblObs[[#This Row],[Standard (s)]]),"Over 2x standard","OK")))))))</calculatedColumnFormula>
    </tableColumn>
    <tableColumn id="13" name="Notes"/>
  </tableColumns>
  <tableStyleInfo name="TableStyleLight1" showFirstColumn="0" showLastColumn="0" showRowStripes="0" showColumnStripes="0"/>
</table>
</file>

<file path=xl/tables/table3.xml><?xml version="1.0" encoding="utf-8"?>
<table xmlns="http://schemas.openxmlformats.org/spreadsheetml/2006/main" id="3" name="tblVerifyStations" displayName="tblVerifyStations" ref="B68:D71" totalsRowShown="0">
  <tableColumns count="3">
    <tableColumn id="1" name="Station"/>
    <tableColumn id="2" name="Standard cycle (s)"/>
    <tableColumn id="3" name="Work content"/>
  </tableColumns>
  <tableStyleInfo name="TableStyleLight1" showFirstColumn="0" showLastColumn="0" showRowStripes="0" showColumnStripes="0"/>
</table>
</file>

<file path=xl/tables/table4.xml><?xml version="1.0" encoding="utf-8"?>
<table xmlns="http://schemas.openxmlformats.org/spreadsheetml/2006/main" id="4" name="tblVerifyObs" displayName="tblVerifyObs" ref="B74:N86" totalsRowShown="0">
  <tableColumns count="13">
    <tableColumn id="1" name="Date"/>
    <tableColumn id="2" name="Station"/>
    <tableColumn id="3" name="Operator"/>
    <tableColumn id="4" name="Cycle (s)"/>
    <tableColumn id="5" name="Exclude"/>
    <tableColumn id="6" name="Standard (s)"/>
    <tableColumn id="7" name="Vs standard (s)">
      <calculatedColumnFormula>IF(tblVerifyObs[[#This Row],[Date]]="","",IF(ISNUMBER(tblVerifyObs[[#This Row],[Standard (s)]]),tblVerifyObs[[#This Row],[Cycle (s)]]-tblVerifyObs[[#This Row],[Standard (s)]],""))</calculatedColumnFormula>
    </tableColumn>
    <tableColumn id="8" name="Loading (% of takt)">
      <calculatedColumnFormula>IF(tblVerifyObs[[#This Row],[Date]]="","",IF(ISNUMBER($E$65),tblVerifyObs[[#This Row],[Cycle (s)]]/$E$65,""))</calculatedColumnFormula>
    </tableColumn>
    <tableColumn id="9" name="Pace vs takt">
      <calculatedColumnFormula>IF(tblVerifyObs[[#This Row],[Date]]="","",IF(tblVerifyObs[[#This Row],[Exclude]]="Yes","Excluded",IF(NOT(ISNUMBER(tblVerifyObs[[#This Row],[Loading (% of takt)]])),"",IF(tblVerifyObs[[#This Row],[Loading (% of takt)]]&gt;$E$54,"Over capacity",IF(tblVerifyObs[[#This Row],[Loading (% of takt)]]&gt;=$E$53,"Near capacity","Under capacity")))))</calculatedColumnFormula>
    </tableColumn>
    <tableColumn id="10" name="View date">
      <calculatedColumnFormula>IF(tblVerifyObs[[#This Row],[Date]]="","",IF(AND(tblVerifyObs[[#This Row],[Exclude]]&lt;&gt;"Yes",tblVerifyObs[[#This Row],[Date]]&gt;=$E$55,tblVerifyObs[[#This Row],[Date]]&lt;=$E$56),tblVerifyObs[[#This Row],[Date]],""))</calculatedColumnFormula>
    </tableColumn>
    <tableColumn id="11" name="Chart no.">
      <calculatedColumnFormula>IF(tblVerifyObs[[#This Row],[Date]]="","",IF(AND(tblVerifyObs[[#This Row],[Station]]=$E$57,ISNUMBER(tblVerifyObs[[#This Row],[View date]])),COUNTIFS(INDEX(tblVerifyObs[Station],1):tblVerifyObs[[#This Row],[Station]],tblVerifyObs[[#This Row],[Station]],INDEX(tblVerifyObs[View date],1):tblVerifyObs[[#This Row],[View date]],"&gt;0"),""))</calculatedColumnFormula>
    </tableColumn>
    <tableColumn id="12" name="Check">
      <calculatedColumnFormula>IF(tblVerifyObs[[#This Row],[Date]]="","",IF(tblVerifyObs[[#This Row],[Station]]="","Missing station",IF(tblVerifyObs[[#This Row],[Cycle (s)]]="","Missing cycle",IF(tblVerifyObs[[#This Row],[Exclude]]="","Missing exclude",IF(COUNTIF(tblVerifyStations[Station],tblVerifyObs[[#This Row],[Station]])=0,"Station not on Setup list",IF(AND(tblVerifyObs[[#This Row],[Exclude]]="Yes",tblVerifyObs[[#This Row],[Notes]]=""),"Exclude: no reason",IF(AND(tblVerifyObs[[#This Row],[Exclude]]&lt;&gt;"Yes",ISNUMBER(tblVerifyObs[[#This Row],[Standard (s)]]),tblVerifyObs[[#This Row],[Cycle (s)]]&gt;2*tblVerifyObs[[#This Row],[Standard (s)]]),"Over 2x standard","OK")))))))</calculatedColumnFormula>
    </tableColumn>
    <tableColumn id="13" name="Notes"/>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cycle-time-tracker" TargetMode="External"/><Relationship Id="rId2" Type="http://schemas.openxmlformats.org/officeDocument/2006/relationships/hyperlink" Target="https://www.mfgcalcs.com/calculators/conveyors-production-lines/cycle-time?utm_source=mfgcalcs-template&amp;utm_medium=xlsx&amp;utm_campaign=cycle-time-tracker" TargetMode="External"/><Relationship Id="rId3" Type="http://schemas.openxmlformats.org/officeDocument/2006/relationships/hyperlink" Target="https://www.mfgcalcs.com/templates/cycle-time-tracker?utm_source=mfgcalcs-template&amp;utm_medium=xlsx&amp;utm_campaign=cycle-time-tracker" TargetMode="External"/><Relationship Id="rId4" Type="http://schemas.openxmlformats.org/officeDocument/2006/relationships/hyperlink" Target="https://www.mfgcalcs.com/templates?utm_source=mfgcalcs-template&amp;utm_medium=xlsx&amp;utm_campaign=cycle-time-tracker" TargetMode="External"/><Relationship Id="rId5"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cycle-time-tracker" TargetMode="External"/><Relationship Id="rId2"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cycle-time-tracker" TargetMode="External"/><Relationship Id="rId2"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cycle-time-tracker" TargetMode="External"/><Relationship Id="rId2"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cycle-time-tracker" TargetMode="External"/><Relationship Id="rId2" Type="http://schemas.openxmlformats.org/officeDocument/2006/relationships/hyperlink" Target="https://www.mfgcalcs.com/calculators/conveyors-production-lines/cycle-time?utm_source=mfgcalcs-template&amp;utm_medium=xlsx&amp;utm_campaign=cycle-time-tracker"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cycle-time-tracker" TargetMode="External"/><Relationship Id="rId2" Type="http://schemas.openxmlformats.org/officeDocument/2006/relationships/table" Target="../tables/table3.xml"/><Relationship Id="rId3"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sheetPr>
    <tabColor rgb="FF14386C"/>
    <pageSetUpPr fitToPage="1"/>
  </sheetPr>
  <dimension ref="A1:F56"/>
  <sheetViews>
    <sheetView showGridLines="0" tabSelected="1" workbookViewId="0"/>
  </sheetViews>
  <sheetFormatPr defaultRowHeight="15"/>
  <cols>
    <col min="1" max="1" width="2.7109375" customWidth="1"/>
    <col min="2" max="2" width="5.7109375" customWidth="1"/>
    <col min="3" max="3" width="24.7109375" customWidth="1"/>
    <col min="4" max="6" width="22.7109375" customWidth="1"/>
  </cols>
  <sheetData>
    <row r="1" spans="1:6" ht="30" customHeight="1">
      <c r="A1" s="1" t="s">
        <v>0</v>
      </c>
      <c r="B1" s="1"/>
      <c r="C1" s="1"/>
      <c r="D1" s="1"/>
      <c r="E1" s="1"/>
      <c r="F1" s="1"/>
    </row>
    <row r="2" spans="1:6" ht="21" customHeight="1">
      <c r="B2" s="2" t="s">
        <v>1</v>
      </c>
      <c r="C2" s="2"/>
      <c r="D2" s="2"/>
      <c r="E2" s="2"/>
      <c r="F2" s="3" t="s">
        <v>2</v>
      </c>
    </row>
    <row r="3" spans="1:6" ht="6" customHeight="1"/>
    <row r="4" spans="1:6" ht="32" customHeight="1">
      <c r="D4" s="4" t="s">
        <v>0</v>
      </c>
      <c r="E4" s="4"/>
      <c r="F4" s="4"/>
    </row>
    <row r="5" spans="1:6" ht="17" customHeight="1">
      <c r="D5" s="5" t="s">
        <v>3</v>
      </c>
      <c r="E5" s="5"/>
      <c r="F5" s="5"/>
    </row>
    <row r="6" spans="1:6" ht="17" customHeight="1">
      <c r="D6" s="5"/>
      <c r="E6" s="5"/>
      <c r="F6" s="5"/>
    </row>
    <row r="7" spans="1:6" ht="28.4" customHeight="1">
      <c r="D7" s="6" t="s">
        <v>4</v>
      </c>
      <c r="E7" s="6"/>
      <c r="F7" s="6"/>
    </row>
    <row r="8" spans="1:6">
      <c r="D8" s="7" t="s">
        <v>5</v>
      </c>
      <c r="E8" s="7"/>
      <c r="F8" s="7"/>
    </row>
    <row r="10" spans="1:6" ht="21" customHeight="1">
      <c r="B10" s="8" t="s">
        <v>6</v>
      </c>
      <c r="C10" s="8"/>
      <c r="D10" s="8"/>
      <c r="E10" s="8"/>
      <c r="F10" s="8"/>
    </row>
    <row r="11" spans="1:6" ht="5" customHeight="1"/>
    <row r="12" spans="1:6" ht="29.4" customHeight="1">
      <c r="B12" s="9" t="s">
        <v>7</v>
      </c>
      <c r="C12" s="10" t="s">
        <v>8</v>
      </c>
      <c r="D12" s="10"/>
      <c r="E12" s="10"/>
      <c r="F12" s="10"/>
    </row>
    <row r="13" spans="1:6" ht="16.2" customHeight="1">
      <c r="B13" s="9" t="s">
        <v>9</v>
      </c>
      <c r="C13" s="10" t="s">
        <v>10</v>
      </c>
      <c r="D13" s="10"/>
      <c r="E13" s="10"/>
      <c r="F13" s="10"/>
    </row>
    <row r="14" spans="1:6" ht="29.4" customHeight="1">
      <c r="B14" s="9" t="s">
        <v>11</v>
      </c>
      <c r="C14" s="10" t="s">
        <v>12</v>
      </c>
      <c r="D14" s="10"/>
      <c r="E14" s="10"/>
      <c r="F14" s="10"/>
    </row>
    <row r="15" spans="1:6" ht="16.2" customHeight="1">
      <c r="B15" s="9" t="s">
        <v>13</v>
      </c>
      <c r="C15" s="10" t="s">
        <v>14</v>
      </c>
      <c r="D15" s="10"/>
      <c r="E15" s="10"/>
      <c r="F15" s="10"/>
    </row>
    <row r="16" spans="1:6" ht="29.4" customHeight="1">
      <c r="B16" s="9" t="s">
        <v>15</v>
      </c>
      <c r="C16" s="10" t="s">
        <v>16</v>
      </c>
      <c r="D16" s="10"/>
      <c r="E16" s="10"/>
      <c r="F16" s="10"/>
    </row>
    <row r="18" spans="2:6" ht="21" customHeight="1">
      <c r="B18" s="8" t="s">
        <v>17</v>
      </c>
      <c r="C18" s="8"/>
      <c r="D18" s="8"/>
      <c r="E18" s="8"/>
      <c r="F18" s="8"/>
    </row>
    <row r="19" spans="2:6" ht="5" customHeight="1"/>
    <row r="20" spans="2:6" ht="16.2" customHeight="1">
      <c r="B20" s="11"/>
      <c r="C20" s="12" t="s">
        <v>18</v>
      </c>
      <c r="D20" s="10" t="s">
        <v>1</v>
      </c>
      <c r="E20" s="10"/>
      <c r="F20" s="10"/>
    </row>
    <row r="21" spans="2:6" ht="16.2" customHeight="1">
      <c r="B21" s="11"/>
      <c r="C21" s="12" t="s">
        <v>19</v>
      </c>
      <c r="D21" s="10" t="s">
        <v>20</v>
      </c>
      <c r="E21" s="10"/>
      <c r="F21" s="10"/>
    </row>
    <row r="22" spans="2:6" ht="29.4" customHeight="1">
      <c r="B22" s="11"/>
      <c r="C22" s="12" t="s">
        <v>21</v>
      </c>
      <c r="D22" s="10" t="s">
        <v>22</v>
      </c>
      <c r="E22" s="10"/>
      <c r="F22" s="10"/>
    </row>
    <row r="23" spans="2:6" ht="29.4" customHeight="1">
      <c r="B23" s="11"/>
      <c r="C23" s="12" t="s">
        <v>23</v>
      </c>
      <c r="D23" s="10" t="s">
        <v>24</v>
      </c>
      <c r="E23" s="10"/>
      <c r="F23" s="10"/>
    </row>
    <row r="24" spans="2:6" ht="16.2" customHeight="1">
      <c r="B24" s="11"/>
      <c r="C24" s="12" t="s">
        <v>25</v>
      </c>
      <c r="D24" s="10" t="s">
        <v>26</v>
      </c>
      <c r="E24" s="10"/>
      <c r="F24" s="10"/>
    </row>
    <row r="25" spans="2:6" ht="29.4" customHeight="1">
      <c r="B25" s="11"/>
      <c r="C25" s="12" t="s">
        <v>27</v>
      </c>
      <c r="D25" s="10" t="s">
        <v>28</v>
      </c>
      <c r="E25" s="10"/>
      <c r="F25" s="10"/>
    </row>
    <row r="27" spans="2:6" ht="21" customHeight="1">
      <c r="B27" s="8" t="s">
        <v>29</v>
      </c>
      <c r="C27" s="8"/>
      <c r="D27" s="8"/>
      <c r="E27" s="8"/>
      <c r="F27" s="8"/>
    </row>
    <row r="28" spans="2:6" ht="5" customHeight="1"/>
    <row r="29" spans="2:6" ht="29.4" customHeight="1">
      <c r="C29" s="13" t="s">
        <v>30</v>
      </c>
      <c r="D29" s="14" t="s">
        <v>31</v>
      </c>
      <c r="E29" s="14"/>
      <c r="F29" s="14"/>
    </row>
    <row r="30" spans="2:6" ht="29.4" customHeight="1">
      <c r="C30" s="15" t="s">
        <v>32</v>
      </c>
      <c r="D30" s="14" t="s">
        <v>33</v>
      </c>
      <c r="E30" s="14"/>
      <c r="F30" s="14"/>
    </row>
    <row r="31" spans="2:6" ht="16.2" customHeight="1">
      <c r="C31" s="16" t="s">
        <v>34</v>
      </c>
      <c r="D31" s="14" t="s">
        <v>35</v>
      </c>
      <c r="E31" s="14"/>
      <c r="F31" s="14"/>
    </row>
    <row r="32" spans="2:6" ht="18" customHeight="1">
      <c r="C32" s="17" t="s">
        <v>36</v>
      </c>
      <c r="D32" s="18" t="s">
        <v>37</v>
      </c>
      <c r="E32" s="19" t="s">
        <v>38</v>
      </c>
      <c r="F32" s="20" t="s">
        <v>39</v>
      </c>
    </row>
    <row r="33" spans="2:6" ht="26.76" customHeight="1">
      <c r="C33" s="21" t="s">
        <v>40</v>
      </c>
      <c r="D33" s="21"/>
      <c r="E33" s="21"/>
      <c r="F33" s="21"/>
    </row>
    <row r="35" spans="2:6" ht="21" customHeight="1">
      <c r="B35" s="8" t="s">
        <v>41</v>
      </c>
      <c r="C35" s="8"/>
      <c r="D35" s="8"/>
      <c r="E35" s="8"/>
      <c r="F35" s="8"/>
    </row>
    <row r="36" spans="2:6" ht="5" customHeight="1"/>
    <row r="37" spans="2:6" ht="26" customHeight="1">
      <c r="C37" s="17" t="s">
        <v>42</v>
      </c>
      <c r="D37" s="22" t="str">
        <f>SelfCheck</f>
        <v>PASS</v>
      </c>
      <c r="E37" s="23" t="str">
        <f>SelfCheckSummary</f>
        <v>37 of 37 checks pass</v>
      </c>
      <c r="F37" s="23"/>
    </row>
    <row r="38" spans="2:6" ht="26.76" customHeight="1">
      <c r="C38" s="21" t="s">
        <v>43</v>
      </c>
      <c r="D38" s="21"/>
      <c r="E38" s="21"/>
      <c r="F38" s="21"/>
    </row>
    <row r="39" spans="2:6">
      <c r="C39" s="17" t="s">
        <v>44</v>
      </c>
      <c r="D39" s="24" t="s">
        <v>45</v>
      </c>
      <c r="E39" s="24"/>
      <c r="F39" s="24"/>
    </row>
    <row r="40" spans="2:6">
      <c r="C40" s="17" t="s">
        <v>46</v>
      </c>
      <c r="D40" s="24" t="s">
        <v>47</v>
      </c>
      <c r="E40" s="24"/>
      <c r="F40" s="24"/>
    </row>
    <row r="41" spans="2:6">
      <c r="C41" s="17" t="s">
        <v>48</v>
      </c>
      <c r="D41" s="24" t="s">
        <v>49</v>
      </c>
      <c r="E41" s="24"/>
      <c r="F41" s="24"/>
    </row>
    <row r="42" spans="2:6">
      <c r="C42" s="17" t="s">
        <v>50</v>
      </c>
      <c r="D42" s="11" t="s">
        <v>51</v>
      </c>
      <c r="E42" s="11"/>
      <c r="F42" s="11"/>
    </row>
    <row r="44" spans="2:6" ht="21" customHeight="1">
      <c r="B44" s="8" t="s">
        <v>52</v>
      </c>
      <c r="C44" s="8"/>
      <c r="D44" s="8"/>
      <c r="E44" s="8"/>
      <c r="F44" s="8"/>
    </row>
    <row r="45" spans="2:6" ht="5" customHeight="1"/>
    <row r="46" spans="2:6" ht="75" customHeight="1">
      <c r="B46" s="25" t="s">
        <v>53</v>
      </c>
      <c r="C46" s="25"/>
      <c r="D46" s="25"/>
      <c r="E46" s="25"/>
      <c r="F46" s="25"/>
    </row>
    <row r="48" spans="2:6" ht="21" customHeight="1">
      <c r="B48" s="8" t="s">
        <v>54</v>
      </c>
      <c r="C48" s="8"/>
      <c r="D48" s="8"/>
      <c r="E48" s="8"/>
      <c r="F48" s="8"/>
    </row>
    <row r="49" spans="2:6" ht="5" customHeight="1"/>
    <row r="50" spans="2:6" ht="29.4" customHeight="1">
      <c r="B50" s="26" t="s">
        <v>55</v>
      </c>
      <c r="C50" s="10" t="s">
        <v>56</v>
      </c>
      <c r="D50" s="10"/>
      <c r="E50" s="10"/>
      <c r="F50" s="10"/>
    </row>
    <row r="51" spans="2:6" ht="16.2" customHeight="1">
      <c r="B51" s="26" t="s">
        <v>55</v>
      </c>
      <c r="C51" s="10" t="s">
        <v>57</v>
      </c>
      <c r="D51" s="10"/>
      <c r="E51" s="10"/>
      <c r="F51" s="10"/>
    </row>
    <row r="52" spans="2:6" ht="29.4" customHeight="1">
      <c r="B52" s="26" t="s">
        <v>55</v>
      </c>
      <c r="C52" s="10" t="s">
        <v>58</v>
      </c>
      <c r="D52" s="10"/>
      <c r="E52" s="10"/>
      <c r="F52" s="10"/>
    </row>
    <row r="53" spans="2:6" ht="16.2" customHeight="1">
      <c r="B53" s="26" t="s">
        <v>55</v>
      </c>
      <c r="C53" s="10" t="s">
        <v>59</v>
      </c>
      <c r="D53" s="10"/>
      <c r="E53" s="10"/>
      <c r="F53" s="10"/>
    </row>
    <row r="55" spans="2:6" ht="16.2" customHeight="1">
      <c r="B55" s="17" t="s">
        <v>60</v>
      </c>
      <c r="C55" s="17"/>
      <c r="D55" s="17"/>
      <c r="E55" s="17"/>
      <c r="F55" s="17"/>
    </row>
    <row r="56" spans="2:6" ht="26.76" customHeight="1">
      <c r="B56" s="21" t="s">
        <v>61</v>
      </c>
      <c r="C56" s="21"/>
      <c r="D56" s="21"/>
      <c r="E56" s="21"/>
      <c r="F56" s="21"/>
    </row>
  </sheetData>
  <sheetProtection sheet="1" formatColumns="0" formatRows="0"/>
  <mergeCells count="40">
    <mergeCell ref="A1:F1"/>
    <mergeCell ref="B2:E2"/>
    <mergeCell ref="D4:F4"/>
    <mergeCell ref="D5:F6"/>
    <mergeCell ref="D7:F7"/>
    <mergeCell ref="D8:F8"/>
    <mergeCell ref="B10:F10"/>
    <mergeCell ref="C12:F12"/>
    <mergeCell ref="C13:F13"/>
    <mergeCell ref="C14:F14"/>
    <mergeCell ref="C15:F15"/>
    <mergeCell ref="C16:F16"/>
    <mergeCell ref="B18:F18"/>
    <mergeCell ref="D20:F20"/>
    <mergeCell ref="D21:F21"/>
    <mergeCell ref="D22:F22"/>
    <mergeCell ref="D23:F23"/>
    <mergeCell ref="D24:F24"/>
    <mergeCell ref="D25:F25"/>
    <mergeCell ref="B27:F27"/>
    <mergeCell ref="D29:F29"/>
    <mergeCell ref="D30:F30"/>
    <mergeCell ref="D31:F31"/>
    <mergeCell ref="C33:F33"/>
    <mergeCell ref="B35:F35"/>
    <mergeCell ref="E37:F37"/>
    <mergeCell ref="C38:F38"/>
    <mergeCell ref="D39:F39"/>
    <mergeCell ref="D40:F40"/>
    <mergeCell ref="D41:F41"/>
    <mergeCell ref="D42:F42"/>
    <mergeCell ref="B44:F44"/>
    <mergeCell ref="B46:F46"/>
    <mergeCell ref="B48:F48"/>
    <mergeCell ref="C50:F50"/>
    <mergeCell ref="C51:F51"/>
    <mergeCell ref="C52:F52"/>
    <mergeCell ref="C53:F53"/>
    <mergeCell ref="B55:F55"/>
    <mergeCell ref="B56:F56"/>
  </mergeCells>
  <conditionalFormatting sqref="D37">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F2" r:id="rId1" tooltip="Free manufacturing calculators and templates"/>
    <hyperlink ref="C20" location="'Start Here'!A1" tooltip="Go to Start Here" display="Start Here"/>
    <hyperlink ref="C21" location="Setup!A1" tooltip="Go to Setup" display="Setup"/>
    <hyperlink ref="C22" location="'Observation Log'!A1" tooltip="Go to Observation Log" display="Observation Log"/>
    <hyperlink ref="C23" location="Dashboard!A1" tooltip="Go to Dashboard" display="Dashboard"/>
    <hyperlink ref="C24" location="Method!A1" tooltip="Go to Method" display="Method"/>
    <hyperlink ref="C25" location="Verify!A1" tooltip="Go to Verify" display="Verify"/>
    <hyperlink ref="D39" r:id="rId2"/>
    <hyperlink ref="D40" r:id="rId3"/>
    <hyperlink ref="D41" r:id="rId4"/>
  </hyperlinks>
  <printOptions horizontalCentered="1"/>
  <pageMargins left="0.4" right="0.4" top="0.7" bottom="0.65" header="0.3" footer="0.3"/>
  <pageSetup fitToHeight="0" orientation="portrait"/>
  <headerFooter>
    <oddHeader>&amp;L&amp;8MFG Calcs - Cycle Time Tracker&amp;R&amp;8&amp;A</oddHeader>
    <oddFooter>&amp;L&amp;8mfgcalcs.com - free manufacturing templates&amp;R&amp;8Page &amp;P of &amp;N</oddFooter>
  </headerFooter>
  <rowBreaks count="1" manualBreakCount="1">
    <brk id="26" max="16383" man="1"/>
  </rowBreaks>
  <drawing r:id="rId5"/>
</worksheet>
</file>

<file path=xl/worksheets/sheet2.xml><?xml version="1.0" encoding="utf-8"?>
<worksheet xmlns="http://schemas.openxmlformats.org/spreadsheetml/2006/main" xmlns:r="http://schemas.openxmlformats.org/officeDocument/2006/relationships">
  <sheetPr>
    <tabColor rgb="FFDE9C31"/>
    <pageSetUpPr fitToPage="1"/>
  </sheetPr>
  <dimension ref="A1:E34"/>
  <sheetViews>
    <sheetView showGridLines="0" workbookViewId="0"/>
  </sheetViews>
  <sheetFormatPr defaultRowHeight="15"/>
  <cols>
    <col min="1" max="1" width="2.7109375" customWidth="1"/>
    <col min="2" max="2" width="30.7109375" customWidth="1"/>
    <col min="3" max="3" width="14.7109375" customWidth="1"/>
    <col min="4" max="4" width="52.7109375" customWidth="1"/>
  </cols>
  <sheetData>
    <row r="1" spans="1:5" ht="30" customHeight="1">
      <c r="A1" s="1" t="s">
        <v>0</v>
      </c>
      <c r="B1" s="1"/>
      <c r="C1" s="1"/>
      <c r="D1" s="1"/>
      <c r="E1" s="1"/>
    </row>
    <row r="2" spans="1:5" ht="32.4" customHeight="1">
      <c r="B2" s="2" t="s">
        <v>20</v>
      </c>
      <c r="C2" s="2"/>
      <c r="D2" s="3" t="s">
        <v>2</v>
      </c>
      <c r="E2" s="3"/>
    </row>
    <row r="3" spans="1:5" ht="6" customHeight="1"/>
    <row r="4" spans="1:5" ht="21" customHeight="1">
      <c r="B4" s="8" t="s">
        <v>65</v>
      </c>
      <c r="C4" s="8"/>
      <c r="D4" s="8"/>
    </row>
    <row r="5" spans="1:5" ht="5" customHeight="1"/>
    <row r="6" spans="1:5">
      <c r="B6" s="27" t="s">
        <v>66</v>
      </c>
      <c r="C6" s="28" t="s">
        <v>67</v>
      </c>
      <c r="D6" s="28"/>
    </row>
    <row r="8" spans="1:5" ht="21" customHeight="1">
      <c r="B8" s="8" t="s">
        <v>68</v>
      </c>
      <c r="C8" s="8"/>
      <c r="D8" s="8"/>
    </row>
    <row r="9" spans="1:5" ht="5" customHeight="1"/>
    <row r="10" spans="1:5">
      <c r="B10" s="27" t="s">
        <v>69</v>
      </c>
      <c r="C10" s="29">
        <v>480</v>
      </c>
      <c r="D10" s="7" t="s">
        <v>70</v>
      </c>
    </row>
    <row r="11" spans="1:5">
      <c r="B11" s="27" t="s">
        <v>71</v>
      </c>
      <c r="C11" s="29">
        <v>40</v>
      </c>
      <c r="D11" s="7" t="s">
        <v>72</v>
      </c>
    </row>
    <row r="12" spans="1:5">
      <c r="B12" s="27" t="s">
        <v>73</v>
      </c>
      <c r="C12" s="29">
        <v>20</v>
      </c>
      <c r="D12" s="7" t="s">
        <v>72</v>
      </c>
    </row>
    <row r="13" spans="1:5">
      <c r="B13" s="27" t="s">
        <v>74</v>
      </c>
      <c r="C13" s="29">
        <v>450</v>
      </c>
      <c r="D13" s="7" t="s">
        <v>75</v>
      </c>
    </row>
    <row r="14" spans="1:5">
      <c r="B14" s="27" t="s">
        <v>76</v>
      </c>
      <c r="C14" s="30">
        <f>ShiftMin-BreakMin-PlannedDown</f>
        <v>420</v>
      </c>
      <c r="D14" s="7" t="s">
        <v>72</v>
      </c>
    </row>
    <row r="15" spans="1:5">
      <c r="B15" s="17" t="s">
        <v>68</v>
      </c>
      <c r="C15" s="31">
        <f>IF(AND(NetMin&gt;0,Demand&gt;0),NetMin*60/Demand,"")</f>
        <v>56</v>
      </c>
      <c r="D15" s="7" t="s">
        <v>77</v>
      </c>
    </row>
    <row r="17" spans="2:4" ht="35.4" customHeight="1">
      <c r="B17" s="25" t="s">
        <v>78</v>
      </c>
      <c r="C17" s="25"/>
      <c r="D17" s="25"/>
    </row>
    <row r="19" spans="2:4" ht="21" customHeight="1">
      <c r="B19" s="8" t="s">
        <v>79</v>
      </c>
      <c r="C19" s="8"/>
      <c r="D19" s="8"/>
    </row>
    <row r="20" spans="2:4" ht="5" customHeight="1"/>
    <row r="21" spans="2:4">
      <c r="B21" s="27" t="s">
        <v>80</v>
      </c>
      <c r="C21" s="32">
        <v>0.9</v>
      </c>
      <c r="D21" s="7" t="s">
        <v>81</v>
      </c>
    </row>
    <row r="22" spans="2:4">
      <c r="B22" s="27" t="s">
        <v>82</v>
      </c>
      <c r="C22" s="32">
        <v>1</v>
      </c>
      <c r="D22" s="7" t="s">
        <v>81</v>
      </c>
    </row>
    <row r="24" spans="2:4" ht="21" customHeight="1">
      <c r="B24" s="8" t="s">
        <v>83</v>
      </c>
      <c r="C24" s="8"/>
      <c r="D24" s="8"/>
    </row>
    <row r="25" spans="2:4" ht="5" customHeight="1"/>
    <row r="26" spans="2:4" ht="26.76" customHeight="1">
      <c r="B26" s="21" t="s">
        <v>84</v>
      </c>
      <c r="C26" s="21"/>
      <c r="D26" s="21"/>
    </row>
    <row r="27" spans="2:4">
      <c r="B27" s="33" t="s">
        <v>85</v>
      </c>
      <c r="C27" s="33"/>
      <c r="D27" s="33"/>
    </row>
    <row r="28" spans="2:4" ht="32" customHeight="1">
      <c r="B28" s="34" t="s">
        <v>62</v>
      </c>
      <c r="C28" s="34" t="s">
        <v>63</v>
      </c>
      <c r="D28" s="34" t="s">
        <v>64</v>
      </c>
    </row>
    <row r="29" spans="2:4">
      <c r="B29" s="28" t="s">
        <v>86</v>
      </c>
      <c r="C29" s="35">
        <v>46</v>
      </c>
      <c r="D29" s="28" t="s">
        <v>87</v>
      </c>
    </row>
    <row r="30" spans="2:4">
      <c r="B30" s="28" t="s">
        <v>88</v>
      </c>
      <c r="C30" s="35">
        <v>42</v>
      </c>
      <c r="D30" s="28" t="s">
        <v>89</v>
      </c>
    </row>
    <row r="31" spans="2:4">
      <c r="B31" s="28" t="s">
        <v>90</v>
      </c>
      <c r="C31" s="35">
        <v>49</v>
      </c>
      <c r="D31" s="28" t="s">
        <v>91</v>
      </c>
    </row>
    <row r="32" spans="2:4">
      <c r="B32" s="28" t="s">
        <v>92</v>
      </c>
      <c r="C32" s="35">
        <v>54</v>
      </c>
      <c r="D32" s="28" t="s">
        <v>93</v>
      </c>
    </row>
    <row r="33" spans="2:4">
      <c r="B33" s="28" t="s">
        <v>94</v>
      </c>
      <c r="C33" s="35">
        <v>51</v>
      </c>
      <c r="D33" s="28" t="s">
        <v>95</v>
      </c>
    </row>
    <row r="34" spans="2:4">
      <c r="B34" s="28" t="s">
        <v>96</v>
      </c>
      <c r="C34" s="35">
        <v>36</v>
      </c>
      <c r="D34" s="28" t="s">
        <v>97</v>
      </c>
    </row>
  </sheetData>
  <mergeCells count="11">
    <mergeCell ref="A1:E1"/>
    <mergeCell ref="B2:C2"/>
    <mergeCell ref="D2:E2"/>
    <mergeCell ref="B4:D4"/>
    <mergeCell ref="C6:D6"/>
    <mergeCell ref="B8:D8"/>
    <mergeCell ref="B17:D17"/>
    <mergeCell ref="B19:D19"/>
    <mergeCell ref="B24:D24"/>
    <mergeCell ref="B26:D26"/>
    <mergeCell ref="B27:D27"/>
  </mergeCells>
  <dataValidations count="10">
    <dataValidation type="textLength" allowBlank="1" showInputMessage="1" showErrorMessage="1" errorTitle="Check this entry" error="Text up to 80 characters." promptTitle="Line or cell name" prompt="Shown on the Dashboard. Text up to 80 characters." sqref="C6">
      <formula1>0</formula1>
      <formula2>80</formula2>
    </dataValidation>
    <dataValidation type="whole" allowBlank="1" showInputMessage="1" showErrorMessage="1" errorTitle="Check this entry" error="Enter a whole number from 1 to 1,440." promptTitle="Shift length" prompt="Paid shift length from start to finish. Enter a whole number from 1 to 1,440." sqref="C10">
      <formula1>1</formula1>
      <formula2>1440</formula2>
    </dataValidation>
    <dataValidation type="whole" allowBlank="1" showInputMessage="1" showErrorMessage="1" errorTitle="Check this entry" error="Enter a whole number from 0 to 1,440." promptTitle="Breaks and meetings" prompt="Breaks, lunch, start-of-shift meetings: time the line does not run by plan. Enter a whole number from 0 to 1,440." sqref="C11">
      <formula1>0</formula1>
      <formula2>1440</formula2>
    </dataValidation>
    <dataValidation type="whole" allowBlank="1" showInputMessage="1" showErrorMessage="1" errorTitle="Check this entry" error="Enter a whole number from 0 to 1,440." promptTitle="Planned downtime" prompt="Planned stops inside the shift: start-up checks, cleaning, planned maintenance. Enter a whole number from 0 to 1,440." sqref="C12">
      <formula1>0</formula1>
      <formula2>1440</formula2>
    </dataValidation>
    <dataValidation type="whole" allowBlank="1" showInputMessage="1" showErrorMessage="1" errorTitle="Check this entry" error="Enter a whole number from 1 to 10,000,000." promptTitle="Customer demand" prompt="Good units the customer needs from this line per shift. Enter a whole number from 1 to 10,000,000." sqref="C13">
      <formula1>1</formula1>
      <formula2>10000000</formula2>
    </dataValidation>
    <dataValidation type="decimal" allowBlank="1" showInputMessage="1" showErrorMessage="1" errorTitle="Check this entry" error="Enter a percentage from 0% to 200% (type 85% or 0.85)." promptTitle="Near capacity from" prompt="A station whose average cycle reaches this share of takt has little room for variation. Your own threshold; 90% is the example's choice, not a standard. Enter a percentage from 0% to 200% (type 85% or 0.85)." sqref="C21">
      <formula1>0</formula1>
      <formula2>2</formula2>
    </dataValidation>
    <dataValidation type="decimal" allowBlank="1" showInputMessage="1" showErrorMessage="1" errorTitle="Check this entry" error="Enter a percentage from 0% to 300% (type 85% or 0.85)." promptTitle="Over capacity above" prompt="Above this share of takt the station cannot keep pace with demand. 100% means slower than takt. Enter a percentage from 0% to 300% (type 85% or 0.85)." sqref="C22">
      <formula1>0</formula1>
      <formula2>3</formula2>
    </dataValidation>
    <dataValidation type="textLength" allowBlank="1" showInputMessage="1" showErrorMessage="1" errorTitle="Check this entry" error="Text up to 24 characters." promptTitle="Station" prompt="Text up to 24 characters." sqref="B29:B134">
      <formula1>0</formula1>
      <formula2>24</formula2>
    </dataValidation>
    <dataValidation type="decimal" allowBlank="1" showInputMessage="1" showErrorMessage="1" errorTitle="Check this entry" error="Enter a number from 0.1 to 86,400." promptTitle="Standard cycle (s)" prompt="Engineered or agreed seconds per unit at this station. Enter a number from 0.1 to 86,400." sqref="C29:C134">
      <formula1>0.1</formula1>
      <formula2>86400</formula2>
    </dataValidation>
    <dataValidation type="textLength" allowBlank="1" showInputMessage="1" showErrorMessage="1" errorTitle="Check this entry" error="Text up to 160 characters." promptTitle="Work content" prompt="Text up to 160 characters." sqref="D29:D134">
      <formula1>0</formula1>
      <formula2>160</formula2>
    </dataValidation>
  </dataValidations>
  <hyperlinks>
    <hyperlink ref="D2" r:id="rId1" tooltip="Free manufacturing calculators and templates"/>
  </hyperlinks>
  <pageMargins left="0.4" right="0.4" top="0.7" bottom="0.65" header="0.3" footer="0.3"/>
  <pageSetup fitToHeight="0" orientation="portrait"/>
  <headerFooter>
    <oddHeader>&amp;L&amp;8MFG Calcs - Cycle Time Tracker&amp;R&amp;8&amp;A</oddHeader>
    <oddFooter>&amp;L&amp;8mfgcalcs.com - free manufacturing templates&amp;R&amp;8Page &amp;P of &amp;N</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B64D8"/>
    <pageSetUpPr fitToPage="1"/>
  </sheetPr>
  <dimension ref="A1:N125"/>
  <sheetViews>
    <sheetView workbookViewId="0">
      <pane xSplit="3" ySplit="5" topLeftCell="D6" activePane="bottomRight" state="frozen"/>
      <selection pane="topRight" activeCell="D1" sqref="D1"/>
      <selection pane="bottomLeft" activeCell="A6" sqref="A6"/>
      <selection pane="bottomRight"/>
    </sheetView>
  </sheetViews>
  <sheetFormatPr defaultRowHeight="15" x14ac:dyDescent="0.25"/>
  <cols>
    <col min="1" max="1" width="2.7109375" customWidth="1"/>
    <col min="2" max="2" width="12.28515625" customWidth="1"/>
    <col min="3" max="3" width="14.7109375" customWidth="1"/>
    <col min="4" max="4" width="9.7109375" customWidth="1"/>
    <col min="5" max="5" width="9.28515625" customWidth="1"/>
    <col min="6" max="6" width="8.7109375" customWidth="1"/>
    <col min="7" max="7" width="10.28515625" customWidth="1"/>
    <col min="8" max="9" width="10.7109375" customWidth="1"/>
    <col min="10" max="10" width="13.7109375" customWidth="1"/>
    <col min="11" max="11" width="12.28515625" customWidth="1"/>
    <col min="12" max="12" width="8.7109375" customWidth="1"/>
    <col min="13" max="13" width="26.7109375" customWidth="1"/>
    <col min="14" max="14" width="34.7109375" customWidth="1"/>
  </cols>
  <sheetData>
    <row r="1" spans="1:14" ht="30" customHeight="1" x14ac:dyDescent="0.25">
      <c r="A1" s="1" t="s">
        <v>0</v>
      </c>
      <c r="B1" s="1"/>
      <c r="C1" s="1"/>
      <c r="D1" s="1"/>
      <c r="E1" s="1"/>
      <c r="F1" s="1"/>
      <c r="G1" s="1"/>
      <c r="H1" s="1"/>
      <c r="I1" s="1"/>
      <c r="J1" s="1"/>
      <c r="K1" s="1"/>
      <c r="L1" s="1"/>
      <c r="M1" s="1"/>
      <c r="N1" s="1"/>
    </row>
    <row r="2" spans="1:14" ht="21" customHeight="1" x14ac:dyDescent="0.25">
      <c r="B2" s="2" t="s">
        <v>22</v>
      </c>
      <c r="C2" s="2"/>
      <c r="D2" s="2"/>
      <c r="E2" s="2"/>
      <c r="F2" s="2"/>
      <c r="G2" s="2"/>
      <c r="H2" s="2"/>
      <c r="I2" s="2"/>
      <c r="J2" s="2"/>
      <c r="K2" s="2"/>
      <c r="L2" s="2"/>
      <c r="M2" s="2"/>
      <c r="N2" s="3" t="s">
        <v>2</v>
      </c>
    </row>
    <row r="3" spans="1:14" ht="6" customHeight="1" x14ac:dyDescent="0.25"/>
    <row r="4" spans="1:14" ht="29.76" customHeight="1" x14ac:dyDescent="0.25">
      <c r="B4" s="36" t="s">
        <v>110</v>
      </c>
      <c r="C4" s="36"/>
      <c r="D4" s="36"/>
      <c r="E4" s="36"/>
      <c r="F4" s="36"/>
      <c r="G4" s="36"/>
      <c r="H4" s="36"/>
      <c r="I4" s="36"/>
      <c r="J4" s="36"/>
      <c r="K4" s="36"/>
      <c r="L4" s="36"/>
      <c r="M4" s="36"/>
      <c r="N4" s="36"/>
    </row>
    <row r="5" spans="1:14" ht="32" customHeight="1" x14ac:dyDescent="0.25">
      <c r="B5" s="34" t="s">
        <v>98</v>
      </c>
      <c r="C5" s="34" t="s">
        <v>62</v>
      </c>
      <c r="D5" s="34" t="s">
        <v>99</v>
      </c>
      <c r="E5" s="34" t="s">
        <v>100</v>
      </c>
      <c r="F5" s="34" t="s">
        <v>101</v>
      </c>
      <c r="G5" s="34" t="s">
        <v>102</v>
      </c>
      <c r="H5" s="34" t="s">
        <v>103</v>
      </c>
      <c r="I5" s="34" t="s">
        <v>104</v>
      </c>
      <c r="J5" s="34" t="s">
        <v>105</v>
      </c>
      <c r="K5" s="34" t="s">
        <v>106</v>
      </c>
      <c r="L5" s="34" t="s">
        <v>107</v>
      </c>
      <c r="M5" s="34" t="s">
        <v>108</v>
      </c>
      <c r="N5" s="34" t="s">
        <v>109</v>
      </c>
    </row>
    <row r="6" spans="1:14" x14ac:dyDescent="0.25">
      <c r="B6" s="37">
        <v>46273</v>
      </c>
      <c r="C6" s="28" t="s">
        <v>86</v>
      </c>
      <c r="D6" s="28" t="s">
        <v>111</v>
      </c>
      <c r="E6" s="35">
        <v>47.1</v>
      </c>
      <c r="F6" s="28" t="s">
        <v>112</v>
      </c>
      <c r="G6" s="38">
        <f>IF(tblObs[[#This Row],[Date]]="","",IFERROR(INDEX(tblStations[Standard cycle (s)],MATCH(tblObs[[#This Row],[Station]],tblStations[Station],0)),""))</f>
        <v>46</v>
      </c>
      <c r="H6" s="39">
        <f>IF(tblObs[[#This Row],[Date]]="","",IF(ISNUMBER(tblObs[[#This Row],[Standard (s)]]),tblObs[[#This Row],[Cycle (s)]]-tblObs[[#This Row],[Standard (s)]],""))</f>
        <v>1.1</v>
      </c>
      <c r="I6" s="40">
        <f>IF(tblObs[[#This Row],[Date]]="","",IF(ISNUMBER(Takt),tblObs[[#This Row],[Cycle (s)]]/Takt,""))</f>
        <v>0.841071428571429</v>
      </c>
      <c r="J6" s="41" t="str">
        <f>IF(tblObs[[#This Row],[Date]]="","",IF(tblObs[[#This Row],[Exclude]]="Yes","Excluded",IF(NOT(ISNUMBER(tblObs[[#This Row],[Loading (% of takt)]])),"",IF(tblObs[[#This Row],[Loading (% of takt)]]&gt;OverAt,"Over capacity",IF(tblObs[[#This Row],[Loading (% of takt)]]&gt;=NearAt,"Near capacity","Under capacity")))))</f>
        <v>Under capacity</v>
      </c>
      <c r="K6" s="42">
        <f>IF(tblObs[[#This Row],[Date]]="","",IF(AND(tblObs[[#This Row],[Exclude]]&lt;&gt;"Yes",tblObs[[#This Row],[Date]]&gt;=FFrom,tblObs[[#This Row],[Date]]&lt;=FTo),tblObs[[#This Row],[Date]],""))</f>
        <v>46273</v>
      </c>
      <c r="L6" s="30">
        <f>IF(tblObs[[#This Row],[Date]]="","",IF(AND(tblObs[[#This Row],[Station]]=ChartStation,ISNUMBER(tblObs[[#This Row],[View date]])),COUNTIFS(INDEX(tblObs[Station],1):tblObs[[#This Row],[Station]],tblObs[[#This Row],[Station]],INDEX(tblObs[View date],1):tblObs[[#This Row],[View date]],"&gt;0"),""))</f>
        <v/>
      </c>
      <c r="M6" s="43" t="str">
        <f>IF(tblObs[[#This Row],[Date]]="","",IF(tblObs[[#This Row],[Station]]="","Missing station",IF(tblObs[[#This Row],[Cycle (s)]]="","Missing cycle",IF(tblObs[[#This Row],[Exclude]]="","Missing exclude",IF(COUNTIF(tblStations[Station],tblObs[[#This Row],[Station]])=0,"Station not on Setup list",IF(AND(tblObs[[#This Row],[Exclude]]="Yes",tblObs[[#This Row],[Notes]]=""),"Exclude: no reason",IF(AND(tblObs[[#This Row],[Exclude]]&lt;&gt;"Yes",ISNUMBER(tblObs[[#This Row],[Standard (s)]]),tblObs[[#This Row],[Cycle (s)]]&gt;2*tblObs[[#This Row],[Standard (s)]]),"Over 2x standard","OK")))))))</f>
        <v>OK</v>
      </c>
      <c r="N6" s="44" t="s">
        <v>113</v>
      </c>
    </row>
    <row r="7" spans="1:14" x14ac:dyDescent="0.25">
      <c r="B7" s="37">
        <v>46273</v>
      </c>
      <c r="C7" s="28" t="s">
        <v>86</v>
      </c>
      <c r="D7" s="28" t="s">
        <v>111</v>
      </c>
      <c r="E7" s="35">
        <v>48.4</v>
      </c>
      <c r="F7" s="28" t="s">
        <v>112</v>
      </c>
      <c r="G7" s="38">
        <f>IF(tblObs[[#This Row],[Date]]="","",IFERROR(INDEX(tblStations[Standard cycle (s)],MATCH(tblObs[[#This Row],[Station]],tblStations[Station],0)),""))</f>
        <v>46</v>
      </c>
      <c r="H7" s="39">
        <f>IF(tblObs[[#This Row],[Date]]="","",IF(ISNUMBER(tblObs[[#This Row],[Standard (s)]]),tblObs[[#This Row],[Cycle (s)]]-tblObs[[#This Row],[Standard (s)]],""))</f>
        <v>2.4</v>
      </c>
      <c r="I7" s="40">
        <f>IF(tblObs[[#This Row],[Date]]="","",IF(ISNUMBER(Takt),tblObs[[#This Row],[Cycle (s)]]/Takt,""))</f>
        <v>0.864285714285714</v>
      </c>
      <c r="J7" s="41" t="str">
        <f>IF(tblObs[[#This Row],[Date]]="","",IF(tblObs[[#This Row],[Exclude]]="Yes","Excluded",IF(NOT(ISNUMBER(tblObs[[#This Row],[Loading (% of takt)]])),"",IF(tblObs[[#This Row],[Loading (% of takt)]]&gt;OverAt,"Over capacity",IF(tblObs[[#This Row],[Loading (% of takt)]]&gt;=NearAt,"Near capacity","Under capacity")))))</f>
        <v>Under capacity</v>
      </c>
      <c r="K7" s="42">
        <f>IF(tblObs[[#This Row],[Date]]="","",IF(AND(tblObs[[#This Row],[Exclude]]&lt;&gt;"Yes",tblObs[[#This Row],[Date]]&gt;=FFrom,tblObs[[#This Row],[Date]]&lt;=FTo),tblObs[[#This Row],[Date]],""))</f>
        <v>46273</v>
      </c>
      <c r="L7" s="30">
        <f>IF(tblObs[[#This Row],[Date]]="","",IF(AND(tblObs[[#This Row],[Station]]=ChartStation,ISNUMBER(tblObs[[#This Row],[View date]])),COUNTIFS(INDEX(tblObs[Station],1):tblObs[[#This Row],[Station]],tblObs[[#This Row],[Station]],INDEX(tblObs[View date],1):tblObs[[#This Row],[View date]],"&gt;0"),""))</f>
        <v/>
      </c>
      <c r="M7" s="43" t="str">
        <f>IF(tblObs[[#This Row],[Date]]="","",IF(tblObs[[#This Row],[Station]]="","Missing station",IF(tblObs[[#This Row],[Cycle (s)]]="","Missing cycle",IF(tblObs[[#This Row],[Exclude]]="","Missing exclude",IF(COUNTIF(tblStations[Station],tblObs[[#This Row],[Station]])=0,"Station not on Setup list",IF(AND(tblObs[[#This Row],[Exclude]]="Yes",tblObs[[#This Row],[Notes]]=""),"Exclude: no reason",IF(AND(tblObs[[#This Row],[Exclude]]&lt;&gt;"Yes",ISNUMBER(tblObs[[#This Row],[Standard (s)]]),tblObs[[#This Row],[Cycle (s)]]&gt;2*tblObs[[#This Row],[Standard (s)]]),"Over 2x standard","OK")))))))</f>
        <v>OK</v>
      </c>
      <c r="N7" s="44" t="s">
        <v>113</v>
      </c>
    </row>
    <row r="8" spans="1:14" x14ac:dyDescent="0.25">
      <c r="B8" s="37">
        <v>46273</v>
      </c>
      <c r="C8" s="28" t="s">
        <v>86</v>
      </c>
      <c r="D8" s="28" t="s">
        <v>111</v>
      </c>
      <c r="E8" s="35">
        <v>49.2</v>
      </c>
      <c r="F8" s="28" t="s">
        <v>112</v>
      </c>
      <c r="G8" s="38">
        <f>IF(tblObs[[#This Row],[Date]]="","",IFERROR(INDEX(tblStations[Standard cycle (s)],MATCH(tblObs[[#This Row],[Station]],tblStations[Station],0)),""))</f>
        <v>46</v>
      </c>
      <c r="H8" s="39">
        <f>IF(tblObs[[#This Row],[Date]]="","",IF(ISNUMBER(tblObs[[#This Row],[Standard (s)]]),tblObs[[#This Row],[Cycle (s)]]-tblObs[[#This Row],[Standard (s)]],""))</f>
        <v>3.2</v>
      </c>
      <c r="I8" s="40">
        <f>IF(tblObs[[#This Row],[Date]]="","",IF(ISNUMBER(Takt),tblObs[[#This Row],[Cycle (s)]]/Takt,""))</f>
        <v>0.878571428571429</v>
      </c>
      <c r="J8" s="41" t="str">
        <f>IF(tblObs[[#This Row],[Date]]="","",IF(tblObs[[#This Row],[Exclude]]="Yes","Excluded",IF(NOT(ISNUMBER(tblObs[[#This Row],[Loading (% of takt)]])),"",IF(tblObs[[#This Row],[Loading (% of takt)]]&gt;OverAt,"Over capacity",IF(tblObs[[#This Row],[Loading (% of takt)]]&gt;=NearAt,"Near capacity","Under capacity")))))</f>
        <v>Under capacity</v>
      </c>
      <c r="K8" s="42">
        <f>IF(tblObs[[#This Row],[Date]]="","",IF(AND(tblObs[[#This Row],[Exclude]]&lt;&gt;"Yes",tblObs[[#This Row],[Date]]&gt;=FFrom,tblObs[[#This Row],[Date]]&lt;=FTo),tblObs[[#This Row],[Date]],""))</f>
        <v>46273</v>
      </c>
      <c r="L8" s="30">
        <f>IF(tblObs[[#This Row],[Date]]="","",IF(AND(tblObs[[#This Row],[Station]]=ChartStation,ISNUMBER(tblObs[[#This Row],[View date]])),COUNTIFS(INDEX(tblObs[Station],1):tblObs[[#This Row],[Station]],tblObs[[#This Row],[Station]],INDEX(tblObs[View date],1):tblObs[[#This Row],[View date]],"&gt;0"),""))</f>
        <v/>
      </c>
      <c r="M8" s="43" t="str">
        <f>IF(tblObs[[#This Row],[Date]]="","",IF(tblObs[[#This Row],[Station]]="","Missing station",IF(tblObs[[#This Row],[Cycle (s)]]="","Missing cycle",IF(tblObs[[#This Row],[Exclude]]="","Missing exclude",IF(COUNTIF(tblStations[Station],tblObs[[#This Row],[Station]])=0,"Station not on Setup list",IF(AND(tblObs[[#This Row],[Exclude]]="Yes",tblObs[[#This Row],[Notes]]=""),"Exclude: no reason",IF(AND(tblObs[[#This Row],[Exclude]]&lt;&gt;"Yes",ISNUMBER(tblObs[[#This Row],[Standard (s)]]),tblObs[[#This Row],[Cycle (s)]]&gt;2*tblObs[[#This Row],[Standard (s)]]),"Over 2x standard","OK")))))))</f>
        <v>OK</v>
      </c>
      <c r="N8" s="44" t="s">
        <v>113</v>
      </c>
    </row>
    <row r="9" spans="1:14" x14ac:dyDescent="0.25">
      <c r="B9" s="37">
        <v>46273</v>
      </c>
      <c r="C9" s="28" t="s">
        <v>86</v>
      </c>
      <c r="D9" s="28" t="s">
        <v>111</v>
      </c>
      <c r="E9" s="35">
        <v>49.2</v>
      </c>
      <c r="F9" s="28" t="s">
        <v>112</v>
      </c>
      <c r="G9" s="38">
        <f>IF(tblObs[[#This Row],[Date]]="","",IFERROR(INDEX(tblStations[Standard cycle (s)],MATCH(tblObs[[#This Row],[Station]],tblStations[Station],0)),""))</f>
        <v>46</v>
      </c>
      <c r="H9" s="39">
        <f>IF(tblObs[[#This Row],[Date]]="","",IF(ISNUMBER(tblObs[[#This Row],[Standard (s)]]),tblObs[[#This Row],[Cycle (s)]]-tblObs[[#This Row],[Standard (s)]],""))</f>
        <v>3.2</v>
      </c>
      <c r="I9" s="40">
        <f>IF(tblObs[[#This Row],[Date]]="","",IF(ISNUMBER(Takt),tblObs[[#This Row],[Cycle (s)]]/Takt,""))</f>
        <v>0.878571428571429</v>
      </c>
      <c r="J9" s="41" t="str">
        <f>IF(tblObs[[#This Row],[Date]]="","",IF(tblObs[[#This Row],[Exclude]]="Yes","Excluded",IF(NOT(ISNUMBER(tblObs[[#This Row],[Loading (% of takt)]])),"",IF(tblObs[[#This Row],[Loading (% of takt)]]&gt;OverAt,"Over capacity",IF(tblObs[[#This Row],[Loading (% of takt)]]&gt;=NearAt,"Near capacity","Under capacity")))))</f>
        <v>Under capacity</v>
      </c>
      <c r="K9" s="42">
        <f>IF(tblObs[[#This Row],[Date]]="","",IF(AND(tblObs[[#This Row],[Exclude]]&lt;&gt;"Yes",tblObs[[#This Row],[Date]]&gt;=FFrom,tblObs[[#This Row],[Date]]&lt;=FTo),tblObs[[#This Row],[Date]],""))</f>
        <v>46273</v>
      </c>
      <c r="L9" s="30">
        <f>IF(tblObs[[#This Row],[Date]]="","",IF(AND(tblObs[[#This Row],[Station]]=ChartStation,ISNUMBER(tblObs[[#This Row],[View date]])),COUNTIFS(INDEX(tblObs[Station],1):tblObs[[#This Row],[Station]],tblObs[[#This Row],[Station]],INDEX(tblObs[View date],1):tblObs[[#This Row],[View date]],"&gt;0"),""))</f>
        <v/>
      </c>
      <c r="M9" s="43" t="str">
        <f>IF(tblObs[[#This Row],[Date]]="","",IF(tblObs[[#This Row],[Station]]="","Missing station",IF(tblObs[[#This Row],[Cycle (s)]]="","Missing cycle",IF(tblObs[[#This Row],[Exclude]]="","Missing exclude",IF(COUNTIF(tblStations[Station],tblObs[[#This Row],[Station]])=0,"Station not on Setup list",IF(AND(tblObs[[#This Row],[Exclude]]="Yes",tblObs[[#This Row],[Notes]]=""),"Exclude: no reason",IF(AND(tblObs[[#This Row],[Exclude]]&lt;&gt;"Yes",ISNUMBER(tblObs[[#This Row],[Standard (s)]]),tblObs[[#This Row],[Cycle (s)]]&gt;2*tblObs[[#This Row],[Standard (s)]]),"Over 2x standard","OK")))))))</f>
        <v>OK</v>
      </c>
      <c r="N9" s="44" t="s">
        <v>113</v>
      </c>
    </row>
    <row r="10" spans="1:14" x14ac:dyDescent="0.25">
      <c r="B10" s="37">
        <v>46273</v>
      </c>
      <c r="C10" s="28" t="s">
        <v>86</v>
      </c>
      <c r="D10" s="28" t="s">
        <v>111</v>
      </c>
      <c r="E10" s="35">
        <v>71.40000000000001</v>
      </c>
      <c r="F10" s="28" t="s">
        <v>114</v>
      </c>
      <c r="G10" s="38">
        <f>IF(tblObs[[#This Row],[Date]]="","",IFERROR(INDEX(tblStations[Standard cycle (s)],MATCH(tblObs[[#This Row],[Station]],tblStations[Station],0)),""))</f>
        <v>46</v>
      </c>
      <c r="H10" s="39">
        <f>IF(tblObs[[#This Row],[Date]]="","",IF(ISNUMBER(tblObs[[#This Row],[Standard (s)]]),tblObs[[#This Row],[Cycle (s)]]-tblObs[[#This Row],[Standard (s)]],""))</f>
        <v>25.4</v>
      </c>
      <c r="I10" s="40">
        <f>IF(tblObs[[#This Row],[Date]]="","",IF(ISNUMBER(Takt),tblObs[[#This Row],[Cycle (s)]]/Takt,""))</f>
        <v>1.275</v>
      </c>
      <c r="J10" s="41" t="str">
        <f>IF(tblObs[[#This Row],[Date]]="","",IF(tblObs[[#This Row],[Exclude]]="Yes","Excluded",IF(NOT(ISNUMBER(tblObs[[#This Row],[Loading (% of takt)]])),"",IF(tblObs[[#This Row],[Loading (% of takt)]]&gt;OverAt,"Over capacity",IF(tblObs[[#This Row],[Loading (% of takt)]]&gt;=NearAt,"Near capacity","Under capacity")))))</f>
        <v>Excluded</v>
      </c>
      <c r="K10" s="42">
        <f>IF(tblObs[[#This Row],[Date]]="","",IF(AND(tblObs[[#This Row],[Exclude]]&lt;&gt;"Yes",tblObs[[#This Row],[Date]]&gt;=FFrom,tblObs[[#This Row],[Date]]&lt;=FTo),tblObs[[#This Row],[Date]],""))</f>
        <v/>
      </c>
      <c r="L10" s="30">
        <f>IF(tblObs[[#This Row],[Date]]="","",IF(AND(tblObs[[#This Row],[Station]]=ChartStation,ISNUMBER(tblObs[[#This Row],[View date]])),COUNTIFS(INDEX(tblObs[Station],1):tblObs[[#This Row],[Station]],tblObs[[#This Row],[Station]],INDEX(tblObs[View date],1):tblObs[[#This Row],[View date]],"&gt;0"),""))</f>
        <v/>
      </c>
      <c r="M10" s="43" t="str">
        <f>IF(tblObs[[#This Row],[Date]]="","",IF(tblObs[[#This Row],[Station]]="","Missing station",IF(tblObs[[#This Row],[Cycle (s)]]="","Missing cycle",IF(tblObs[[#This Row],[Exclude]]="","Missing exclude",IF(COUNTIF(tblStations[Station],tblObs[[#This Row],[Station]])=0,"Station not on Setup list",IF(AND(tblObs[[#This Row],[Exclude]]="Yes",tblObs[[#This Row],[Notes]]=""),"Exclude: no reason",IF(AND(tblObs[[#This Row],[Exclude]]&lt;&gt;"Yes",ISNUMBER(tblObs[[#This Row],[Standard (s)]]),tblObs[[#This Row],[Cycle (s)]]&gt;2*tblObs[[#This Row],[Standard (s)]]),"Over 2x standard","OK")))))))</f>
        <v>OK</v>
      </c>
      <c r="N10" s="44" t="s">
        <v>115</v>
      </c>
    </row>
    <row r="11" spans="1:14" x14ac:dyDescent="0.25">
      <c r="B11" s="37">
        <v>46273</v>
      </c>
      <c r="C11" s="28" t="s">
        <v>86</v>
      </c>
      <c r="D11" s="28" t="s">
        <v>111</v>
      </c>
      <c r="E11" s="35">
        <v>46.8</v>
      </c>
      <c r="F11" s="28" t="s">
        <v>112</v>
      </c>
      <c r="G11" s="38">
        <f>IF(tblObs[[#This Row],[Date]]="","",IFERROR(INDEX(tblStations[Standard cycle (s)],MATCH(tblObs[[#This Row],[Station]],tblStations[Station],0)),""))</f>
        <v>46</v>
      </c>
      <c r="H11" s="39">
        <f>IF(tblObs[[#This Row],[Date]]="","",IF(ISNUMBER(tblObs[[#This Row],[Standard (s)]]),tblObs[[#This Row],[Cycle (s)]]-tblObs[[#This Row],[Standard (s)]],""))</f>
        <v>0.799999999999997</v>
      </c>
      <c r="I11" s="40">
        <f>IF(tblObs[[#This Row],[Date]]="","",IF(ISNUMBER(Takt),tblObs[[#This Row],[Cycle (s)]]/Takt,""))</f>
        <v>0.835714285714286</v>
      </c>
      <c r="J11" s="41" t="str">
        <f>IF(tblObs[[#This Row],[Date]]="","",IF(tblObs[[#This Row],[Exclude]]="Yes","Excluded",IF(NOT(ISNUMBER(tblObs[[#This Row],[Loading (% of takt)]])),"",IF(tblObs[[#This Row],[Loading (% of takt)]]&gt;OverAt,"Over capacity",IF(tblObs[[#This Row],[Loading (% of takt)]]&gt;=NearAt,"Near capacity","Under capacity")))))</f>
        <v>Under capacity</v>
      </c>
      <c r="K11" s="42">
        <f>IF(tblObs[[#This Row],[Date]]="","",IF(AND(tblObs[[#This Row],[Exclude]]&lt;&gt;"Yes",tblObs[[#This Row],[Date]]&gt;=FFrom,tblObs[[#This Row],[Date]]&lt;=FTo),tblObs[[#This Row],[Date]],""))</f>
        <v>46273</v>
      </c>
      <c r="L11" s="30">
        <f>IF(tblObs[[#This Row],[Date]]="","",IF(AND(tblObs[[#This Row],[Station]]=ChartStation,ISNUMBER(tblObs[[#This Row],[View date]])),COUNTIFS(INDEX(tblObs[Station],1):tblObs[[#This Row],[Station]],tblObs[[#This Row],[Station]],INDEX(tblObs[View date],1):tblObs[[#This Row],[View date]],"&gt;0"),""))</f>
        <v/>
      </c>
      <c r="M11" s="43" t="str">
        <f>IF(tblObs[[#This Row],[Date]]="","",IF(tblObs[[#This Row],[Station]]="","Missing station",IF(tblObs[[#This Row],[Cycle (s)]]="","Missing cycle",IF(tblObs[[#This Row],[Exclude]]="","Missing exclude",IF(COUNTIF(tblStations[Station],tblObs[[#This Row],[Station]])=0,"Station not on Setup list",IF(AND(tblObs[[#This Row],[Exclude]]="Yes",tblObs[[#This Row],[Notes]]=""),"Exclude: no reason",IF(AND(tblObs[[#This Row],[Exclude]]&lt;&gt;"Yes",ISNUMBER(tblObs[[#This Row],[Standard (s)]]),tblObs[[#This Row],[Cycle (s)]]&gt;2*tblObs[[#This Row],[Standard (s)]]),"Over 2x standard","OK")))))))</f>
        <v>OK</v>
      </c>
      <c r="N11" s="44" t="s">
        <v>113</v>
      </c>
    </row>
    <row r="12" spans="1:14" x14ac:dyDescent="0.25">
      <c r="B12" s="37">
        <v>46273</v>
      </c>
      <c r="C12" s="28" t="s">
        <v>86</v>
      </c>
      <c r="D12" s="28" t="s">
        <v>111</v>
      </c>
      <c r="E12" s="35">
        <v>47.3</v>
      </c>
      <c r="F12" s="28" t="s">
        <v>112</v>
      </c>
      <c r="G12" s="38">
        <f>IF(tblObs[[#This Row],[Date]]="","",IFERROR(INDEX(tblStations[Standard cycle (s)],MATCH(tblObs[[#This Row],[Station]],tblStations[Station],0)),""))</f>
        <v>46</v>
      </c>
      <c r="H12" s="39">
        <f>IF(tblObs[[#This Row],[Date]]="","",IF(ISNUMBER(tblObs[[#This Row],[Standard (s)]]),tblObs[[#This Row],[Cycle (s)]]-tblObs[[#This Row],[Standard (s)]],""))</f>
        <v>1.3</v>
      </c>
      <c r="I12" s="40">
        <f>IF(tblObs[[#This Row],[Date]]="","",IF(ISNUMBER(Takt),tblObs[[#This Row],[Cycle (s)]]/Takt,""))</f>
        <v>0.844642857142857</v>
      </c>
      <c r="J12" s="41" t="str">
        <f>IF(tblObs[[#This Row],[Date]]="","",IF(tblObs[[#This Row],[Exclude]]="Yes","Excluded",IF(NOT(ISNUMBER(tblObs[[#This Row],[Loading (% of takt)]])),"",IF(tblObs[[#This Row],[Loading (% of takt)]]&gt;OverAt,"Over capacity",IF(tblObs[[#This Row],[Loading (% of takt)]]&gt;=NearAt,"Near capacity","Under capacity")))))</f>
        <v>Under capacity</v>
      </c>
      <c r="K12" s="42">
        <f>IF(tblObs[[#This Row],[Date]]="","",IF(AND(tblObs[[#This Row],[Exclude]]&lt;&gt;"Yes",tblObs[[#This Row],[Date]]&gt;=FFrom,tblObs[[#This Row],[Date]]&lt;=FTo),tblObs[[#This Row],[Date]],""))</f>
        <v>46273</v>
      </c>
      <c r="L12" s="30">
        <f>IF(tblObs[[#This Row],[Date]]="","",IF(AND(tblObs[[#This Row],[Station]]=ChartStation,ISNUMBER(tblObs[[#This Row],[View date]])),COUNTIFS(INDEX(tblObs[Station],1):tblObs[[#This Row],[Station]],tblObs[[#This Row],[Station]],INDEX(tblObs[View date],1):tblObs[[#This Row],[View date]],"&gt;0"),""))</f>
        <v/>
      </c>
      <c r="M12" s="43" t="str">
        <f>IF(tblObs[[#This Row],[Date]]="","",IF(tblObs[[#This Row],[Station]]="","Missing station",IF(tblObs[[#This Row],[Cycle (s)]]="","Missing cycle",IF(tblObs[[#This Row],[Exclude]]="","Missing exclude",IF(COUNTIF(tblStations[Station],tblObs[[#This Row],[Station]])=0,"Station not on Setup list",IF(AND(tblObs[[#This Row],[Exclude]]="Yes",tblObs[[#This Row],[Notes]]=""),"Exclude: no reason",IF(AND(tblObs[[#This Row],[Exclude]]&lt;&gt;"Yes",ISNUMBER(tblObs[[#This Row],[Standard (s)]]),tblObs[[#This Row],[Cycle (s)]]&gt;2*tblObs[[#This Row],[Standard (s)]]),"Over 2x standard","OK")))))))</f>
        <v>OK</v>
      </c>
      <c r="N12" s="44" t="s">
        <v>113</v>
      </c>
    </row>
    <row r="13" spans="1:14" x14ac:dyDescent="0.25">
      <c r="B13" s="37">
        <v>46273</v>
      </c>
      <c r="C13" s="28" t="s">
        <v>88</v>
      </c>
      <c r="D13" s="28" t="s">
        <v>116</v>
      </c>
      <c r="E13" s="35">
        <v>38.1</v>
      </c>
      <c r="F13" s="28" t="s">
        <v>112</v>
      </c>
      <c r="G13" s="38">
        <f>IF(tblObs[[#This Row],[Date]]="","",IFERROR(INDEX(tblStations[Standard cycle (s)],MATCH(tblObs[[#This Row],[Station]],tblStations[Station],0)),""))</f>
        <v>42</v>
      </c>
      <c r="H13" s="39">
        <f>IF(tblObs[[#This Row],[Date]]="","",IF(ISNUMBER(tblObs[[#This Row],[Standard (s)]]),tblObs[[#This Row],[Cycle (s)]]-tblObs[[#This Row],[Standard (s)]],""))</f>
        <v>-3.9</v>
      </c>
      <c r="I13" s="40">
        <f>IF(tblObs[[#This Row],[Date]]="","",IF(ISNUMBER(Takt),tblObs[[#This Row],[Cycle (s)]]/Takt,""))</f>
        <v>0.680357142857143</v>
      </c>
      <c r="J13" s="41" t="str">
        <f>IF(tblObs[[#This Row],[Date]]="","",IF(tblObs[[#This Row],[Exclude]]="Yes","Excluded",IF(NOT(ISNUMBER(tblObs[[#This Row],[Loading (% of takt)]])),"",IF(tblObs[[#This Row],[Loading (% of takt)]]&gt;OverAt,"Over capacity",IF(tblObs[[#This Row],[Loading (% of takt)]]&gt;=NearAt,"Near capacity","Under capacity")))))</f>
        <v>Under capacity</v>
      </c>
      <c r="K13" s="42">
        <f>IF(tblObs[[#This Row],[Date]]="","",IF(AND(tblObs[[#This Row],[Exclude]]&lt;&gt;"Yes",tblObs[[#This Row],[Date]]&gt;=FFrom,tblObs[[#This Row],[Date]]&lt;=FTo),tblObs[[#This Row],[Date]],""))</f>
        <v>46273</v>
      </c>
      <c r="L13" s="30">
        <f>IF(tblObs[[#This Row],[Date]]="","",IF(AND(tblObs[[#This Row],[Station]]=ChartStation,ISNUMBER(tblObs[[#This Row],[View date]])),COUNTIFS(INDEX(tblObs[Station],1):tblObs[[#This Row],[Station]],tblObs[[#This Row],[Station]],INDEX(tblObs[View date],1):tblObs[[#This Row],[View date]],"&gt;0"),""))</f>
        <v/>
      </c>
      <c r="M13" s="43" t="str">
        <f>IF(tblObs[[#This Row],[Date]]="","",IF(tblObs[[#This Row],[Station]]="","Missing station",IF(tblObs[[#This Row],[Cycle (s)]]="","Missing cycle",IF(tblObs[[#This Row],[Exclude]]="","Missing exclude",IF(COUNTIF(tblStations[Station],tblObs[[#This Row],[Station]])=0,"Station not on Setup list",IF(AND(tblObs[[#This Row],[Exclude]]="Yes",tblObs[[#This Row],[Notes]]=""),"Exclude: no reason",IF(AND(tblObs[[#This Row],[Exclude]]&lt;&gt;"Yes",ISNUMBER(tblObs[[#This Row],[Standard (s)]]),tblObs[[#This Row],[Cycle (s)]]&gt;2*tblObs[[#This Row],[Standard (s)]]),"Over 2x standard","OK")))))))</f>
        <v>OK</v>
      </c>
      <c r="N13" s="44" t="s">
        <v>113</v>
      </c>
    </row>
    <row r="14" spans="1:14" x14ac:dyDescent="0.25">
      <c r="B14" s="37">
        <v>46273</v>
      </c>
      <c r="C14" s="28" t="s">
        <v>88</v>
      </c>
      <c r="D14" s="28" t="s">
        <v>116</v>
      </c>
      <c r="E14" s="35">
        <v>43.5</v>
      </c>
      <c r="F14" s="28" t="s">
        <v>112</v>
      </c>
      <c r="G14" s="38">
        <f>IF(tblObs[[#This Row],[Date]]="","",IFERROR(INDEX(tblStations[Standard cycle (s)],MATCH(tblObs[[#This Row],[Station]],tblStations[Station],0)),""))</f>
        <v>42</v>
      </c>
      <c r="H14" s="39">
        <f>IF(tblObs[[#This Row],[Date]]="","",IF(ISNUMBER(tblObs[[#This Row],[Standard (s)]]),tblObs[[#This Row],[Cycle (s)]]-tblObs[[#This Row],[Standard (s)]],""))</f>
        <v>1.5</v>
      </c>
      <c r="I14" s="40">
        <f>IF(tblObs[[#This Row],[Date]]="","",IF(ISNUMBER(Takt),tblObs[[#This Row],[Cycle (s)]]/Takt,""))</f>
        <v>0.776785714285714</v>
      </c>
      <c r="J14" s="41" t="str">
        <f>IF(tblObs[[#This Row],[Date]]="","",IF(tblObs[[#This Row],[Exclude]]="Yes","Excluded",IF(NOT(ISNUMBER(tblObs[[#This Row],[Loading (% of takt)]])),"",IF(tblObs[[#This Row],[Loading (% of takt)]]&gt;OverAt,"Over capacity",IF(tblObs[[#This Row],[Loading (% of takt)]]&gt;=NearAt,"Near capacity","Under capacity")))))</f>
        <v>Under capacity</v>
      </c>
      <c r="K14" s="42">
        <f>IF(tblObs[[#This Row],[Date]]="","",IF(AND(tblObs[[#This Row],[Exclude]]&lt;&gt;"Yes",tblObs[[#This Row],[Date]]&gt;=FFrom,tblObs[[#This Row],[Date]]&lt;=FTo),tblObs[[#This Row],[Date]],""))</f>
        <v>46273</v>
      </c>
      <c r="L14" s="30">
        <f>IF(tblObs[[#This Row],[Date]]="","",IF(AND(tblObs[[#This Row],[Station]]=ChartStation,ISNUMBER(tblObs[[#This Row],[View date]])),COUNTIFS(INDEX(tblObs[Station],1):tblObs[[#This Row],[Station]],tblObs[[#This Row],[Station]],INDEX(tblObs[View date],1):tblObs[[#This Row],[View date]],"&gt;0"),""))</f>
        <v/>
      </c>
      <c r="M14" s="43" t="str">
        <f>IF(tblObs[[#This Row],[Date]]="","",IF(tblObs[[#This Row],[Station]]="","Missing station",IF(tblObs[[#This Row],[Cycle (s)]]="","Missing cycle",IF(tblObs[[#This Row],[Exclude]]="","Missing exclude",IF(COUNTIF(tblStations[Station],tblObs[[#This Row],[Station]])=0,"Station not on Setup list",IF(AND(tblObs[[#This Row],[Exclude]]="Yes",tblObs[[#This Row],[Notes]]=""),"Exclude: no reason",IF(AND(tblObs[[#This Row],[Exclude]]&lt;&gt;"Yes",ISNUMBER(tblObs[[#This Row],[Standard (s)]]),tblObs[[#This Row],[Cycle (s)]]&gt;2*tblObs[[#This Row],[Standard (s)]]),"Over 2x standard","OK")))))))</f>
        <v>OK</v>
      </c>
      <c r="N14" s="44" t="s">
        <v>113</v>
      </c>
    </row>
    <row r="15" spans="1:14" x14ac:dyDescent="0.25">
      <c r="B15" s="37">
        <v>46273</v>
      </c>
      <c r="C15" s="28" t="s">
        <v>88</v>
      </c>
      <c r="D15" s="28" t="s">
        <v>116</v>
      </c>
      <c r="E15" s="35">
        <v>44.8</v>
      </c>
      <c r="F15" s="28" t="s">
        <v>112</v>
      </c>
      <c r="G15" s="38">
        <f>IF(tblObs[[#This Row],[Date]]="","",IFERROR(INDEX(tblStations[Standard cycle (s)],MATCH(tblObs[[#This Row],[Station]],tblStations[Station],0)),""))</f>
        <v>42</v>
      </c>
      <c r="H15" s="39">
        <f>IF(tblObs[[#This Row],[Date]]="","",IF(ISNUMBER(tblObs[[#This Row],[Standard (s)]]),tblObs[[#This Row],[Cycle (s)]]-tblObs[[#This Row],[Standard (s)]],""))</f>
        <v>2.8</v>
      </c>
      <c r="I15" s="40">
        <f>IF(tblObs[[#This Row],[Date]]="","",IF(ISNUMBER(Takt),tblObs[[#This Row],[Cycle (s)]]/Takt,""))</f>
        <v>0.8</v>
      </c>
      <c r="J15" s="41" t="str">
        <f>IF(tblObs[[#This Row],[Date]]="","",IF(tblObs[[#This Row],[Exclude]]="Yes","Excluded",IF(NOT(ISNUMBER(tblObs[[#This Row],[Loading (% of takt)]])),"",IF(tblObs[[#This Row],[Loading (% of takt)]]&gt;OverAt,"Over capacity",IF(tblObs[[#This Row],[Loading (% of takt)]]&gt;=NearAt,"Near capacity","Under capacity")))))</f>
        <v>Under capacity</v>
      </c>
      <c r="K15" s="42">
        <f>IF(tblObs[[#This Row],[Date]]="","",IF(AND(tblObs[[#This Row],[Exclude]]&lt;&gt;"Yes",tblObs[[#This Row],[Date]]&gt;=FFrom,tblObs[[#This Row],[Date]]&lt;=FTo),tblObs[[#This Row],[Date]],""))</f>
        <v>46273</v>
      </c>
      <c r="L15" s="30">
        <f>IF(tblObs[[#This Row],[Date]]="","",IF(AND(tblObs[[#This Row],[Station]]=ChartStation,ISNUMBER(tblObs[[#This Row],[View date]])),COUNTIFS(INDEX(tblObs[Station],1):tblObs[[#This Row],[Station]],tblObs[[#This Row],[Station]],INDEX(tblObs[View date],1):tblObs[[#This Row],[View date]],"&gt;0"),""))</f>
        <v/>
      </c>
      <c r="M15" s="43" t="str">
        <f>IF(tblObs[[#This Row],[Date]]="","",IF(tblObs[[#This Row],[Station]]="","Missing station",IF(tblObs[[#This Row],[Cycle (s)]]="","Missing cycle",IF(tblObs[[#This Row],[Exclude]]="","Missing exclude",IF(COUNTIF(tblStations[Station],tblObs[[#This Row],[Station]])=0,"Station not on Setup list",IF(AND(tblObs[[#This Row],[Exclude]]="Yes",tblObs[[#This Row],[Notes]]=""),"Exclude: no reason",IF(AND(tblObs[[#This Row],[Exclude]]&lt;&gt;"Yes",ISNUMBER(tblObs[[#This Row],[Standard (s)]]),tblObs[[#This Row],[Cycle (s)]]&gt;2*tblObs[[#This Row],[Standard (s)]]),"Over 2x standard","OK")))))))</f>
        <v>OK</v>
      </c>
      <c r="N15" s="44" t="s">
        <v>113</v>
      </c>
    </row>
    <row r="16" spans="1:14" x14ac:dyDescent="0.25">
      <c r="B16" s="37">
        <v>46273</v>
      </c>
      <c r="C16" s="28" t="s">
        <v>88</v>
      </c>
      <c r="D16" s="28" t="s">
        <v>116</v>
      </c>
      <c r="E16" s="35">
        <v>42.8</v>
      </c>
      <c r="F16" s="28" t="s">
        <v>112</v>
      </c>
      <c r="G16" s="38">
        <f>IF(tblObs[[#This Row],[Date]]="","",IFERROR(INDEX(tblStations[Standard cycle (s)],MATCH(tblObs[[#This Row],[Station]],tblStations[Station],0)),""))</f>
        <v>42</v>
      </c>
      <c r="H16" s="39">
        <f>IF(tblObs[[#This Row],[Date]]="","",IF(ISNUMBER(tblObs[[#This Row],[Standard (s)]]),tblObs[[#This Row],[Cycle (s)]]-tblObs[[#This Row],[Standard (s)]],""))</f>
        <v>0.799999999999997</v>
      </c>
      <c r="I16" s="40">
        <f>IF(tblObs[[#This Row],[Date]]="","",IF(ISNUMBER(Takt),tblObs[[#This Row],[Cycle (s)]]/Takt,""))</f>
        <v>0.764285714285714</v>
      </c>
      <c r="J16" s="41" t="str">
        <f>IF(tblObs[[#This Row],[Date]]="","",IF(tblObs[[#This Row],[Exclude]]="Yes","Excluded",IF(NOT(ISNUMBER(tblObs[[#This Row],[Loading (% of takt)]])),"",IF(tblObs[[#This Row],[Loading (% of takt)]]&gt;OverAt,"Over capacity",IF(tblObs[[#This Row],[Loading (% of takt)]]&gt;=NearAt,"Near capacity","Under capacity")))))</f>
        <v>Under capacity</v>
      </c>
      <c r="K16" s="42">
        <f>IF(tblObs[[#This Row],[Date]]="","",IF(AND(tblObs[[#This Row],[Exclude]]&lt;&gt;"Yes",tblObs[[#This Row],[Date]]&gt;=FFrom,tblObs[[#This Row],[Date]]&lt;=FTo),tblObs[[#This Row],[Date]],""))</f>
        <v>46273</v>
      </c>
      <c r="L16" s="30">
        <f>IF(tblObs[[#This Row],[Date]]="","",IF(AND(tblObs[[#This Row],[Station]]=ChartStation,ISNUMBER(tblObs[[#This Row],[View date]])),COUNTIFS(INDEX(tblObs[Station],1):tblObs[[#This Row],[Station]],tblObs[[#This Row],[Station]],INDEX(tblObs[View date],1):tblObs[[#This Row],[View date]],"&gt;0"),""))</f>
        <v/>
      </c>
      <c r="M16" s="43" t="str">
        <f>IF(tblObs[[#This Row],[Date]]="","",IF(tblObs[[#This Row],[Station]]="","Missing station",IF(tblObs[[#This Row],[Cycle (s)]]="","Missing cycle",IF(tblObs[[#This Row],[Exclude]]="","Missing exclude",IF(COUNTIF(tblStations[Station],tblObs[[#This Row],[Station]])=0,"Station not on Setup list",IF(AND(tblObs[[#This Row],[Exclude]]="Yes",tblObs[[#This Row],[Notes]]=""),"Exclude: no reason",IF(AND(tblObs[[#This Row],[Exclude]]&lt;&gt;"Yes",ISNUMBER(tblObs[[#This Row],[Standard (s)]]),tblObs[[#This Row],[Cycle (s)]]&gt;2*tblObs[[#This Row],[Standard (s)]]),"Over 2x standard","OK")))))))</f>
        <v>OK</v>
      </c>
      <c r="N16" s="44" t="s">
        <v>113</v>
      </c>
    </row>
    <row r="17" spans="2:14" x14ac:dyDescent="0.25">
      <c r="B17" s="37">
        <v>46273</v>
      </c>
      <c r="C17" s="28" t="s">
        <v>88</v>
      </c>
      <c r="D17" s="28" t="s">
        <v>116</v>
      </c>
      <c r="E17" s="35">
        <v>45.5</v>
      </c>
      <c r="F17" s="28" t="s">
        <v>112</v>
      </c>
      <c r="G17" s="38">
        <f>IF(tblObs[[#This Row],[Date]]="","",IFERROR(INDEX(tblStations[Standard cycle (s)],MATCH(tblObs[[#This Row],[Station]],tblStations[Station],0)),""))</f>
        <v>42</v>
      </c>
      <c r="H17" s="39">
        <f>IF(tblObs[[#This Row],[Date]]="","",IF(ISNUMBER(tblObs[[#This Row],[Standard (s)]]),tblObs[[#This Row],[Cycle (s)]]-tblObs[[#This Row],[Standard (s)]],""))</f>
        <v>3.5</v>
      </c>
      <c r="I17" s="40">
        <f>IF(tblObs[[#This Row],[Date]]="","",IF(ISNUMBER(Takt),tblObs[[#This Row],[Cycle (s)]]/Takt,""))</f>
        <v>0.8125</v>
      </c>
      <c r="J17" s="41" t="str">
        <f>IF(tblObs[[#This Row],[Date]]="","",IF(tblObs[[#This Row],[Exclude]]="Yes","Excluded",IF(NOT(ISNUMBER(tblObs[[#This Row],[Loading (% of takt)]])),"",IF(tblObs[[#This Row],[Loading (% of takt)]]&gt;OverAt,"Over capacity",IF(tblObs[[#This Row],[Loading (% of takt)]]&gt;=NearAt,"Near capacity","Under capacity")))))</f>
        <v>Under capacity</v>
      </c>
      <c r="K17" s="42">
        <f>IF(tblObs[[#This Row],[Date]]="","",IF(AND(tblObs[[#This Row],[Exclude]]&lt;&gt;"Yes",tblObs[[#This Row],[Date]]&gt;=FFrom,tblObs[[#This Row],[Date]]&lt;=FTo),tblObs[[#This Row],[Date]],""))</f>
        <v>46273</v>
      </c>
      <c r="L17" s="30">
        <f>IF(tblObs[[#This Row],[Date]]="","",IF(AND(tblObs[[#This Row],[Station]]=ChartStation,ISNUMBER(tblObs[[#This Row],[View date]])),COUNTIFS(INDEX(tblObs[Station],1):tblObs[[#This Row],[Station]],tblObs[[#This Row],[Station]],INDEX(tblObs[View date],1):tblObs[[#This Row],[View date]],"&gt;0"),""))</f>
        <v/>
      </c>
      <c r="M17" s="43" t="str">
        <f>IF(tblObs[[#This Row],[Date]]="","",IF(tblObs[[#This Row],[Station]]="","Missing station",IF(tblObs[[#This Row],[Cycle (s)]]="","Missing cycle",IF(tblObs[[#This Row],[Exclude]]="","Missing exclude",IF(COUNTIF(tblStations[Station],tblObs[[#This Row],[Station]])=0,"Station not on Setup list",IF(AND(tblObs[[#This Row],[Exclude]]="Yes",tblObs[[#This Row],[Notes]]=""),"Exclude: no reason",IF(AND(tblObs[[#This Row],[Exclude]]&lt;&gt;"Yes",ISNUMBER(tblObs[[#This Row],[Standard (s)]]),tblObs[[#This Row],[Cycle (s)]]&gt;2*tblObs[[#This Row],[Standard (s)]]),"Over 2x standard","OK")))))))</f>
        <v>OK</v>
      </c>
      <c r="N17" s="44" t="s">
        <v>113</v>
      </c>
    </row>
    <row r="18" spans="2:14" x14ac:dyDescent="0.25">
      <c r="B18" s="37">
        <v>46273</v>
      </c>
      <c r="C18" s="28" t="s">
        <v>88</v>
      </c>
      <c r="D18" s="28" t="s">
        <v>116</v>
      </c>
      <c r="E18" s="35">
        <v>40.3</v>
      </c>
      <c r="F18" s="28" t="s">
        <v>112</v>
      </c>
      <c r="G18" s="38">
        <f>IF(tblObs[[#This Row],[Date]]="","",IFERROR(INDEX(tblStations[Standard cycle (s)],MATCH(tblObs[[#This Row],[Station]],tblStations[Station],0)),""))</f>
        <v>42</v>
      </c>
      <c r="H18" s="39">
        <f>IF(tblObs[[#This Row],[Date]]="","",IF(ISNUMBER(tblObs[[#This Row],[Standard (s)]]),tblObs[[#This Row],[Cycle (s)]]-tblObs[[#This Row],[Standard (s)]],""))</f>
        <v>-1.7</v>
      </c>
      <c r="I18" s="40">
        <f>IF(tblObs[[#This Row],[Date]]="","",IF(ISNUMBER(Takt),tblObs[[#This Row],[Cycle (s)]]/Takt,""))</f>
        <v>0.719642857142857</v>
      </c>
      <c r="J18" s="41" t="str">
        <f>IF(tblObs[[#This Row],[Date]]="","",IF(tblObs[[#This Row],[Exclude]]="Yes","Excluded",IF(NOT(ISNUMBER(tblObs[[#This Row],[Loading (% of takt)]])),"",IF(tblObs[[#This Row],[Loading (% of takt)]]&gt;OverAt,"Over capacity",IF(tblObs[[#This Row],[Loading (% of takt)]]&gt;=NearAt,"Near capacity","Under capacity")))))</f>
        <v>Under capacity</v>
      </c>
      <c r="K18" s="42">
        <f>IF(tblObs[[#This Row],[Date]]="","",IF(AND(tblObs[[#This Row],[Exclude]]&lt;&gt;"Yes",tblObs[[#This Row],[Date]]&gt;=FFrom,tblObs[[#This Row],[Date]]&lt;=FTo),tblObs[[#This Row],[Date]],""))</f>
        <v>46273</v>
      </c>
      <c r="L18" s="30">
        <f>IF(tblObs[[#This Row],[Date]]="","",IF(AND(tblObs[[#This Row],[Station]]=ChartStation,ISNUMBER(tblObs[[#This Row],[View date]])),COUNTIFS(INDEX(tblObs[Station],1):tblObs[[#This Row],[Station]],tblObs[[#This Row],[Station]],INDEX(tblObs[View date],1):tblObs[[#This Row],[View date]],"&gt;0"),""))</f>
        <v/>
      </c>
      <c r="M18" s="43" t="str">
        <f>IF(tblObs[[#This Row],[Date]]="","",IF(tblObs[[#This Row],[Station]]="","Missing station",IF(tblObs[[#This Row],[Cycle (s)]]="","Missing cycle",IF(tblObs[[#This Row],[Exclude]]="","Missing exclude",IF(COUNTIF(tblStations[Station],tblObs[[#This Row],[Station]])=0,"Station not on Setup list",IF(AND(tblObs[[#This Row],[Exclude]]="Yes",tblObs[[#This Row],[Notes]]=""),"Exclude: no reason",IF(AND(tblObs[[#This Row],[Exclude]]&lt;&gt;"Yes",ISNUMBER(tblObs[[#This Row],[Standard (s)]]),tblObs[[#This Row],[Cycle (s)]]&gt;2*tblObs[[#This Row],[Standard (s)]]),"Over 2x standard","OK")))))))</f>
        <v>OK</v>
      </c>
      <c r="N18" s="44" t="s">
        <v>113</v>
      </c>
    </row>
    <row r="19" spans="2:14" x14ac:dyDescent="0.25">
      <c r="B19" s="37">
        <v>46273</v>
      </c>
      <c r="C19" s="28" t="s">
        <v>88</v>
      </c>
      <c r="D19" s="28" t="s">
        <v>116</v>
      </c>
      <c r="E19" s="35">
        <v>43.5</v>
      </c>
      <c r="F19" s="28" t="s">
        <v>112</v>
      </c>
      <c r="G19" s="38">
        <f>IF(tblObs[[#This Row],[Date]]="","",IFERROR(INDEX(tblStations[Standard cycle (s)],MATCH(tblObs[[#This Row],[Station]],tblStations[Station],0)),""))</f>
        <v>42</v>
      </c>
      <c r="H19" s="39">
        <f>IF(tblObs[[#This Row],[Date]]="","",IF(ISNUMBER(tblObs[[#This Row],[Standard (s)]]),tblObs[[#This Row],[Cycle (s)]]-tblObs[[#This Row],[Standard (s)]],""))</f>
        <v>1.5</v>
      </c>
      <c r="I19" s="40">
        <f>IF(tblObs[[#This Row],[Date]]="","",IF(ISNUMBER(Takt),tblObs[[#This Row],[Cycle (s)]]/Takt,""))</f>
        <v>0.776785714285714</v>
      </c>
      <c r="J19" s="41" t="str">
        <f>IF(tblObs[[#This Row],[Date]]="","",IF(tblObs[[#This Row],[Exclude]]="Yes","Excluded",IF(NOT(ISNUMBER(tblObs[[#This Row],[Loading (% of takt)]])),"",IF(tblObs[[#This Row],[Loading (% of takt)]]&gt;OverAt,"Over capacity",IF(tblObs[[#This Row],[Loading (% of takt)]]&gt;=NearAt,"Near capacity","Under capacity")))))</f>
        <v>Under capacity</v>
      </c>
      <c r="K19" s="42">
        <f>IF(tblObs[[#This Row],[Date]]="","",IF(AND(tblObs[[#This Row],[Exclude]]&lt;&gt;"Yes",tblObs[[#This Row],[Date]]&gt;=FFrom,tblObs[[#This Row],[Date]]&lt;=FTo),tblObs[[#This Row],[Date]],""))</f>
        <v>46273</v>
      </c>
      <c r="L19" s="30">
        <f>IF(tblObs[[#This Row],[Date]]="","",IF(AND(tblObs[[#This Row],[Station]]=ChartStation,ISNUMBER(tblObs[[#This Row],[View date]])),COUNTIFS(INDEX(tblObs[Station],1):tblObs[[#This Row],[Station]],tblObs[[#This Row],[Station]],INDEX(tblObs[View date],1):tblObs[[#This Row],[View date]],"&gt;0"),""))</f>
        <v/>
      </c>
      <c r="M19" s="43" t="str">
        <f>IF(tblObs[[#This Row],[Date]]="","",IF(tblObs[[#This Row],[Station]]="","Missing station",IF(tblObs[[#This Row],[Cycle (s)]]="","Missing cycle",IF(tblObs[[#This Row],[Exclude]]="","Missing exclude",IF(COUNTIF(tblStations[Station],tblObs[[#This Row],[Station]])=0,"Station not on Setup list",IF(AND(tblObs[[#This Row],[Exclude]]="Yes",tblObs[[#This Row],[Notes]]=""),"Exclude: no reason",IF(AND(tblObs[[#This Row],[Exclude]]&lt;&gt;"Yes",ISNUMBER(tblObs[[#This Row],[Standard (s)]]),tblObs[[#This Row],[Cycle (s)]]&gt;2*tblObs[[#This Row],[Standard (s)]]),"Over 2x standard","OK")))))))</f>
        <v>OK</v>
      </c>
      <c r="N19" s="44" t="s">
        <v>113</v>
      </c>
    </row>
    <row r="20" spans="2:14" x14ac:dyDescent="0.25">
      <c r="B20" s="37">
        <v>46273</v>
      </c>
      <c r="C20" s="28" t="s">
        <v>90</v>
      </c>
      <c r="D20" s="28" t="s">
        <v>117</v>
      </c>
      <c r="E20" s="35">
        <v>54.8</v>
      </c>
      <c r="F20" s="28" t="s">
        <v>112</v>
      </c>
      <c r="G20" s="38">
        <f>IF(tblObs[[#This Row],[Date]]="","",IFERROR(INDEX(tblStations[Standard cycle (s)],MATCH(tblObs[[#This Row],[Station]],tblStations[Station],0)),""))</f>
        <v>49</v>
      </c>
      <c r="H20" s="39">
        <f>IF(tblObs[[#This Row],[Date]]="","",IF(ISNUMBER(tblObs[[#This Row],[Standard (s)]]),tblObs[[#This Row],[Cycle (s)]]-tblObs[[#This Row],[Standard (s)]],""))</f>
        <v>5.8</v>
      </c>
      <c r="I20" s="40">
        <f>IF(tblObs[[#This Row],[Date]]="","",IF(ISNUMBER(Takt),tblObs[[#This Row],[Cycle (s)]]/Takt,""))</f>
        <v>0.978571428571429</v>
      </c>
      <c r="J20" s="41" t="str">
        <f>IF(tblObs[[#This Row],[Date]]="","",IF(tblObs[[#This Row],[Exclude]]="Yes","Excluded",IF(NOT(ISNUMBER(tblObs[[#This Row],[Loading (% of takt)]])),"",IF(tblObs[[#This Row],[Loading (% of takt)]]&gt;OverAt,"Over capacity",IF(tblObs[[#This Row],[Loading (% of takt)]]&gt;=NearAt,"Near capacity","Under capacity")))))</f>
        <v>Near capacity</v>
      </c>
      <c r="K20" s="42">
        <f>IF(tblObs[[#This Row],[Date]]="","",IF(AND(tblObs[[#This Row],[Exclude]]&lt;&gt;"Yes",tblObs[[#This Row],[Date]]&gt;=FFrom,tblObs[[#This Row],[Date]]&lt;=FTo),tblObs[[#This Row],[Date]],""))</f>
        <v>46273</v>
      </c>
      <c r="L20" s="30">
        <f>IF(tblObs[[#This Row],[Date]]="","",IF(AND(tblObs[[#This Row],[Station]]=ChartStation,ISNUMBER(tblObs[[#This Row],[View date]])),COUNTIFS(INDEX(tblObs[Station],1):tblObs[[#This Row],[Station]],tblObs[[#This Row],[Station]],INDEX(tblObs[View date],1):tblObs[[#This Row],[View date]],"&gt;0"),""))</f>
        <v/>
      </c>
      <c r="M20" s="43" t="str">
        <f>IF(tblObs[[#This Row],[Date]]="","",IF(tblObs[[#This Row],[Station]]="","Missing station",IF(tblObs[[#This Row],[Cycle (s)]]="","Missing cycle",IF(tblObs[[#This Row],[Exclude]]="","Missing exclude",IF(COUNTIF(tblStations[Station],tblObs[[#This Row],[Station]])=0,"Station not on Setup list",IF(AND(tblObs[[#This Row],[Exclude]]="Yes",tblObs[[#This Row],[Notes]]=""),"Exclude: no reason",IF(AND(tblObs[[#This Row],[Exclude]]&lt;&gt;"Yes",ISNUMBER(tblObs[[#This Row],[Standard (s)]]),tblObs[[#This Row],[Cycle (s)]]&gt;2*tblObs[[#This Row],[Standard (s)]]),"Over 2x standard","OK")))))))</f>
        <v>OK</v>
      </c>
      <c r="N20" s="44" t="s">
        <v>113</v>
      </c>
    </row>
    <row r="21" spans="2:14" x14ac:dyDescent="0.25">
      <c r="B21" s="37">
        <v>46273</v>
      </c>
      <c r="C21" s="28" t="s">
        <v>90</v>
      </c>
      <c r="D21" s="28" t="s">
        <v>117</v>
      </c>
      <c r="E21" s="35">
        <v>49.9</v>
      </c>
      <c r="F21" s="28" t="s">
        <v>112</v>
      </c>
      <c r="G21" s="38">
        <f>IF(tblObs[[#This Row],[Date]]="","",IFERROR(INDEX(tblStations[Standard cycle (s)],MATCH(tblObs[[#This Row],[Station]],tblStations[Station],0)),""))</f>
        <v>49</v>
      </c>
      <c r="H21" s="39">
        <f>IF(tblObs[[#This Row],[Date]]="","",IF(ISNUMBER(tblObs[[#This Row],[Standard (s)]]),tblObs[[#This Row],[Cycle (s)]]-tblObs[[#This Row],[Standard (s)]],""))</f>
        <v>0.899999999999999</v>
      </c>
      <c r="I21" s="40">
        <f>IF(tblObs[[#This Row],[Date]]="","",IF(ISNUMBER(Takt),tblObs[[#This Row],[Cycle (s)]]/Takt,""))</f>
        <v>0.891071428571429</v>
      </c>
      <c r="J21" s="41" t="str">
        <f>IF(tblObs[[#This Row],[Date]]="","",IF(tblObs[[#This Row],[Exclude]]="Yes","Excluded",IF(NOT(ISNUMBER(tblObs[[#This Row],[Loading (% of takt)]])),"",IF(tblObs[[#This Row],[Loading (% of takt)]]&gt;OverAt,"Over capacity",IF(tblObs[[#This Row],[Loading (% of takt)]]&gt;=NearAt,"Near capacity","Under capacity")))))</f>
        <v>Under capacity</v>
      </c>
      <c r="K21" s="42">
        <f>IF(tblObs[[#This Row],[Date]]="","",IF(AND(tblObs[[#This Row],[Exclude]]&lt;&gt;"Yes",tblObs[[#This Row],[Date]]&gt;=FFrom,tblObs[[#This Row],[Date]]&lt;=FTo),tblObs[[#This Row],[Date]],""))</f>
        <v>46273</v>
      </c>
      <c r="L21" s="30">
        <f>IF(tblObs[[#This Row],[Date]]="","",IF(AND(tblObs[[#This Row],[Station]]=ChartStation,ISNUMBER(tblObs[[#This Row],[View date]])),COUNTIFS(INDEX(tblObs[Station],1):tblObs[[#This Row],[Station]],tblObs[[#This Row],[Station]],INDEX(tblObs[View date],1):tblObs[[#This Row],[View date]],"&gt;0"),""))</f>
        <v/>
      </c>
      <c r="M21" s="43" t="str">
        <f>IF(tblObs[[#This Row],[Date]]="","",IF(tblObs[[#This Row],[Station]]="","Missing station",IF(tblObs[[#This Row],[Cycle (s)]]="","Missing cycle",IF(tblObs[[#This Row],[Exclude]]="","Missing exclude",IF(COUNTIF(tblStations[Station],tblObs[[#This Row],[Station]])=0,"Station not on Setup list",IF(AND(tblObs[[#This Row],[Exclude]]="Yes",tblObs[[#This Row],[Notes]]=""),"Exclude: no reason",IF(AND(tblObs[[#This Row],[Exclude]]&lt;&gt;"Yes",ISNUMBER(tblObs[[#This Row],[Standard (s)]]),tblObs[[#This Row],[Cycle (s)]]&gt;2*tblObs[[#This Row],[Standard (s)]]),"Over 2x standard","OK")))))))</f>
        <v>OK</v>
      </c>
      <c r="N21" s="44" t="s">
        <v>113</v>
      </c>
    </row>
    <row r="22" spans="2:14" x14ac:dyDescent="0.25">
      <c r="B22" s="37">
        <v>46273</v>
      </c>
      <c r="C22" s="28" t="s">
        <v>90</v>
      </c>
      <c r="D22" s="28" t="s">
        <v>117</v>
      </c>
      <c r="E22" s="35">
        <v>48.5</v>
      </c>
      <c r="F22" s="28" t="s">
        <v>112</v>
      </c>
      <c r="G22" s="38">
        <f>IF(tblObs[[#This Row],[Date]]="","",IFERROR(INDEX(tblStations[Standard cycle (s)],MATCH(tblObs[[#This Row],[Station]],tblStations[Station],0)),""))</f>
        <v>49</v>
      </c>
      <c r="H22" s="39">
        <f>IF(tblObs[[#This Row],[Date]]="","",IF(ISNUMBER(tblObs[[#This Row],[Standard (s)]]),tblObs[[#This Row],[Cycle (s)]]-tblObs[[#This Row],[Standard (s)]],""))</f>
        <v>-0.5</v>
      </c>
      <c r="I22" s="40">
        <f>IF(tblObs[[#This Row],[Date]]="","",IF(ISNUMBER(Takt),tblObs[[#This Row],[Cycle (s)]]/Takt,""))</f>
        <v>0.866071428571429</v>
      </c>
      <c r="J22" s="41" t="str">
        <f>IF(tblObs[[#This Row],[Date]]="","",IF(tblObs[[#This Row],[Exclude]]="Yes","Excluded",IF(NOT(ISNUMBER(tblObs[[#This Row],[Loading (% of takt)]])),"",IF(tblObs[[#This Row],[Loading (% of takt)]]&gt;OverAt,"Over capacity",IF(tblObs[[#This Row],[Loading (% of takt)]]&gt;=NearAt,"Near capacity","Under capacity")))))</f>
        <v>Under capacity</v>
      </c>
      <c r="K22" s="42">
        <f>IF(tblObs[[#This Row],[Date]]="","",IF(AND(tblObs[[#This Row],[Exclude]]&lt;&gt;"Yes",tblObs[[#This Row],[Date]]&gt;=FFrom,tblObs[[#This Row],[Date]]&lt;=FTo),tblObs[[#This Row],[Date]],""))</f>
        <v>46273</v>
      </c>
      <c r="L22" s="30">
        <f>IF(tblObs[[#This Row],[Date]]="","",IF(AND(tblObs[[#This Row],[Station]]=ChartStation,ISNUMBER(tblObs[[#This Row],[View date]])),COUNTIFS(INDEX(tblObs[Station],1):tblObs[[#This Row],[Station]],tblObs[[#This Row],[Station]],INDEX(tblObs[View date],1):tblObs[[#This Row],[View date]],"&gt;0"),""))</f>
        <v/>
      </c>
      <c r="M22" s="43" t="str">
        <f>IF(tblObs[[#This Row],[Date]]="","",IF(tblObs[[#This Row],[Station]]="","Missing station",IF(tblObs[[#This Row],[Cycle (s)]]="","Missing cycle",IF(tblObs[[#This Row],[Exclude]]="","Missing exclude",IF(COUNTIF(tblStations[Station],tblObs[[#This Row],[Station]])=0,"Station not on Setup list",IF(AND(tblObs[[#This Row],[Exclude]]="Yes",tblObs[[#This Row],[Notes]]=""),"Exclude: no reason",IF(AND(tblObs[[#This Row],[Exclude]]&lt;&gt;"Yes",ISNUMBER(tblObs[[#This Row],[Standard (s)]]),tblObs[[#This Row],[Cycle (s)]]&gt;2*tblObs[[#This Row],[Standard (s)]]),"Over 2x standard","OK")))))))</f>
        <v>OK</v>
      </c>
      <c r="N22" s="44" t="s">
        <v>113</v>
      </c>
    </row>
    <row r="23" spans="2:14" x14ac:dyDescent="0.25">
      <c r="B23" s="37">
        <v>46273</v>
      </c>
      <c r="C23" s="28" t="s">
        <v>90</v>
      </c>
      <c r="D23" s="28" t="s">
        <v>117</v>
      </c>
      <c r="E23" s="35">
        <v>54.2</v>
      </c>
      <c r="F23" s="28" t="s">
        <v>112</v>
      </c>
      <c r="G23" s="38">
        <f>IF(tblObs[[#This Row],[Date]]="","",IFERROR(INDEX(tblStations[Standard cycle (s)],MATCH(tblObs[[#This Row],[Station]],tblStations[Station],0)),""))</f>
        <v>49</v>
      </c>
      <c r="H23" s="39">
        <f>IF(tblObs[[#This Row],[Date]]="","",IF(ISNUMBER(tblObs[[#This Row],[Standard (s)]]),tblObs[[#This Row],[Cycle (s)]]-tblObs[[#This Row],[Standard (s)]],""))</f>
        <v>5.2</v>
      </c>
      <c r="I23" s="40">
        <f>IF(tblObs[[#This Row],[Date]]="","",IF(ISNUMBER(Takt),tblObs[[#This Row],[Cycle (s)]]/Takt,""))</f>
        <v>0.967857142857143</v>
      </c>
      <c r="J23" s="41" t="str">
        <f>IF(tblObs[[#This Row],[Date]]="","",IF(tblObs[[#This Row],[Exclude]]="Yes","Excluded",IF(NOT(ISNUMBER(tblObs[[#This Row],[Loading (% of takt)]])),"",IF(tblObs[[#This Row],[Loading (% of takt)]]&gt;OverAt,"Over capacity",IF(tblObs[[#This Row],[Loading (% of takt)]]&gt;=NearAt,"Near capacity","Under capacity")))))</f>
        <v>Near capacity</v>
      </c>
      <c r="K23" s="42">
        <f>IF(tblObs[[#This Row],[Date]]="","",IF(AND(tblObs[[#This Row],[Exclude]]&lt;&gt;"Yes",tblObs[[#This Row],[Date]]&gt;=FFrom,tblObs[[#This Row],[Date]]&lt;=FTo),tblObs[[#This Row],[Date]],""))</f>
        <v>46273</v>
      </c>
      <c r="L23" s="30">
        <f>IF(tblObs[[#This Row],[Date]]="","",IF(AND(tblObs[[#This Row],[Station]]=ChartStation,ISNUMBER(tblObs[[#This Row],[View date]])),COUNTIFS(INDEX(tblObs[Station],1):tblObs[[#This Row],[Station]],tblObs[[#This Row],[Station]],INDEX(tblObs[View date],1):tblObs[[#This Row],[View date]],"&gt;0"),""))</f>
        <v/>
      </c>
      <c r="M23" s="43" t="str">
        <f>IF(tblObs[[#This Row],[Date]]="","",IF(tblObs[[#This Row],[Station]]="","Missing station",IF(tblObs[[#This Row],[Cycle (s)]]="","Missing cycle",IF(tblObs[[#This Row],[Exclude]]="","Missing exclude",IF(COUNTIF(tblStations[Station],tblObs[[#This Row],[Station]])=0,"Station not on Setup list",IF(AND(tblObs[[#This Row],[Exclude]]="Yes",tblObs[[#This Row],[Notes]]=""),"Exclude: no reason",IF(AND(tblObs[[#This Row],[Exclude]]&lt;&gt;"Yes",ISNUMBER(tblObs[[#This Row],[Standard (s)]]),tblObs[[#This Row],[Cycle (s)]]&gt;2*tblObs[[#This Row],[Standard (s)]]),"Over 2x standard","OK")))))))</f>
        <v>OK</v>
      </c>
      <c r="N23" s="44" t="s">
        <v>113</v>
      </c>
    </row>
    <row r="24" spans="2:14" x14ac:dyDescent="0.25">
      <c r="B24" s="37">
        <v>46273</v>
      </c>
      <c r="C24" s="28" t="s">
        <v>90</v>
      </c>
      <c r="D24" s="28" t="s">
        <v>117</v>
      </c>
      <c r="E24" s="35">
        <v>52.6</v>
      </c>
      <c r="F24" s="28" t="s">
        <v>112</v>
      </c>
      <c r="G24" s="38">
        <f>IF(tblObs[[#This Row],[Date]]="","",IFERROR(INDEX(tblStations[Standard cycle (s)],MATCH(tblObs[[#This Row],[Station]],tblStations[Station],0)),""))</f>
        <v>49</v>
      </c>
      <c r="H24" s="39">
        <f>IF(tblObs[[#This Row],[Date]]="","",IF(ISNUMBER(tblObs[[#This Row],[Standard (s)]]),tblObs[[#This Row],[Cycle (s)]]-tblObs[[#This Row],[Standard (s)]],""))</f>
        <v>3.6</v>
      </c>
      <c r="I24" s="40">
        <f>IF(tblObs[[#This Row],[Date]]="","",IF(ISNUMBER(Takt),tblObs[[#This Row],[Cycle (s)]]/Takt,""))</f>
        <v>0.939285714285714</v>
      </c>
      <c r="J24" s="41" t="str">
        <f>IF(tblObs[[#This Row],[Date]]="","",IF(tblObs[[#This Row],[Exclude]]="Yes","Excluded",IF(NOT(ISNUMBER(tblObs[[#This Row],[Loading (% of takt)]])),"",IF(tblObs[[#This Row],[Loading (% of takt)]]&gt;OverAt,"Over capacity",IF(tblObs[[#This Row],[Loading (% of takt)]]&gt;=NearAt,"Near capacity","Under capacity")))))</f>
        <v>Near capacity</v>
      </c>
      <c r="K24" s="42">
        <f>IF(tblObs[[#This Row],[Date]]="","",IF(AND(tblObs[[#This Row],[Exclude]]&lt;&gt;"Yes",tblObs[[#This Row],[Date]]&gt;=FFrom,tblObs[[#This Row],[Date]]&lt;=FTo),tblObs[[#This Row],[Date]],""))</f>
        <v>46273</v>
      </c>
      <c r="L24" s="30">
        <f>IF(tblObs[[#This Row],[Date]]="","",IF(AND(tblObs[[#This Row],[Station]]=ChartStation,ISNUMBER(tblObs[[#This Row],[View date]])),COUNTIFS(INDEX(tblObs[Station],1):tblObs[[#This Row],[Station]],tblObs[[#This Row],[Station]],INDEX(tblObs[View date],1):tblObs[[#This Row],[View date]],"&gt;0"),""))</f>
        <v/>
      </c>
      <c r="M24" s="43" t="str">
        <f>IF(tblObs[[#This Row],[Date]]="","",IF(tblObs[[#This Row],[Station]]="","Missing station",IF(tblObs[[#This Row],[Cycle (s)]]="","Missing cycle",IF(tblObs[[#This Row],[Exclude]]="","Missing exclude",IF(COUNTIF(tblStations[Station],tblObs[[#This Row],[Station]])=0,"Station not on Setup list",IF(AND(tblObs[[#This Row],[Exclude]]="Yes",tblObs[[#This Row],[Notes]]=""),"Exclude: no reason",IF(AND(tblObs[[#This Row],[Exclude]]&lt;&gt;"Yes",ISNUMBER(tblObs[[#This Row],[Standard (s)]]),tblObs[[#This Row],[Cycle (s)]]&gt;2*tblObs[[#This Row],[Standard (s)]]),"Over 2x standard","OK")))))))</f>
        <v>OK</v>
      </c>
      <c r="N24" s="44" t="s">
        <v>113</v>
      </c>
    </row>
    <row r="25" spans="2:14" x14ac:dyDescent="0.25">
      <c r="B25" s="37">
        <v>46273</v>
      </c>
      <c r="C25" s="28" t="s">
        <v>90</v>
      </c>
      <c r="D25" s="28" t="s">
        <v>117</v>
      </c>
      <c r="E25" s="35">
        <v>51.3</v>
      </c>
      <c r="F25" s="28" t="s">
        <v>112</v>
      </c>
      <c r="G25" s="38">
        <f>IF(tblObs[[#This Row],[Date]]="","",IFERROR(INDEX(tblStations[Standard cycle (s)],MATCH(tblObs[[#This Row],[Station]],tblStations[Station],0)),""))</f>
        <v>49</v>
      </c>
      <c r="H25" s="39">
        <f>IF(tblObs[[#This Row],[Date]]="","",IF(ISNUMBER(tblObs[[#This Row],[Standard (s)]]),tblObs[[#This Row],[Cycle (s)]]-tblObs[[#This Row],[Standard (s)]],""))</f>
        <v>2.3</v>
      </c>
      <c r="I25" s="40">
        <f>IF(tblObs[[#This Row],[Date]]="","",IF(ISNUMBER(Takt),tblObs[[#This Row],[Cycle (s)]]/Takt,""))</f>
        <v>0.916071428571429</v>
      </c>
      <c r="J25" s="41" t="str">
        <f>IF(tblObs[[#This Row],[Date]]="","",IF(tblObs[[#This Row],[Exclude]]="Yes","Excluded",IF(NOT(ISNUMBER(tblObs[[#This Row],[Loading (% of takt)]])),"",IF(tblObs[[#This Row],[Loading (% of takt)]]&gt;OverAt,"Over capacity",IF(tblObs[[#This Row],[Loading (% of takt)]]&gt;=NearAt,"Near capacity","Under capacity")))))</f>
        <v>Near capacity</v>
      </c>
      <c r="K25" s="42">
        <f>IF(tblObs[[#This Row],[Date]]="","",IF(AND(tblObs[[#This Row],[Exclude]]&lt;&gt;"Yes",tblObs[[#This Row],[Date]]&gt;=FFrom,tblObs[[#This Row],[Date]]&lt;=FTo),tblObs[[#This Row],[Date]],""))</f>
        <v>46273</v>
      </c>
      <c r="L25" s="30">
        <f>IF(tblObs[[#This Row],[Date]]="","",IF(AND(tblObs[[#This Row],[Station]]=ChartStation,ISNUMBER(tblObs[[#This Row],[View date]])),COUNTIFS(INDEX(tblObs[Station],1):tblObs[[#This Row],[Station]],tblObs[[#This Row],[Station]],INDEX(tblObs[View date],1):tblObs[[#This Row],[View date]],"&gt;0"),""))</f>
        <v/>
      </c>
      <c r="M25" s="43" t="str">
        <f>IF(tblObs[[#This Row],[Date]]="","",IF(tblObs[[#This Row],[Station]]="","Missing station",IF(tblObs[[#This Row],[Cycle (s)]]="","Missing cycle",IF(tblObs[[#This Row],[Exclude]]="","Missing exclude",IF(COUNTIF(tblStations[Station],tblObs[[#This Row],[Station]])=0,"Station not on Setup list",IF(AND(tblObs[[#This Row],[Exclude]]="Yes",tblObs[[#This Row],[Notes]]=""),"Exclude: no reason",IF(AND(tblObs[[#This Row],[Exclude]]&lt;&gt;"Yes",ISNUMBER(tblObs[[#This Row],[Standard (s)]]),tblObs[[#This Row],[Cycle (s)]]&gt;2*tblObs[[#This Row],[Standard (s)]]),"Over 2x standard","OK")))))))</f>
        <v>OK</v>
      </c>
      <c r="N25" s="44" t="s">
        <v>113</v>
      </c>
    </row>
    <row r="26" spans="2:14" x14ac:dyDescent="0.25">
      <c r="B26" s="37">
        <v>46273</v>
      </c>
      <c r="C26" s="28" t="s">
        <v>90</v>
      </c>
      <c r="D26" s="28" t="s">
        <v>117</v>
      </c>
      <c r="E26" s="35">
        <v>49.9</v>
      </c>
      <c r="F26" s="28" t="s">
        <v>112</v>
      </c>
      <c r="G26" s="38">
        <f>IF(tblObs[[#This Row],[Date]]="","",IFERROR(INDEX(tblStations[Standard cycle (s)],MATCH(tblObs[[#This Row],[Station]],tblStations[Station],0)),""))</f>
        <v>49</v>
      </c>
      <c r="H26" s="39">
        <f>IF(tblObs[[#This Row],[Date]]="","",IF(ISNUMBER(tblObs[[#This Row],[Standard (s)]]),tblObs[[#This Row],[Cycle (s)]]-tblObs[[#This Row],[Standard (s)]],""))</f>
        <v>0.899999999999999</v>
      </c>
      <c r="I26" s="40">
        <f>IF(tblObs[[#This Row],[Date]]="","",IF(ISNUMBER(Takt),tblObs[[#This Row],[Cycle (s)]]/Takt,""))</f>
        <v>0.891071428571429</v>
      </c>
      <c r="J26" s="41" t="str">
        <f>IF(tblObs[[#This Row],[Date]]="","",IF(tblObs[[#This Row],[Exclude]]="Yes","Excluded",IF(NOT(ISNUMBER(tblObs[[#This Row],[Loading (% of takt)]])),"",IF(tblObs[[#This Row],[Loading (% of takt)]]&gt;OverAt,"Over capacity",IF(tblObs[[#This Row],[Loading (% of takt)]]&gt;=NearAt,"Near capacity","Under capacity")))))</f>
        <v>Under capacity</v>
      </c>
      <c r="K26" s="42">
        <f>IF(tblObs[[#This Row],[Date]]="","",IF(AND(tblObs[[#This Row],[Exclude]]&lt;&gt;"Yes",tblObs[[#This Row],[Date]]&gt;=FFrom,tblObs[[#This Row],[Date]]&lt;=FTo),tblObs[[#This Row],[Date]],""))</f>
        <v>46273</v>
      </c>
      <c r="L26" s="30">
        <f>IF(tblObs[[#This Row],[Date]]="","",IF(AND(tblObs[[#This Row],[Station]]=ChartStation,ISNUMBER(tblObs[[#This Row],[View date]])),COUNTIFS(INDEX(tblObs[Station],1):tblObs[[#This Row],[Station]],tblObs[[#This Row],[Station]],INDEX(tblObs[View date],1):tblObs[[#This Row],[View date]],"&gt;0"),""))</f>
        <v/>
      </c>
      <c r="M26" s="43" t="str">
        <f>IF(tblObs[[#This Row],[Date]]="","",IF(tblObs[[#This Row],[Station]]="","Missing station",IF(tblObs[[#This Row],[Cycle (s)]]="","Missing cycle",IF(tblObs[[#This Row],[Exclude]]="","Missing exclude",IF(COUNTIF(tblStations[Station],tblObs[[#This Row],[Station]])=0,"Station not on Setup list",IF(AND(tblObs[[#This Row],[Exclude]]="Yes",tblObs[[#This Row],[Notes]]=""),"Exclude: no reason",IF(AND(tblObs[[#This Row],[Exclude]]&lt;&gt;"Yes",ISNUMBER(tblObs[[#This Row],[Standard (s)]]),tblObs[[#This Row],[Cycle (s)]]&gt;2*tblObs[[#This Row],[Standard (s)]]),"Over 2x standard","OK")))))))</f>
        <v>OK</v>
      </c>
      <c r="N26" s="44" t="s">
        <v>113</v>
      </c>
    </row>
    <row r="27" spans="2:14" x14ac:dyDescent="0.25">
      <c r="B27" s="37">
        <v>46273</v>
      </c>
      <c r="C27" s="28" t="s">
        <v>92</v>
      </c>
      <c r="D27" s="28" t="s">
        <v>118</v>
      </c>
      <c r="E27" s="35">
        <v>59.2</v>
      </c>
      <c r="F27" s="28" t="s">
        <v>112</v>
      </c>
      <c r="G27" s="38">
        <f>IF(tblObs[[#This Row],[Date]]="","",IFERROR(INDEX(tblStations[Standard cycle (s)],MATCH(tblObs[[#This Row],[Station]],tblStations[Station],0)),""))</f>
        <v>54</v>
      </c>
      <c r="H27" s="39">
        <f>IF(tblObs[[#This Row],[Date]]="","",IF(ISNUMBER(tblObs[[#This Row],[Standard (s)]]),tblObs[[#This Row],[Cycle (s)]]-tblObs[[#This Row],[Standard (s)]],""))</f>
        <v>5.2</v>
      </c>
      <c r="I27" s="40">
        <f>IF(tblObs[[#This Row],[Date]]="","",IF(ISNUMBER(Takt),tblObs[[#This Row],[Cycle (s)]]/Takt,""))</f>
        <v>1.05714285714286</v>
      </c>
      <c r="J27" s="41" t="str">
        <f>IF(tblObs[[#This Row],[Date]]="","",IF(tblObs[[#This Row],[Exclude]]="Yes","Excluded",IF(NOT(ISNUMBER(tblObs[[#This Row],[Loading (% of takt)]])),"",IF(tblObs[[#This Row],[Loading (% of takt)]]&gt;OverAt,"Over capacity",IF(tblObs[[#This Row],[Loading (% of takt)]]&gt;=NearAt,"Near capacity","Under capacity")))))</f>
        <v>Over capacity</v>
      </c>
      <c r="K27" s="42">
        <f>IF(tblObs[[#This Row],[Date]]="","",IF(AND(tblObs[[#This Row],[Exclude]]&lt;&gt;"Yes",tblObs[[#This Row],[Date]]&gt;=FFrom,tblObs[[#This Row],[Date]]&lt;=FTo),tblObs[[#This Row],[Date]],""))</f>
        <v>46273</v>
      </c>
      <c r="L27" s="30">
        <f>IF(tblObs[[#This Row],[Date]]="","",IF(AND(tblObs[[#This Row],[Station]]=ChartStation,ISNUMBER(tblObs[[#This Row],[View date]])),COUNTIFS(INDEX(tblObs[Station],1):tblObs[[#This Row],[Station]],tblObs[[#This Row],[Station]],INDEX(tblObs[View date],1):tblObs[[#This Row],[View date]],"&gt;0"),""))</f>
        <v>1</v>
      </c>
      <c r="M27" s="43" t="str">
        <f>IF(tblObs[[#This Row],[Date]]="","",IF(tblObs[[#This Row],[Station]]="","Missing station",IF(tblObs[[#This Row],[Cycle (s)]]="","Missing cycle",IF(tblObs[[#This Row],[Exclude]]="","Missing exclude",IF(COUNTIF(tblStations[Station],tblObs[[#This Row],[Station]])=0,"Station not on Setup list",IF(AND(tblObs[[#This Row],[Exclude]]="Yes",tblObs[[#This Row],[Notes]]=""),"Exclude: no reason",IF(AND(tblObs[[#This Row],[Exclude]]&lt;&gt;"Yes",ISNUMBER(tblObs[[#This Row],[Standard (s)]]),tblObs[[#This Row],[Cycle (s)]]&gt;2*tblObs[[#This Row],[Standard (s)]]),"Over 2x standard","OK")))))))</f>
        <v>OK</v>
      </c>
      <c r="N27" s="44" t="s">
        <v>113</v>
      </c>
    </row>
    <row r="28" spans="2:14" x14ac:dyDescent="0.25">
      <c r="B28" s="37">
        <v>46273</v>
      </c>
      <c r="C28" s="28" t="s">
        <v>92</v>
      </c>
      <c r="D28" s="28" t="s">
        <v>118</v>
      </c>
      <c r="E28" s="35">
        <v>61.5</v>
      </c>
      <c r="F28" s="28" t="s">
        <v>112</v>
      </c>
      <c r="G28" s="38">
        <f>IF(tblObs[[#This Row],[Date]]="","",IFERROR(INDEX(tblStations[Standard cycle (s)],MATCH(tblObs[[#This Row],[Station]],tblStations[Station],0)),""))</f>
        <v>54</v>
      </c>
      <c r="H28" s="39">
        <f>IF(tblObs[[#This Row],[Date]]="","",IF(ISNUMBER(tblObs[[#This Row],[Standard (s)]]),tblObs[[#This Row],[Cycle (s)]]-tblObs[[#This Row],[Standard (s)]],""))</f>
        <v>7.5</v>
      </c>
      <c r="I28" s="40">
        <f>IF(tblObs[[#This Row],[Date]]="","",IF(ISNUMBER(Takt),tblObs[[#This Row],[Cycle (s)]]/Takt,""))</f>
        <v>1.09821428571429</v>
      </c>
      <c r="J28" s="41" t="str">
        <f>IF(tblObs[[#This Row],[Date]]="","",IF(tblObs[[#This Row],[Exclude]]="Yes","Excluded",IF(NOT(ISNUMBER(tblObs[[#This Row],[Loading (% of takt)]])),"",IF(tblObs[[#This Row],[Loading (% of takt)]]&gt;OverAt,"Over capacity",IF(tblObs[[#This Row],[Loading (% of takt)]]&gt;=NearAt,"Near capacity","Under capacity")))))</f>
        <v>Over capacity</v>
      </c>
      <c r="K28" s="42">
        <f>IF(tblObs[[#This Row],[Date]]="","",IF(AND(tblObs[[#This Row],[Exclude]]&lt;&gt;"Yes",tblObs[[#This Row],[Date]]&gt;=FFrom,tblObs[[#This Row],[Date]]&lt;=FTo),tblObs[[#This Row],[Date]],""))</f>
        <v>46273</v>
      </c>
      <c r="L28" s="30">
        <f>IF(tblObs[[#This Row],[Date]]="","",IF(AND(tblObs[[#This Row],[Station]]=ChartStation,ISNUMBER(tblObs[[#This Row],[View date]])),COUNTIFS(INDEX(tblObs[Station],1):tblObs[[#This Row],[Station]],tblObs[[#This Row],[Station]],INDEX(tblObs[View date],1):tblObs[[#This Row],[View date]],"&gt;0"),""))</f>
        <v>2</v>
      </c>
      <c r="M28" s="43" t="str">
        <f>IF(tblObs[[#This Row],[Date]]="","",IF(tblObs[[#This Row],[Station]]="","Missing station",IF(tblObs[[#This Row],[Cycle (s)]]="","Missing cycle",IF(tblObs[[#This Row],[Exclude]]="","Missing exclude",IF(COUNTIF(tblStations[Station],tblObs[[#This Row],[Station]])=0,"Station not on Setup list",IF(AND(tblObs[[#This Row],[Exclude]]="Yes",tblObs[[#This Row],[Notes]]=""),"Exclude: no reason",IF(AND(tblObs[[#This Row],[Exclude]]&lt;&gt;"Yes",ISNUMBER(tblObs[[#This Row],[Standard (s)]]),tblObs[[#This Row],[Cycle (s)]]&gt;2*tblObs[[#This Row],[Standard (s)]]),"Over 2x standard","OK")))))))</f>
        <v>OK</v>
      </c>
      <c r="N28" s="44" t="s">
        <v>113</v>
      </c>
    </row>
    <row r="29" spans="2:14" x14ac:dyDescent="0.25">
      <c r="B29" s="37">
        <v>46273</v>
      </c>
      <c r="C29" s="28" t="s">
        <v>92</v>
      </c>
      <c r="D29" s="28" t="s">
        <v>118</v>
      </c>
      <c r="E29" s="35">
        <v>60.7</v>
      </c>
      <c r="F29" s="28" t="s">
        <v>112</v>
      </c>
      <c r="G29" s="38">
        <f>IF(tblObs[[#This Row],[Date]]="","",IFERROR(INDEX(tblStations[Standard cycle (s)],MATCH(tblObs[[#This Row],[Station]],tblStations[Station],0)),""))</f>
        <v>54</v>
      </c>
      <c r="H29" s="39">
        <f>IF(tblObs[[#This Row],[Date]]="","",IF(ISNUMBER(tblObs[[#This Row],[Standard (s)]]),tblObs[[#This Row],[Cycle (s)]]-tblObs[[#This Row],[Standard (s)]],""))</f>
        <v>6.7</v>
      </c>
      <c r="I29" s="40">
        <f>IF(tblObs[[#This Row],[Date]]="","",IF(ISNUMBER(Takt),tblObs[[#This Row],[Cycle (s)]]/Takt,""))</f>
        <v>1.08392857142857</v>
      </c>
      <c r="J29" s="41" t="str">
        <f>IF(tblObs[[#This Row],[Date]]="","",IF(tblObs[[#This Row],[Exclude]]="Yes","Excluded",IF(NOT(ISNUMBER(tblObs[[#This Row],[Loading (% of takt)]])),"",IF(tblObs[[#This Row],[Loading (% of takt)]]&gt;OverAt,"Over capacity",IF(tblObs[[#This Row],[Loading (% of takt)]]&gt;=NearAt,"Near capacity","Under capacity")))))</f>
        <v>Over capacity</v>
      </c>
      <c r="K29" s="42">
        <f>IF(tblObs[[#This Row],[Date]]="","",IF(AND(tblObs[[#This Row],[Exclude]]&lt;&gt;"Yes",tblObs[[#This Row],[Date]]&gt;=FFrom,tblObs[[#This Row],[Date]]&lt;=FTo),tblObs[[#This Row],[Date]],""))</f>
        <v>46273</v>
      </c>
      <c r="L29" s="30">
        <f>IF(tblObs[[#This Row],[Date]]="","",IF(AND(tblObs[[#This Row],[Station]]=ChartStation,ISNUMBER(tblObs[[#This Row],[View date]])),COUNTIFS(INDEX(tblObs[Station],1):tblObs[[#This Row],[Station]],tblObs[[#This Row],[Station]],INDEX(tblObs[View date],1):tblObs[[#This Row],[View date]],"&gt;0"),""))</f>
        <v>3</v>
      </c>
      <c r="M29" s="43" t="str">
        <f>IF(tblObs[[#This Row],[Date]]="","",IF(tblObs[[#This Row],[Station]]="","Missing station",IF(tblObs[[#This Row],[Cycle (s)]]="","Missing cycle",IF(tblObs[[#This Row],[Exclude]]="","Missing exclude",IF(COUNTIF(tblStations[Station],tblObs[[#This Row],[Station]])=0,"Station not on Setup list",IF(AND(tblObs[[#This Row],[Exclude]]="Yes",tblObs[[#This Row],[Notes]]=""),"Exclude: no reason",IF(AND(tblObs[[#This Row],[Exclude]]&lt;&gt;"Yes",ISNUMBER(tblObs[[#This Row],[Standard (s)]]),tblObs[[#This Row],[Cycle (s)]]&gt;2*tblObs[[#This Row],[Standard (s)]]),"Over 2x standard","OK")))))))</f>
        <v>OK</v>
      </c>
      <c r="N29" s="44" t="s">
        <v>113</v>
      </c>
    </row>
    <row r="30" spans="2:14" x14ac:dyDescent="0.25">
      <c r="B30" s="37">
        <v>46273</v>
      </c>
      <c r="C30" s="28" t="s">
        <v>92</v>
      </c>
      <c r="D30" s="28" t="s">
        <v>118</v>
      </c>
      <c r="E30" s="35">
        <v>57.3</v>
      </c>
      <c r="F30" s="28" t="s">
        <v>112</v>
      </c>
      <c r="G30" s="38">
        <f>IF(tblObs[[#This Row],[Date]]="","",IFERROR(INDEX(tblStations[Standard cycle (s)],MATCH(tblObs[[#This Row],[Station]],tblStations[Station],0)),""))</f>
        <v>54</v>
      </c>
      <c r="H30" s="39">
        <f>IF(tblObs[[#This Row],[Date]]="","",IF(ISNUMBER(tblObs[[#This Row],[Standard (s)]]),tblObs[[#This Row],[Cycle (s)]]-tblObs[[#This Row],[Standard (s)]],""))</f>
        <v>3.3</v>
      </c>
      <c r="I30" s="40">
        <f>IF(tblObs[[#This Row],[Date]]="","",IF(ISNUMBER(Takt),tblObs[[#This Row],[Cycle (s)]]/Takt,""))</f>
        <v>1.02321428571429</v>
      </c>
      <c r="J30" s="41" t="str">
        <f>IF(tblObs[[#This Row],[Date]]="","",IF(tblObs[[#This Row],[Exclude]]="Yes","Excluded",IF(NOT(ISNUMBER(tblObs[[#This Row],[Loading (% of takt)]])),"",IF(tblObs[[#This Row],[Loading (% of takt)]]&gt;OverAt,"Over capacity",IF(tblObs[[#This Row],[Loading (% of takt)]]&gt;=NearAt,"Near capacity","Under capacity")))))</f>
        <v>Over capacity</v>
      </c>
      <c r="K30" s="42">
        <f>IF(tblObs[[#This Row],[Date]]="","",IF(AND(tblObs[[#This Row],[Exclude]]&lt;&gt;"Yes",tblObs[[#This Row],[Date]]&gt;=FFrom,tblObs[[#This Row],[Date]]&lt;=FTo),tblObs[[#This Row],[Date]],""))</f>
        <v>46273</v>
      </c>
      <c r="L30" s="30">
        <f>IF(tblObs[[#This Row],[Date]]="","",IF(AND(tblObs[[#This Row],[Station]]=ChartStation,ISNUMBER(tblObs[[#This Row],[View date]])),COUNTIFS(INDEX(tblObs[Station],1):tblObs[[#This Row],[Station]],tblObs[[#This Row],[Station]],INDEX(tblObs[View date],1):tblObs[[#This Row],[View date]],"&gt;0"),""))</f>
        <v>4</v>
      </c>
      <c r="M30" s="43" t="str">
        <f>IF(tblObs[[#This Row],[Date]]="","",IF(tblObs[[#This Row],[Station]]="","Missing station",IF(tblObs[[#This Row],[Cycle (s)]]="","Missing cycle",IF(tblObs[[#This Row],[Exclude]]="","Missing exclude",IF(COUNTIF(tblStations[Station],tblObs[[#This Row],[Station]])=0,"Station not on Setup list",IF(AND(tblObs[[#This Row],[Exclude]]="Yes",tblObs[[#This Row],[Notes]]=""),"Exclude: no reason",IF(AND(tblObs[[#This Row],[Exclude]]&lt;&gt;"Yes",ISNUMBER(tblObs[[#This Row],[Standard (s)]]),tblObs[[#This Row],[Cycle (s)]]&gt;2*tblObs[[#This Row],[Standard (s)]]),"Over 2x standard","OK")))))))</f>
        <v>OK</v>
      </c>
      <c r="N30" s="44" t="s">
        <v>113</v>
      </c>
    </row>
    <row r="31" spans="2:14" x14ac:dyDescent="0.25">
      <c r="B31" s="37">
        <v>46273</v>
      </c>
      <c r="C31" s="28" t="s">
        <v>92</v>
      </c>
      <c r="D31" s="28" t="s">
        <v>118</v>
      </c>
      <c r="E31" s="35">
        <v>61.1</v>
      </c>
      <c r="F31" s="28" t="s">
        <v>112</v>
      </c>
      <c r="G31" s="38">
        <f>IF(tblObs[[#This Row],[Date]]="","",IFERROR(INDEX(tblStations[Standard cycle (s)],MATCH(tblObs[[#This Row],[Station]],tblStations[Station],0)),""))</f>
        <v>54</v>
      </c>
      <c r="H31" s="39">
        <f>IF(tblObs[[#This Row],[Date]]="","",IF(ISNUMBER(tblObs[[#This Row],[Standard (s)]]),tblObs[[#This Row],[Cycle (s)]]-tblObs[[#This Row],[Standard (s)]],""))</f>
        <v>7.1</v>
      </c>
      <c r="I31" s="40">
        <f>IF(tblObs[[#This Row],[Date]]="","",IF(ISNUMBER(Takt),tblObs[[#This Row],[Cycle (s)]]/Takt,""))</f>
        <v>1.09107142857143</v>
      </c>
      <c r="J31" s="41" t="str">
        <f>IF(tblObs[[#This Row],[Date]]="","",IF(tblObs[[#This Row],[Exclude]]="Yes","Excluded",IF(NOT(ISNUMBER(tblObs[[#This Row],[Loading (% of takt)]])),"",IF(tblObs[[#This Row],[Loading (% of takt)]]&gt;OverAt,"Over capacity",IF(tblObs[[#This Row],[Loading (% of takt)]]&gt;=NearAt,"Near capacity","Under capacity")))))</f>
        <v>Over capacity</v>
      </c>
      <c r="K31" s="42">
        <f>IF(tblObs[[#This Row],[Date]]="","",IF(AND(tblObs[[#This Row],[Exclude]]&lt;&gt;"Yes",tblObs[[#This Row],[Date]]&gt;=FFrom,tblObs[[#This Row],[Date]]&lt;=FTo),tblObs[[#This Row],[Date]],""))</f>
        <v>46273</v>
      </c>
      <c r="L31" s="30">
        <f>IF(tblObs[[#This Row],[Date]]="","",IF(AND(tblObs[[#This Row],[Station]]=ChartStation,ISNUMBER(tblObs[[#This Row],[View date]])),COUNTIFS(INDEX(tblObs[Station],1):tblObs[[#This Row],[Station]],tblObs[[#This Row],[Station]],INDEX(tblObs[View date],1):tblObs[[#This Row],[View date]],"&gt;0"),""))</f>
        <v>5</v>
      </c>
      <c r="M31" s="43" t="str">
        <f>IF(tblObs[[#This Row],[Date]]="","",IF(tblObs[[#This Row],[Station]]="","Missing station",IF(tblObs[[#This Row],[Cycle (s)]]="","Missing cycle",IF(tblObs[[#This Row],[Exclude]]="","Missing exclude",IF(COUNTIF(tblStations[Station],tblObs[[#This Row],[Station]])=0,"Station not on Setup list",IF(AND(tblObs[[#This Row],[Exclude]]="Yes",tblObs[[#This Row],[Notes]]=""),"Exclude: no reason",IF(AND(tblObs[[#This Row],[Exclude]]&lt;&gt;"Yes",ISNUMBER(tblObs[[#This Row],[Standard (s)]]),tblObs[[#This Row],[Cycle (s)]]&gt;2*tblObs[[#This Row],[Standard (s)]]),"Over 2x standard","OK")))))))</f>
        <v>OK</v>
      </c>
      <c r="N31" s="44" t="s">
        <v>113</v>
      </c>
    </row>
    <row r="32" spans="2:14" x14ac:dyDescent="0.25">
      <c r="B32" s="37">
        <v>46273</v>
      </c>
      <c r="C32" s="28" t="s">
        <v>92</v>
      </c>
      <c r="D32" s="28" t="s">
        <v>118</v>
      </c>
      <c r="E32" s="35">
        <v>96.5</v>
      </c>
      <c r="F32" s="28" t="s">
        <v>114</v>
      </c>
      <c r="G32" s="38">
        <f>IF(tblObs[[#This Row],[Date]]="","",IFERROR(INDEX(tblStations[Standard cycle (s)],MATCH(tblObs[[#This Row],[Station]],tblStations[Station],0)),""))</f>
        <v>54</v>
      </c>
      <c r="H32" s="39">
        <f>IF(tblObs[[#This Row],[Date]]="","",IF(ISNUMBER(tblObs[[#This Row],[Standard (s)]]),tblObs[[#This Row],[Cycle (s)]]-tblObs[[#This Row],[Standard (s)]],""))</f>
        <v>42.5</v>
      </c>
      <c r="I32" s="40">
        <f>IF(tblObs[[#This Row],[Date]]="","",IF(ISNUMBER(Takt),tblObs[[#This Row],[Cycle (s)]]/Takt,""))</f>
        <v>1.72321428571429</v>
      </c>
      <c r="J32" s="41" t="str">
        <f>IF(tblObs[[#This Row],[Date]]="","",IF(tblObs[[#This Row],[Exclude]]="Yes","Excluded",IF(NOT(ISNUMBER(tblObs[[#This Row],[Loading (% of takt)]])),"",IF(tblObs[[#This Row],[Loading (% of takt)]]&gt;OverAt,"Over capacity",IF(tblObs[[#This Row],[Loading (% of takt)]]&gt;=NearAt,"Near capacity","Under capacity")))))</f>
        <v>Excluded</v>
      </c>
      <c r="K32" s="42">
        <f>IF(tblObs[[#This Row],[Date]]="","",IF(AND(tblObs[[#This Row],[Exclude]]&lt;&gt;"Yes",tblObs[[#This Row],[Date]]&gt;=FFrom,tblObs[[#This Row],[Date]]&lt;=FTo),tblObs[[#This Row],[Date]],""))</f>
        <v/>
      </c>
      <c r="L32" s="30">
        <f>IF(tblObs[[#This Row],[Date]]="","",IF(AND(tblObs[[#This Row],[Station]]=ChartStation,ISNUMBER(tblObs[[#This Row],[View date]])),COUNTIFS(INDEX(tblObs[Station],1):tblObs[[#This Row],[Station]],tblObs[[#This Row],[Station]],INDEX(tblObs[View date],1):tblObs[[#This Row],[View date]],"&gt;0"),""))</f>
        <v/>
      </c>
      <c r="M32" s="43" t="str">
        <f>IF(tblObs[[#This Row],[Date]]="","",IF(tblObs[[#This Row],[Station]]="","Missing station",IF(tblObs[[#This Row],[Cycle (s)]]="","Missing cycle",IF(tblObs[[#This Row],[Exclude]]="","Missing exclude",IF(COUNTIF(tblStations[Station],tblObs[[#This Row],[Station]])=0,"Station not on Setup list",IF(AND(tblObs[[#This Row],[Exclude]]="Yes",tblObs[[#This Row],[Notes]]=""),"Exclude: no reason",IF(AND(tblObs[[#This Row],[Exclude]]&lt;&gt;"Yes",ISNUMBER(tblObs[[#This Row],[Standard (s)]]),tblObs[[#This Row],[Cycle (s)]]&gt;2*tblObs[[#This Row],[Standard (s)]]),"Over 2x standard","OK")))))))</f>
        <v>OK</v>
      </c>
      <c r="N32" s="44" t="s">
        <v>119</v>
      </c>
    </row>
    <row r="33" spans="2:14" x14ac:dyDescent="0.25">
      <c r="B33" s="37">
        <v>46273</v>
      </c>
      <c r="C33" s="28" t="s">
        <v>92</v>
      </c>
      <c r="D33" s="28" t="s">
        <v>118</v>
      </c>
      <c r="E33" s="35">
        <v>59.2</v>
      </c>
      <c r="F33" s="28" t="s">
        <v>112</v>
      </c>
      <c r="G33" s="38">
        <f>IF(tblObs[[#This Row],[Date]]="","",IFERROR(INDEX(tblStations[Standard cycle (s)],MATCH(tblObs[[#This Row],[Station]],tblStations[Station],0)),""))</f>
        <v>54</v>
      </c>
      <c r="H33" s="39">
        <f>IF(tblObs[[#This Row],[Date]]="","",IF(ISNUMBER(tblObs[[#This Row],[Standard (s)]]),tblObs[[#This Row],[Cycle (s)]]-tblObs[[#This Row],[Standard (s)]],""))</f>
        <v>5.2</v>
      </c>
      <c r="I33" s="40">
        <f>IF(tblObs[[#This Row],[Date]]="","",IF(ISNUMBER(Takt),tblObs[[#This Row],[Cycle (s)]]/Takt,""))</f>
        <v>1.05714285714286</v>
      </c>
      <c r="J33" s="41" t="str">
        <f>IF(tblObs[[#This Row],[Date]]="","",IF(tblObs[[#This Row],[Exclude]]="Yes","Excluded",IF(NOT(ISNUMBER(tblObs[[#This Row],[Loading (% of takt)]])),"",IF(tblObs[[#This Row],[Loading (% of takt)]]&gt;OverAt,"Over capacity",IF(tblObs[[#This Row],[Loading (% of takt)]]&gt;=NearAt,"Near capacity","Under capacity")))))</f>
        <v>Over capacity</v>
      </c>
      <c r="K33" s="42">
        <f>IF(tblObs[[#This Row],[Date]]="","",IF(AND(tblObs[[#This Row],[Exclude]]&lt;&gt;"Yes",tblObs[[#This Row],[Date]]&gt;=FFrom,tblObs[[#This Row],[Date]]&lt;=FTo),tblObs[[#This Row],[Date]],""))</f>
        <v>46273</v>
      </c>
      <c r="L33" s="30">
        <f>IF(tblObs[[#This Row],[Date]]="","",IF(AND(tblObs[[#This Row],[Station]]=ChartStation,ISNUMBER(tblObs[[#This Row],[View date]])),COUNTIFS(INDEX(tblObs[Station],1):tblObs[[#This Row],[Station]],tblObs[[#This Row],[Station]],INDEX(tblObs[View date],1):tblObs[[#This Row],[View date]],"&gt;0"),""))</f>
        <v>6</v>
      </c>
      <c r="M33" s="43" t="str">
        <f>IF(tblObs[[#This Row],[Date]]="","",IF(tblObs[[#This Row],[Station]]="","Missing station",IF(tblObs[[#This Row],[Cycle (s)]]="","Missing cycle",IF(tblObs[[#This Row],[Exclude]]="","Missing exclude",IF(COUNTIF(tblStations[Station],tblObs[[#This Row],[Station]])=0,"Station not on Setup list",IF(AND(tblObs[[#This Row],[Exclude]]="Yes",tblObs[[#This Row],[Notes]]=""),"Exclude: no reason",IF(AND(tblObs[[#This Row],[Exclude]]&lt;&gt;"Yes",ISNUMBER(tblObs[[#This Row],[Standard (s)]]),tblObs[[#This Row],[Cycle (s)]]&gt;2*tblObs[[#This Row],[Standard (s)]]),"Over 2x standard","OK")))))))</f>
        <v>OK</v>
      </c>
      <c r="N33" s="44" t="s">
        <v>113</v>
      </c>
    </row>
    <row r="34" spans="2:14" x14ac:dyDescent="0.25">
      <c r="B34" s="37">
        <v>46273</v>
      </c>
      <c r="C34" s="28" t="s">
        <v>94</v>
      </c>
      <c r="D34" s="28" t="s">
        <v>120</v>
      </c>
      <c r="E34" s="35">
        <v>52.2</v>
      </c>
      <c r="F34" s="28" t="s">
        <v>112</v>
      </c>
      <c r="G34" s="38">
        <f>IF(tblObs[[#This Row],[Date]]="","",IFERROR(INDEX(tblStations[Standard cycle (s)],MATCH(tblObs[[#This Row],[Station]],tblStations[Station],0)),""))</f>
        <v>51</v>
      </c>
      <c r="H34" s="39">
        <f>IF(tblObs[[#This Row],[Date]]="","",IF(ISNUMBER(tblObs[[#This Row],[Standard (s)]]),tblObs[[#This Row],[Cycle (s)]]-tblObs[[#This Row],[Standard (s)]],""))</f>
        <v>1.2</v>
      </c>
      <c r="I34" s="40">
        <f>IF(tblObs[[#This Row],[Date]]="","",IF(ISNUMBER(Takt),tblObs[[#This Row],[Cycle (s)]]/Takt,""))</f>
        <v>0.932142857142857</v>
      </c>
      <c r="J34" s="41" t="str">
        <f>IF(tblObs[[#This Row],[Date]]="","",IF(tblObs[[#This Row],[Exclude]]="Yes","Excluded",IF(NOT(ISNUMBER(tblObs[[#This Row],[Loading (% of takt)]])),"",IF(tblObs[[#This Row],[Loading (% of takt)]]&gt;OverAt,"Over capacity",IF(tblObs[[#This Row],[Loading (% of takt)]]&gt;=NearAt,"Near capacity","Under capacity")))))</f>
        <v>Near capacity</v>
      </c>
      <c r="K34" s="42">
        <f>IF(tblObs[[#This Row],[Date]]="","",IF(AND(tblObs[[#This Row],[Exclude]]&lt;&gt;"Yes",tblObs[[#This Row],[Date]]&gt;=FFrom,tblObs[[#This Row],[Date]]&lt;=FTo),tblObs[[#This Row],[Date]],""))</f>
        <v>46273</v>
      </c>
      <c r="L34" s="30">
        <f>IF(tblObs[[#This Row],[Date]]="","",IF(AND(tblObs[[#This Row],[Station]]=ChartStation,ISNUMBER(tblObs[[#This Row],[View date]])),COUNTIFS(INDEX(tblObs[Station],1):tblObs[[#This Row],[Station]],tblObs[[#This Row],[Station]],INDEX(tblObs[View date],1):tblObs[[#This Row],[View date]],"&gt;0"),""))</f>
        <v/>
      </c>
      <c r="M34" s="43" t="str">
        <f>IF(tblObs[[#This Row],[Date]]="","",IF(tblObs[[#This Row],[Station]]="","Missing station",IF(tblObs[[#This Row],[Cycle (s)]]="","Missing cycle",IF(tblObs[[#This Row],[Exclude]]="","Missing exclude",IF(COUNTIF(tblStations[Station],tblObs[[#This Row],[Station]])=0,"Station not on Setup list",IF(AND(tblObs[[#This Row],[Exclude]]="Yes",tblObs[[#This Row],[Notes]]=""),"Exclude: no reason",IF(AND(tblObs[[#This Row],[Exclude]]&lt;&gt;"Yes",ISNUMBER(tblObs[[#This Row],[Standard (s)]]),tblObs[[#This Row],[Cycle (s)]]&gt;2*tblObs[[#This Row],[Standard (s)]]),"Over 2x standard","OK")))))))</f>
        <v>OK</v>
      </c>
      <c r="N34" s="44" t="s">
        <v>113</v>
      </c>
    </row>
    <row r="35" spans="2:14" x14ac:dyDescent="0.25">
      <c r="B35" s="37">
        <v>46273</v>
      </c>
      <c r="C35" s="28" t="s">
        <v>94</v>
      </c>
      <c r="D35" s="28" t="s">
        <v>120</v>
      </c>
      <c r="E35" s="35">
        <v>50.8</v>
      </c>
      <c r="F35" s="28" t="s">
        <v>112</v>
      </c>
      <c r="G35" s="38">
        <f>IF(tblObs[[#This Row],[Date]]="","",IFERROR(INDEX(tblStations[Standard cycle (s)],MATCH(tblObs[[#This Row],[Station]],tblStations[Station],0)),""))</f>
        <v>51</v>
      </c>
      <c r="H35" s="39">
        <f>IF(tblObs[[#This Row],[Date]]="","",IF(ISNUMBER(tblObs[[#This Row],[Standard (s)]]),tblObs[[#This Row],[Cycle (s)]]-tblObs[[#This Row],[Standard (s)]],""))</f>
        <v>-0.200000000000003</v>
      </c>
      <c r="I35" s="40">
        <f>IF(tblObs[[#This Row],[Date]]="","",IF(ISNUMBER(Takt),tblObs[[#This Row],[Cycle (s)]]/Takt,""))</f>
        <v>0.907142857142857</v>
      </c>
      <c r="J35" s="41" t="str">
        <f>IF(tblObs[[#This Row],[Date]]="","",IF(tblObs[[#This Row],[Exclude]]="Yes","Excluded",IF(NOT(ISNUMBER(tblObs[[#This Row],[Loading (% of takt)]])),"",IF(tblObs[[#This Row],[Loading (% of takt)]]&gt;OverAt,"Over capacity",IF(tblObs[[#This Row],[Loading (% of takt)]]&gt;=NearAt,"Near capacity","Under capacity")))))</f>
        <v>Near capacity</v>
      </c>
      <c r="K35" s="42">
        <f>IF(tblObs[[#This Row],[Date]]="","",IF(AND(tblObs[[#This Row],[Exclude]]&lt;&gt;"Yes",tblObs[[#This Row],[Date]]&gt;=FFrom,tblObs[[#This Row],[Date]]&lt;=FTo),tblObs[[#This Row],[Date]],""))</f>
        <v>46273</v>
      </c>
      <c r="L35" s="30">
        <f>IF(tblObs[[#This Row],[Date]]="","",IF(AND(tblObs[[#This Row],[Station]]=ChartStation,ISNUMBER(tblObs[[#This Row],[View date]])),COUNTIFS(INDEX(tblObs[Station],1):tblObs[[#This Row],[Station]],tblObs[[#This Row],[Station]],INDEX(tblObs[View date],1):tblObs[[#This Row],[View date]],"&gt;0"),""))</f>
        <v/>
      </c>
      <c r="M35" s="43" t="str">
        <f>IF(tblObs[[#This Row],[Date]]="","",IF(tblObs[[#This Row],[Station]]="","Missing station",IF(tblObs[[#This Row],[Cycle (s)]]="","Missing cycle",IF(tblObs[[#This Row],[Exclude]]="","Missing exclude",IF(COUNTIF(tblStations[Station],tblObs[[#This Row],[Station]])=0,"Station not on Setup list",IF(AND(tblObs[[#This Row],[Exclude]]="Yes",tblObs[[#This Row],[Notes]]=""),"Exclude: no reason",IF(AND(tblObs[[#This Row],[Exclude]]&lt;&gt;"Yes",ISNUMBER(tblObs[[#This Row],[Standard (s)]]),tblObs[[#This Row],[Cycle (s)]]&gt;2*tblObs[[#This Row],[Standard (s)]]),"Over 2x standard","OK")))))))</f>
        <v>OK</v>
      </c>
      <c r="N35" s="44" t="s">
        <v>113</v>
      </c>
    </row>
    <row r="36" spans="2:14" x14ac:dyDescent="0.25">
      <c r="B36" s="37">
        <v>46273</v>
      </c>
      <c r="C36" s="28" t="s">
        <v>94</v>
      </c>
      <c r="D36" s="28" t="s">
        <v>120</v>
      </c>
      <c r="E36" s="35">
        <v>51.4</v>
      </c>
      <c r="F36" s="28" t="s">
        <v>112</v>
      </c>
      <c r="G36" s="38">
        <f>IF(tblObs[[#This Row],[Date]]="","",IFERROR(INDEX(tblStations[Standard cycle (s)],MATCH(tblObs[[#This Row],[Station]],tblStations[Station],0)),""))</f>
        <v>51</v>
      </c>
      <c r="H36" s="39">
        <f>IF(tblObs[[#This Row],[Date]]="","",IF(ISNUMBER(tblObs[[#This Row],[Standard (s)]]),tblObs[[#This Row],[Cycle (s)]]-tblObs[[#This Row],[Standard (s)]],""))</f>
        <v>0.399999999999999</v>
      </c>
      <c r="I36" s="40">
        <f>IF(tblObs[[#This Row],[Date]]="","",IF(ISNUMBER(Takt),tblObs[[#This Row],[Cycle (s)]]/Takt,""))</f>
        <v>0.917857142857143</v>
      </c>
      <c r="J36" s="41" t="str">
        <f>IF(tblObs[[#This Row],[Date]]="","",IF(tblObs[[#This Row],[Exclude]]="Yes","Excluded",IF(NOT(ISNUMBER(tblObs[[#This Row],[Loading (% of takt)]])),"",IF(tblObs[[#This Row],[Loading (% of takt)]]&gt;OverAt,"Over capacity",IF(tblObs[[#This Row],[Loading (% of takt)]]&gt;=NearAt,"Near capacity","Under capacity")))))</f>
        <v>Near capacity</v>
      </c>
      <c r="K36" s="42">
        <f>IF(tblObs[[#This Row],[Date]]="","",IF(AND(tblObs[[#This Row],[Exclude]]&lt;&gt;"Yes",tblObs[[#This Row],[Date]]&gt;=FFrom,tblObs[[#This Row],[Date]]&lt;=FTo),tblObs[[#This Row],[Date]],""))</f>
        <v>46273</v>
      </c>
      <c r="L36" s="30">
        <f>IF(tblObs[[#This Row],[Date]]="","",IF(AND(tblObs[[#This Row],[Station]]=ChartStation,ISNUMBER(tblObs[[#This Row],[View date]])),COUNTIFS(INDEX(tblObs[Station],1):tblObs[[#This Row],[Station]],tblObs[[#This Row],[Station]],INDEX(tblObs[View date],1):tblObs[[#This Row],[View date]],"&gt;0"),""))</f>
        <v/>
      </c>
      <c r="M36" s="43" t="str">
        <f>IF(tblObs[[#This Row],[Date]]="","",IF(tblObs[[#This Row],[Station]]="","Missing station",IF(tblObs[[#This Row],[Cycle (s)]]="","Missing cycle",IF(tblObs[[#This Row],[Exclude]]="","Missing exclude",IF(COUNTIF(tblStations[Station],tblObs[[#This Row],[Station]])=0,"Station not on Setup list",IF(AND(tblObs[[#This Row],[Exclude]]="Yes",tblObs[[#This Row],[Notes]]=""),"Exclude: no reason",IF(AND(tblObs[[#This Row],[Exclude]]&lt;&gt;"Yes",ISNUMBER(tblObs[[#This Row],[Standard (s)]]),tblObs[[#This Row],[Cycle (s)]]&gt;2*tblObs[[#This Row],[Standard (s)]]),"Over 2x standard","OK")))))))</f>
        <v>OK</v>
      </c>
      <c r="N36" s="44" t="s">
        <v>113</v>
      </c>
    </row>
    <row r="37" spans="2:14" x14ac:dyDescent="0.25">
      <c r="B37" s="37">
        <v>46273</v>
      </c>
      <c r="C37" s="28" t="s">
        <v>94</v>
      </c>
      <c r="D37" s="28" t="s">
        <v>120</v>
      </c>
      <c r="E37" s="35">
        <v>52.4</v>
      </c>
      <c r="F37" s="28" t="s">
        <v>112</v>
      </c>
      <c r="G37" s="38">
        <f>IF(tblObs[[#This Row],[Date]]="","",IFERROR(INDEX(tblStations[Standard cycle (s)],MATCH(tblObs[[#This Row],[Station]],tblStations[Station],0)),""))</f>
        <v>51</v>
      </c>
      <c r="H37" s="39">
        <f>IF(tblObs[[#This Row],[Date]]="","",IF(ISNUMBER(tblObs[[#This Row],[Standard (s)]]),tblObs[[#This Row],[Cycle (s)]]-tblObs[[#This Row],[Standard (s)]],""))</f>
        <v>1.4</v>
      </c>
      <c r="I37" s="40">
        <f>IF(tblObs[[#This Row],[Date]]="","",IF(ISNUMBER(Takt),tblObs[[#This Row],[Cycle (s)]]/Takt,""))</f>
        <v>0.935714285714286</v>
      </c>
      <c r="J37" s="41" t="str">
        <f>IF(tblObs[[#This Row],[Date]]="","",IF(tblObs[[#This Row],[Exclude]]="Yes","Excluded",IF(NOT(ISNUMBER(tblObs[[#This Row],[Loading (% of takt)]])),"",IF(tblObs[[#This Row],[Loading (% of takt)]]&gt;OverAt,"Over capacity",IF(tblObs[[#This Row],[Loading (% of takt)]]&gt;=NearAt,"Near capacity","Under capacity")))))</f>
        <v>Near capacity</v>
      </c>
      <c r="K37" s="42">
        <f>IF(tblObs[[#This Row],[Date]]="","",IF(AND(tblObs[[#This Row],[Exclude]]&lt;&gt;"Yes",tblObs[[#This Row],[Date]]&gt;=FFrom,tblObs[[#This Row],[Date]]&lt;=FTo),tblObs[[#This Row],[Date]],""))</f>
        <v>46273</v>
      </c>
      <c r="L37" s="30">
        <f>IF(tblObs[[#This Row],[Date]]="","",IF(AND(tblObs[[#This Row],[Station]]=ChartStation,ISNUMBER(tblObs[[#This Row],[View date]])),COUNTIFS(INDEX(tblObs[Station],1):tblObs[[#This Row],[Station]],tblObs[[#This Row],[Station]],INDEX(tblObs[View date],1):tblObs[[#This Row],[View date]],"&gt;0"),""))</f>
        <v/>
      </c>
      <c r="M37" s="43" t="str">
        <f>IF(tblObs[[#This Row],[Date]]="","",IF(tblObs[[#This Row],[Station]]="","Missing station",IF(tblObs[[#This Row],[Cycle (s)]]="","Missing cycle",IF(tblObs[[#This Row],[Exclude]]="","Missing exclude",IF(COUNTIF(tblStations[Station],tblObs[[#This Row],[Station]])=0,"Station not on Setup list",IF(AND(tblObs[[#This Row],[Exclude]]="Yes",tblObs[[#This Row],[Notes]]=""),"Exclude: no reason",IF(AND(tblObs[[#This Row],[Exclude]]&lt;&gt;"Yes",ISNUMBER(tblObs[[#This Row],[Standard (s)]]),tblObs[[#This Row],[Cycle (s)]]&gt;2*tblObs[[#This Row],[Standard (s)]]),"Over 2x standard","OK")))))))</f>
        <v>OK</v>
      </c>
      <c r="N37" s="44" t="s">
        <v>113</v>
      </c>
    </row>
    <row r="38" spans="2:14" x14ac:dyDescent="0.25">
      <c r="B38" s="37">
        <v>46273</v>
      </c>
      <c r="C38" s="28" t="s">
        <v>94</v>
      </c>
      <c r="D38" s="28" t="s">
        <v>120</v>
      </c>
      <c r="E38" s="35">
        <v>51.7</v>
      </c>
      <c r="F38" s="28" t="s">
        <v>112</v>
      </c>
      <c r="G38" s="38">
        <f>IF(tblObs[[#This Row],[Date]]="","",IFERROR(INDEX(tblStations[Standard cycle (s)],MATCH(tblObs[[#This Row],[Station]],tblStations[Station],0)),""))</f>
        <v>51</v>
      </c>
      <c r="H38" s="39">
        <f>IF(tblObs[[#This Row],[Date]]="","",IF(ISNUMBER(tblObs[[#This Row],[Standard (s)]]),tblObs[[#This Row],[Cycle (s)]]-tblObs[[#This Row],[Standard (s)]],""))</f>
        <v>0.700000000000003</v>
      </c>
      <c r="I38" s="40">
        <f>IF(tblObs[[#This Row],[Date]]="","",IF(ISNUMBER(Takt),tblObs[[#This Row],[Cycle (s)]]/Takt,""))</f>
        <v>0.923214285714286</v>
      </c>
      <c r="J38" s="41" t="str">
        <f>IF(tblObs[[#This Row],[Date]]="","",IF(tblObs[[#This Row],[Exclude]]="Yes","Excluded",IF(NOT(ISNUMBER(tblObs[[#This Row],[Loading (% of takt)]])),"",IF(tblObs[[#This Row],[Loading (% of takt)]]&gt;OverAt,"Over capacity",IF(tblObs[[#This Row],[Loading (% of takt)]]&gt;=NearAt,"Near capacity","Under capacity")))))</f>
        <v>Near capacity</v>
      </c>
      <c r="K38" s="42">
        <f>IF(tblObs[[#This Row],[Date]]="","",IF(AND(tblObs[[#This Row],[Exclude]]&lt;&gt;"Yes",tblObs[[#This Row],[Date]]&gt;=FFrom,tblObs[[#This Row],[Date]]&lt;=FTo),tblObs[[#This Row],[Date]],""))</f>
        <v>46273</v>
      </c>
      <c r="L38" s="30">
        <f>IF(tblObs[[#This Row],[Date]]="","",IF(AND(tblObs[[#This Row],[Station]]=ChartStation,ISNUMBER(tblObs[[#This Row],[View date]])),COUNTIFS(INDEX(tblObs[Station],1):tblObs[[#This Row],[Station]],tblObs[[#This Row],[Station]],INDEX(tblObs[View date],1):tblObs[[#This Row],[View date]],"&gt;0"),""))</f>
        <v/>
      </c>
      <c r="M38" s="43" t="str">
        <f>IF(tblObs[[#This Row],[Date]]="","",IF(tblObs[[#This Row],[Station]]="","Missing station",IF(tblObs[[#This Row],[Cycle (s)]]="","Missing cycle",IF(tblObs[[#This Row],[Exclude]]="","Missing exclude",IF(COUNTIF(tblStations[Station],tblObs[[#This Row],[Station]])=0,"Station not on Setup list",IF(AND(tblObs[[#This Row],[Exclude]]="Yes",tblObs[[#This Row],[Notes]]=""),"Exclude: no reason",IF(AND(tblObs[[#This Row],[Exclude]]&lt;&gt;"Yes",ISNUMBER(tblObs[[#This Row],[Standard (s)]]),tblObs[[#This Row],[Cycle (s)]]&gt;2*tblObs[[#This Row],[Standard (s)]]),"Over 2x standard","OK")))))))</f>
        <v>OK</v>
      </c>
      <c r="N38" s="44" t="s">
        <v>113</v>
      </c>
    </row>
    <row r="39" spans="2:14" x14ac:dyDescent="0.25">
      <c r="B39" s="37">
        <v>46273</v>
      </c>
      <c r="C39" s="28" t="s">
        <v>94</v>
      </c>
      <c r="D39" s="28" t="s">
        <v>120</v>
      </c>
      <c r="E39" s="35">
        <v>52.9</v>
      </c>
      <c r="F39" s="28" t="s">
        <v>112</v>
      </c>
      <c r="G39" s="38">
        <f>IF(tblObs[[#This Row],[Date]]="","",IFERROR(INDEX(tblStations[Standard cycle (s)],MATCH(tblObs[[#This Row],[Station]],tblStations[Station],0)),""))</f>
        <v>51</v>
      </c>
      <c r="H39" s="39">
        <f>IF(tblObs[[#This Row],[Date]]="","",IF(ISNUMBER(tblObs[[#This Row],[Standard (s)]]),tblObs[[#This Row],[Cycle (s)]]-tblObs[[#This Row],[Standard (s)]],""))</f>
        <v>1.9</v>
      </c>
      <c r="I39" s="40">
        <f>IF(tblObs[[#This Row],[Date]]="","",IF(ISNUMBER(Takt),tblObs[[#This Row],[Cycle (s)]]/Takt,""))</f>
        <v>0.944642857142857</v>
      </c>
      <c r="J39" s="41" t="str">
        <f>IF(tblObs[[#This Row],[Date]]="","",IF(tblObs[[#This Row],[Exclude]]="Yes","Excluded",IF(NOT(ISNUMBER(tblObs[[#This Row],[Loading (% of takt)]])),"",IF(tblObs[[#This Row],[Loading (% of takt)]]&gt;OverAt,"Over capacity",IF(tblObs[[#This Row],[Loading (% of takt)]]&gt;=NearAt,"Near capacity","Under capacity")))))</f>
        <v>Near capacity</v>
      </c>
      <c r="K39" s="42">
        <f>IF(tblObs[[#This Row],[Date]]="","",IF(AND(tblObs[[#This Row],[Exclude]]&lt;&gt;"Yes",tblObs[[#This Row],[Date]]&gt;=FFrom,tblObs[[#This Row],[Date]]&lt;=FTo),tblObs[[#This Row],[Date]],""))</f>
        <v>46273</v>
      </c>
      <c r="L39" s="30">
        <f>IF(tblObs[[#This Row],[Date]]="","",IF(AND(tblObs[[#This Row],[Station]]=ChartStation,ISNUMBER(tblObs[[#This Row],[View date]])),COUNTIFS(INDEX(tblObs[Station],1):tblObs[[#This Row],[Station]],tblObs[[#This Row],[Station]],INDEX(tblObs[View date],1):tblObs[[#This Row],[View date]],"&gt;0"),""))</f>
        <v/>
      </c>
      <c r="M39" s="43" t="str">
        <f>IF(tblObs[[#This Row],[Date]]="","",IF(tblObs[[#This Row],[Station]]="","Missing station",IF(tblObs[[#This Row],[Cycle (s)]]="","Missing cycle",IF(tblObs[[#This Row],[Exclude]]="","Missing exclude",IF(COUNTIF(tblStations[Station],tblObs[[#This Row],[Station]])=0,"Station not on Setup list",IF(AND(tblObs[[#This Row],[Exclude]]="Yes",tblObs[[#This Row],[Notes]]=""),"Exclude: no reason",IF(AND(tblObs[[#This Row],[Exclude]]&lt;&gt;"Yes",ISNUMBER(tblObs[[#This Row],[Standard (s)]]),tblObs[[#This Row],[Cycle (s)]]&gt;2*tblObs[[#This Row],[Standard (s)]]),"Over 2x standard","OK")))))))</f>
        <v>OK</v>
      </c>
      <c r="N39" s="44" t="s">
        <v>113</v>
      </c>
    </row>
    <row r="40" spans="2:14" x14ac:dyDescent="0.25">
      <c r="B40" s="37">
        <v>46273</v>
      </c>
      <c r="C40" s="28" t="s">
        <v>94</v>
      </c>
      <c r="D40" s="28" t="s">
        <v>120</v>
      </c>
      <c r="E40" s="35">
        <v>51.6</v>
      </c>
      <c r="F40" s="28" t="s">
        <v>112</v>
      </c>
      <c r="G40" s="38">
        <f>IF(tblObs[[#This Row],[Date]]="","",IFERROR(INDEX(tblStations[Standard cycle (s)],MATCH(tblObs[[#This Row],[Station]],tblStations[Station],0)),""))</f>
        <v>51</v>
      </c>
      <c r="H40" s="39">
        <f>IF(tblObs[[#This Row],[Date]]="","",IF(ISNUMBER(tblObs[[#This Row],[Standard (s)]]),tblObs[[#This Row],[Cycle (s)]]-tblObs[[#This Row],[Standard (s)]],""))</f>
        <v>0.600000000000001</v>
      </c>
      <c r="I40" s="40">
        <f>IF(tblObs[[#This Row],[Date]]="","",IF(ISNUMBER(Takt),tblObs[[#This Row],[Cycle (s)]]/Takt,""))</f>
        <v>0.921428571428572</v>
      </c>
      <c r="J40" s="41" t="str">
        <f>IF(tblObs[[#This Row],[Date]]="","",IF(tblObs[[#This Row],[Exclude]]="Yes","Excluded",IF(NOT(ISNUMBER(tblObs[[#This Row],[Loading (% of takt)]])),"",IF(tblObs[[#This Row],[Loading (% of takt)]]&gt;OverAt,"Over capacity",IF(tblObs[[#This Row],[Loading (% of takt)]]&gt;=NearAt,"Near capacity","Under capacity")))))</f>
        <v>Near capacity</v>
      </c>
      <c r="K40" s="42">
        <f>IF(tblObs[[#This Row],[Date]]="","",IF(AND(tblObs[[#This Row],[Exclude]]&lt;&gt;"Yes",tblObs[[#This Row],[Date]]&gt;=FFrom,tblObs[[#This Row],[Date]]&lt;=FTo),tblObs[[#This Row],[Date]],""))</f>
        <v>46273</v>
      </c>
      <c r="L40" s="30">
        <f>IF(tblObs[[#This Row],[Date]]="","",IF(AND(tblObs[[#This Row],[Station]]=ChartStation,ISNUMBER(tblObs[[#This Row],[View date]])),COUNTIFS(INDEX(tblObs[Station],1):tblObs[[#This Row],[Station]],tblObs[[#This Row],[Station]],INDEX(tblObs[View date],1):tblObs[[#This Row],[View date]],"&gt;0"),""))</f>
        <v/>
      </c>
      <c r="M40" s="43" t="str">
        <f>IF(tblObs[[#This Row],[Date]]="","",IF(tblObs[[#This Row],[Station]]="","Missing station",IF(tblObs[[#This Row],[Cycle (s)]]="","Missing cycle",IF(tblObs[[#This Row],[Exclude]]="","Missing exclude",IF(COUNTIF(tblStations[Station],tblObs[[#This Row],[Station]])=0,"Station not on Setup list",IF(AND(tblObs[[#This Row],[Exclude]]="Yes",tblObs[[#This Row],[Notes]]=""),"Exclude: no reason",IF(AND(tblObs[[#This Row],[Exclude]]&lt;&gt;"Yes",ISNUMBER(tblObs[[#This Row],[Standard (s)]]),tblObs[[#This Row],[Cycle (s)]]&gt;2*tblObs[[#This Row],[Standard (s)]]),"Over 2x standard","OK")))))))</f>
        <v>OK</v>
      </c>
      <c r="N40" s="44" t="s">
        <v>113</v>
      </c>
    </row>
    <row r="41" spans="2:14" x14ac:dyDescent="0.25">
      <c r="B41" s="37">
        <v>46273</v>
      </c>
      <c r="C41" s="28" t="s">
        <v>96</v>
      </c>
      <c r="D41" s="28" t="s">
        <v>121</v>
      </c>
      <c r="E41" s="35">
        <v>34</v>
      </c>
      <c r="F41" s="28" t="s">
        <v>112</v>
      </c>
      <c r="G41" s="38">
        <f>IF(tblObs[[#This Row],[Date]]="","",IFERROR(INDEX(tblStations[Standard cycle (s)],MATCH(tblObs[[#This Row],[Station]],tblStations[Station],0)),""))</f>
        <v>36</v>
      </c>
      <c r="H41" s="39">
        <f>IF(tblObs[[#This Row],[Date]]="","",IF(ISNUMBER(tblObs[[#This Row],[Standard (s)]]),tblObs[[#This Row],[Cycle (s)]]-tblObs[[#This Row],[Standard (s)]],""))</f>
        <v>-2</v>
      </c>
      <c r="I41" s="40">
        <f>IF(tblObs[[#This Row],[Date]]="","",IF(ISNUMBER(Takt),tblObs[[#This Row],[Cycle (s)]]/Takt,""))</f>
        <v>0.607142857142857</v>
      </c>
      <c r="J41" s="41" t="str">
        <f>IF(tblObs[[#This Row],[Date]]="","",IF(tblObs[[#This Row],[Exclude]]="Yes","Excluded",IF(NOT(ISNUMBER(tblObs[[#This Row],[Loading (% of takt)]])),"",IF(tblObs[[#This Row],[Loading (% of takt)]]&gt;OverAt,"Over capacity",IF(tblObs[[#This Row],[Loading (% of takt)]]&gt;=NearAt,"Near capacity","Under capacity")))))</f>
        <v>Under capacity</v>
      </c>
      <c r="K41" s="42">
        <f>IF(tblObs[[#This Row],[Date]]="","",IF(AND(tblObs[[#This Row],[Exclude]]&lt;&gt;"Yes",tblObs[[#This Row],[Date]]&gt;=FFrom,tblObs[[#This Row],[Date]]&lt;=FTo),tblObs[[#This Row],[Date]],""))</f>
        <v>46273</v>
      </c>
      <c r="L41" s="30">
        <f>IF(tblObs[[#This Row],[Date]]="","",IF(AND(tblObs[[#This Row],[Station]]=ChartStation,ISNUMBER(tblObs[[#This Row],[View date]])),COUNTIFS(INDEX(tblObs[Station],1):tblObs[[#This Row],[Station]],tblObs[[#This Row],[Station]],INDEX(tblObs[View date],1):tblObs[[#This Row],[View date]],"&gt;0"),""))</f>
        <v/>
      </c>
      <c r="M41" s="43" t="str">
        <f>IF(tblObs[[#This Row],[Date]]="","",IF(tblObs[[#This Row],[Station]]="","Missing station",IF(tblObs[[#This Row],[Cycle (s)]]="","Missing cycle",IF(tblObs[[#This Row],[Exclude]]="","Missing exclude",IF(COUNTIF(tblStations[Station],tblObs[[#This Row],[Station]])=0,"Station not on Setup list",IF(AND(tblObs[[#This Row],[Exclude]]="Yes",tblObs[[#This Row],[Notes]]=""),"Exclude: no reason",IF(AND(tblObs[[#This Row],[Exclude]]&lt;&gt;"Yes",ISNUMBER(tblObs[[#This Row],[Standard (s)]]),tblObs[[#This Row],[Cycle (s)]]&gt;2*tblObs[[#This Row],[Standard (s)]]),"Over 2x standard","OK")))))))</f>
        <v>OK</v>
      </c>
      <c r="N41" s="44" t="s">
        <v>113</v>
      </c>
    </row>
    <row r="42" spans="2:14" x14ac:dyDescent="0.25">
      <c r="B42" s="37">
        <v>46273</v>
      </c>
      <c r="C42" s="28" t="s">
        <v>96</v>
      </c>
      <c r="D42" s="28" t="s">
        <v>121</v>
      </c>
      <c r="E42" s="35">
        <v>34.5</v>
      </c>
      <c r="F42" s="28" t="s">
        <v>112</v>
      </c>
      <c r="G42" s="38">
        <f>IF(tblObs[[#This Row],[Date]]="","",IFERROR(INDEX(tblStations[Standard cycle (s)],MATCH(tblObs[[#This Row],[Station]],tblStations[Station],0)),""))</f>
        <v>36</v>
      </c>
      <c r="H42" s="39">
        <f>IF(tblObs[[#This Row],[Date]]="","",IF(ISNUMBER(tblObs[[#This Row],[Standard (s)]]),tblObs[[#This Row],[Cycle (s)]]-tblObs[[#This Row],[Standard (s)]],""))</f>
        <v>-1.5</v>
      </c>
      <c r="I42" s="40">
        <f>IF(tblObs[[#This Row],[Date]]="","",IF(ISNUMBER(Takt),tblObs[[#This Row],[Cycle (s)]]/Takt,""))</f>
        <v>0.616071428571429</v>
      </c>
      <c r="J42" s="41" t="str">
        <f>IF(tblObs[[#This Row],[Date]]="","",IF(tblObs[[#This Row],[Exclude]]="Yes","Excluded",IF(NOT(ISNUMBER(tblObs[[#This Row],[Loading (% of takt)]])),"",IF(tblObs[[#This Row],[Loading (% of takt)]]&gt;OverAt,"Over capacity",IF(tblObs[[#This Row],[Loading (% of takt)]]&gt;=NearAt,"Near capacity","Under capacity")))))</f>
        <v>Under capacity</v>
      </c>
      <c r="K42" s="42">
        <f>IF(tblObs[[#This Row],[Date]]="","",IF(AND(tblObs[[#This Row],[Exclude]]&lt;&gt;"Yes",tblObs[[#This Row],[Date]]&gt;=FFrom,tblObs[[#This Row],[Date]]&lt;=FTo),tblObs[[#This Row],[Date]],""))</f>
        <v>46273</v>
      </c>
      <c r="L42" s="30">
        <f>IF(tblObs[[#This Row],[Date]]="","",IF(AND(tblObs[[#This Row],[Station]]=ChartStation,ISNUMBER(tblObs[[#This Row],[View date]])),COUNTIFS(INDEX(tblObs[Station],1):tblObs[[#This Row],[Station]],tblObs[[#This Row],[Station]],INDEX(tblObs[View date],1):tblObs[[#This Row],[View date]],"&gt;0"),""))</f>
        <v/>
      </c>
      <c r="M42" s="43" t="str">
        <f>IF(tblObs[[#This Row],[Date]]="","",IF(tblObs[[#This Row],[Station]]="","Missing station",IF(tblObs[[#This Row],[Cycle (s)]]="","Missing cycle",IF(tblObs[[#This Row],[Exclude]]="","Missing exclude",IF(COUNTIF(tblStations[Station],tblObs[[#This Row],[Station]])=0,"Station not on Setup list",IF(AND(tblObs[[#This Row],[Exclude]]="Yes",tblObs[[#This Row],[Notes]]=""),"Exclude: no reason",IF(AND(tblObs[[#This Row],[Exclude]]&lt;&gt;"Yes",ISNUMBER(tblObs[[#This Row],[Standard (s)]]),tblObs[[#This Row],[Cycle (s)]]&gt;2*tblObs[[#This Row],[Standard (s)]]),"Over 2x standard","OK")))))))</f>
        <v>OK</v>
      </c>
      <c r="N42" s="44" t="s">
        <v>113</v>
      </c>
    </row>
    <row r="43" spans="2:14" x14ac:dyDescent="0.25">
      <c r="B43" s="37">
        <v>46273</v>
      </c>
      <c r="C43" s="28" t="s">
        <v>96</v>
      </c>
      <c r="D43" s="28" t="s">
        <v>121</v>
      </c>
      <c r="E43" s="35">
        <v>40.8</v>
      </c>
      <c r="F43" s="28" t="s">
        <v>112</v>
      </c>
      <c r="G43" s="38">
        <f>IF(tblObs[[#This Row],[Date]]="","",IFERROR(INDEX(tblStations[Standard cycle (s)],MATCH(tblObs[[#This Row],[Station]],tblStations[Station],0)),""))</f>
        <v>36</v>
      </c>
      <c r="H43" s="39">
        <f>IF(tblObs[[#This Row],[Date]]="","",IF(ISNUMBER(tblObs[[#This Row],[Standard (s)]]),tblObs[[#This Row],[Cycle (s)]]-tblObs[[#This Row],[Standard (s)]],""))</f>
        <v>4.8</v>
      </c>
      <c r="I43" s="40">
        <f>IF(tblObs[[#This Row],[Date]]="","",IF(ISNUMBER(Takt),tblObs[[#This Row],[Cycle (s)]]/Takt,""))</f>
        <v>0.728571428571429</v>
      </c>
      <c r="J43" s="41" t="str">
        <f>IF(tblObs[[#This Row],[Date]]="","",IF(tblObs[[#This Row],[Exclude]]="Yes","Excluded",IF(NOT(ISNUMBER(tblObs[[#This Row],[Loading (% of takt)]])),"",IF(tblObs[[#This Row],[Loading (% of takt)]]&gt;OverAt,"Over capacity",IF(tblObs[[#This Row],[Loading (% of takt)]]&gt;=NearAt,"Near capacity","Under capacity")))))</f>
        <v>Under capacity</v>
      </c>
      <c r="K43" s="42">
        <f>IF(tblObs[[#This Row],[Date]]="","",IF(AND(tblObs[[#This Row],[Exclude]]&lt;&gt;"Yes",tblObs[[#This Row],[Date]]&gt;=FFrom,tblObs[[#This Row],[Date]]&lt;=FTo),tblObs[[#This Row],[Date]],""))</f>
        <v>46273</v>
      </c>
      <c r="L43" s="30">
        <f>IF(tblObs[[#This Row],[Date]]="","",IF(AND(tblObs[[#This Row],[Station]]=ChartStation,ISNUMBER(tblObs[[#This Row],[View date]])),COUNTIFS(INDEX(tblObs[Station],1):tblObs[[#This Row],[Station]],tblObs[[#This Row],[Station]],INDEX(tblObs[View date],1):tblObs[[#This Row],[View date]],"&gt;0"),""))</f>
        <v/>
      </c>
      <c r="M43" s="43" t="str">
        <f>IF(tblObs[[#This Row],[Date]]="","",IF(tblObs[[#This Row],[Station]]="","Missing station",IF(tblObs[[#This Row],[Cycle (s)]]="","Missing cycle",IF(tblObs[[#This Row],[Exclude]]="","Missing exclude",IF(COUNTIF(tblStations[Station],tblObs[[#This Row],[Station]])=0,"Station not on Setup list",IF(AND(tblObs[[#This Row],[Exclude]]="Yes",tblObs[[#This Row],[Notes]]=""),"Exclude: no reason",IF(AND(tblObs[[#This Row],[Exclude]]&lt;&gt;"Yes",ISNUMBER(tblObs[[#This Row],[Standard (s)]]),tblObs[[#This Row],[Cycle (s)]]&gt;2*tblObs[[#This Row],[Standard (s)]]),"Over 2x standard","OK")))))))</f>
        <v>OK</v>
      </c>
      <c r="N43" s="44" t="s">
        <v>113</v>
      </c>
    </row>
    <row r="44" spans="2:14" x14ac:dyDescent="0.25">
      <c r="B44" s="37">
        <v>46273</v>
      </c>
      <c r="C44" s="28" t="s">
        <v>96</v>
      </c>
      <c r="D44" s="28" t="s">
        <v>121</v>
      </c>
      <c r="E44" s="35">
        <v>36.3</v>
      </c>
      <c r="F44" s="28" t="s">
        <v>112</v>
      </c>
      <c r="G44" s="38">
        <f>IF(tblObs[[#This Row],[Date]]="","",IFERROR(INDEX(tblStations[Standard cycle (s)],MATCH(tblObs[[#This Row],[Station]],tblStations[Station],0)),""))</f>
        <v>36</v>
      </c>
      <c r="H44" s="39">
        <f>IF(tblObs[[#This Row],[Date]]="","",IF(ISNUMBER(tblObs[[#This Row],[Standard (s)]]),tblObs[[#This Row],[Cycle (s)]]-tblObs[[#This Row],[Standard (s)]],""))</f>
        <v>0.299999999999997</v>
      </c>
      <c r="I44" s="40">
        <f>IF(tblObs[[#This Row],[Date]]="","",IF(ISNUMBER(Takt),tblObs[[#This Row],[Cycle (s)]]/Takt,""))</f>
        <v>0.648214285714286</v>
      </c>
      <c r="J44" s="41" t="str">
        <f>IF(tblObs[[#This Row],[Date]]="","",IF(tblObs[[#This Row],[Exclude]]="Yes","Excluded",IF(NOT(ISNUMBER(tblObs[[#This Row],[Loading (% of takt)]])),"",IF(tblObs[[#This Row],[Loading (% of takt)]]&gt;OverAt,"Over capacity",IF(tblObs[[#This Row],[Loading (% of takt)]]&gt;=NearAt,"Near capacity","Under capacity")))))</f>
        <v>Under capacity</v>
      </c>
      <c r="K44" s="42">
        <f>IF(tblObs[[#This Row],[Date]]="","",IF(AND(tblObs[[#This Row],[Exclude]]&lt;&gt;"Yes",tblObs[[#This Row],[Date]]&gt;=FFrom,tblObs[[#This Row],[Date]]&lt;=FTo),tblObs[[#This Row],[Date]],""))</f>
        <v>46273</v>
      </c>
      <c r="L44" s="30">
        <f>IF(tblObs[[#This Row],[Date]]="","",IF(AND(tblObs[[#This Row],[Station]]=ChartStation,ISNUMBER(tblObs[[#This Row],[View date]])),COUNTIFS(INDEX(tblObs[Station],1):tblObs[[#This Row],[Station]],tblObs[[#This Row],[Station]],INDEX(tblObs[View date],1):tblObs[[#This Row],[View date]],"&gt;0"),""))</f>
        <v/>
      </c>
      <c r="M44" s="43" t="str">
        <f>IF(tblObs[[#This Row],[Date]]="","",IF(tblObs[[#This Row],[Station]]="","Missing station",IF(tblObs[[#This Row],[Cycle (s)]]="","Missing cycle",IF(tblObs[[#This Row],[Exclude]]="","Missing exclude",IF(COUNTIF(tblStations[Station],tblObs[[#This Row],[Station]])=0,"Station not on Setup list",IF(AND(tblObs[[#This Row],[Exclude]]="Yes",tblObs[[#This Row],[Notes]]=""),"Exclude: no reason",IF(AND(tblObs[[#This Row],[Exclude]]&lt;&gt;"Yes",ISNUMBER(tblObs[[#This Row],[Standard (s)]]),tblObs[[#This Row],[Cycle (s)]]&gt;2*tblObs[[#This Row],[Standard (s)]]),"Over 2x standard","OK")))))))</f>
        <v>OK</v>
      </c>
      <c r="N44" s="44" t="s">
        <v>113</v>
      </c>
    </row>
    <row r="45" spans="2:14" x14ac:dyDescent="0.25">
      <c r="B45" s="37">
        <v>46273</v>
      </c>
      <c r="C45" s="28" t="s">
        <v>96</v>
      </c>
      <c r="D45" s="28" t="s">
        <v>121</v>
      </c>
      <c r="E45" s="35">
        <v>38</v>
      </c>
      <c r="F45" s="28" t="s">
        <v>112</v>
      </c>
      <c r="G45" s="38">
        <f>IF(tblObs[[#This Row],[Date]]="","",IFERROR(INDEX(tblStations[Standard cycle (s)],MATCH(tblObs[[#This Row],[Station]],tblStations[Station],0)),""))</f>
        <v>36</v>
      </c>
      <c r="H45" s="39">
        <f>IF(tblObs[[#This Row],[Date]]="","",IF(ISNUMBER(tblObs[[#This Row],[Standard (s)]]),tblObs[[#This Row],[Cycle (s)]]-tblObs[[#This Row],[Standard (s)]],""))</f>
        <v>2</v>
      </c>
      <c r="I45" s="40">
        <f>IF(tblObs[[#This Row],[Date]]="","",IF(ISNUMBER(Takt),tblObs[[#This Row],[Cycle (s)]]/Takt,""))</f>
        <v>0.678571428571429</v>
      </c>
      <c r="J45" s="41" t="str">
        <f>IF(tblObs[[#This Row],[Date]]="","",IF(tblObs[[#This Row],[Exclude]]="Yes","Excluded",IF(NOT(ISNUMBER(tblObs[[#This Row],[Loading (% of takt)]])),"",IF(tblObs[[#This Row],[Loading (% of takt)]]&gt;OverAt,"Over capacity",IF(tblObs[[#This Row],[Loading (% of takt)]]&gt;=NearAt,"Near capacity","Under capacity")))))</f>
        <v>Under capacity</v>
      </c>
      <c r="K45" s="42">
        <f>IF(tblObs[[#This Row],[Date]]="","",IF(AND(tblObs[[#This Row],[Exclude]]&lt;&gt;"Yes",tblObs[[#This Row],[Date]]&gt;=FFrom,tblObs[[#This Row],[Date]]&lt;=FTo),tblObs[[#This Row],[Date]],""))</f>
        <v>46273</v>
      </c>
      <c r="L45" s="30">
        <f>IF(tblObs[[#This Row],[Date]]="","",IF(AND(tblObs[[#This Row],[Station]]=ChartStation,ISNUMBER(tblObs[[#This Row],[View date]])),COUNTIFS(INDEX(tblObs[Station],1):tblObs[[#This Row],[Station]],tblObs[[#This Row],[Station]],INDEX(tblObs[View date],1):tblObs[[#This Row],[View date]],"&gt;0"),""))</f>
        <v/>
      </c>
      <c r="M45" s="43" t="str">
        <f>IF(tblObs[[#This Row],[Date]]="","",IF(tblObs[[#This Row],[Station]]="","Missing station",IF(tblObs[[#This Row],[Cycle (s)]]="","Missing cycle",IF(tblObs[[#This Row],[Exclude]]="","Missing exclude",IF(COUNTIF(tblStations[Station],tblObs[[#This Row],[Station]])=0,"Station not on Setup list",IF(AND(tblObs[[#This Row],[Exclude]]="Yes",tblObs[[#This Row],[Notes]]=""),"Exclude: no reason",IF(AND(tblObs[[#This Row],[Exclude]]&lt;&gt;"Yes",ISNUMBER(tblObs[[#This Row],[Standard (s)]]),tblObs[[#This Row],[Cycle (s)]]&gt;2*tblObs[[#This Row],[Standard (s)]]),"Over 2x standard","OK")))))))</f>
        <v>OK</v>
      </c>
      <c r="N45" s="44" t="s">
        <v>113</v>
      </c>
    </row>
    <row r="46" spans="2:14" x14ac:dyDescent="0.25">
      <c r="B46" s="37">
        <v>46273</v>
      </c>
      <c r="C46" s="28" t="s">
        <v>96</v>
      </c>
      <c r="D46" s="28" t="s">
        <v>121</v>
      </c>
      <c r="E46" s="35">
        <v>37.9</v>
      </c>
      <c r="F46" s="28" t="s">
        <v>112</v>
      </c>
      <c r="G46" s="38">
        <f>IF(tblObs[[#This Row],[Date]]="","",IFERROR(INDEX(tblStations[Standard cycle (s)],MATCH(tblObs[[#This Row],[Station]],tblStations[Station],0)),""))</f>
        <v>36</v>
      </c>
      <c r="H46" s="39">
        <f>IF(tblObs[[#This Row],[Date]]="","",IF(ISNUMBER(tblObs[[#This Row],[Standard (s)]]),tblObs[[#This Row],[Cycle (s)]]-tblObs[[#This Row],[Standard (s)]],""))</f>
        <v>1.9</v>
      </c>
      <c r="I46" s="40">
        <f>IF(tblObs[[#This Row],[Date]]="","",IF(ISNUMBER(Takt),tblObs[[#This Row],[Cycle (s)]]/Takt,""))</f>
        <v>0.676785714285714</v>
      </c>
      <c r="J46" s="41" t="str">
        <f>IF(tblObs[[#This Row],[Date]]="","",IF(tblObs[[#This Row],[Exclude]]="Yes","Excluded",IF(NOT(ISNUMBER(tblObs[[#This Row],[Loading (% of takt)]])),"",IF(tblObs[[#This Row],[Loading (% of takt)]]&gt;OverAt,"Over capacity",IF(tblObs[[#This Row],[Loading (% of takt)]]&gt;=NearAt,"Near capacity","Under capacity")))))</f>
        <v>Under capacity</v>
      </c>
      <c r="K46" s="42">
        <f>IF(tblObs[[#This Row],[Date]]="","",IF(AND(tblObs[[#This Row],[Exclude]]&lt;&gt;"Yes",tblObs[[#This Row],[Date]]&gt;=FFrom,tblObs[[#This Row],[Date]]&lt;=FTo),tblObs[[#This Row],[Date]],""))</f>
        <v>46273</v>
      </c>
      <c r="L46" s="30">
        <f>IF(tblObs[[#This Row],[Date]]="","",IF(AND(tblObs[[#This Row],[Station]]=ChartStation,ISNUMBER(tblObs[[#This Row],[View date]])),COUNTIFS(INDEX(tblObs[Station],1):tblObs[[#This Row],[Station]],tblObs[[#This Row],[Station]],INDEX(tblObs[View date],1):tblObs[[#This Row],[View date]],"&gt;0"),""))</f>
        <v/>
      </c>
      <c r="M46" s="43" t="str">
        <f>IF(tblObs[[#This Row],[Date]]="","",IF(tblObs[[#This Row],[Station]]="","Missing station",IF(tblObs[[#This Row],[Cycle (s)]]="","Missing cycle",IF(tblObs[[#This Row],[Exclude]]="","Missing exclude",IF(COUNTIF(tblStations[Station],tblObs[[#This Row],[Station]])=0,"Station not on Setup list",IF(AND(tblObs[[#This Row],[Exclude]]="Yes",tblObs[[#This Row],[Notes]]=""),"Exclude: no reason",IF(AND(tblObs[[#This Row],[Exclude]]&lt;&gt;"Yes",ISNUMBER(tblObs[[#This Row],[Standard (s)]]),tblObs[[#This Row],[Cycle (s)]]&gt;2*tblObs[[#This Row],[Standard (s)]]),"Over 2x standard","OK")))))))</f>
        <v>OK</v>
      </c>
      <c r="N46" s="44" t="s">
        <v>113</v>
      </c>
    </row>
    <row r="47" spans="2:14" x14ac:dyDescent="0.25">
      <c r="B47" s="37">
        <v>46273</v>
      </c>
      <c r="C47" s="28" t="s">
        <v>96</v>
      </c>
      <c r="D47" s="28" t="s">
        <v>121</v>
      </c>
      <c r="E47" s="35">
        <v>38.5</v>
      </c>
      <c r="F47" s="28" t="s">
        <v>112</v>
      </c>
      <c r="G47" s="38">
        <f>IF(tblObs[[#This Row],[Date]]="","",IFERROR(INDEX(tblStations[Standard cycle (s)],MATCH(tblObs[[#This Row],[Station]],tblStations[Station],0)),""))</f>
        <v>36</v>
      </c>
      <c r="H47" s="39">
        <f>IF(tblObs[[#This Row],[Date]]="","",IF(ISNUMBER(tblObs[[#This Row],[Standard (s)]]),tblObs[[#This Row],[Cycle (s)]]-tblObs[[#This Row],[Standard (s)]],""))</f>
        <v>2.5</v>
      </c>
      <c r="I47" s="40">
        <f>IF(tblObs[[#This Row],[Date]]="","",IF(ISNUMBER(Takt),tblObs[[#This Row],[Cycle (s)]]/Takt,""))</f>
        <v>0.6875</v>
      </c>
      <c r="J47" s="41" t="str">
        <f>IF(tblObs[[#This Row],[Date]]="","",IF(tblObs[[#This Row],[Exclude]]="Yes","Excluded",IF(NOT(ISNUMBER(tblObs[[#This Row],[Loading (% of takt)]])),"",IF(tblObs[[#This Row],[Loading (% of takt)]]&gt;OverAt,"Over capacity",IF(tblObs[[#This Row],[Loading (% of takt)]]&gt;=NearAt,"Near capacity","Under capacity")))))</f>
        <v>Under capacity</v>
      </c>
      <c r="K47" s="42">
        <f>IF(tblObs[[#This Row],[Date]]="","",IF(AND(tblObs[[#This Row],[Exclude]]&lt;&gt;"Yes",tblObs[[#This Row],[Date]]&gt;=FFrom,tblObs[[#This Row],[Date]]&lt;=FTo),tblObs[[#This Row],[Date]],""))</f>
        <v>46273</v>
      </c>
      <c r="L47" s="30">
        <f>IF(tblObs[[#This Row],[Date]]="","",IF(AND(tblObs[[#This Row],[Station]]=ChartStation,ISNUMBER(tblObs[[#This Row],[View date]])),COUNTIFS(INDEX(tblObs[Station],1):tblObs[[#This Row],[Station]],tblObs[[#This Row],[Station]],INDEX(tblObs[View date],1):tblObs[[#This Row],[View date]],"&gt;0"),""))</f>
        <v/>
      </c>
      <c r="M47" s="43" t="str">
        <f>IF(tblObs[[#This Row],[Date]]="","",IF(tblObs[[#This Row],[Station]]="","Missing station",IF(tblObs[[#This Row],[Cycle (s)]]="","Missing cycle",IF(tblObs[[#This Row],[Exclude]]="","Missing exclude",IF(COUNTIF(tblStations[Station],tblObs[[#This Row],[Station]])=0,"Station not on Setup list",IF(AND(tblObs[[#This Row],[Exclude]]="Yes",tblObs[[#This Row],[Notes]]=""),"Exclude: no reason",IF(AND(tblObs[[#This Row],[Exclude]]&lt;&gt;"Yes",ISNUMBER(tblObs[[#This Row],[Standard (s)]]),tblObs[[#This Row],[Cycle (s)]]&gt;2*tblObs[[#This Row],[Standard (s)]]),"Over 2x standard","OK")))))))</f>
        <v>OK</v>
      </c>
      <c r="N47" s="44" t="s">
        <v>113</v>
      </c>
    </row>
    <row r="48" spans="2:14" x14ac:dyDescent="0.25">
      <c r="B48" s="37">
        <v>46275</v>
      </c>
      <c r="C48" s="28" t="s">
        <v>86</v>
      </c>
      <c r="D48" s="28" t="s">
        <v>122</v>
      </c>
      <c r="E48" s="35">
        <v>46.8</v>
      </c>
      <c r="F48" s="28" t="s">
        <v>112</v>
      </c>
      <c r="G48" s="38">
        <f>IF(tblObs[[#This Row],[Date]]="","",IFERROR(INDEX(tblStations[Standard cycle (s)],MATCH(tblObs[[#This Row],[Station]],tblStations[Station],0)),""))</f>
        <v>46</v>
      </c>
      <c r="H48" s="39">
        <f>IF(tblObs[[#This Row],[Date]]="","",IF(ISNUMBER(tblObs[[#This Row],[Standard (s)]]),tblObs[[#This Row],[Cycle (s)]]-tblObs[[#This Row],[Standard (s)]],""))</f>
        <v>0.799999999999997</v>
      </c>
      <c r="I48" s="40">
        <f>IF(tblObs[[#This Row],[Date]]="","",IF(ISNUMBER(Takt),tblObs[[#This Row],[Cycle (s)]]/Takt,""))</f>
        <v>0.835714285714286</v>
      </c>
      <c r="J48" s="41" t="str">
        <f>IF(tblObs[[#This Row],[Date]]="","",IF(tblObs[[#This Row],[Exclude]]="Yes","Excluded",IF(NOT(ISNUMBER(tblObs[[#This Row],[Loading (% of takt)]])),"",IF(tblObs[[#This Row],[Loading (% of takt)]]&gt;OverAt,"Over capacity",IF(tblObs[[#This Row],[Loading (% of takt)]]&gt;=NearAt,"Near capacity","Under capacity")))))</f>
        <v>Under capacity</v>
      </c>
      <c r="K48" s="42">
        <f>IF(tblObs[[#This Row],[Date]]="","",IF(AND(tblObs[[#This Row],[Exclude]]&lt;&gt;"Yes",tblObs[[#This Row],[Date]]&gt;=FFrom,tblObs[[#This Row],[Date]]&lt;=FTo),tblObs[[#This Row],[Date]],""))</f>
        <v>46275</v>
      </c>
      <c r="L48" s="30">
        <f>IF(tblObs[[#This Row],[Date]]="","",IF(AND(tblObs[[#This Row],[Station]]=ChartStation,ISNUMBER(tblObs[[#This Row],[View date]])),COUNTIFS(INDEX(tblObs[Station],1):tblObs[[#This Row],[Station]],tblObs[[#This Row],[Station]],INDEX(tblObs[View date],1):tblObs[[#This Row],[View date]],"&gt;0"),""))</f>
        <v/>
      </c>
      <c r="M48" s="43" t="str">
        <f>IF(tblObs[[#This Row],[Date]]="","",IF(tblObs[[#This Row],[Station]]="","Missing station",IF(tblObs[[#This Row],[Cycle (s)]]="","Missing cycle",IF(tblObs[[#This Row],[Exclude]]="","Missing exclude",IF(COUNTIF(tblStations[Station],tblObs[[#This Row],[Station]])=0,"Station not on Setup list",IF(AND(tblObs[[#This Row],[Exclude]]="Yes",tblObs[[#This Row],[Notes]]=""),"Exclude: no reason",IF(AND(tblObs[[#This Row],[Exclude]]&lt;&gt;"Yes",ISNUMBER(tblObs[[#This Row],[Standard (s)]]),tblObs[[#This Row],[Cycle (s)]]&gt;2*tblObs[[#This Row],[Standard (s)]]),"Over 2x standard","OK")))))))</f>
        <v>OK</v>
      </c>
      <c r="N48" s="44" t="s">
        <v>113</v>
      </c>
    </row>
    <row r="49" spans="2:14" x14ac:dyDescent="0.25">
      <c r="B49" s="37">
        <v>46275</v>
      </c>
      <c r="C49" s="28" t="s">
        <v>86</v>
      </c>
      <c r="D49" s="28" t="s">
        <v>122</v>
      </c>
      <c r="E49" s="35">
        <v>47.6</v>
      </c>
      <c r="F49" s="28" t="s">
        <v>112</v>
      </c>
      <c r="G49" s="38">
        <f>IF(tblObs[[#This Row],[Date]]="","",IFERROR(INDEX(tblStations[Standard cycle (s)],MATCH(tblObs[[#This Row],[Station]],tblStations[Station],0)),""))</f>
        <v>46</v>
      </c>
      <c r="H49" s="39">
        <f>IF(tblObs[[#This Row],[Date]]="","",IF(ISNUMBER(tblObs[[#This Row],[Standard (s)]]),tblObs[[#This Row],[Cycle (s)]]-tblObs[[#This Row],[Standard (s)]],""))</f>
        <v>1.6</v>
      </c>
      <c r="I49" s="40">
        <f>IF(tblObs[[#This Row],[Date]]="","",IF(ISNUMBER(Takt),tblObs[[#This Row],[Cycle (s)]]/Takt,""))</f>
        <v>0.85</v>
      </c>
      <c r="J49" s="41" t="str">
        <f>IF(tblObs[[#This Row],[Date]]="","",IF(tblObs[[#This Row],[Exclude]]="Yes","Excluded",IF(NOT(ISNUMBER(tblObs[[#This Row],[Loading (% of takt)]])),"",IF(tblObs[[#This Row],[Loading (% of takt)]]&gt;OverAt,"Over capacity",IF(tblObs[[#This Row],[Loading (% of takt)]]&gt;=NearAt,"Near capacity","Under capacity")))))</f>
        <v>Under capacity</v>
      </c>
      <c r="K49" s="42">
        <f>IF(tblObs[[#This Row],[Date]]="","",IF(AND(tblObs[[#This Row],[Exclude]]&lt;&gt;"Yes",tblObs[[#This Row],[Date]]&gt;=FFrom,tblObs[[#This Row],[Date]]&lt;=FTo),tblObs[[#This Row],[Date]],""))</f>
        <v>46275</v>
      </c>
      <c r="L49" s="30">
        <f>IF(tblObs[[#This Row],[Date]]="","",IF(AND(tblObs[[#This Row],[Station]]=ChartStation,ISNUMBER(tblObs[[#This Row],[View date]])),COUNTIFS(INDEX(tblObs[Station],1):tblObs[[#This Row],[Station]],tblObs[[#This Row],[Station]],INDEX(tblObs[View date],1):tblObs[[#This Row],[View date]],"&gt;0"),""))</f>
        <v/>
      </c>
      <c r="M49" s="43" t="str">
        <f>IF(tblObs[[#This Row],[Date]]="","",IF(tblObs[[#This Row],[Station]]="","Missing station",IF(tblObs[[#This Row],[Cycle (s)]]="","Missing cycle",IF(tblObs[[#This Row],[Exclude]]="","Missing exclude",IF(COUNTIF(tblStations[Station],tblObs[[#This Row],[Station]])=0,"Station not on Setup list",IF(AND(tblObs[[#This Row],[Exclude]]="Yes",tblObs[[#This Row],[Notes]]=""),"Exclude: no reason",IF(AND(tblObs[[#This Row],[Exclude]]&lt;&gt;"Yes",ISNUMBER(tblObs[[#This Row],[Standard (s)]]),tblObs[[#This Row],[Cycle (s)]]&gt;2*tblObs[[#This Row],[Standard (s)]]),"Over 2x standard","OK")))))))</f>
        <v>OK</v>
      </c>
      <c r="N49" s="44" t="s">
        <v>113</v>
      </c>
    </row>
    <row r="50" spans="2:14" x14ac:dyDescent="0.25">
      <c r="B50" s="37">
        <v>46275</v>
      </c>
      <c r="C50" s="28" t="s">
        <v>86</v>
      </c>
      <c r="D50" s="28" t="s">
        <v>122</v>
      </c>
      <c r="E50" s="35">
        <v>44.8</v>
      </c>
      <c r="F50" s="28" t="s">
        <v>112</v>
      </c>
      <c r="G50" s="38">
        <f>IF(tblObs[[#This Row],[Date]]="","",IFERROR(INDEX(tblStations[Standard cycle (s)],MATCH(tblObs[[#This Row],[Station]],tblStations[Station],0)),""))</f>
        <v>46</v>
      </c>
      <c r="H50" s="39">
        <f>IF(tblObs[[#This Row],[Date]]="","",IF(ISNUMBER(tblObs[[#This Row],[Standard (s)]]),tblObs[[#This Row],[Cycle (s)]]-tblObs[[#This Row],[Standard (s)]],""))</f>
        <v>-1.2</v>
      </c>
      <c r="I50" s="40">
        <f>IF(tblObs[[#This Row],[Date]]="","",IF(ISNUMBER(Takt),tblObs[[#This Row],[Cycle (s)]]/Takt,""))</f>
        <v>0.8</v>
      </c>
      <c r="J50" s="41" t="str">
        <f>IF(tblObs[[#This Row],[Date]]="","",IF(tblObs[[#This Row],[Exclude]]="Yes","Excluded",IF(NOT(ISNUMBER(tblObs[[#This Row],[Loading (% of takt)]])),"",IF(tblObs[[#This Row],[Loading (% of takt)]]&gt;OverAt,"Over capacity",IF(tblObs[[#This Row],[Loading (% of takt)]]&gt;=NearAt,"Near capacity","Under capacity")))))</f>
        <v>Under capacity</v>
      </c>
      <c r="K50" s="42">
        <f>IF(tblObs[[#This Row],[Date]]="","",IF(AND(tblObs[[#This Row],[Exclude]]&lt;&gt;"Yes",tblObs[[#This Row],[Date]]&gt;=FFrom,tblObs[[#This Row],[Date]]&lt;=FTo),tblObs[[#This Row],[Date]],""))</f>
        <v>46275</v>
      </c>
      <c r="L50" s="30">
        <f>IF(tblObs[[#This Row],[Date]]="","",IF(AND(tblObs[[#This Row],[Station]]=ChartStation,ISNUMBER(tblObs[[#This Row],[View date]])),COUNTIFS(INDEX(tblObs[Station],1):tblObs[[#This Row],[Station]],tblObs[[#This Row],[Station]],INDEX(tblObs[View date],1):tblObs[[#This Row],[View date]],"&gt;0"),""))</f>
        <v/>
      </c>
      <c r="M50" s="43" t="str">
        <f>IF(tblObs[[#This Row],[Date]]="","",IF(tblObs[[#This Row],[Station]]="","Missing station",IF(tblObs[[#This Row],[Cycle (s)]]="","Missing cycle",IF(tblObs[[#This Row],[Exclude]]="","Missing exclude",IF(COUNTIF(tblStations[Station],tblObs[[#This Row],[Station]])=0,"Station not on Setup list",IF(AND(tblObs[[#This Row],[Exclude]]="Yes",tblObs[[#This Row],[Notes]]=""),"Exclude: no reason",IF(AND(tblObs[[#This Row],[Exclude]]&lt;&gt;"Yes",ISNUMBER(tblObs[[#This Row],[Standard (s)]]),tblObs[[#This Row],[Cycle (s)]]&gt;2*tblObs[[#This Row],[Standard (s)]]),"Over 2x standard","OK")))))))</f>
        <v>OK</v>
      </c>
      <c r="N50" s="44" t="s">
        <v>113</v>
      </c>
    </row>
    <row r="51" spans="2:14" x14ac:dyDescent="0.25">
      <c r="B51" s="37">
        <v>46275</v>
      </c>
      <c r="C51" s="28" t="s">
        <v>86</v>
      </c>
      <c r="D51" s="28" t="s">
        <v>122</v>
      </c>
      <c r="E51" s="35">
        <v>51.7</v>
      </c>
      <c r="F51" s="28" t="s">
        <v>112</v>
      </c>
      <c r="G51" s="38">
        <f>IF(tblObs[[#This Row],[Date]]="","",IFERROR(INDEX(tblStations[Standard cycle (s)],MATCH(tblObs[[#This Row],[Station]],tblStations[Station],0)),""))</f>
        <v>46</v>
      </c>
      <c r="H51" s="39">
        <f>IF(tblObs[[#This Row],[Date]]="","",IF(ISNUMBER(tblObs[[#This Row],[Standard (s)]]),tblObs[[#This Row],[Cycle (s)]]-tblObs[[#This Row],[Standard (s)]],""))</f>
        <v>5.7</v>
      </c>
      <c r="I51" s="40">
        <f>IF(tblObs[[#This Row],[Date]]="","",IF(ISNUMBER(Takt),tblObs[[#This Row],[Cycle (s)]]/Takt,""))</f>
        <v>0.923214285714286</v>
      </c>
      <c r="J51" s="41" t="str">
        <f>IF(tblObs[[#This Row],[Date]]="","",IF(tblObs[[#This Row],[Exclude]]="Yes","Excluded",IF(NOT(ISNUMBER(tblObs[[#This Row],[Loading (% of takt)]])),"",IF(tblObs[[#This Row],[Loading (% of takt)]]&gt;OverAt,"Over capacity",IF(tblObs[[#This Row],[Loading (% of takt)]]&gt;=NearAt,"Near capacity","Under capacity")))))</f>
        <v>Near capacity</v>
      </c>
      <c r="K51" s="42">
        <f>IF(tblObs[[#This Row],[Date]]="","",IF(AND(tblObs[[#This Row],[Exclude]]&lt;&gt;"Yes",tblObs[[#This Row],[Date]]&gt;=FFrom,tblObs[[#This Row],[Date]]&lt;=FTo),tblObs[[#This Row],[Date]],""))</f>
        <v>46275</v>
      </c>
      <c r="L51" s="30">
        <f>IF(tblObs[[#This Row],[Date]]="","",IF(AND(tblObs[[#This Row],[Station]]=ChartStation,ISNUMBER(tblObs[[#This Row],[View date]])),COUNTIFS(INDEX(tblObs[Station],1):tblObs[[#This Row],[Station]],tblObs[[#This Row],[Station]],INDEX(tblObs[View date],1):tblObs[[#This Row],[View date]],"&gt;0"),""))</f>
        <v/>
      </c>
      <c r="M51" s="43" t="str">
        <f>IF(tblObs[[#This Row],[Date]]="","",IF(tblObs[[#This Row],[Station]]="","Missing station",IF(tblObs[[#This Row],[Cycle (s)]]="","Missing cycle",IF(tblObs[[#This Row],[Exclude]]="","Missing exclude",IF(COUNTIF(tblStations[Station],tblObs[[#This Row],[Station]])=0,"Station not on Setup list",IF(AND(tblObs[[#This Row],[Exclude]]="Yes",tblObs[[#This Row],[Notes]]=""),"Exclude: no reason",IF(AND(tblObs[[#This Row],[Exclude]]&lt;&gt;"Yes",ISNUMBER(tblObs[[#This Row],[Standard (s)]]),tblObs[[#This Row],[Cycle (s)]]&gt;2*tblObs[[#This Row],[Standard (s)]]),"Over 2x standard","OK")))))))</f>
        <v>OK</v>
      </c>
      <c r="N51" s="44" t="s">
        <v>113</v>
      </c>
    </row>
    <row r="52" spans="2:14" x14ac:dyDescent="0.25">
      <c r="B52" s="37">
        <v>46275</v>
      </c>
      <c r="C52" s="28" t="s">
        <v>86</v>
      </c>
      <c r="D52" s="28" t="s">
        <v>122</v>
      </c>
      <c r="E52" s="35">
        <v>46.3</v>
      </c>
      <c r="F52" s="28" t="s">
        <v>112</v>
      </c>
      <c r="G52" s="38">
        <f>IF(tblObs[[#This Row],[Date]]="","",IFERROR(INDEX(tblStations[Standard cycle (s)],MATCH(tblObs[[#This Row],[Station]],tblStations[Station],0)),""))</f>
        <v>46</v>
      </c>
      <c r="H52" s="39">
        <f>IF(tblObs[[#This Row],[Date]]="","",IF(ISNUMBER(tblObs[[#This Row],[Standard (s)]]),tblObs[[#This Row],[Cycle (s)]]-tblObs[[#This Row],[Standard (s)]],""))</f>
        <v>0.299999999999997</v>
      </c>
      <c r="I52" s="40">
        <f>IF(tblObs[[#This Row],[Date]]="","",IF(ISNUMBER(Takt),tblObs[[#This Row],[Cycle (s)]]/Takt,""))</f>
        <v>0.826785714285714</v>
      </c>
      <c r="J52" s="41" t="str">
        <f>IF(tblObs[[#This Row],[Date]]="","",IF(tblObs[[#This Row],[Exclude]]="Yes","Excluded",IF(NOT(ISNUMBER(tblObs[[#This Row],[Loading (% of takt)]])),"",IF(tblObs[[#This Row],[Loading (% of takt)]]&gt;OverAt,"Over capacity",IF(tblObs[[#This Row],[Loading (% of takt)]]&gt;=NearAt,"Near capacity","Under capacity")))))</f>
        <v>Under capacity</v>
      </c>
      <c r="K52" s="42">
        <f>IF(tblObs[[#This Row],[Date]]="","",IF(AND(tblObs[[#This Row],[Exclude]]&lt;&gt;"Yes",tblObs[[#This Row],[Date]]&gt;=FFrom,tblObs[[#This Row],[Date]]&lt;=FTo),tblObs[[#This Row],[Date]],""))</f>
        <v>46275</v>
      </c>
      <c r="L52" s="30">
        <f>IF(tblObs[[#This Row],[Date]]="","",IF(AND(tblObs[[#This Row],[Station]]=ChartStation,ISNUMBER(tblObs[[#This Row],[View date]])),COUNTIFS(INDEX(tblObs[Station],1):tblObs[[#This Row],[Station]],tblObs[[#This Row],[Station]],INDEX(tblObs[View date],1):tblObs[[#This Row],[View date]],"&gt;0"),""))</f>
        <v/>
      </c>
      <c r="M52" s="43" t="str">
        <f>IF(tblObs[[#This Row],[Date]]="","",IF(tblObs[[#This Row],[Station]]="","Missing station",IF(tblObs[[#This Row],[Cycle (s)]]="","Missing cycle",IF(tblObs[[#This Row],[Exclude]]="","Missing exclude",IF(COUNTIF(tblStations[Station],tblObs[[#This Row],[Station]])=0,"Station not on Setup list",IF(AND(tblObs[[#This Row],[Exclude]]="Yes",tblObs[[#This Row],[Notes]]=""),"Exclude: no reason",IF(AND(tblObs[[#This Row],[Exclude]]&lt;&gt;"Yes",ISNUMBER(tblObs[[#This Row],[Standard (s)]]),tblObs[[#This Row],[Cycle (s)]]&gt;2*tblObs[[#This Row],[Standard (s)]]),"Over 2x standard","OK")))))))</f>
        <v>OK</v>
      </c>
      <c r="N52" s="44" t="s">
        <v>113</v>
      </c>
    </row>
    <row r="53" spans="2:14" x14ac:dyDescent="0.25">
      <c r="B53" s="37">
        <v>46275</v>
      </c>
      <c r="C53" s="28" t="s">
        <v>86</v>
      </c>
      <c r="D53" s="28" t="s">
        <v>122</v>
      </c>
      <c r="E53" s="35">
        <v>49.4</v>
      </c>
      <c r="F53" s="28" t="s">
        <v>112</v>
      </c>
      <c r="G53" s="38">
        <f>IF(tblObs[[#This Row],[Date]]="","",IFERROR(INDEX(tblStations[Standard cycle (s)],MATCH(tblObs[[#This Row],[Station]],tblStations[Station],0)),""))</f>
        <v>46</v>
      </c>
      <c r="H53" s="39">
        <f>IF(tblObs[[#This Row],[Date]]="","",IF(ISNUMBER(tblObs[[#This Row],[Standard (s)]]),tblObs[[#This Row],[Cycle (s)]]-tblObs[[#This Row],[Standard (s)]],""))</f>
        <v>3.4</v>
      </c>
      <c r="I53" s="40">
        <f>IF(tblObs[[#This Row],[Date]]="","",IF(ISNUMBER(Takt),tblObs[[#This Row],[Cycle (s)]]/Takt,""))</f>
        <v>0.882142857142857</v>
      </c>
      <c r="J53" s="41" t="str">
        <f>IF(tblObs[[#This Row],[Date]]="","",IF(tblObs[[#This Row],[Exclude]]="Yes","Excluded",IF(NOT(ISNUMBER(tblObs[[#This Row],[Loading (% of takt)]])),"",IF(tblObs[[#This Row],[Loading (% of takt)]]&gt;OverAt,"Over capacity",IF(tblObs[[#This Row],[Loading (% of takt)]]&gt;=NearAt,"Near capacity","Under capacity")))))</f>
        <v>Under capacity</v>
      </c>
      <c r="K53" s="42">
        <f>IF(tblObs[[#This Row],[Date]]="","",IF(AND(tblObs[[#This Row],[Exclude]]&lt;&gt;"Yes",tblObs[[#This Row],[Date]]&gt;=FFrom,tblObs[[#This Row],[Date]]&lt;=FTo),tblObs[[#This Row],[Date]],""))</f>
        <v>46275</v>
      </c>
      <c r="L53" s="30">
        <f>IF(tblObs[[#This Row],[Date]]="","",IF(AND(tblObs[[#This Row],[Station]]=ChartStation,ISNUMBER(tblObs[[#This Row],[View date]])),COUNTIFS(INDEX(tblObs[Station],1):tblObs[[#This Row],[Station]],tblObs[[#This Row],[Station]],INDEX(tblObs[View date],1):tblObs[[#This Row],[View date]],"&gt;0"),""))</f>
        <v/>
      </c>
      <c r="M53" s="43" t="str">
        <f>IF(tblObs[[#This Row],[Date]]="","",IF(tblObs[[#This Row],[Station]]="","Missing station",IF(tblObs[[#This Row],[Cycle (s)]]="","Missing cycle",IF(tblObs[[#This Row],[Exclude]]="","Missing exclude",IF(COUNTIF(tblStations[Station],tblObs[[#This Row],[Station]])=0,"Station not on Setup list",IF(AND(tblObs[[#This Row],[Exclude]]="Yes",tblObs[[#This Row],[Notes]]=""),"Exclude: no reason",IF(AND(tblObs[[#This Row],[Exclude]]&lt;&gt;"Yes",ISNUMBER(tblObs[[#This Row],[Standard (s)]]),tblObs[[#This Row],[Cycle (s)]]&gt;2*tblObs[[#This Row],[Standard (s)]]),"Over 2x standard","OK")))))))</f>
        <v>OK</v>
      </c>
      <c r="N53" s="44" t="s">
        <v>113</v>
      </c>
    </row>
    <row r="54" spans="2:14" x14ac:dyDescent="0.25">
      <c r="B54" s="37">
        <v>46275</v>
      </c>
      <c r="C54" s="28" t="s">
        <v>86</v>
      </c>
      <c r="D54" s="28" t="s">
        <v>122</v>
      </c>
      <c r="E54" s="35">
        <v>45.7</v>
      </c>
      <c r="F54" s="28" t="s">
        <v>112</v>
      </c>
      <c r="G54" s="38">
        <f>IF(tblObs[[#This Row],[Date]]="","",IFERROR(INDEX(tblStations[Standard cycle (s)],MATCH(tblObs[[#This Row],[Station]],tblStations[Station],0)),""))</f>
        <v>46</v>
      </c>
      <c r="H54" s="39">
        <f>IF(tblObs[[#This Row],[Date]]="","",IF(ISNUMBER(tblObs[[#This Row],[Standard (s)]]),tblObs[[#This Row],[Cycle (s)]]-tblObs[[#This Row],[Standard (s)]],""))</f>
        <v>-0.299999999999997</v>
      </c>
      <c r="I54" s="40">
        <f>IF(tblObs[[#This Row],[Date]]="","",IF(ISNUMBER(Takt),tblObs[[#This Row],[Cycle (s)]]/Takt,""))</f>
        <v>0.816071428571429</v>
      </c>
      <c r="J54" s="41" t="str">
        <f>IF(tblObs[[#This Row],[Date]]="","",IF(tblObs[[#This Row],[Exclude]]="Yes","Excluded",IF(NOT(ISNUMBER(tblObs[[#This Row],[Loading (% of takt)]])),"",IF(tblObs[[#This Row],[Loading (% of takt)]]&gt;OverAt,"Over capacity",IF(tblObs[[#This Row],[Loading (% of takt)]]&gt;=NearAt,"Near capacity","Under capacity")))))</f>
        <v>Under capacity</v>
      </c>
      <c r="K54" s="42">
        <f>IF(tblObs[[#This Row],[Date]]="","",IF(AND(tblObs[[#This Row],[Exclude]]&lt;&gt;"Yes",tblObs[[#This Row],[Date]]&gt;=FFrom,tblObs[[#This Row],[Date]]&lt;=FTo),tblObs[[#This Row],[Date]],""))</f>
        <v>46275</v>
      </c>
      <c r="L54" s="30">
        <f>IF(tblObs[[#This Row],[Date]]="","",IF(AND(tblObs[[#This Row],[Station]]=ChartStation,ISNUMBER(tblObs[[#This Row],[View date]])),COUNTIFS(INDEX(tblObs[Station],1):tblObs[[#This Row],[Station]],tblObs[[#This Row],[Station]],INDEX(tblObs[View date],1):tblObs[[#This Row],[View date]],"&gt;0"),""))</f>
        <v/>
      </c>
      <c r="M54" s="43" t="str">
        <f>IF(tblObs[[#This Row],[Date]]="","",IF(tblObs[[#This Row],[Station]]="","Missing station",IF(tblObs[[#This Row],[Cycle (s)]]="","Missing cycle",IF(tblObs[[#This Row],[Exclude]]="","Missing exclude",IF(COUNTIF(tblStations[Station],tblObs[[#This Row],[Station]])=0,"Station not on Setup list",IF(AND(tblObs[[#This Row],[Exclude]]="Yes",tblObs[[#This Row],[Notes]]=""),"Exclude: no reason",IF(AND(tblObs[[#This Row],[Exclude]]&lt;&gt;"Yes",ISNUMBER(tblObs[[#This Row],[Standard (s)]]),tblObs[[#This Row],[Cycle (s)]]&gt;2*tblObs[[#This Row],[Standard (s)]]),"Over 2x standard","OK")))))))</f>
        <v>OK</v>
      </c>
      <c r="N54" s="44" t="s">
        <v>113</v>
      </c>
    </row>
    <row r="55" spans="2:14" x14ac:dyDescent="0.25">
      <c r="B55" s="37">
        <v>46275</v>
      </c>
      <c r="C55" s="28" t="s">
        <v>88</v>
      </c>
      <c r="D55" s="28" t="s">
        <v>116</v>
      </c>
      <c r="E55" s="35">
        <v>39.5</v>
      </c>
      <c r="F55" s="28" t="s">
        <v>112</v>
      </c>
      <c r="G55" s="38">
        <f>IF(tblObs[[#This Row],[Date]]="","",IFERROR(INDEX(tblStations[Standard cycle (s)],MATCH(tblObs[[#This Row],[Station]],tblStations[Station],0)),""))</f>
        <v>42</v>
      </c>
      <c r="H55" s="39">
        <f>IF(tblObs[[#This Row],[Date]]="","",IF(ISNUMBER(tblObs[[#This Row],[Standard (s)]]),tblObs[[#This Row],[Cycle (s)]]-tblObs[[#This Row],[Standard (s)]],""))</f>
        <v>-2.5</v>
      </c>
      <c r="I55" s="40">
        <f>IF(tblObs[[#This Row],[Date]]="","",IF(ISNUMBER(Takt),tblObs[[#This Row],[Cycle (s)]]/Takt,""))</f>
        <v>0.705357142857143</v>
      </c>
      <c r="J55" s="41" t="str">
        <f>IF(tblObs[[#This Row],[Date]]="","",IF(tblObs[[#This Row],[Exclude]]="Yes","Excluded",IF(NOT(ISNUMBER(tblObs[[#This Row],[Loading (% of takt)]])),"",IF(tblObs[[#This Row],[Loading (% of takt)]]&gt;OverAt,"Over capacity",IF(tblObs[[#This Row],[Loading (% of takt)]]&gt;=NearAt,"Near capacity","Under capacity")))))</f>
        <v>Under capacity</v>
      </c>
      <c r="K55" s="42">
        <f>IF(tblObs[[#This Row],[Date]]="","",IF(AND(tblObs[[#This Row],[Exclude]]&lt;&gt;"Yes",tblObs[[#This Row],[Date]]&gt;=FFrom,tblObs[[#This Row],[Date]]&lt;=FTo),tblObs[[#This Row],[Date]],""))</f>
        <v>46275</v>
      </c>
      <c r="L55" s="30">
        <f>IF(tblObs[[#This Row],[Date]]="","",IF(AND(tblObs[[#This Row],[Station]]=ChartStation,ISNUMBER(tblObs[[#This Row],[View date]])),COUNTIFS(INDEX(tblObs[Station],1):tblObs[[#This Row],[Station]],tblObs[[#This Row],[Station]],INDEX(tblObs[View date],1):tblObs[[#This Row],[View date]],"&gt;0"),""))</f>
        <v/>
      </c>
      <c r="M55" s="43" t="str">
        <f>IF(tblObs[[#This Row],[Date]]="","",IF(tblObs[[#This Row],[Station]]="","Missing station",IF(tblObs[[#This Row],[Cycle (s)]]="","Missing cycle",IF(tblObs[[#This Row],[Exclude]]="","Missing exclude",IF(COUNTIF(tblStations[Station],tblObs[[#This Row],[Station]])=0,"Station not on Setup list",IF(AND(tblObs[[#This Row],[Exclude]]="Yes",tblObs[[#This Row],[Notes]]=""),"Exclude: no reason",IF(AND(tblObs[[#This Row],[Exclude]]&lt;&gt;"Yes",ISNUMBER(tblObs[[#This Row],[Standard (s)]]),tblObs[[#This Row],[Cycle (s)]]&gt;2*tblObs[[#This Row],[Standard (s)]]),"Over 2x standard","OK")))))))</f>
        <v>OK</v>
      </c>
      <c r="N55" s="44" t="s">
        <v>113</v>
      </c>
    </row>
    <row r="56" spans="2:14" x14ac:dyDescent="0.25">
      <c r="B56" s="37">
        <v>46275</v>
      </c>
      <c r="C56" s="28" t="s">
        <v>88</v>
      </c>
      <c r="D56" s="28" t="s">
        <v>116</v>
      </c>
      <c r="E56" s="35">
        <v>40.9</v>
      </c>
      <c r="F56" s="28" t="s">
        <v>112</v>
      </c>
      <c r="G56" s="38">
        <f>IF(tblObs[[#This Row],[Date]]="","",IFERROR(INDEX(tblStations[Standard cycle (s)],MATCH(tblObs[[#This Row],[Station]],tblStations[Station],0)),""))</f>
        <v>42</v>
      </c>
      <c r="H56" s="39">
        <f>IF(tblObs[[#This Row],[Date]]="","",IF(ISNUMBER(tblObs[[#This Row],[Standard (s)]]),tblObs[[#This Row],[Cycle (s)]]-tblObs[[#This Row],[Standard (s)]],""))</f>
        <v>-1.1</v>
      </c>
      <c r="I56" s="40">
        <f>IF(tblObs[[#This Row],[Date]]="","",IF(ISNUMBER(Takt),tblObs[[#This Row],[Cycle (s)]]/Takt,""))</f>
        <v>0.730357142857143</v>
      </c>
      <c r="J56" s="41" t="str">
        <f>IF(tblObs[[#This Row],[Date]]="","",IF(tblObs[[#This Row],[Exclude]]="Yes","Excluded",IF(NOT(ISNUMBER(tblObs[[#This Row],[Loading (% of takt)]])),"",IF(tblObs[[#This Row],[Loading (% of takt)]]&gt;OverAt,"Over capacity",IF(tblObs[[#This Row],[Loading (% of takt)]]&gt;=NearAt,"Near capacity","Under capacity")))))</f>
        <v>Under capacity</v>
      </c>
      <c r="K56" s="42">
        <f>IF(tblObs[[#This Row],[Date]]="","",IF(AND(tblObs[[#This Row],[Exclude]]&lt;&gt;"Yes",tblObs[[#This Row],[Date]]&gt;=FFrom,tblObs[[#This Row],[Date]]&lt;=FTo),tblObs[[#This Row],[Date]],""))</f>
        <v>46275</v>
      </c>
      <c r="L56" s="30">
        <f>IF(tblObs[[#This Row],[Date]]="","",IF(AND(tblObs[[#This Row],[Station]]=ChartStation,ISNUMBER(tblObs[[#This Row],[View date]])),COUNTIFS(INDEX(tblObs[Station],1):tblObs[[#This Row],[Station]],tblObs[[#This Row],[Station]],INDEX(tblObs[View date],1):tblObs[[#This Row],[View date]],"&gt;0"),""))</f>
        <v/>
      </c>
      <c r="M56" s="43" t="str">
        <f>IF(tblObs[[#This Row],[Date]]="","",IF(tblObs[[#This Row],[Station]]="","Missing station",IF(tblObs[[#This Row],[Cycle (s)]]="","Missing cycle",IF(tblObs[[#This Row],[Exclude]]="","Missing exclude",IF(COUNTIF(tblStations[Station],tblObs[[#This Row],[Station]])=0,"Station not on Setup list",IF(AND(tblObs[[#This Row],[Exclude]]="Yes",tblObs[[#This Row],[Notes]]=""),"Exclude: no reason",IF(AND(tblObs[[#This Row],[Exclude]]&lt;&gt;"Yes",ISNUMBER(tblObs[[#This Row],[Standard (s)]]),tblObs[[#This Row],[Cycle (s)]]&gt;2*tblObs[[#This Row],[Standard (s)]]),"Over 2x standard","OK")))))))</f>
        <v>OK</v>
      </c>
      <c r="N56" s="44" t="s">
        <v>113</v>
      </c>
    </row>
    <row r="57" spans="2:14" x14ac:dyDescent="0.25">
      <c r="B57" s="37">
        <v>46275</v>
      </c>
      <c r="C57" s="28" t="s">
        <v>88</v>
      </c>
      <c r="D57" s="28" t="s">
        <v>116</v>
      </c>
      <c r="E57" s="35">
        <v>42</v>
      </c>
      <c r="F57" s="28" t="s">
        <v>112</v>
      </c>
      <c r="G57" s="38">
        <f>IF(tblObs[[#This Row],[Date]]="","",IFERROR(INDEX(tblStations[Standard cycle (s)],MATCH(tblObs[[#This Row],[Station]],tblStations[Station],0)),""))</f>
        <v>42</v>
      </c>
      <c r="H57" s="39">
        <f>IF(tblObs[[#This Row],[Date]]="","",IF(ISNUMBER(tblObs[[#This Row],[Standard (s)]]),tblObs[[#This Row],[Cycle (s)]]-tblObs[[#This Row],[Standard (s)]],""))</f>
        <v>0</v>
      </c>
      <c r="I57" s="40">
        <f>IF(tblObs[[#This Row],[Date]]="","",IF(ISNUMBER(Takt),tblObs[[#This Row],[Cycle (s)]]/Takt,""))</f>
        <v>0.75</v>
      </c>
      <c r="J57" s="41" t="str">
        <f>IF(tblObs[[#This Row],[Date]]="","",IF(tblObs[[#This Row],[Exclude]]="Yes","Excluded",IF(NOT(ISNUMBER(tblObs[[#This Row],[Loading (% of takt)]])),"",IF(tblObs[[#This Row],[Loading (% of takt)]]&gt;OverAt,"Over capacity",IF(tblObs[[#This Row],[Loading (% of takt)]]&gt;=NearAt,"Near capacity","Under capacity")))))</f>
        <v>Under capacity</v>
      </c>
      <c r="K57" s="42">
        <f>IF(tblObs[[#This Row],[Date]]="","",IF(AND(tblObs[[#This Row],[Exclude]]&lt;&gt;"Yes",tblObs[[#This Row],[Date]]&gt;=FFrom,tblObs[[#This Row],[Date]]&lt;=FTo),tblObs[[#This Row],[Date]],""))</f>
        <v>46275</v>
      </c>
      <c r="L57" s="30">
        <f>IF(tblObs[[#This Row],[Date]]="","",IF(AND(tblObs[[#This Row],[Station]]=ChartStation,ISNUMBER(tblObs[[#This Row],[View date]])),COUNTIFS(INDEX(tblObs[Station],1):tblObs[[#This Row],[Station]],tblObs[[#This Row],[Station]],INDEX(tblObs[View date],1):tblObs[[#This Row],[View date]],"&gt;0"),""))</f>
        <v/>
      </c>
      <c r="M57" s="43" t="str">
        <f>IF(tblObs[[#This Row],[Date]]="","",IF(tblObs[[#This Row],[Station]]="","Missing station",IF(tblObs[[#This Row],[Cycle (s)]]="","Missing cycle",IF(tblObs[[#This Row],[Exclude]]="","Missing exclude",IF(COUNTIF(tblStations[Station],tblObs[[#This Row],[Station]])=0,"Station not on Setup list",IF(AND(tblObs[[#This Row],[Exclude]]="Yes",tblObs[[#This Row],[Notes]]=""),"Exclude: no reason",IF(AND(tblObs[[#This Row],[Exclude]]&lt;&gt;"Yes",ISNUMBER(tblObs[[#This Row],[Standard (s)]]),tblObs[[#This Row],[Cycle (s)]]&gt;2*tblObs[[#This Row],[Standard (s)]]),"Over 2x standard","OK")))))))</f>
        <v>OK</v>
      </c>
      <c r="N57" s="44" t="s">
        <v>113</v>
      </c>
    </row>
    <row r="58" spans="2:14" x14ac:dyDescent="0.25">
      <c r="B58" s="37">
        <v>46275</v>
      </c>
      <c r="C58" s="28" t="s">
        <v>88</v>
      </c>
      <c r="D58" s="28" t="s">
        <v>116</v>
      </c>
      <c r="E58" s="35">
        <v>40.6</v>
      </c>
      <c r="F58" s="28" t="s">
        <v>112</v>
      </c>
      <c r="G58" s="38">
        <f>IF(tblObs[[#This Row],[Date]]="","",IFERROR(INDEX(tblStations[Standard cycle (s)],MATCH(tblObs[[#This Row],[Station]],tblStations[Station],0)),""))</f>
        <v>42</v>
      </c>
      <c r="H58" s="39">
        <f>IF(tblObs[[#This Row],[Date]]="","",IF(ISNUMBER(tblObs[[#This Row],[Standard (s)]]),tblObs[[#This Row],[Cycle (s)]]-tblObs[[#This Row],[Standard (s)]],""))</f>
        <v>-1.4</v>
      </c>
      <c r="I58" s="40">
        <f>IF(tblObs[[#This Row],[Date]]="","",IF(ISNUMBER(Takt),tblObs[[#This Row],[Cycle (s)]]/Takt,""))</f>
        <v>0.725</v>
      </c>
      <c r="J58" s="41" t="str">
        <f>IF(tblObs[[#This Row],[Date]]="","",IF(tblObs[[#This Row],[Exclude]]="Yes","Excluded",IF(NOT(ISNUMBER(tblObs[[#This Row],[Loading (% of takt)]])),"",IF(tblObs[[#This Row],[Loading (% of takt)]]&gt;OverAt,"Over capacity",IF(tblObs[[#This Row],[Loading (% of takt)]]&gt;=NearAt,"Near capacity","Under capacity")))))</f>
        <v>Under capacity</v>
      </c>
      <c r="K58" s="42">
        <f>IF(tblObs[[#This Row],[Date]]="","",IF(AND(tblObs[[#This Row],[Exclude]]&lt;&gt;"Yes",tblObs[[#This Row],[Date]]&gt;=FFrom,tblObs[[#This Row],[Date]]&lt;=FTo),tblObs[[#This Row],[Date]],""))</f>
        <v>46275</v>
      </c>
      <c r="L58" s="30">
        <f>IF(tblObs[[#This Row],[Date]]="","",IF(AND(tblObs[[#This Row],[Station]]=ChartStation,ISNUMBER(tblObs[[#This Row],[View date]])),COUNTIFS(INDEX(tblObs[Station],1):tblObs[[#This Row],[Station]],tblObs[[#This Row],[Station]],INDEX(tblObs[View date],1):tblObs[[#This Row],[View date]],"&gt;0"),""))</f>
        <v/>
      </c>
      <c r="M58" s="43" t="str">
        <f>IF(tblObs[[#This Row],[Date]]="","",IF(tblObs[[#This Row],[Station]]="","Missing station",IF(tblObs[[#This Row],[Cycle (s)]]="","Missing cycle",IF(tblObs[[#This Row],[Exclude]]="","Missing exclude",IF(COUNTIF(tblStations[Station],tblObs[[#This Row],[Station]])=0,"Station not on Setup list",IF(AND(tblObs[[#This Row],[Exclude]]="Yes",tblObs[[#This Row],[Notes]]=""),"Exclude: no reason",IF(AND(tblObs[[#This Row],[Exclude]]&lt;&gt;"Yes",ISNUMBER(tblObs[[#This Row],[Standard (s)]]),tblObs[[#This Row],[Cycle (s)]]&gt;2*tblObs[[#This Row],[Standard (s)]]),"Over 2x standard","OK")))))))</f>
        <v>OK</v>
      </c>
      <c r="N58" s="44" t="s">
        <v>113</v>
      </c>
    </row>
    <row r="59" spans="2:14" x14ac:dyDescent="0.25">
      <c r="B59" s="37">
        <v>46275</v>
      </c>
      <c r="C59" s="28" t="s">
        <v>88</v>
      </c>
      <c r="D59" s="28" t="s">
        <v>116</v>
      </c>
      <c r="E59" s="35">
        <v>42.8</v>
      </c>
      <c r="F59" s="28" t="s">
        <v>112</v>
      </c>
      <c r="G59" s="38">
        <f>IF(tblObs[[#This Row],[Date]]="","",IFERROR(INDEX(tblStations[Standard cycle (s)],MATCH(tblObs[[#This Row],[Station]],tblStations[Station],0)),""))</f>
        <v>42</v>
      </c>
      <c r="H59" s="39">
        <f>IF(tblObs[[#This Row],[Date]]="","",IF(ISNUMBER(tblObs[[#This Row],[Standard (s)]]),tblObs[[#This Row],[Cycle (s)]]-tblObs[[#This Row],[Standard (s)]],""))</f>
        <v>0.799999999999997</v>
      </c>
      <c r="I59" s="40">
        <f>IF(tblObs[[#This Row],[Date]]="","",IF(ISNUMBER(Takt),tblObs[[#This Row],[Cycle (s)]]/Takt,""))</f>
        <v>0.764285714285714</v>
      </c>
      <c r="J59" s="41" t="str">
        <f>IF(tblObs[[#This Row],[Date]]="","",IF(tblObs[[#This Row],[Exclude]]="Yes","Excluded",IF(NOT(ISNUMBER(tblObs[[#This Row],[Loading (% of takt)]])),"",IF(tblObs[[#This Row],[Loading (% of takt)]]&gt;OverAt,"Over capacity",IF(tblObs[[#This Row],[Loading (% of takt)]]&gt;=NearAt,"Near capacity","Under capacity")))))</f>
        <v>Under capacity</v>
      </c>
      <c r="K59" s="42">
        <f>IF(tblObs[[#This Row],[Date]]="","",IF(AND(tblObs[[#This Row],[Exclude]]&lt;&gt;"Yes",tblObs[[#This Row],[Date]]&gt;=FFrom,tblObs[[#This Row],[Date]]&lt;=FTo),tblObs[[#This Row],[Date]],""))</f>
        <v>46275</v>
      </c>
      <c r="L59" s="30">
        <f>IF(tblObs[[#This Row],[Date]]="","",IF(AND(tblObs[[#This Row],[Station]]=ChartStation,ISNUMBER(tblObs[[#This Row],[View date]])),COUNTIFS(INDEX(tblObs[Station],1):tblObs[[#This Row],[Station]],tblObs[[#This Row],[Station]],INDEX(tblObs[View date],1):tblObs[[#This Row],[View date]],"&gt;0"),""))</f>
        <v/>
      </c>
      <c r="M59" s="43" t="str">
        <f>IF(tblObs[[#This Row],[Date]]="","",IF(tblObs[[#This Row],[Station]]="","Missing station",IF(tblObs[[#This Row],[Cycle (s)]]="","Missing cycle",IF(tblObs[[#This Row],[Exclude]]="","Missing exclude",IF(COUNTIF(tblStations[Station],tblObs[[#This Row],[Station]])=0,"Station not on Setup list",IF(AND(tblObs[[#This Row],[Exclude]]="Yes",tblObs[[#This Row],[Notes]]=""),"Exclude: no reason",IF(AND(tblObs[[#This Row],[Exclude]]&lt;&gt;"Yes",ISNUMBER(tblObs[[#This Row],[Standard (s)]]),tblObs[[#This Row],[Cycle (s)]]&gt;2*tblObs[[#This Row],[Standard (s)]]),"Over 2x standard","OK")))))))</f>
        <v>OK</v>
      </c>
      <c r="N59" s="44" t="s">
        <v>113</v>
      </c>
    </row>
    <row r="60" spans="2:14" x14ac:dyDescent="0.25">
      <c r="B60" s="37">
        <v>46275</v>
      </c>
      <c r="C60" s="28" t="s">
        <v>88</v>
      </c>
      <c r="D60" s="28" t="s">
        <v>116</v>
      </c>
      <c r="E60" s="35">
        <v>43.5</v>
      </c>
      <c r="F60" s="28" t="s">
        <v>112</v>
      </c>
      <c r="G60" s="38">
        <f>IF(tblObs[[#This Row],[Date]]="","",IFERROR(INDEX(tblStations[Standard cycle (s)],MATCH(tblObs[[#This Row],[Station]],tblStations[Station],0)),""))</f>
        <v>42</v>
      </c>
      <c r="H60" s="39">
        <f>IF(tblObs[[#This Row],[Date]]="","",IF(ISNUMBER(tblObs[[#This Row],[Standard (s)]]),tblObs[[#This Row],[Cycle (s)]]-tblObs[[#This Row],[Standard (s)]],""))</f>
        <v>1.5</v>
      </c>
      <c r="I60" s="40">
        <f>IF(tblObs[[#This Row],[Date]]="","",IF(ISNUMBER(Takt),tblObs[[#This Row],[Cycle (s)]]/Takt,""))</f>
        <v>0.776785714285714</v>
      </c>
      <c r="J60" s="41" t="str">
        <f>IF(tblObs[[#This Row],[Date]]="","",IF(tblObs[[#This Row],[Exclude]]="Yes","Excluded",IF(NOT(ISNUMBER(tblObs[[#This Row],[Loading (% of takt)]])),"",IF(tblObs[[#This Row],[Loading (% of takt)]]&gt;OverAt,"Over capacity",IF(tblObs[[#This Row],[Loading (% of takt)]]&gt;=NearAt,"Near capacity","Under capacity")))))</f>
        <v>Under capacity</v>
      </c>
      <c r="K60" s="42">
        <f>IF(tblObs[[#This Row],[Date]]="","",IF(AND(tblObs[[#This Row],[Exclude]]&lt;&gt;"Yes",tblObs[[#This Row],[Date]]&gt;=FFrom,tblObs[[#This Row],[Date]]&lt;=FTo),tblObs[[#This Row],[Date]],""))</f>
        <v>46275</v>
      </c>
      <c r="L60" s="30">
        <f>IF(tblObs[[#This Row],[Date]]="","",IF(AND(tblObs[[#This Row],[Station]]=ChartStation,ISNUMBER(tblObs[[#This Row],[View date]])),COUNTIFS(INDEX(tblObs[Station],1):tblObs[[#This Row],[Station]],tblObs[[#This Row],[Station]],INDEX(tblObs[View date],1):tblObs[[#This Row],[View date]],"&gt;0"),""))</f>
        <v/>
      </c>
      <c r="M60" s="43" t="str">
        <f>IF(tblObs[[#This Row],[Date]]="","",IF(tblObs[[#This Row],[Station]]="","Missing station",IF(tblObs[[#This Row],[Cycle (s)]]="","Missing cycle",IF(tblObs[[#This Row],[Exclude]]="","Missing exclude",IF(COUNTIF(tblStations[Station],tblObs[[#This Row],[Station]])=0,"Station not on Setup list",IF(AND(tblObs[[#This Row],[Exclude]]="Yes",tblObs[[#This Row],[Notes]]=""),"Exclude: no reason",IF(AND(tblObs[[#This Row],[Exclude]]&lt;&gt;"Yes",ISNUMBER(tblObs[[#This Row],[Standard (s)]]),tblObs[[#This Row],[Cycle (s)]]&gt;2*tblObs[[#This Row],[Standard (s)]]),"Over 2x standard","OK")))))))</f>
        <v>OK</v>
      </c>
      <c r="N60" s="44" t="s">
        <v>113</v>
      </c>
    </row>
    <row r="61" spans="2:14" x14ac:dyDescent="0.25">
      <c r="B61" s="37">
        <v>46275</v>
      </c>
      <c r="C61" s="28" t="s">
        <v>88</v>
      </c>
      <c r="D61" s="28" t="s">
        <v>116</v>
      </c>
      <c r="E61" s="35">
        <v>44.5</v>
      </c>
      <c r="F61" s="28" t="s">
        <v>112</v>
      </c>
      <c r="G61" s="38">
        <f>IF(tblObs[[#This Row],[Date]]="","",IFERROR(INDEX(tblStations[Standard cycle (s)],MATCH(tblObs[[#This Row],[Station]],tblStations[Station],0)),""))</f>
        <v>42</v>
      </c>
      <c r="H61" s="39">
        <f>IF(tblObs[[#This Row],[Date]]="","",IF(ISNUMBER(tblObs[[#This Row],[Standard (s)]]),tblObs[[#This Row],[Cycle (s)]]-tblObs[[#This Row],[Standard (s)]],""))</f>
        <v>2.5</v>
      </c>
      <c r="I61" s="40">
        <f>IF(tblObs[[#This Row],[Date]]="","",IF(ISNUMBER(Takt),tblObs[[#This Row],[Cycle (s)]]/Takt,""))</f>
        <v>0.794642857142857</v>
      </c>
      <c r="J61" s="41" t="str">
        <f>IF(tblObs[[#This Row],[Date]]="","",IF(tblObs[[#This Row],[Exclude]]="Yes","Excluded",IF(NOT(ISNUMBER(tblObs[[#This Row],[Loading (% of takt)]])),"",IF(tblObs[[#This Row],[Loading (% of takt)]]&gt;OverAt,"Over capacity",IF(tblObs[[#This Row],[Loading (% of takt)]]&gt;=NearAt,"Near capacity","Under capacity")))))</f>
        <v>Under capacity</v>
      </c>
      <c r="K61" s="42">
        <f>IF(tblObs[[#This Row],[Date]]="","",IF(AND(tblObs[[#This Row],[Exclude]]&lt;&gt;"Yes",tblObs[[#This Row],[Date]]&gt;=FFrom,tblObs[[#This Row],[Date]]&lt;=FTo),tblObs[[#This Row],[Date]],""))</f>
        <v>46275</v>
      </c>
      <c r="L61" s="30">
        <f>IF(tblObs[[#This Row],[Date]]="","",IF(AND(tblObs[[#This Row],[Station]]=ChartStation,ISNUMBER(tblObs[[#This Row],[View date]])),COUNTIFS(INDEX(tblObs[Station],1):tblObs[[#This Row],[Station]],tblObs[[#This Row],[Station]],INDEX(tblObs[View date],1):tblObs[[#This Row],[View date]],"&gt;0"),""))</f>
        <v/>
      </c>
      <c r="M61" s="43" t="str">
        <f>IF(tblObs[[#This Row],[Date]]="","",IF(tblObs[[#This Row],[Station]]="","Missing station",IF(tblObs[[#This Row],[Cycle (s)]]="","Missing cycle",IF(tblObs[[#This Row],[Exclude]]="","Missing exclude",IF(COUNTIF(tblStations[Station],tblObs[[#This Row],[Station]])=0,"Station not on Setup list",IF(AND(tblObs[[#This Row],[Exclude]]="Yes",tblObs[[#This Row],[Notes]]=""),"Exclude: no reason",IF(AND(tblObs[[#This Row],[Exclude]]&lt;&gt;"Yes",ISNUMBER(tblObs[[#This Row],[Standard (s)]]),tblObs[[#This Row],[Cycle (s)]]&gt;2*tblObs[[#This Row],[Standard (s)]]),"Over 2x standard","OK")))))))</f>
        <v>OK</v>
      </c>
      <c r="N61" s="44" t="s">
        <v>113</v>
      </c>
    </row>
    <row r="62" spans="2:14" x14ac:dyDescent="0.25">
      <c r="B62" s="37">
        <v>46275</v>
      </c>
      <c r="C62" s="28" t="s">
        <v>90</v>
      </c>
      <c r="D62" s="28" t="s">
        <v>123</v>
      </c>
      <c r="E62" s="35">
        <v>49</v>
      </c>
      <c r="F62" s="28" t="s">
        <v>112</v>
      </c>
      <c r="G62" s="38">
        <f>IF(tblObs[[#This Row],[Date]]="","",IFERROR(INDEX(tblStations[Standard cycle (s)],MATCH(tblObs[[#This Row],[Station]],tblStations[Station],0)),""))</f>
        <v>49</v>
      </c>
      <c r="H62" s="39">
        <f>IF(tblObs[[#This Row],[Date]]="","",IF(ISNUMBER(tblObs[[#This Row],[Standard (s)]]),tblObs[[#This Row],[Cycle (s)]]-tblObs[[#This Row],[Standard (s)]],""))</f>
        <v>0</v>
      </c>
      <c r="I62" s="40">
        <f>IF(tblObs[[#This Row],[Date]]="","",IF(ISNUMBER(Takt),tblObs[[#This Row],[Cycle (s)]]/Takt,""))</f>
        <v>0.875</v>
      </c>
      <c r="J62" s="41" t="str">
        <f>IF(tblObs[[#This Row],[Date]]="","",IF(tblObs[[#This Row],[Exclude]]="Yes","Excluded",IF(NOT(ISNUMBER(tblObs[[#This Row],[Loading (% of takt)]])),"",IF(tblObs[[#This Row],[Loading (% of takt)]]&gt;OverAt,"Over capacity",IF(tblObs[[#This Row],[Loading (% of takt)]]&gt;=NearAt,"Near capacity","Under capacity")))))</f>
        <v>Under capacity</v>
      </c>
      <c r="K62" s="42">
        <f>IF(tblObs[[#This Row],[Date]]="","",IF(AND(tblObs[[#This Row],[Exclude]]&lt;&gt;"Yes",tblObs[[#This Row],[Date]]&gt;=FFrom,tblObs[[#This Row],[Date]]&lt;=FTo),tblObs[[#This Row],[Date]],""))</f>
        <v>46275</v>
      </c>
      <c r="L62" s="30">
        <f>IF(tblObs[[#This Row],[Date]]="","",IF(AND(tblObs[[#This Row],[Station]]=ChartStation,ISNUMBER(tblObs[[#This Row],[View date]])),COUNTIFS(INDEX(tblObs[Station],1):tblObs[[#This Row],[Station]],tblObs[[#This Row],[Station]],INDEX(tblObs[View date],1):tblObs[[#This Row],[View date]],"&gt;0"),""))</f>
        <v/>
      </c>
      <c r="M62" s="43" t="str">
        <f>IF(tblObs[[#This Row],[Date]]="","",IF(tblObs[[#This Row],[Station]]="","Missing station",IF(tblObs[[#This Row],[Cycle (s)]]="","Missing cycle",IF(tblObs[[#This Row],[Exclude]]="","Missing exclude",IF(COUNTIF(tblStations[Station],tblObs[[#This Row],[Station]])=0,"Station not on Setup list",IF(AND(tblObs[[#This Row],[Exclude]]="Yes",tblObs[[#This Row],[Notes]]=""),"Exclude: no reason",IF(AND(tblObs[[#This Row],[Exclude]]&lt;&gt;"Yes",ISNUMBER(tblObs[[#This Row],[Standard (s)]]),tblObs[[#This Row],[Cycle (s)]]&gt;2*tblObs[[#This Row],[Standard (s)]]),"Over 2x standard","OK")))))))</f>
        <v>OK</v>
      </c>
      <c r="N62" s="44" t="s">
        <v>113</v>
      </c>
    </row>
    <row r="63" spans="2:14" x14ac:dyDescent="0.25">
      <c r="B63" s="37">
        <v>46275</v>
      </c>
      <c r="C63" s="28" t="s">
        <v>90</v>
      </c>
      <c r="D63" s="28" t="s">
        <v>123</v>
      </c>
      <c r="E63" s="35">
        <v>51.2</v>
      </c>
      <c r="F63" s="28" t="s">
        <v>112</v>
      </c>
      <c r="G63" s="38">
        <f>IF(tblObs[[#This Row],[Date]]="","",IFERROR(INDEX(tblStations[Standard cycle (s)],MATCH(tblObs[[#This Row],[Station]],tblStations[Station],0)),""))</f>
        <v>49</v>
      </c>
      <c r="H63" s="39">
        <f>IF(tblObs[[#This Row],[Date]]="","",IF(ISNUMBER(tblObs[[#This Row],[Standard (s)]]),tblObs[[#This Row],[Cycle (s)]]-tblObs[[#This Row],[Standard (s)]],""))</f>
        <v>2.2</v>
      </c>
      <c r="I63" s="40">
        <f>IF(tblObs[[#This Row],[Date]]="","",IF(ISNUMBER(Takt),tblObs[[#This Row],[Cycle (s)]]/Takt,""))</f>
        <v>0.914285714285714</v>
      </c>
      <c r="J63" s="41" t="str">
        <f>IF(tblObs[[#This Row],[Date]]="","",IF(tblObs[[#This Row],[Exclude]]="Yes","Excluded",IF(NOT(ISNUMBER(tblObs[[#This Row],[Loading (% of takt)]])),"",IF(tblObs[[#This Row],[Loading (% of takt)]]&gt;OverAt,"Over capacity",IF(tblObs[[#This Row],[Loading (% of takt)]]&gt;=NearAt,"Near capacity","Under capacity")))))</f>
        <v>Near capacity</v>
      </c>
      <c r="K63" s="42">
        <f>IF(tblObs[[#This Row],[Date]]="","",IF(AND(tblObs[[#This Row],[Exclude]]&lt;&gt;"Yes",tblObs[[#This Row],[Date]]&gt;=FFrom,tblObs[[#This Row],[Date]]&lt;=FTo),tblObs[[#This Row],[Date]],""))</f>
        <v>46275</v>
      </c>
      <c r="L63" s="30">
        <f>IF(tblObs[[#This Row],[Date]]="","",IF(AND(tblObs[[#This Row],[Station]]=ChartStation,ISNUMBER(tblObs[[#This Row],[View date]])),COUNTIFS(INDEX(tblObs[Station],1):tblObs[[#This Row],[Station]],tblObs[[#This Row],[Station]],INDEX(tblObs[View date],1):tblObs[[#This Row],[View date]],"&gt;0"),""))</f>
        <v/>
      </c>
      <c r="M63" s="43" t="str">
        <f>IF(tblObs[[#This Row],[Date]]="","",IF(tblObs[[#This Row],[Station]]="","Missing station",IF(tblObs[[#This Row],[Cycle (s)]]="","Missing cycle",IF(tblObs[[#This Row],[Exclude]]="","Missing exclude",IF(COUNTIF(tblStations[Station],tblObs[[#This Row],[Station]])=0,"Station not on Setup list",IF(AND(tblObs[[#This Row],[Exclude]]="Yes",tblObs[[#This Row],[Notes]]=""),"Exclude: no reason",IF(AND(tblObs[[#This Row],[Exclude]]&lt;&gt;"Yes",ISNUMBER(tblObs[[#This Row],[Standard (s)]]),tblObs[[#This Row],[Cycle (s)]]&gt;2*tblObs[[#This Row],[Standard (s)]]),"Over 2x standard","OK")))))))</f>
        <v>OK</v>
      </c>
      <c r="N63" s="44" t="s">
        <v>113</v>
      </c>
    </row>
    <row r="64" spans="2:14" x14ac:dyDescent="0.25">
      <c r="B64" s="37">
        <v>46275</v>
      </c>
      <c r="C64" s="28" t="s">
        <v>90</v>
      </c>
      <c r="D64" s="28" t="s">
        <v>123</v>
      </c>
      <c r="E64" s="35">
        <v>88</v>
      </c>
      <c r="F64" s="28" t="s">
        <v>114</v>
      </c>
      <c r="G64" s="38">
        <f>IF(tblObs[[#This Row],[Date]]="","",IFERROR(INDEX(tblStations[Standard cycle (s)],MATCH(tblObs[[#This Row],[Station]],tblStations[Station],0)),""))</f>
        <v>49</v>
      </c>
      <c r="H64" s="39">
        <f>IF(tblObs[[#This Row],[Date]]="","",IF(ISNUMBER(tblObs[[#This Row],[Standard (s)]]),tblObs[[#This Row],[Cycle (s)]]-tblObs[[#This Row],[Standard (s)]],""))</f>
        <v>39</v>
      </c>
      <c r="I64" s="40">
        <f>IF(tblObs[[#This Row],[Date]]="","",IF(ISNUMBER(Takt),tblObs[[#This Row],[Cycle (s)]]/Takt,""))</f>
        <v>1.57142857142857</v>
      </c>
      <c r="J64" s="41" t="str">
        <f>IF(tblObs[[#This Row],[Date]]="","",IF(tblObs[[#This Row],[Exclude]]="Yes","Excluded",IF(NOT(ISNUMBER(tblObs[[#This Row],[Loading (% of takt)]])),"",IF(tblObs[[#This Row],[Loading (% of takt)]]&gt;OverAt,"Over capacity",IF(tblObs[[#This Row],[Loading (% of takt)]]&gt;=NearAt,"Near capacity","Under capacity")))))</f>
        <v>Excluded</v>
      </c>
      <c r="K64" s="42">
        <f>IF(tblObs[[#This Row],[Date]]="","",IF(AND(tblObs[[#This Row],[Exclude]]&lt;&gt;"Yes",tblObs[[#This Row],[Date]]&gt;=FFrom,tblObs[[#This Row],[Date]]&lt;=FTo),tblObs[[#This Row],[Date]],""))</f>
        <v/>
      </c>
      <c r="L64" s="30">
        <f>IF(tblObs[[#This Row],[Date]]="","",IF(AND(tblObs[[#This Row],[Station]]=ChartStation,ISNUMBER(tblObs[[#This Row],[View date]])),COUNTIFS(INDEX(tblObs[Station],1):tblObs[[#This Row],[Station]],tblObs[[#This Row],[Station]],INDEX(tblObs[View date],1):tblObs[[#This Row],[View date]],"&gt;0"),""))</f>
        <v/>
      </c>
      <c r="M64" s="43" t="str">
        <f>IF(tblObs[[#This Row],[Date]]="","",IF(tblObs[[#This Row],[Station]]="","Missing station",IF(tblObs[[#This Row],[Cycle (s)]]="","Missing cycle",IF(tblObs[[#This Row],[Exclude]]="","Missing exclude",IF(COUNTIF(tblStations[Station],tblObs[[#This Row],[Station]])=0,"Station not on Setup list",IF(AND(tblObs[[#This Row],[Exclude]]="Yes",tblObs[[#This Row],[Notes]]=""),"Exclude: no reason",IF(AND(tblObs[[#This Row],[Exclude]]&lt;&gt;"Yes",ISNUMBER(tblObs[[#This Row],[Standard (s)]]),tblObs[[#This Row],[Cycle (s)]]&gt;2*tblObs[[#This Row],[Standard (s)]]),"Over 2x standard","OK")))))))</f>
        <v>OK</v>
      </c>
      <c r="N64" s="44" t="s">
        <v>124</v>
      </c>
    </row>
    <row r="65" spans="2:14" x14ac:dyDescent="0.25">
      <c r="B65" s="37">
        <v>46275</v>
      </c>
      <c r="C65" s="28" t="s">
        <v>90</v>
      </c>
      <c r="D65" s="28" t="s">
        <v>123</v>
      </c>
      <c r="E65" s="35">
        <v>51.2</v>
      </c>
      <c r="F65" s="28" t="s">
        <v>112</v>
      </c>
      <c r="G65" s="38">
        <f>IF(tblObs[[#This Row],[Date]]="","",IFERROR(INDEX(tblStations[Standard cycle (s)],MATCH(tblObs[[#This Row],[Station]],tblStations[Station],0)),""))</f>
        <v>49</v>
      </c>
      <c r="H65" s="39">
        <f>IF(tblObs[[#This Row],[Date]]="","",IF(ISNUMBER(tblObs[[#This Row],[Standard (s)]]),tblObs[[#This Row],[Cycle (s)]]-tblObs[[#This Row],[Standard (s)]],""))</f>
        <v>2.2</v>
      </c>
      <c r="I65" s="40">
        <f>IF(tblObs[[#This Row],[Date]]="","",IF(ISNUMBER(Takt),tblObs[[#This Row],[Cycle (s)]]/Takt,""))</f>
        <v>0.914285714285714</v>
      </c>
      <c r="J65" s="41" t="str">
        <f>IF(tblObs[[#This Row],[Date]]="","",IF(tblObs[[#This Row],[Exclude]]="Yes","Excluded",IF(NOT(ISNUMBER(tblObs[[#This Row],[Loading (% of takt)]])),"",IF(tblObs[[#This Row],[Loading (% of takt)]]&gt;OverAt,"Over capacity",IF(tblObs[[#This Row],[Loading (% of takt)]]&gt;=NearAt,"Near capacity","Under capacity")))))</f>
        <v>Near capacity</v>
      </c>
      <c r="K65" s="42">
        <f>IF(tblObs[[#This Row],[Date]]="","",IF(AND(tblObs[[#This Row],[Exclude]]&lt;&gt;"Yes",tblObs[[#This Row],[Date]]&gt;=FFrom,tblObs[[#This Row],[Date]]&lt;=FTo),tblObs[[#This Row],[Date]],""))</f>
        <v>46275</v>
      </c>
      <c r="L65" s="30">
        <f>IF(tblObs[[#This Row],[Date]]="","",IF(AND(tblObs[[#This Row],[Station]]=ChartStation,ISNUMBER(tblObs[[#This Row],[View date]])),COUNTIFS(INDEX(tblObs[Station],1):tblObs[[#This Row],[Station]],tblObs[[#This Row],[Station]],INDEX(tblObs[View date],1):tblObs[[#This Row],[View date]],"&gt;0"),""))</f>
        <v/>
      </c>
      <c r="M65" s="43" t="str">
        <f>IF(tblObs[[#This Row],[Date]]="","",IF(tblObs[[#This Row],[Station]]="","Missing station",IF(tblObs[[#This Row],[Cycle (s)]]="","Missing cycle",IF(tblObs[[#This Row],[Exclude]]="","Missing exclude",IF(COUNTIF(tblStations[Station],tblObs[[#This Row],[Station]])=0,"Station not on Setup list",IF(AND(tblObs[[#This Row],[Exclude]]="Yes",tblObs[[#This Row],[Notes]]=""),"Exclude: no reason",IF(AND(tblObs[[#This Row],[Exclude]]&lt;&gt;"Yes",ISNUMBER(tblObs[[#This Row],[Standard (s)]]),tblObs[[#This Row],[Cycle (s)]]&gt;2*tblObs[[#This Row],[Standard (s)]]),"Over 2x standard","OK")))))))</f>
        <v>OK</v>
      </c>
      <c r="N65" s="44" t="s">
        <v>113</v>
      </c>
    </row>
    <row r="66" spans="2:14" x14ac:dyDescent="0.25">
      <c r="B66" s="37">
        <v>46275</v>
      </c>
      <c r="C66" s="28" t="s">
        <v>90</v>
      </c>
      <c r="D66" s="28" t="s">
        <v>123</v>
      </c>
      <c r="E66" s="35">
        <v>48.9</v>
      </c>
      <c r="F66" s="28" t="s">
        <v>112</v>
      </c>
      <c r="G66" s="38">
        <f>IF(tblObs[[#This Row],[Date]]="","",IFERROR(INDEX(tblStations[Standard cycle (s)],MATCH(tblObs[[#This Row],[Station]],tblStations[Station],0)),""))</f>
        <v>49</v>
      </c>
      <c r="H66" s="39">
        <f>IF(tblObs[[#This Row],[Date]]="","",IF(ISNUMBER(tblObs[[#This Row],[Standard (s)]]),tblObs[[#This Row],[Cycle (s)]]-tblObs[[#This Row],[Standard (s)]],""))</f>
        <v>-0.100000000000001</v>
      </c>
      <c r="I66" s="40">
        <f>IF(tblObs[[#This Row],[Date]]="","",IF(ISNUMBER(Takt),tblObs[[#This Row],[Cycle (s)]]/Takt,""))</f>
        <v>0.873214285714286</v>
      </c>
      <c r="J66" s="41" t="str">
        <f>IF(tblObs[[#This Row],[Date]]="","",IF(tblObs[[#This Row],[Exclude]]="Yes","Excluded",IF(NOT(ISNUMBER(tblObs[[#This Row],[Loading (% of takt)]])),"",IF(tblObs[[#This Row],[Loading (% of takt)]]&gt;OverAt,"Over capacity",IF(tblObs[[#This Row],[Loading (% of takt)]]&gt;=NearAt,"Near capacity","Under capacity")))))</f>
        <v>Under capacity</v>
      </c>
      <c r="K66" s="42">
        <f>IF(tblObs[[#This Row],[Date]]="","",IF(AND(tblObs[[#This Row],[Exclude]]&lt;&gt;"Yes",tblObs[[#This Row],[Date]]&gt;=FFrom,tblObs[[#This Row],[Date]]&lt;=FTo),tblObs[[#This Row],[Date]],""))</f>
        <v>46275</v>
      </c>
      <c r="L66" s="30">
        <f>IF(tblObs[[#This Row],[Date]]="","",IF(AND(tblObs[[#This Row],[Station]]=ChartStation,ISNUMBER(tblObs[[#This Row],[View date]])),COUNTIFS(INDEX(tblObs[Station],1):tblObs[[#This Row],[Station]],tblObs[[#This Row],[Station]],INDEX(tblObs[View date],1):tblObs[[#This Row],[View date]],"&gt;0"),""))</f>
        <v/>
      </c>
      <c r="M66" s="43" t="str">
        <f>IF(tblObs[[#This Row],[Date]]="","",IF(tblObs[[#This Row],[Station]]="","Missing station",IF(tblObs[[#This Row],[Cycle (s)]]="","Missing cycle",IF(tblObs[[#This Row],[Exclude]]="","Missing exclude",IF(COUNTIF(tblStations[Station],tblObs[[#This Row],[Station]])=0,"Station not on Setup list",IF(AND(tblObs[[#This Row],[Exclude]]="Yes",tblObs[[#This Row],[Notes]]=""),"Exclude: no reason",IF(AND(tblObs[[#This Row],[Exclude]]&lt;&gt;"Yes",ISNUMBER(tblObs[[#This Row],[Standard (s)]]),tblObs[[#This Row],[Cycle (s)]]&gt;2*tblObs[[#This Row],[Standard (s)]]),"Over 2x standard","OK")))))))</f>
        <v>OK</v>
      </c>
      <c r="N66" s="44" t="s">
        <v>113</v>
      </c>
    </row>
    <row r="67" spans="2:14" x14ac:dyDescent="0.25">
      <c r="B67" s="37">
        <v>46275</v>
      </c>
      <c r="C67" s="28" t="s">
        <v>90</v>
      </c>
      <c r="D67" s="28" t="s">
        <v>123</v>
      </c>
      <c r="E67" s="35">
        <v>48.2</v>
      </c>
      <c r="F67" s="28" t="s">
        <v>112</v>
      </c>
      <c r="G67" s="38">
        <f>IF(tblObs[[#This Row],[Date]]="","",IFERROR(INDEX(tblStations[Standard cycle (s)],MATCH(tblObs[[#This Row],[Station]],tblStations[Station],0)),""))</f>
        <v>49</v>
      </c>
      <c r="H67" s="39">
        <f>IF(tblObs[[#This Row],[Date]]="","",IF(ISNUMBER(tblObs[[#This Row],[Standard (s)]]),tblObs[[#This Row],[Cycle (s)]]-tblObs[[#This Row],[Standard (s)]],""))</f>
        <v>-0.799999999999997</v>
      </c>
      <c r="I67" s="40">
        <f>IF(tblObs[[#This Row],[Date]]="","",IF(ISNUMBER(Takt),tblObs[[#This Row],[Cycle (s)]]/Takt,""))</f>
        <v>0.860714285714286</v>
      </c>
      <c r="J67" s="41" t="str">
        <f>IF(tblObs[[#This Row],[Date]]="","",IF(tblObs[[#This Row],[Exclude]]="Yes","Excluded",IF(NOT(ISNUMBER(tblObs[[#This Row],[Loading (% of takt)]])),"",IF(tblObs[[#This Row],[Loading (% of takt)]]&gt;OverAt,"Over capacity",IF(tblObs[[#This Row],[Loading (% of takt)]]&gt;=NearAt,"Near capacity","Under capacity")))))</f>
        <v>Under capacity</v>
      </c>
      <c r="K67" s="42">
        <f>IF(tblObs[[#This Row],[Date]]="","",IF(AND(tblObs[[#This Row],[Exclude]]&lt;&gt;"Yes",tblObs[[#This Row],[Date]]&gt;=FFrom,tblObs[[#This Row],[Date]]&lt;=FTo),tblObs[[#This Row],[Date]],""))</f>
        <v>46275</v>
      </c>
      <c r="L67" s="30">
        <f>IF(tblObs[[#This Row],[Date]]="","",IF(AND(tblObs[[#This Row],[Station]]=ChartStation,ISNUMBER(tblObs[[#This Row],[View date]])),COUNTIFS(INDEX(tblObs[Station],1):tblObs[[#This Row],[Station]],tblObs[[#This Row],[Station]],INDEX(tblObs[View date],1):tblObs[[#This Row],[View date]],"&gt;0"),""))</f>
        <v/>
      </c>
      <c r="M67" s="43" t="str">
        <f>IF(tblObs[[#This Row],[Date]]="","",IF(tblObs[[#This Row],[Station]]="","Missing station",IF(tblObs[[#This Row],[Cycle (s)]]="","Missing cycle",IF(tblObs[[#This Row],[Exclude]]="","Missing exclude",IF(COUNTIF(tblStations[Station],tblObs[[#This Row],[Station]])=0,"Station not on Setup list",IF(AND(tblObs[[#This Row],[Exclude]]="Yes",tblObs[[#This Row],[Notes]]=""),"Exclude: no reason",IF(AND(tblObs[[#This Row],[Exclude]]&lt;&gt;"Yes",ISNUMBER(tblObs[[#This Row],[Standard (s)]]),tblObs[[#This Row],[Cycle (s)]]&gt;2*tblObs[[#This Row],[Standard (s)]]),"Over 2x standard","OK")))))))</f>
        <v>OK</v>
      </c>
      <c r="N67" s="44" t="s">
        <v>113</v>
      </c>
    </row>
    <row r="68" spans="2:14" x14ac:dyDescent="0.25">
      <c r="B68" s="37">
        <v>46275</v>
      </c>
      <c r="C68" s="28" t="s">
        <v>90</v>
      </c>
      <c r="D68" s="28" t="s">
        <v>123</v>
      </c>
      <c r="E68" s="35">
        <v>47.8</v>
      </c>
      <c r="F68" s="28" t="s">
        <v>112</v>
      </c>
      <c r="G68" s="38">
        <f>IF(tblObs[[#This Row],[Date]]="","",IFERROR(INDEX(tblStations[Standard cycle (s)],MATCH(tblObs[[#This Row],[Station]],tblStations[Station],0)),""))</f>
        <v>49</v>
      </c>
      <c r="H68" s="39">
        <f>IF(tblObs[[#This Row],[Date]]="","",IF(ISNUMBER(tblObs[[#This Row],[Standard (s)]]),tblObs[[#This Row],[Cycle (s)]]-tblObs[[#This Row],[Standard (s)]],""))</f>
        <v>-1.2</v>
      </c>
      <c r="I68" s="40">
        <f>IF(tblObs[[#This Row],[Date]]="","",IF(ISNUMBER(Takt),tblObs[[#This Row],[Cycle (s)]]/Takt,""))</f>
        <v>0.853571428571429</v>
      </c>
      <c r="J68" s="41" t="str">
        <f>IF(tblObs[[#This Row],[Date]]="","",IF(tblObs[[#This Row],[Exclude]]="Yes","Excluded",IF(NOT(ISNUMBER(tblObs[[#This Row],[Loading (% of takt)]])),"",IF(tblObs[[#This Row],[Loading (% of takt)]]&gt;OverAt,"Over capacity",IF(tblObs[[#This Row],[Loading (% of takt)]]&gt;=NearAt,"Near capacity","Under capacity")))))</f>
        <v>Under capacity</v>
      </c>
      <c r="K68" s="42">
        <f>IF(tblObs[[#This Row],[Date]]="","",IF(AND(tblObs[[#This Row],[Exclude]]&lt;&gt;"Yes",tblObs[[#This Row],[Date]]&gt;=FFrom,tblObs[[#This Row],[Date]]&lt;=FTo),tblObs[[#This Row],[Date]],""))</f>
        <v>46275</v>
      </c>
      <c r="L68" s="30">
        <f>IF(tblObs[[#This Row],[Date]]="","",IF(AND(tblObs[[#This Row],[Station]]=ChartStation,ISNUMBER(tblObs[[#This Row],[View date]])),COUNTIFS(INDEX(tblObs[Station],1):tblObs[[#This Row],[Station]],tblObs[[#This Row],[Station]],INDEX(tblObs[View date],1):tblObs[[#This Row],[View date]],"&gt;0"),""))</f>
        <v/>
      </c>
      <c r="M68" s="43" t="str">
        <f>IF(tblObs[[#This Row],[Date]]="","",IF(tblObs[[#This Row],[Station]]="","Missing station",IF(tblObs[[#This Row],[Cycle (s)]]="","Missing cycle",IF(tblObs[[#This Row],[Exclude]]="","Missing exclude",IF(COUNTIF(tblStations[Station],tblObs[[#This Row],[Station]])=0,"Station not on Setup list",IF(AND(tblObs[[#This Row],[Exclude]]="Yes",tblObs[[#This Row],[Notes]]=""),"Exclude: no reason",IF(AND(tblObs[[#This Row],[Exclude]]&lt;&gt;"Yes",ISNUMBER(tblObs[[#This Row],[Standard (s)]]),tblObs[[#This Row],[Cycle (s)]]&gt;2*tblObs[[#This Row],[Standard (s)]]),"Over 2x standard","OK")))))))</f>
        <v>OK</v>
      </c>
      <c r="N68" s="44" t="s">
        <v>113</v>
      </c>
    </row>
    <row r="69" spans="2:14" x14ac:dyDescent="0.25">
      <c r="B69" s="37">
        <v>46275</v>
      </c>
      <c r="C69" s="28" t="s">
        <v>92</v>
      </c>
      <c r="D69" s="28" t="s">
        <v>118</v>
      </c>
      <c r="E69" s="35">
        <v>57.3</v>
      </c>
      <c r="F69" s="28" t="s">
        <v>112</v>
      </c>
      <c r="G69" s="38">
        <f>IF(tblObs[[#This Row],[Date]]="","",IFERROR(INDEX(tblStations[Standard cycle (s)],MATCH(tblObs[[#This Row],[Station]],tblStations[Station],0)),""))</f>
        <v>54</v>
      </c>
      <c r="H69" s="39">
        <f>IF(tblObs[[#This Row],[Date]]="","",IF(ISNUMBER(tblObs[[#This Row],[Standard (s)]]),tblObs[[#This Row],[Cycle (s)]]-tblObs[[#This Row],[Standard (s)]],""))</f>
        <v>3.3</v>
      </c>
      <c r="I69" s="40">
        <f>IF(tblObs[[#This Row],[Date]]="","",IF(ISNUMBER(Takt),tblObs[[#This Row],[Cycle (s)]]/Takt,""))</f>
        <v>1.02321428571429</v>
      </c>
      <c r="J69" s="41" t="str">
        <f>IF(tblObs[[#This Row],[Date]]="","",IF(tblObs[[#This Row],[Exclude]]="Yes","Excluded",IF(NOT(ISNUMBER(tblObs[[#This Row],[Loading (% of takt)]])),"",IF(tblObs[[#This Row],[Loading (% of takt)]]&gt;OverAt,"Over capacity",IF(tblObs[[#This Row],[Loading (% of takt)]]&gt;=NearAt,"Near capacity","Under capacity")))))</f>
        <v>Over capacity</v>
      </c>
      <c r="K69" s="42">
        <f>IF(tblObs[[#This Row],[Date]]="","",IF(AND(tblObs[[#This Row],[Exclude]]&lt;&gt;"Yes",tblObs[[#This Row],[Date]]&gt;=FFrom,tblObs[[#This Row],[Date]]&lt;=FTo),tblObs[[#This Row],[Date]],""))</f>
        <v>46275</v>
      </c>
      <c r="L69" s="30">
        <f>IF(tblObs[[#This Row],[Date]]="","",IF(AND(tblObs[[#This Row],[Station]]=ChartStation,ISNUMBER(tblObs[[#This Row],[View date]])),COUNTIFS(INDEX(tblObs[Station],1):tblObs[[#This Row],[Station]],tblObs[[#This Row],[Station]],INDEX(tblObs[View date],1):tblObs[[#This Row],[View date]],"&gt;0"),""))</f>
        <v>7</v>
      </c>
      <c r="M69" s="43" t="str">
        <f>IF(tblObs[[#This Row],[Date]]="","",IF(tblObs[[#This Row],[Station]]="","Missing station",IF(tblObs[[#This Row],[Cycle (s)]]="","Missing cycle",IF(tblObs[[#This Row],[Exclude]]="","Missing exclude",IF(COUNTIF(tblStations[Station],tblObs[[#This Row],[Station]])=0,"Station not on Setup list",IF(AND(tblObs[[#This Row],[Exclude]]="Yes",tblObs[[#This Row],[Notes]]=""),"Exclude: no reason",IF(AND(tblObs[[#This Row],[Exclude]]&lt;&gt;"Yes",ISNUMBER(tblObs[[#This Row],[Standard (s)]]),tblObs[[#This Row],[Cycle (s)]]&gt;2*tblObs[[#This Row],[Standard (s)]]),"Over 2x standard","OK")))))))</f>
        <v>OK</v>
      </c>
      <c r="N69" s="44" t="s">
        <v>113</v>
      </c>
    </row>
    <row r="70" spans="2:14" x14ac:dyDescent="0.25">
      <c r="B70" s="37">
        <v>46275</v>
      </c>
      <c r="C70" s="28" t="s">
        <v>92</v>
      </c>
      <c r="D70" s="28" t="s">
        <v>118</v>
      </c>
      <c r="E70" s="35">
        <v>60.6</v>
      </c>
      <c r="F70" s="28" t="s">
        <v>112</v>
      </c>
      <c r="G70" s="38">
        <f>IF(tblObs[[#This Row],[Date]]="","",IFERROR(INDEX(tblStations[Standard cycle (s)],MATCH(tblObs[[#This Row],[Station]],tblStations[Station],0)),""))</f>
        <v>54</v>
      </c>
      <c r="H70" s="39">
        <f>IF(tblObs[[#This Row],[Date]]="","",IF(ISNUMBER(tblObs[[#This Row],[Standard (s)]]),tblObs[[#This Row],[Cycle (s)]]-tblObs[[#This Row],[Standard (s)]],""))</f>
        <v>6.6</v>
      </c>
      <c r="I70" s="40">
        <f>IF(tblObs[[#This Row],[Date]]="","",IF(ISNUMBER(Takt),tblObs[[#This Row],[Cycle (s)]]/Takt,""))</f>
        <v>1.08214285714286</v>
      </c>
      <c r="J70" s="41" t="str">
        <f>IF(tblObs[[#This Row],[Date]]="","",IF(tblObs[[#This Row],[Exclude]]="Yes","Excluded",IF(NOT(ISNUMBER(tblObs[[#This Row],[Loading (% of takt)]])),"",IF(tblObs[[#This Row],[Loading (% of takt)]]&gt;OverAt,"Over capacity",IF(tblObs[[#This Row],[Loading (% of takt)]]&gt;=NearAt,"Near capacity","Under capacity")))))</f>
        <v>Over capacity</v>
      </c>
      <c r="K70" s="42">
        <f>IF(tblObs[[#This Row],[Date]]="","",IF(AND(tblObs[[#This Row],[Exclude]]&lt;&gt;"Yes",tblObs[[#This Row],[Date]]&gt;=FFrom,tblObs[[#This Row],[Date]]&lt;=FTo),tblObs[[#This Row],[Date]],""))</f>
        <v>46275</v>
      </c>
      <c r="L70" s="30">
        <f>IF(tblObs[[#This Row],[Date]]="","",IF(AND(tblObs[[#This Row],[Station]]=ChartStation,ISNUMBER(tblObs[[#This Row],[View date]])),COUNTIFS(INDEX(tblObs[Station],1):tblObs[[#This Row],[Station]],tblObs[[#This Row],[Station]],INDEX(tblObs[View date],1):tblObs[[#This Row],[View date]],"&gt;0"),""))</f>
        <v>8</v>
      </c>
      <c r="M70" s="43" t="str">
        <f>IF(tblObs[[#This Row],[Date]]="","",IF(tblObs[[#This Row],[Station]]="","Missing station",IF(tblObs[[#This Row],[Cycle (s)]]="","Missing cycle",IF(tblObs[[#This Row],[Exclude]]="","Missing exclude",IF(COUNTIF(tblStations[Station],tblObs[[#This Row],[Station]])=0,"Station not on Setup list",IF(AND(tblObs[[#This Row],[Exclude]]="Yes",tblObs[[#This Row],[Notes]]=""),"Exclude: no reason",IF(AND(tblObs[[#This Row],[Exclude]]&lt;&gt;"Yes",ISNUMBER(tblObs[[#This Row],[Standard (s)]]),tblObs[[#This Row],[Cycle (s)]]&gt;2*tblObs[[#This Row],[Standard (s)]]),"Over 2x standard","OK")))))))</f>
        <v>OK</v>
      </c>
      <c r="N70" s="44" t="s">
        <v>113</v>
      </c>
    </row>
    <row r="71" spans="2:14" x14ac:dyDescent="0.25">
      <c r="B71" s="37">
        <v>46275</v>
      </c>
      <c r="C71" s="28" t="s">
        <v>92</v>
      </c>
      <c r="D71" s="28" t="s">
        <v>118</v>
      </c>
      <c r="E71" s="35">
        <v>63</v>
      </c>
      <c r="F71" s="28" t="s">
        <v>112</v>
      </c>
      <c r="G71" s="38">
        <f>IF(tblObs[[#This Row],[Date]]="","",IFERROR(INDEX(tblStations[Standard cycle (s)],MATCH(tblObs[[#This Row],[Station]],tblStations[Station],0)),""))</f>
        <v>54</v>
      </c>
      <c r="H71" s="39">
        <f>IF(tblObs[[#This Row],[Date]]="","",IF(ISNUMBER(tblObs[[#This Row],[Standard (s)]]),tblObs[[#This Row],[Cycle (s)]]-tblObs[[#This Row],[Standard (s)]],""))</f>
        <v>9</v>
      </c>
      <c r="I71" s="40">
        <f>IF(tblObs[[#This Row],[Date]]="","",IF(ISNUMBER(Takt),tblObs[[#This Row],[Cycle (s)]]/Takt,""))</f>
        <v>1.125</v>
      </c>
      <c r="J71" s="41" t="str">
        <f>IF(tblObs[[#This Row],[Date]]="","",IF(tblObs[[#This Row],[Exclude]]="Yes","Excluded",IF(NOT(ISNUMBER(tblObs[[#This Row],[Loading (% of takt)]])),"",IF(tblObs[[#This Row],[Loading (% of takt)]]&gt;OverAt,"Over capacity",IF(tblObs[[#This Row],[Loading (% of takt)]]&gt;=NearAt,"Near capacity","Under capacity")))))</f>
        <v>Over capacity</v>
      </c>
      <c r="K71" s="42">
        <f>IF(tblObs[[#This Row],[Date]]="","",IF(AND(tblObs[[#This Row],[Exclude]]&lt;&gt;"Yes",tblObs[[#This Row],[Date]]&gt;=FFrom,tblObs[[#This Row],[Date]]&lt;=FTo),tblObs[[#This Row],[Date]],""))</f>
        <v>46275</v>
      </c>
      <c r="L71" s="30">
        <f>IF(tblObs[[#This Row],[Date]]="","",IF(AND(tblObs[[#This Row],[Station]]=ChartStation,ISNUMBER(tblObs[[#This Row],[View date]])),COUNTIFS(INDEX(tblObs[Station],1):tblObs[[#This Row],[Station]],tblObs[[#This Row],[Station]],INDEX(tblObs[View date],1):tblObs[[#This Row],[View date]],"&gt;0"),""))</f>
        <v>9</v>
      </c>
      <c r="M71" s="43" t="str">
        <f>IF(tblObs[[#This Row],[Date]]="","",IF(tblObs[[#This Row],[Station]]="","Missing station",IF(tblObs[[#This Row],[Cycle (s)]]="","Missing cycle",IF(tblObs[[#This Row],[Exclude]]="","Missing exclude",IF(COUNTIF(tblStations[Station],tblObs[[#This Row],[Station]])=0,"Station not on Setup list",IF(AND(tblObs[[#This Row],[Exclude]]="Yes",tblObs[[#This Row],[Notes]]=""),"Exclude: no reason",IF(AND(tblObs[[#This Row],[Exclude]]&lt;&gt;"Yes",ISNUMBER(tblObs[[#This Row],[Standard (s)]]),tblObs[[#This Row],[Cycle (s)]]&gt;2*tblObs[[#This Row],[Standard (s)]]),"Over 2x standard","OK")))))))</f>
        <v>OK</v>
      </c>
      <c r="N71" s="44" t="s">
        <v>113</v>
      </c>
    </row>
    <row r="72" spans="2:14" x14ac:dyDescent="0.25">
      <c r="B72" s="37">
        <v>46275</v>
      </c>
      <c r="C72" s="28" t="s">
        <v>92</v>
      </c>
      <c r="D72" s="28" t="s">
        <v>118</v>
      </c>
      <c r="E72" s="35">
        <v>62.8</v>
      </c>
      <c r="F72" s="28" t="s">
        <v>112</v>
      </c>
      <c r="G72" s="38">
        <f>IF(tblObs[[#This Row],[Date]]="","",IFERROR(INDEX(tblStations[Standard cycle (s)],MATCH(tblObs[[#This Row],[Station]],tblStations[Station],0)),""))</f>
        <v>54</v>
      </c>
      <c r="H72" s="39">
        <f>IF(tblObs[[#This Row],[Date]]="","",IF(ISNUMBER(tblObs[[#This Row],[Standard (s)]]),tblObs[[#This Row],[Cycle (s)]]-tblObs[[#This Row],[Standard (s)]],""))</f>
        <v>8.8</v>
      </c>
      <c r="I72" s="40">
        <f>IF(tblObs[[#This Row],[Date]]="","",IF(ISNUMBER(Takt),tblObs[[#This Row],[Cycle (s)]]/Takt,""))</f>
        <v>1.12142857142857</v>
      </c>
      <c r="J72" s="41" t="str">
        <f>IF(tblObs[[#This Row],[Date]]="","",IF(tblObs[[#This Row],[Exclude]]="Yes","Excluded",IF(NOT(ISNUMBER(tblObs[[#This Row],[Loading (% of takt)]])),"",IF(tblObs[[#This Row],[Loading (% of takt)]]&gt;OverAt,"Over capacity",IF(tblObs[[#This Row],[Loading (% of takt)]]&gt;=NearAt,"Near capacity","Under capacity")))))</f>
        <v>Over capacity</v>
      </c>
      <c r="K72" s="42">
        <f>IF(tblObs[[#This Row],[Date]]="","",IF(AND(tblObs[[#This Row],[Exclude]]&lt;&gt;"Yes",tblObs[[#This Row],[Date]]&gt;=FFrom,tblObs[[#This Row],[Date]]&lt;=FTo),tblObs[[#This Row],[Date]],""))</f>
        <v>46275</v>
      </c>
      <c r="L72" s="30">
        <f>IF(tblObs[[#This Row],[Date]]="","",IF(AND(tblObs[[#This Row],[Station]]=ChartStation,ISNUMBER(tblObs[[#This Row],[View date]])),COUNTIFS(INDEX(tblObs[Station],1):tblObs[[#This Row],[Station]],tblObs[[#This Row],[Station]],INDEX(tblObs[View date],1):tblObs[[#This Row],[View date]],"&gt;0"),""))</f>
        <v>10</v>
      </c>
      <c r="M72" s="43" t="str">
        <f>IF(tblObs[[#This Row],[Date]]="","",IF(tblObs[[#This Row],[Station]]="","Missing station",IF(tblObs[[#This Row],[Cycle (s)]]="","Missing cycle",IF(tblObs[[#This Row],[Exclude]]="","Missing exclude",IF(COUNTIF(tblStations[Station],tblObs[[#This Row],[Station]])=0,"Station not on Setup list",IF(AND(tblObs[[#This Row],[Exclude]]="Yes",tblObs[[#This Row],[Notes]]=""),"Exclude: no reason",IF(AND(tblObs[[#This Row],[Exclude]]&lt;&gt;"Yes",ISNUMBER(tblObs[[#This Row],[Standard (s)]]),tblObs[[#This Row],[Cycle (s)]]&gt;2*tblObs[[#This Row],[Standard (s)]]),"Over 2x standard","OK")))))))</f>
        <v>OK</v>
      </c>
      <c r="N72" s="44" t="s">
        <v>113</v>
      </c>
    </row>
    <row r="73" spans="2:14" x14ac:dyDescent="0.25">
      <c r="B73" s="37">
        <v>46275</v>
      </c>
      <c r="C73" s="28" t="s">
        <v>92</v>
      </c>
      <c r="D73" s="28" t="s">
        <v>118</v>
      </c>
      <c r="E73" s="35">
        <v>55</v>
      </c>
      <c r="F73" s="28" t="s">
        <v>112</v>
      </c>
      <c r="G73" s="38">
        <f>IF(tblObs[[#This Row],[Date]]="","",IFERROR(INDEX(tblStations[Standard cycle (s)],MATCH(tblObs[[#This Row],[Station]],tblStations[Station],0)),""))</f>
        <v>54</v>
      </c>
      <c r="H73" s="39">
        <f>IF(tblObs[[#This Row],[Date]]="","",IF(ISNUMBER(tblObs[[#This Row],[Standard (s)]]),tblObs[[#This Row],[Cycle (s)]]-tblObs[[#This Row],[Standard (s)]],""))</f>
        <v>1</v>
      </c>
      <c r="I73" s="40">
        <f>IF(tblObs[[#This Row],[Date]]="","",IF(ISNUMBER(Takt),tblObs[[#This Row],[Cycle (s)]]/Takt,""))</f>
        <v>0.982142857142857</v>
      </c>
      <c r="J73" s="41" t="str">
        <f>IF(tblObs[[#This Row],[Date]]="","",IF(tblObs[[#This Row],[Exclude]]="Yes","Excluded",IF(NOT(ISNUMBER(tblObs[[#This Row],[Loading (% of takt)]])),"",IF(tblObs[[#This Row],[Loading (% of takt)]]&gt;OverAt,"Over capacity",IF(tblObs[[#This Row],[Loading (% of takt)]]&gt;=NearAt,"Near capacity","Under capacity")))))</f>
        <v>Near capacity</v>
      </c>
      <c r="K73" s="42">
        <f>IF(tblObs[[#This Row],[Date]]="","",IF(AND(tblObs[[#This Row],[Exclude]]&lt;&gt;"Yes",tblObs[[#This Row],[Date]]&gt;=FFrom,tblObs[[#This Row],[Date]]&lt;=FTo),tblObs[[#This Row],[Date]],""))</f>
        <v>46275</v>
      </c>
      <c r="L73" s="30">
        <f>IF(tblObs[[#This Row],[Date]]="","",IF(AND(tblObs[[#This Row],[Station]]=ChartStation,ISNUMBER(tblObs[[#This Row],[View date]])),COUNTIFS(INDEX(tblObs[Station],1):tblObs[[#This Row],[Station]],tblObs[[#This Row],[Station]],INDEX(tblObs[View date],1):tblObs[[#This Row],[View date]],"&gt;0"),""))</f>
        <v>11</v>
      </c>
      <c r="M73" s="43" t="str">
        <f>IF(tblObs[[#This Row],[Date]]="","",IF(tblObs[[#This Row],[Station]]="","Missing station",IF(tblObs[[#This Row],[Cycle (s)]]="","Missing cycle",IF(tblObs[[#This Row],[Exclude]]="","Missing exclude",IF(COUNTIF(tblStations[Station],tblObs[[#This Row],[Station]])=0,"Station not on Setup list",IF(AND(tblObs[[#This Row],[Exclude]]="Yes",tblObs[[#This Row],[Notes]]=""),"Exclude: no reason",IF(AND(tblObs[[#This Row],[Exclude]]&lt;&gt;"Yes",ISNUMBER(tblObs[[#This Row],[Standard (s)]]),tblObs[[#This Row],[Cycle (s)]]&gt;2*tblObs[[#This Row],[Standard (s)]]),"Over 2x standard","OK")))))))</f>
        <v>OK</v>
      </c>
      <c r="N73" s="44" t="s">
        <v>113</v>
      </c>
    </row>
    <row r="74" spans="2:14" x14ac:dyDescent="0.25">
      <c r="B74" s="37">
        <v>46275</v>
      </c>
      <c r="C74" s="28" t="s">
        <v>92</v>
      </c>
      <c r="D74" s="28" t="s">
        <v>118</v>
      </c>
      <c r="E74" s="35">
        <v>57.5</v>
      </c>
      <c r="F74" s="28" t="s">
        <v>112</v>
      </c>
      <c r="G74" s="38">
        <f>IF(tblObs[[#This Row],[Date]]="","",IFERROR(INDEX(tblStations[Standard cycle (s)],MATCH(tblObs[[#This Row],[Station]],tblStations[Station],0)),""))</f>
        <v>54</v>
      </c>
      <c r="H74" s="39">
        <f>IF(tblObs[[#This Row],[Date]]="","",IF(ISNUMBER(tblObs[[#This Row],[Standard (s)]]),tblObs[[#This Row],[Cycle (s)]]-tblObs[[#This Row],[Standard (s)]],""))</f>
        <v>3.5</v>
      </c>
      <c r="I74" s="40">
        <f>IF(tblObs[[#This Row],[Date]]="","",IF(ISNUMBER(Takt),tblObs[[#This Row],[Cycle (s)]]/Takt,""))</f>
        <v>1.02678571428571</v>
      </c>
      <c r="J74" s="41" t="str">
        <f>IF(tblObs[[#This Row],[Date]]="","",IF(tblObs[[#This Row],[Exclude]]="Yes","Excluded",IF(NOT(ISNUMBER(tblObs[[#This Row],[Loading (% of takt)]])),"",IF(tblObs[[#This Row],[Loading (% of takt)]]&gt;OverAt,"Over capacity",IF(tblObs[[#This Row],[Loading (% of takt)]]&gt;=NearAt,"Near capacity","Under capacity")))))</f>
        <v>Over capacity</v>
      </c>
      <c r="K74" s="42">
        <f>IF(tblObs[[#This Row],[Date]]="","",IF(AND(tblObs[[#This Row],[Exclude]]&lt;&gt;"Yes",tblObs[[#This Row],[Date]]&gt;=FFrom,tblObs[[#This Row],[Date]]&lt;=FTo),tblObs[[#This Row],[Date]],""))</f>
        <v>46275</v>
      </c>
      <c r="L74" s="30">
        <f>IF(tblObs[[#This Row],[Date]]="","",IF(AND(tblObs[[#This Row],[Station]]=ChartStation,ISNUMBER(tblObs[[#This Row],[View date]])),COUNTIFS(INDEX(tblObs[Station],1):tblObs[[#This Row],[Station]],tblObs[[#This Row],[Station]],INDEX(tblObs[View date],1):tblObs[[#This Row],[View date]],"&gt;0"),""))</f>
        <v>12</v>
      </c>
      <c r="M74" s="43" t="str">
        <f>IF(tblObs[[#This Row],[Date]]="","",IF(tblObs[[#This Row],[Station]]="","Missing station",IF(tblObs[[#This Row],[Cycle (s)]]="","Missing cycle",IF(tblObs[[#This Row],[Exclude]]="","Missing exclude",IF(COUNTIF(tblStations[Station],tblObs[[#This Row],[Station]])=0,"Station not on Setup list",IF(AND(tblObs[[#This Row],[Exclude]]="Yes",tblObs[[#This Row],[Notes]]=""),"Exclude: no reason",IF(AND(tblObs[[#This Row],[Exclude]]&lt;&gt;"Yes",ISNUMBER(tblObs[[#This Row],[Standard (s)]]),tblObs[[#This Row],[Cycle (s)]]&gt;2*tblObs[[#This Row],[Standard (s)]]),"Over 2x standard","OK")))))))</f>
        <v>OK</v>
      </c>
      <c r="N74" s="44" t="s">
        <v>113</v>
      </c>
    </row>
    <row r="75" spans="2:14" x14ac:dyDescent="0.25">
      <c r="B75" s="37">
        <v>46275</v>
      </c>
      <c r="C75" s="28" t="s">
        <v>92</v>
      </c>
      <c r="D75" s="28" t="s">
        <v>118</v>
      </c>
      <c r="E75" s="35">
        <v>63.7</v>
      </c>
      <c r="F75" s="28" t="s">
        <v>112</v>
      </c>
      <c r="G75" s="38">
        <f>IF(tblObs[[#This Row],[Date]]="","",IFERROR(INDEX(tblStations[Standard cycle (s)],MATCH(tblObs[[#This Row],[Station]],tblStations[Station],0)),""))</f>
        <v>54</v>
      </c>
      <c r="H75" s="39">
        <f>IF(tblObs[[#This Row],[Date]]="","",IF(ISNUMBER(tblObs[[#This Row],[Standard (s)]]),tblObs[[#This Row],[Cycle (s)]]-tblObs[[#This Row],[Standard (s)]],""))</f>
        <v>9.7</v>
      </c>
      <c r="I75" s="40">
        <f>IF(tblObs[[#This Row],[Date]]="","",IF(ISNUMBER(Takt),tblObs[[#This Row],[Cycle (s)]]/Takt,""))</f>
        <v>1.1375</v>
      </c>
      <c r="J75" s="41" t="str">
        <f>IF(tblObs[[#This Row],[Date]]="","",IF(tblObs[[#This Row],[Exclude]]="Yes","Excluded",IF(NOT(ISNUMBER(tblObs[[#This Row],[Loading (% of takt)]])),"",IF(tblObs[[#This Row],[Loading (% of takt)]]&gt;OverAt,"Over capacity",IF(tblObs[[#This Row],[Loading (% of takt)]]&gt;=NearAt,"Near capacity","Under capacity")))))</f>
        <v>Over capacity</v>
      </c>
      <c r="K75" s="42">
        <f>IF(tblObs[[#This Row],[Date]]="","",IF(AND(tblObs[[#This Row],[Exclude]]&lt;&gt;"Yes",tblObs[[#This Row],[Date]]&gt;=FFrom,tblObs[[#This Row],[Date]]&lt;=FTo),tblObs[[#This Row],[Date]],""))</f>
        <v>46275</v>
      </c>
      <c r="L75" s="30">
        <f>IF(tblObs[[#This Row],[Date]]="","",IF(AND(tblObs[[#This Row],[Station]]=ChartStation,ISNUMBER(tblObs[[#This Row],[View date]])),COUNTIFS(INDEX(tblObs[Station],1):tblObs[[#This Row],[Station]],tblObs[[#This Row],[Station]],INDEX(tblObs[View date],1):tblObs[[#This Row],[View date]],"&gt;0"),""))</f>
        <v>13</v>
      </c>
      <c r="M75" s="43" t="str">
        <f>IF(tblObs[[#This Row],[Date]]="","",IF(tblObs[[#This Row],[Station]]="","Missing station",IF(tblObs[[#This Row],[Cycle (s)]]="","Missing cycle",IF(tblObs[[#This Row],[Exclude]]="","Missing exclude",IF(COUNTIF(tblStations[Station],tblObs[[#This Row],[Station]])=0,"Station not on Setup list",IF(AND(tblObs[[#This Row],[Exclude]]="Yes",tblObs[[#This Row],[Notes]]=""),"Exclude: no reason",IF(AND(tblObs[[#This Row],[Exclude]]&lt;&gt;"Yes",ISNUMBER(tblObs[[#This Row],[Standard (s)]]),tblObs[[#This Row],[Cycle (s)]]&gt;2*tblObs[[#This Row],[Standard (s)]]),"Over 2x standard","OK")))))))</f>
        <v>OK</v>
      </c>
      <c r="N75" s="44" t="s">
        <v>113</v>
      </c>
    </row>
    <row r="76" spans="2:14" x14ac:dyDescent="0.25">
      <c r="B76" s="37">
        <v>46275</v>
      </c>
      <c r="C76" s="28" t="s">
        <v>94</v>
      </c>
      <c r="D76" s="28" t="s">
        <v>120</v>
      </c>
      <c r="E76" s="35">
        <v>52.3</v>
      </c>
      <c r="F76" s="28" t="s">
        <v>112</v>
      </c>
      <c r="G76" s="38">
        <f>IF(tblObs[[#This Row],[Date]]="","",IFERROR(INDEX(tblStations[Standard cycle (s)],MATCH(tblObs[[#This Row],[Station]],tblStations[Station],0)),""))</f>
        <v>51</v>
      </c>
      <c r="H76" s="39">
        <f>IF(tblObs[[#This Row],[Date]]="","",IF(ISNUMBER(tblObs[[#This Row],[Standard (s)]]),tblObs[[#This Row],[Cycle (s)]]-tblObs[[#This Row],[Standard (s)]],""))</f>
        <v>1.3</v>
      </c>
      <c r="I76" s="40">
        <f>IF(tblObs[[#This Row],[Date]]="","",IF(ISNUMBER(Takt),tblObs[[#This Row],[Cycle (s)]]/Takt,""))</f>
        <v>0.933928571428571</v>
      </c>
      <c r="J76" s="41" t="str">
        <f>IF(tblObs[[#This Row],[Date]]="","",IF(tblObs[[#This Row],[Exclude]]="Yes","Excluded",IF(NOT(ISNUMBER(tblObs[[#This Row],[Loading (% of takt)]])),"",IF(tblObs[[#This Row],[Loading (% of takt)]]&gt;OverAt,"Over capacity",IF(tblObs[[#This Row],[Loading (% of takt)]]&gt;=NearAt,"Near capacity","Under capacity")))))</f>
        <v>Near capacity</v>
      </c>
      <c r="K76" s="42">
        <f>IF(tblObs[[#This Row],[Date]]="","",IF(AND(tblObs[[#This Row],[Exclude]]&lt;&gt;"Yes",tblObs[[#This Row],[Date]]&gt;=FFrom,tblObs[[#This Row],[Date]]&lt;=FTo),tblObs[[#This Row],[Date]],""))</f>
        <v>46275</v>
      </c>
      <c r="L76" s="30">
        <f>IF(tblObs[[#This Row],[Date]]="","",IF(AND(tblObs[[#This Row],[Station]]=ChartStation,ISNUMBER(tblObs[[#This Row],[View date]])),COUNTIFS(INDEX(tblObs[Station],1):tblObs[[#This Row],[Station]],tblObs[[#This Row],[Station]],INDEX(tblObs[View date],1):tblObs[[#This Row],[View date]],"&gt;0"),""))</f>
        <v/>
      </c>
      <c r="M76" s="43" t="str">
        <f>IF(tblObs[[#This Row],[Date]]="","",IF(tblObs[[#This Row],[Station]]="","Missing station",IF(tblObs[[#This Row],[Cycle (s)]]="","Missing cycle",IF(tblObs[[#This Row],[Exclude]]="","Missing exclude",IF(COUNTIF(tblStations[Station],tblObs[[#This Row],[Station]])=0,"Station not on Setup list",IF(AND(tblObs[[#This Row],[Exclude]]="Yes",tblObs[[#This Row],[Notes]]=""),"Exclude: no reason",IF(AND(tblObs[[#This Row],[Exclude]]&lt;&gt;"Yes",ISNUMBER(tblObs[[#This Row],[Standard (s)]]),tblObs[[#This Row],[Cycle (s)]]&gt;2*tblObs[[#This Row],[Standard (s)]]),"Over 2x standard","OK")))))))</f>
        <v>OK</v>
      </c>
      <c r="N76" s="44" t="s">
        <v>113</v>
      </c>
    </row>
    <row r="77" spans="2:14" x14ac:dyDescent="0.25">
      <c r="B77" s="37">
        <v>46275</v>
      </c>
      <c r="C77" s="28" t="s">
        <v>94</v>
      </c>
      <c r="D77" s="28" t="s">
        <v>120</v>
      </c>
      <c r="E77" s="35">
        <v>52.1</v>
      </c>
      <c r="F77" s="28" t="s">
        <v>112</v>
      </c>
      <c r="G77" s="38">
        <f>IF(tblObs[[#This Row],[Date]]="","",IFERROR(INDEX(tblStations[Standard cycle (s)],MATCH(tblObs[[#This Row],[Station]],tblStations[Station],0)),""))</f>
        <v>51</v>
      </c>
      <c r="H77" s="39">
        <f>IF(tblObs[[#This Row],[Date]]="","",IF(ISNUMBER(tblObs[[#This Row],[Standard (s)]]),tblObs[[#This Row],[Cycle (s)]]-tblObs[[#This Row],[Standard (s)]],""))</f>
        <v>1.1</v>
      </c>
      <c r="I77" s="40">
        <f>IF(tblObs[[#This Row],[Date]]="","",IF(ISNUMBER(Takt),tblObs[[#This Row],[Cycle (s)]]/Takt,""))</f>
        <v>0.930357142857143</v>
      </c>
      <c r="J77" s="41" t="str">
        <f>IF(tblObs[[#This Row],[Date]]="","",IF(tblObs[[#This Row],[Exclude]]="Yes","Excluded",IF(NOT(ISNUMBER(tblObs[[#This Row],[Loading (% of takt)]])),"",IF(tblObs[[#This Row],[Loading (% of takt)]]&gt;OverAt,"Over capacity",IF(tblObs[[#This Row],[Loading (% of takt)]]&gt;=NearAt,"Near capacity","Under capacity")))))</f>
        <v>Near capacity</v>
      </c>
      <c r="K77" s="42">
        <f>IF(tblObs[[#This Row],[Date]]="","",IF(AND(tblObs[[#This Row],[Exclude]]&lt;&gt;"Yes",tblObs[[#This Row],[Date]]&gt;=FFrom,tblObs[[#This Row],[Date]]&lt;=FTo),tblObs[[#This Row],[Date]],""))</f>
        <v>46275</v>
      </c>
      <c r="L77" s="30">
        <f>IF(tblObs[[#This Row],[Date]]="","",IF(AND(tblObs[[#This Row],[Station]]=ChartStation,ISNUMBER(tblObs[[#This Row],[View date]])),COUNTIFS(INDEX(tblObs[Station],1):tblObs[[#This Row],[Station]],tblObs[[#This Row],[Station]],INDEX(tblObs[View date],1):tblObs[[#This Row],[View date]],"&gt;0"),""))</f>
        <v/>
      </c>
      <c r="M77" s="43" t="str">
        <f>IF(tblObs[[#This Row],[Date]]="","",IF(tblObs[[#This Row],[Station]]="","Missing station",IF(tblObs[[#This Row],[Cycle (s)]]="","Missing cycle",IF(tblObs[[#This Row],[Exclude]]="","Missing exclude",IF(COUNTIF(tblStations[Station],tblObs[[#This Row],[Station]])=0,"Station not on Setup list",IF(AND(tblObs[[#This Row],[Exclude]]="Yes",tblObs[[#This Row],[Notes]]=""),"Exclude: no reason",IF(AND(tblObs[[#This Row],[Exclude]]&lt;&gt;"Yes",ISNUMBER(tblObs[[#This Row],[Standard (s)]]),tblObs[[#This Row],[Cycle (s)]]&gt;2*tblObs[[#This Row],[Standard (s)]]),"Over 2x standard","OK")))))))</f>
        <v>OK</v>
      </c>
      <c r="N77" s="44" t="s">
        <v>113</v>
      </c>
    </row>
    <row r="78" spans="2:14" x14ac:dyDescent="0.25">
      <c r="B78" s="37">
        <v>46275</v>
      </c>
      <c r="C78" s="28" t="s">
        <v>94</v>
      </c>
      <c r="D78" s="28" t="s">
        <v>120</v>
      </c>
      <c r="E78" s="35">
        <v>51.4</v>
      </c>
      <c r="F78" s="28" t="s">
        <v>112</v>
      </c>
      <c r="G78" s="38">
        <f>IF(tblObs[[#This Row],[Date]]="","",IFERROR(INDEX(tblStations[Standard cycle (s)],MATCH(tblObs[[#This Row],[Station]],tblStations[Station],0)),""))</f>
        <v>51</v>
      </c>
      <c r="H78" s="39">
        <f>IF(tblObs[[#This Row],[Date]]="","",IF(ISNUMBER(tblObs[[#This Row],[Standard (s)]]),tblObs[[#This Row],[Cycle (s)]]-tblObs[[#This Row],[Standard (s)]],""))</f>
        <v>0.399999999999999</v>
      </c>
      <c r="I78" s="40">
        <f>IF(tblObs[[#This Row],[Date]]="","",IF(ISNUMBER(Takt),tblObs[[#This Row],[Cycle (s)]]/Takt,""))</f>
        <v>0.917857142857143</v>
      </c>
      <c r="J78" s="41" t="str">
        <f>IF(tblObs[[#This Row],[Date]]="","",IF(tblObs[[#This Row],[Exclude]]="Yes","Excluded",IF(NOT(ISNUMBER(tblObs[[#This Row],[Loading (% of takt)]])),"",IF(tblObs[[#This Row],[Loading (% of takt)]]&gt;OverAt,"Over capacity",IF(tblObs[[#This Row],[Loading (% of takt)]]&gt;=NearAt,"Near capacity","Under capacity")))))</f>
        <v>Near capacity</v>
      </c>
      <c r="K78" s="42">
        <f>IF(tblObs[[#This Row],[Date]]="","",IF(AND(tblObs[[#This Row],[Exclude]]&lt;&gt;"Yes",tblObs[[#This Row],[Date]]&gt;=FFrom,tblObs[[#This Row],[Date]]&lt;=FTo),tblObs[[#This Row],[Date]],""))</f>
        <v>46275</v>
      </c>
      <c r="L78" s="30">
        <f>IF(tblObs[[#This Row],[Date]]="","",IF(AND(tblObs[[#This Row],[Station]]=ChartStation,ISNUMBER(tblObs[[#This Row],[View date]])),COUNTIFS(INDEX(tblObs[Station],1):tblObs[[#This Row],[Station]],tblObs[[#This Row],[Station]],INDEX(tblObs[View date],1):tblObs[[#This Row],[View date]],"&gt;0"),""))</f>
        <v/>
      </c>
      <c r="M78" s="43" t="str">
        <f>IF(tblObs[[#This Row],[Date]]="","",IF(tblObs[[#This Row],[Station]]="","Missing station",IF(tblObs[[#This Row],[Cycle (s)]]="","Missing cycle",IF(tblObs[[#This Row],[Exclude]]="","Missing exclude",IF(COUNTIF(tblStations[Station],tblObs[[#This Row],[Station]])=0,"Station not on Setup list",IF(AND(tblObs[[#This Row],[Exclude]]="Yes",tblObs[[#This Row],[Notes]]=""),"Exclude: no reason",IF(AND(tblObs[[#This Row],[Exclude]]&lt;&gt;"Yes",ISNUMBER(tblObs[[#This Row],[Standard (s)]]),tblObs[[#This Row],[Cycle (s)]]&gt;2*tblObs[[#This Row],[Standard (s)]]),"Over 2x standard","OK")))))))</f>
        <v>OK</v>
      </c>
      <c r="N78" s="44" t="s">
        <v>113</v>
      </c>
    </row>
    <row r="79" spans="2:14" x14ac:dyDescent="0.25">
      <c r="B79" s="37">
        <v>46275</v>
      </c>
      <c r="C79" s="28" t="s">
        <v>94</v>
      </c>
      <c r="D79" s="28" t="s">
        <v>120</v>
      </c>
      <c r="E79" s="35">
        <v>51.7</v>
      </c>
      <c r="F79" s="28" t="s">
        <v>112</v>
      </c>
      <c r="G79" s="38">
        <f>IF(tblObs[[#This Row],[Date]]="","",IFERROR(INDEX(tblStations[Standard cycle (s)],MATCH(tblObs[[#This Row],[Station]],tblStations[Station],0)),""))</f>
        <v>51</v>
      </c>
      <c r="H79" s="39">
        <f>IF(tblObs[[#This Row],[Date]]="","",IF(ISNUMBER(tblObs[[#This Row],[Standard (s)]]),tblObs[[#This Row],[Cycle (s)]]-tblObs[[#This Row],[Standard (s)]],""))</f>
        <v>0.700000000000003</v>
      </c>
      <c r="I79" s="40">
        <f>IF(tblObs[[#This Row],[Date]]="","",IF(ISNUMBER(Takt),tblObs[[#This Row],[Cycle (s)]]/Takt,""))</f>
        <v>0.923214285714286</v>
      </c>
      <c r="J79" s="41" t="str">
        <f>IF(tblObs[[#This Row],[Date]]="","",IF(tblObs[[#This Row],[Exclude]]="Yes","Excluded",IF(NOT(ISNUMBER(tblObs[[#This Row],[Loading (% of takt)]])),"",IF(tblObs[[#This Row],[Loading (% of takt)]]&gt;OverAt,"Over capacity",IF(tblObs[[#This Row],[Loading (% of takt)]]&gt;=NearAt,"Near capacity","Under capacity")))))</f>
        <v>Near capacity</v>
      </c>
      <c r="K79" s="42">
        <f>IF(tblObs[[#This Row],[Date]]="","",IF(AND(tblObs[[#This Row],[Exclude]]&lt;&gt;"Yes",tblObs[[#This Row],[Date]]&gt;=FFrom,tblObs[[#This Row],[Date]]&lt;=FTo),tblObs[[#This Row],[Date]],""))</f>
        <v>46275</v>
      </c>
      <c r="L79" s="30">
        <f>IF(tblObs[[#This Row],[Date]]="","",IF(AND(tblObs[[#This Row],[Station]]=ChartStation,ISNUMBER(tblObs[[#This Row],[View date]])),COUNTIFS(INDEX(tblObs[Station],1):tblObs[[#This Row],[Station]],tblObs[[#This Row],[Station]],INDEX(tblObs[View date],1):tblObs[[#This Row],[View date]],"&gt;0"),""))</f>
        <v/>
      </c>
      <c r="M79" s="43" t="str">
        <f>IF(tblObs[[#This Row],[Date]]="","",IF(tblObs[[#This Row],[Station]]="","Missing station",IF(tblObs[[#This Row],[Cycle (s)]]="","Missing cycle",IF(tblObs[[#This Row],[Exclude]]="","Missing exclude",IF(COUNTIF(tblStations[Station],tblObs[[#This Row],[Station]])=0,"Station not on Setup list",IF(AND(tblObs[[#This Row],[Exclude]]="Yes",tblObs[[#This Row],[Notes]]=""),"Exclude: no reason",IF(AND(tblObs[[#This Row],[Exclude]]&lt;&gt;"Yes",ISNUMBER(tblObs[[#This Row],[Standard (s)]]),tblObs[[#This Row],[Cycle (s)]]&gt;2*tblObs[[#This Row],[Standard (s)]]),"Over 2x standard","OK")))))))</f>
        <v>OK</v>
      </c>
      <c r="N79" s="44" t="s">
        <v>113</v>
      </c>
    </row>
    <row r="80" spans="2:14" x14ac:dyDescent="0.25">
      <c r="B80" s="37">
        <v>46275</v>
      </c>
      <c r="C80" s="28" t="s">
        <v>94</v>
      </c>
      <c r="D80" s="28" t="s">
        <v>120</v>
      </c>
      <c r="E80" s="35">
        <v>51.7</v>
      </c>
      <c r="F80" s="28" t="s">
        <v>112</v>
      </c>
      <c r="G80" s="38">
        <f>IF(tblObs[[#This Row],[Date]]="","",IFERROR(INDEX(tblStations[Standard cycle (s)],MATCH(tblObs[[#This Row],[Station]],tblStations[Station],0)),""))</f>
        <v>51</v>
      </c>
      <c r="H80" s="39">
        <f>IF(tblObs[[#This Row],[Date]]="","",IF(ISNUMBER(tblObs[[#This Row],[Standard (s)]]),tblObs[[#This Row],[Cycle (s)]]-tblObs[[#This Row],[Standard (s)]],""))</f>
        <v>0.700000000000003</v>
      </c>
      <c r="I80" s="40">
        <f>IF(tblObs[[#This Row],[Date]]="","",IF(ISNUMBER(Takt),tblObs[[#This Row],[Cycle (s)]]/Takt,""))</f>
        <v>0.923214285714286</v>
      </c>
      <c r="J80" s="41" t="str">
        <f>IF(tblObs[[#This Row],[Date]]="","",IF(tblObs[[#This Row],[Exclude]]="Yes","Excluded",IF(NOT(ISNUMBER(tblObs[[#This Row],[Loading (% of takt)]])),"",IF(tblObs[[#This Row],[Loading (% of takt)]]&gt;OverAt,"Over capacity",IF(tblObs[[#This Row],[Loading (% of takt)]]&gt;=NearAt,"Near capacity","Under capacity")))))</f>
        <v>Near capacity</v>
      </c>
      <c r="K80" s="42">
        <f>IF(tblObs[[#This Row],[Date]]="","",IF(AND(tblObs[[#This Row],[Exclude]]&lt;&gt;"Yes",tblObs[[#This Row],[Date]]&gt;=FFrom,tblObs[[#This Row],[Date]]&lt;=FTo),tblObs[[#This Row],[Date]],""))</f>
        <v>46275</v>
      </c>
      <c r="L80" s="30">
        <f>IF(tblObs[[#This Row],[Date]]="","",IF(AND(tblObs[[#This Row],[Station]]=ChartStation,ISNUMBER(tblObs[[#This Row],[View date]])),COUNTIFS(INDEX(tblObs[Station],1):tblObs[[#This Row],[Station]],tblObs[[#This Row],[Station]],INDEX(tblObs[View date],1):tblObs[[#This Row],[View date]],"&gt;0"),""))</f>
        <v/>
      </c>
      <c r="M80" s="43" t="str">
        <f>IF(tblObs[[#This Row],[Date]]="","",IF(tblObs[[#This Row],[Station]]="","Missing station",IF(tblObs[[#This Row],[Cycle (s)]]="","Missing cycle",IF(tblObs[[#This Row],[Exclude]]="","Missing exclude",IF(COUNTIF(tblStations[Station],tblObs[[#This Row],[Station]])=0,"Station not on Setup list",IF(AND(tblObs[[#This Row],[Exclude]]="Yes",tblObs[[#This Row],[Notes]]=""),"Exclude: no reason",IF(AND(tblObs[[#This Row],[Exclude]]&lt;&gt;"Yes",ISNUMBER(tblObs[[#This Row],[Standard (s)]]),tblObs[[#This Row],[Cycle (s)]]&gt;2*tblObs[[#This Row],[Standard (s)]]),"Over 2x standard","OK")))))))</f>
        <v>OK</v>
      </c>
      <c r="N80" s="44" t="s">
        <v>113</v>
      </c>
    </row>
    <row r="81" spans="2:14" x14ac:dyDescent="0.25">
      <c r="B81" s="37">
        <v>46275</v>
      </c>
      <c r="C81" s="28" t="s">
        <v>94</v>
      </c>
      <c r="D81" s="28" t="s">
        <v>120</v>
      </c>
      <c r="E81" s="35">
        <v>52.1</v>
      </c>
      <c r="F81" s="28" t="s">
        <v>112</v>
      </c>
      <c r="G81" s="38">
        <f>IF(tblObs[[#This Row],[Date]]="","",IFERROR(INDEX(tblStations[Standard cycle (s)],MATCH(tblObs[[#This Row],[Station]],tblStations[Station],0)),""))</f>
        <v>51</v>
      </c>
      <c r="H81" s="39">
        <f>IF(tblObs[[#This Row],[Date]]="","",IF(ISNUMBER(tblObs[[#This Row],[Standard (s)]]),tblObs[[#This Row],[Cycle (s)]]-tblObs[[#This Row],[Standard (s)]],""))</f>
        <v>1.1</v>
      </c>
      <c r="I81" s="40">
        <f>IF(tblObs[[#This Row],[Date]]="","",IF(ISNUMBER(Takt),tblObs[[#This Row],[Cycle (s)]]/Takt,""))</f>
        <v>0.930357142857143</v>
      </c>
      <c r="J81" s="41" t="str">
        <f>IF(tblObs[[#This Row],[Date]]="","",IF(tblObs[[#This Row],[Exclude]]="Yes","Excluded",IF(NOT(ISNUMBER(tblObs[[#This Row],[Loading (% of takt)]])),"",IF(tblObs[[#This Row],[Loading (% of takt)]]&gt;OverAt,"Over capacity",IF(tblObs[[#This Row],[Loading (% of takt)]]&gt;=NearAt,"Near capacity","Under capacity")))))</f>
        <v>Near capacity</v>
      </c>
      <c r="K81" s="42">
        <f>IF(tblObs[[#This Row],[Date]]="","",IF(AND(tblObs[[#This Row],[Exclude]]&lt;&gt;"Yes",tblObs[[#This Row],[Date]]&gt;=FFrom,tblObs[[#This Row],[Date]]&lt;=FTo),tblObs[[#This Row],[Date]],""))</f>
        <v>46275</v>
      </c>
      <c r="L81" s="30">
        <f>IF(tblObs[[#This Row],[Date]]="","",IF(AND(tblObs[[#This Row],[Station]]=ChartStation,ISNUMBER(tblObs[[#This Row],[View date]])),COUNTIFS(INDEX(tblObs[Station],1):tblObs[[#This Row],[Station]],tblObs[[#This Row],[Station]],INDEX(tblObs[View date],1):tblObs[[#This Row],[View date]],"&gt;0"),""))</f>
        <v/>
      </c>
      <c r="M81" s="43" t="str">
        <f>IF(tblObs[[#This Row],[Date]]="","",IF(tblObs[[#This Row],[Station]]="","Missing station",IF(tblObs[[#This Row],[Cycle (s)]]="","Missing cycle",IF(tblObs[[#This Row],[Exclude]]="","Missing exclude",IF(COUNTIF(tblStations[Station],tblObs[[#This Row],[Station]])=0,"Station not on Setup list",IF(AND(tblObs[[#This Row],[Exclude]]="Yes",tblObs[[#This Row],[Notes]]=""),"Exclude: no reason",IF(AND(tblObs[[#This Row],[Exclude]]&lt;&gt;"Yes",ISNUMBER(tblObs[[#This Row],[Standard (s)]]),tblObs[[#This Row],[Cycle (s)]]&gt;2*tblObs[[#This Row],[Standard (s)]]),"Over 2x standard","OK")))))))</f>
        <v>OK</v>
      </c>
      <c r="N81" s="44" t="s">
        <v>113</v>
      </c>
    </row>
    <row r="82" spans="2:14" x14ac:dyDescent="0.25">
      <c r="B82" s="37">
        <v>46275</v>
      </c>
      <c r="C82" s="28" t="s">
        <v>94</v>
      </c>
      <c r="D82" s="28" t="s">
        <v>120</v>
      </c>
      <c r="E82" s="35">
        <v>51.7</v>
      </c>
      <c r="F82" s="28" t="s">
        <v>112</v>
      </c>
      <c r="G82" s="38">
        <f>IF(tblObs[[#This Row],[Date]]="","",IFERROR(INDEX(tblStations[Standard cycle (s)],MATCH(tblObs[[#This Row],[Station]],tblStations[Station],0)),""))</f>
        <v>51</v>
      </c>
      <c r="H82" s="39">
        <f>IF(tblObs[[#This Row],[Date]]="","",IF(ISNUMBER(tblObs[[#This Row],[Standard (s)]]),tblObs[[#This Row],[Cycle (s)]]-tblObs[[#This Row],[Standard (s)]],""))</f>
        <v>0.700000000000003</v>
      </c>
      <c r="I82" s="40">
        <f>IF(tblObs[[#This Row],[Date]]="","",IF(ISNUMBER(Takt),tblObs[[#This Row],[Cycle (s)]]/Takt,""))</f>
        <v>0.923214285714286</v>
      </c>
      <c r="J82" s="41" t="str">
        <f>IF(tblObs[[#This Row],[Date]]="","",IF(tblObs[[#This Row],[Exclude]]="Yes","Excluded",IF(NOT(ISNUMBER(tblObs[[#This Row],[Loading (% of takt)]])),"",IF(tblObs[[#This Row],[Loading (% of takt)]]&gt;OverAt,"Over capacity",IF(tblObs[[#This Row],[Loading (% of takt)]]&gt;=NearAt,"Near capacity","Under capacity")))))</f>
        <v>Near capacity</v>
      </c>
      <c r="K82" s="42">
        <f>IF(tblObs[[#This Row],[Date]]="","",IF(AND(tblObs[[#This Row],[Exclude]]&lt;&gt;"Yes",tblObs[[#This Row],[Date]]&gt;=FFrom,tblObs[[#This Row],[Date]]&lt;=FTo),tblObs[[#This Row],[Date]],""))</f>
        <v>46275</v>
      </c>
      <c r="L82" s="30">
        <f>IF(tblObs[[#This Row],[Date]]="","",IF(AND(tblObs[[#This Row],[Station]]=ChartStation,ISNUMBER(tblObs[[#This Row],[View date]])),COUNTIFS(INDEX(tblObs[Station],1):tblObs[[#This Row],[Station]],tblObs[[#This Row],[Station]],INDEX(tblObs[View date],1):tblObs[[#This Row],[View date]],"&gt;0"),""))</f>
        <v/>
      </c>
      <c r="M82" s="43" t="str">
        <f>IF(tblObs[[#This Row],[Date]]="","",IF(tblObs[[#This Row],[Station]]="","Missing station",IF(tblObs[[#This Row],[Cycle (s)]]="","Missing cycle",IF(tblObs[[#This Row],[Exclude]]="","Missing exclude",IF(COUNTIF(tblStations[Station],tblObs[[#This Row],[Station]])=0,"Station not on Setup list",IF(AND(tblObs[[#This Row],[Exclude]]="Yes",tblObs[[#This Row],[Notes]]=""),"Exclude: no reason",IF(AND(tblObs[[#This Row],[Exclude]]&lt;&gt;"Yes",ISNUMBER(tblObs[[#This Row],[Standard (s)]]),tblObs[[#This Row],[Cycle (s)]]&gt;2*tblObs[[#This Row],[Standard (s)]]),"Over 2x standard","OK")))))))</f>
        <v>OK</v>
      </c>
      <c r="N82" s="44" t="s">
        <v>113</v>
      </c>
    </row>
    <row r="83" spans="2:14" x14ac:dyDescent="0.25">
      <c r="B83" s="37">
        <v>46275</v>
      </c>
      <c r="C83" s="28" t="s">
        <v>96</v>
      </c>
      <c r="D83" s="28" t="s">
        <v>125</v>
      </c>
      <c r="E83" s="35">
        <v>35.9</v>
      </c>
      <c r="F83" s="28" t="s">
        <v>112</v>
      </c>
      <c r="G83" s="38">
        <f>IF(tblObs[[#This Row],[Date]]="","",IFERROR(INDEX(tblStations[Standard cycle (s)],MATCH(tblObs[[#This Row],[Station]],tblStations[Station],0)),""))</f>
        <v>36</v>
      </c>
      <c r="H83" s="39">
        <f>IF(tblObs[[#This Row],[Date]]="","",IF(ISNUMBER(tblObs[[#This Row],[Standard (s)]]),tblObs[[#This Row],[Cycle (s)]]-tblObs[[#This Row],[Standard (s)]],""))</f>
        <v>-0.100000000000001</v>
      </c>
      <c r="I83" s="40">
        <f>IF(tblObs[[#This Row],[Date]]="","",IF(ISNUMBER(Takt),tblObs[[#This Row],[Cycle (s)]]/Takt,""))</f>
        <v>0.641071428571429</v>
      </c>
      <c r="J83" s="41" t="str">
        <f>IF(tblObs[[#This Row],[Date]]="","",IF(tblObs[[#This Row],[Exclude]]="Yes","Excluded",IF(NOT(ISNUMBER(tblObs[[#This Row],[Loading (% of takt)]])),"",IF(tblObs[[#This Row],[Loading (% of takt)]]&gt;OverAt,"Over capacity",IF(tblObs[[#This Row],[Loading (% of takt)]]&gt;=NearAt,"Near capacity","Under capacity")))))</f>
        <v>Under capacity</v>
      </c>
      <c r="K83" s="42">
        <f>IF(tblObs[[#This Row],[Date]]="","",IF(AND(tblObs[[#This Row],[Exclude]]&lt;&gt;"Yes",tblObs[[#This Row],[Date]]&gt;=FFrom,tblObs[[#This Row],[Date]]&lt;=FTo),tblObs[[#This Row],[Date]],""))</f>
        <v>46275</v>
      </c>
      <c r="L83" s="30">
        <f>IF(tblObs[[#This Row],[Date]]="","",IF(AND(tblObs[[#This Row],[Station]]=ChartStation,ISNUMBER(tblObs[[#This Row],[View date]])),COUNTIFS(INDEX(tblObs[Station],1):tblObs[[#This Row],[Station]],tblObs[[#This Row],[Station]],INDEX(tblObs[View date],1):tblObs[[#This Row],[View date]],"&gt;0"),""))</f>
        <v/>
      </c>
      <c r="M83" s="43" t="str">
        <f>IF(tblObs[[#This Row],[Date]]="","",IF(tblObs[[#This Row],[Station]]="","Missing station",IF(tblObs[[#This Row],[Cycle (s)]]="","Missing cycle",IF(tblObs[[#This Row],[Exclude]]="","Missing exclude",IF(COUNTIF(tblStations[Station],tblObs[[#This Row],[Station]])=0,"Station not on Setup list",IF(AND(tblObs[[#This Row],[Exclude]]="Yes",tblObs[[#This Row],[Notes]]=""),"Exclude: no reason",IF(AND(tblObs[[#This Row],[Exclude]]&lt;&gt;"Yes",ISNUMBER(tblObs[[#This Row],[Standard (s)]]),tblObs[[#This Row],[Cycle (s)]]&gt;2*tblObs[[#This Row],[Standard (s)]]),"Over 2x standard","OK")))))))</f>
        <v>OK</v>
      </c>
      <c r="N83" s="44" t="s">
        <v>113</v>
      </c>
    </row>
    <row r="84" spans="2:14" x14ac:dyDescent="0.25">
      <c r="B84" s="37">
        <v>46275</v>
      </c>
      <c r="C84" s="28" t="s">
        <v>96</v>
      </c>
      <c r="D84" s="28" t="s">
        <v>125</v>
      </c>
      <c r="E84" s="35">
        <v>36.8</v>
      </c>
      <c r="F84" s="28" t="s">
        <v>112</v>
      </c>
      <c r="G84" s="38">
        <f>IF(tblObs[[#This Row],[Date]]="","",IFERROR(INDEX(tblStations[Standard cycle (s)],MATCH(tblObs[[#This Row],[Station]],tblStations[Station],0)),""))</f>
        <v>36</v>
      </c>
      <c r="H84" s="39">
        <f>IF(tblObs[[#This Row],[Date]]="","",IF(ISNUMBER(tblObs[[#This Row],[Standard (s)]]),tblObs[[#This Row],[Cycle (s)]]-tblObs[[#This Row],[Standard (s)]],""))</f>
        <v>0.799999999999997</v>
      </c>
      <c r="I84" s="40">
        <f>IF(tblObs[[#This Row],[Date]]="","",IF(ISNUMBER(Takt),tblObs[[#This Row],[Cycle (s)]]/Takt,""))</f>
        <v>0.657142857142857</v>
      </c>
      <c r="J84" s="41" t="str">
        <f>IF(tblObs[[#This Row],[Date]]="","",IF(tblObs[[#This Row],[Exclude]]="Yes","Excluded",IF(NOT(ISNUMBER(tblObs[[#This Row],[Loading (% of takt)]])),"",IF(tblObs[[#This Row],[Loading (% of takt)]]&gt;OverAt,"Over capacity",IF(tblObs[[#This Row],[Loading (% of takt)]]&gt;=NearAt,"Near capacity","Under capacity")))))</f>
        <v>Under capacity</v>
      </c>
      <c r="K84" s="42">
        <f>IF(tblObs[[#This Row],[Date]]="","",IF(AND(tblObs[[#This Row],[Exclude]]&lt;&gt;"Yes",tblObs[[#This Row],[Date]]&gt;=FFrom,tblObs[[#This Row],[Date]]&lt;=FTo),tblObs[[#This Row],[Date]],""))</f>
        <v>46275</v>
      </c>
      <c r="L84" s="30">
        <f>IF(tblObs[[#This Row],[Date]]="","",IF(AND(tblObs[[#This Row],[Station]]=ChartStation,ISNUMBER(tblObs[[#This Row],[View date]])),COUNTIFS(INDEX(tblObs[Station],1):tblObs[[#This Row],[Station]],tblObs[[#This Row],[Station]],INDEX(tblObs[View date],1):tblObs[[#This Row],[View date]],"&gt;0"),""))</f>
        <v/>
      </c>
      <c r="M84" s="43" t="str">
        <f>IF(tblObs[[#This Row],[Date]]="","",IF(tblObs[[#This Row],[Station]]="","Missing station",IF(tblObs[[#This Row],[Cycle (s)]]="","Missing cycle",IF(tblObs[[#This Row],[Exclude]]="","Missing exclude",IF(COUNTIF(tblStations[Station],tblObs[[#This Row],[Station]])=0,"Station not on Setup list",IF(AND(tblObs[[#This Row],[Exclude]]="Yes",tblObs[[#This Row],[Notes]]=""),"Exclude: no reason",IF(AND(tblObs[[#This Row],[Exclude]]&lt;&gt;"Yes",ISNUMBER(tblObs[[#This Row],[Standard (s)]]),tblObs[[#This Row],[Cycle (s)]]&gt;2*tblObs[[#This Row],[Standard (s)]]),"Over 2x standard","OK")))))))</f>
        <v>OK</v>
      </c>
      <c r="N84" s="44" t="s">
        <v>113</v>
      </c>
    </row>
    <row r="85" spans="2:14" x14ac:dyDescent="0.25">
      <c r="B85" s="37">
        <v>46275</v>
      </c>
      <c r="C85" s="28" t="s">
        <v>96</v>
      </c>
      <c r="D85" s="28" t="s">
        <v>125</v>
      </c>
      <c r="E85" s="35">
        <v>41</v>
      </c>
      <c r="F85" s="28" t="s">
        <v>112</v>
      </c>
      <c r="G85" s="38">
        <f>IF(tblObs[[#This Row],[Date]]="","",IFERROR(INDEX(tblStations[Standard cycle (s)],MATCH(tblObs[[#This Row],[Station]],tblStations[Station],0)),""))</f>
        <v>36</v>
      </c>
      <c r="H85" s="39">
        <f>IF(tblObs[[#This Row],[Date]]="","",IF(ISNUMBER(tblObs[[#This Row],[Standard (s)]]),tblObs[[#This Row],[Cycle (s)]]-tblObs[[#This Row],[Standard (s)]],""))</f>
        <v>5</v>
      </c>
      <c r="I85" s="40">
        <f>IF(tblObs[[#This Row],[Date]]="","",IF(ISNUMBER(Takt),tblObs[[#This Row],[Cycle (s)]]/Takt,""))</f>
        <v>0.732142857142857</v>
      </c>
      <c r="J85" s="41" t="str">
        <f>IF(tblObs[[#This Row],[Date]]="","",IF(tblObs[[#This Row],[Exclude]]="Yes","Excluded",IF(NOT(ISNUMBER(tblObs[[#This Row],[Loading (% of takt)]])),"",IF(tblObs[[#This Row],[Loading (% of takt)]]&gt;OverAt,"Over capacity",IF(tblObs[[#This Row],[Loading (% of takt)]]&gt;=NearAt,"Near capacity","Under capacity")))))</f>
        <v>Under capacity</v>
      </c>
      <c r="K85" s="42">
        <f>IF(tblObs[[#This Row],[Date]]="","",IF(AND(tblObs[[#This Row],[Exclude]]&lt;&gt;"Yes",tblObs[[#This Row],[Date]]&gt;=FFrom,tblObs[[#This Row],[Date]]&lt;=FTo),tblObs[[#This Row],[Date]],""))</f>
        <v>46275</v>
      </c>
      <c r="L85" s="30">
        <f>IF(tblObs[[#This Row],[Date]]="","",IF(AND(tblObs[[#This Row],[Station]]=ChartStation,ISNUMBER(tblObs[[#This Row],[View date]])),COUNTIFS(INDEX(tblObs[Station],1):tblObs[[#This Row],[Station]],tblObs[[#This Row],[Station]],INDEX(tblObs[View date],1):tblObs[[#This Row],[View date]],"&gt;0"),""))</f>
        <v/>
      </c>
      <c r="M85" s="43" t="str">
        <f>IF(tblObs[[#This Row],[Date]]="","",IF(tblObs[[#This Row],[Station]]="","Missing station",IF(tblObs[[#This Row],[Cycle (s)]]="","Missing cycle",IF(tblObs[[#This Row],[Exclude]]="","Missing exclude",IF(COUNTIF(tblStations[Station],tblObs[[#This Row],[Station]])=0,"Station not on Setup list",IF(AND(tblObs[[#This Row],[Exclude]]="Yes",tblObs[[#This Row],[Notes]]=""),"Exclude: no reason",IF(AND(tblObs[[#This Row],[Exclude]]&lt;&gt;"Yes",ISNUMBER(tblObs[[#This Row],[Standard (s)]]),tblObs[[#This Row],[Cycle (s)]]&gt;2*tblObs[[#This Row],[Standard (s)]]),"Over 2x standard","OK")))))))</f>
        <v>OK</v>
      </c>
      <c r="N85" s="44" t="s">
        <v>113</v>
      </c>
    </row>
    <row r="86" spans="2:14" x14ac:dyDescent="0.25">
      <c r="B86" s="37">
        <v>46275</v>
      </c>
      <c r="C86" s="28" t="s">
        <v>96</v>
      </c>
      <c r="D86" s="28" t="s">
        <v>125</v>
      </c>
      <c r="E86" s="35">
        <v>36.8</v>
      </c>
      <c r="F86" s="28" t="s">
        <v>112</v>
      </c>
      <c r="G86" s="38">
        <f>IF(tblObs[[#This Row],[Date]]="","",IFERROR(INDEX(tblStations[Standard cycle (s)],MATCH(tblObs[[#This Row],[Station]],tblStations[Station],0)),""))</f>
        <v>36</v>
      </c>
      <c r="H86" s="39">
        <f>IF(tblObs[[#This Row],[Date]]="","",IF(ISNUMBER(tblObs[[#This Row],[Standard (s)]]),tblObs[[#This Row],[Cycle (s)]]-tblObs[[#This Row],[Standard (s)]],""))</f>
        <v>0.799999999999997</v>
      </c>
      <c r="I86" s="40">
        <f>IF(tblObs[[#This Row],[Date]]="","",IF(ISNUMBER(Takt),tblObs[[#This Row],[Cycle (s)]]/Takt,""))</f>
        <v>0.657142857142857</v>
      </c>
      <c r="J86" s="41" t="str">
        <f>IF(tblObs[[#This Row],[Date]]="","",IF(tblObs[[#This Row],[Exclude]]="Yes","Excluded",IF(NOT(ISNUMBER(tblObs[[#This Row],[Loading (% of takt)]])),"",IF(tblObs[[#This Row],[Loading (% of takt)]]&gt;OverAt,"Over capacity",IF(tblObs[[#This Row],[Loading (% of takt)]]&gt;=NearAt,"Near capacity","Under capacity")))))</f>
        <v>Under capacity</v>
      </c>
      <c r="K86" s="42">
        <f>IF(tblObs[[#This Row],[Date]]="","",IF(AND(tblObs[[#This Row],[Exclude]]&lt;&gt;"Yes",tblObs[[#This Row],[Date]]&gt;=FFrom,tblObs[[#This Row],[Date]]&lt;=FTo),tblObs[[#This Row],[Date]],""))</f>
        <v>46275</v>
      </c>
      <c r="L86" s="30">
        <f>IF(tblObs[[#This Row],[Date]]="","",IF(AND(tblObs[[#This Row],[Station]]=ChartStation,ISNUMBER(tblObs[[#This Row],[View date]])),COUNTIFS(INDEX(tblObs[Station],1):tblObs[[#This Row],[Station]],tblObs[[#This Row],[Station]],INDEX(tblObs[View date],1):tblObs[[#This Row],[View date]],"&gt;0"),""))</f>
        <v/>
      </c>
      <c r="M86" s="43" t="str">
        <f>IF(tblObs[[#This Row],[Date]]="","",IF(tblObs[[#This Row],[Station]]="","Missing station",IF(tblObs[[#This Row],[Cycle (s)]]="","Missing cycle",IF(tblObs[[#This Row],[Exclude]]="","Missing exclude",IF(COUNTIF(tblStations[Station],tblObs[[#This Row],[Station]])=0,"Station not on Setup list",IF(AND(tblObs[[#This Row],[Exclude]]="Yes",tblObs[[#This Row],[Notes]]=""),"Exclude: no reason",IF(AND(tblObs[[#This Row],[Exclude]]&lt;&gt;"Yes",ISNUMBER(tblObs[[#This Row],[Standard (s)]]),tblObs[[#This Row],[Cycle (s)]]&gt;2*tblObs[[#This Row],[Standard (s)]]),"Over 2x standard","OK")))))))</f>
        <v>OK</v>
      </c>
      <c r="N86" s="44" t="s">
        <v>113</v>
      </c>
    </row>
    <row r="87" spans="2:14" x14ac:dyDescent="0.25">
      <c r="B87" s="37">
        <v>46275</v>
      </c>
      <c r="C87" s="28" t="s">
        <v>96</v>
      </c>
      <c r="D87" s="28" t="s">
        <v>125</v>
      </c>
      <c r="E87" s="35">
        <v>32.8</v>
      </c>
      <c r="F87" s="28" t="s">
        <v>112</v>
      </c>
      <c r="G87" s="38">
        <f>IF(tblObs[[#This Row],[Date]]="","",IFERROR(INDEX(tblStations[Standard cycle (s)],MATCH(tblObs[[#This Row],[Station]],tblStations[Station],0)),""))</f>
        <v>36</v>
      </c>
      <c r="H87" s="39">
        <f>IF(tblObs[[#This Row],[Date]]="","",IF(ISNUMBER(tblObs[[#This Row],[Standard (s)]]),tblObs[[#This Row],[Cycle (s)]]-tblObs[[#This Row],[Standard (s)]],""))</f>
        <v>-3.2</v>
      </c>
      <c r="I87" s="40">
        <f>IF(tblObs[[#This Row],[Date]]="","",IF(ISNUMBER(Takt),tblObs[[#This Row],[Cycle (s)]]/Takt,""))</f>
        <v>0.585714285714286</v>
      </c>
      <c r="J87" s="41" t="str">
        <f>IF(tblObs[[#This Row],[Date]]="","",IF(tblObs[[#This Row],[Exclude]]="Yes","Excluded",IF(NOT(ISNUMBER(tblObs[[#This Row],[Loading (% of takt)]])),"",IF(tblObs[[#This Row],[Loading (% of takt)]]&gt;OverAt,"Over capacity",IF(tblObs[[#This Row],[Loading (% of takt)]]&gt;=NearAt,"Near capacity","Under capacity")))))</f>
        <v>Under capacity</v>
      </c>
      <c r="K87" s="42">
        <f>IF(tblObs[[#This Row],[Date]]="","",IF(AND(tblObs[[#This Row],[Exclude]]&lt;&gt;"Yes",tblObs[[#This Row],[Date]]&gt;=FFrom,tblObs[[#This Row],[Date]]&lt;=FTo),tblObs[[#This Row],[Date]],""))</f>
        <v>46275</v>
      </c>
      <c r="L87" s="30">
        <f>IF(tblObs[[#This Row],[Date]]="","",IF(AND(tblObs[[#This Row],[Station]]=ChartStation,ISNUMBER(tblObs[[#This Row],[View date]])),COUNTIFS(INDEX(tblObs[Station],1):tblObs[[#This Row],[Station]],tblObs[[#This Row],[Station]],INDEX(tblObs[View date],1):tblObs[[#This Row],[View date]],"&gt;0"),""))</f>
        <v/>
      </c>
      <c r="M87" s="43" t="str">
        <f>IF(tblObs[[#This Row],[Date]]="","",IF(tblObs[[#This Row],[Station]]="","Missing station",IF(tblObs[[#This Row],[Cycle (s)]]="","Missing cycle",IF(tblObs[[#This Row],[Exclude]]="","Missing exclude",IF(COUNTIF(tblStations[Station],tblObs[[#This Row],[Station]])=0,"Station not on Setup list",IF(AND(tblObs[[#This Row],[Exclude]]="Yes",tblObs[[#This Row],[Notes]]=""),"Exclude: no reason",IF(AND(tblObs[[#This Row],[Exclude]]&lt;&gt;"Yes",ISNUMBER(tblObs[[#This Row],[Standard (s)]]),tblObs[[#This Row],[Cycle (s)]]&gt;2*tblObs[[#This Row],[Standard (s)]]),"Over 2x standard","OK")))))))</f>
        <v>OK</v>
      </c>
      <c r="N87" s="44" t="s">
        <v>113</v>
      </c>
    </row>
    <row r="88" spans="2:14" x14ac:dyDescent="0.25">
      <c r="B88" s="37">
        <v>46275</v>
      </c>
      <c r="C88" s="28" t="s">
        <v>96</v>
      </c>
      <c r="D88" s="28" t="s">
        <v>125</v>
      </c>
      <c r="E88" s="35">
        <v>34.5</v>
      </c>
      <c r="F88" s="28" t="s">
        <v>112</v>
      </c>
      <c r="G88" s="38">
        <f>IF(tblObs[[#This Row],[Date]]="","",IFERROR(INDEX(tblStations[Standard cycle (s)],MATCH(tblObs[[#This Row],[Station]],tblStations[Station],0)),""))</f>
        <v>36</v>
      </c>
      <c r="H88" s="39">
        <f>IF(tblObs[[#This Row],[Date]]="","",IF(ISNUMBER(tblObs[[#This Row],[Standard (s)]]),tblObs[[#This Row],[Cycle (s)]]-tblObs[[#This Row],[Standard (s)]],""))</f>
        <v>-1.5</v>
      </c>
      <c r="I88" s="40">
        <f>IF(tblObs[[#This Row],[Date]]="","",IF(ISNUMBER(Takt),tblObs[[#This Row],[Cycle (s)]]/Takt,""))</f>
        <v>0.616071428571429</v>
      </c>
      <c r="J88" s="41" t="str">
        <f>IF(tblObs[[#This Row],[Date]]="","",IF(tblObs[[#This Row],[Exclude]]="Yes","Excluded",IF(NOT(ISNUMBER(tblObs[[#This Row],[Loading (% of takt)]])),"",IF(tblObs[[#This Row],[Loading (% of takt)]]&gt;OverAt,"Over capacity",IF(tblObs[[#This Row],[Loading (% of takt)]]&gt;=NearAt,"Near capacity","Under capacity")))))</f>
        <v>Under capacity</v>
      </c>
      <c r="K88" s="42">
        <f>IF(tblObs[[#This Row],[Date]]="","",IF(AND(tblObs[[#This Row],[Exclude]]&lt;&gt;"Yes",tblObs[[#This Row],[Date]]&gt;=FFrom,tblObs[[#This Row],[Date]]&lt;=FTo),tblObs[[#This Row],[Date]],""))</f>
        <v>46275</v>
      </c>
      <c r="L88" s="30">
        <f>IF(tblObs[[#This Row],[Date]]="","",IF(AND(tblObs[[#This Row],[Station]]=ChartStation,ISNUMBER(tblObs[[#This Row],[View date]])),COUNTIFS(INDEX(tblObs[Station],1):tblObs[[#This Row],[Station]],tblObs[[#This Row],[Station]],INDEX(tblObs[View date],1):tblObs[[#This Row],[View date]],"&gt;0"),""))</f>
        <v/>
      </c>
      <c r="M88" s="43" t="str">
        <f>IF(tblObs[[#This Row],[Date]]="","",IF(tblObs[[#This Row],[Station]]="","Missing station",IF(tblObs[[#This Row],[Cycle (s)]]="","Missing cycle",IF(tblObs[[#This Row],[Exclude]]="","Missing exclude",IF(COUNTIF(tblStations[Station],tblObs[[#This Row],[Station]])=0,"Station not on Setup list",IF(AND(tblObs[[#This Row],[Exclude]]="Yes",tblObs[[#This Row],[Notes]]=""),"Exclude: no reason",IF(AND(tblObs[[#This Row],[Exclude]]&lt;&gt;"Yes",ISNUMBER(tblObs[[#This Row],[Standard (s)]]),tblObs[[#This Row],[Cycle (s)]]&gt;2*tblObs[[#This Row],[Standard (s)]]),"Over 2x standard","OK")))))))</f>
        <v>OK</v>
      </c>
      <c r="N88" s="44" t="s">
        <v>113</v>
      </c>
    </row>
    <row r="89" spans="2:14" x14ac:dyDescent="0.25">
      <c r="B89" s="37">
        <v>46275</v>
      </c>
      <c r="C89" s="28" t="s">
        <v>96</v>
      </c>
      <c r="D89" s="28" t="s">
        <v>125</v>
      </c>
      <c r="E89" s="35">
        <v>37.4</v>
      </c>
      <c r="F89" s="28" t="s">
        <v>112</v>
      </c>
      <c r="G89" s="38">
        <f>IF(tblObs[[#This Row],[Date]]="","",IFERROR(INDEX(tblStations[Standard cycle (s)],MATCH(tblObs[[#This Row],[Station]],tblStations[Station],0)),""))</f>
        <v>36</v>
      </c>
      <c r="H89" s="39">
        <f>IF(tblObs[[#This Row],[Date]]="","",IF(ISNUMBER(tblObs[[#This Row],[Standard (s)]]),tblObs[[#This Row],[Cycle (s)]]-tblObs[[#This Row],[Standard (s)]],""))</f>
        <v>1.4</v>
      </c>
      <c r="I89" s="40">
        <f>IF(tblObs[[#This Row],[Date]]="","",IF(ISNUMBER(Takt),tblObs[[#This Row],[Cycle (s)]]/Takt,""))</f>
        <v>0.667857142857143</v>
      </c>
      <c r="J89" s="41" t="str">
        <f>IF(tblObs[[#This Row],[Date]]="","",IF(tblObs[[#This Row],[Exclude]]="Yes","Excluded",IF(NOT(ISNUMBER(tblObs[[#This Row],[Loading (% of takt)]])),"",IF(tblObs[[#This Row],[Loading (% of takt)]]&gt;OverAt,"Over capacity",IF(tblObs[[#This Row],[Loading (% of takt)]]&gt;=NearAt,"Near capacity","Under capacity")))))</f>
        <v>Under capacity</v>
      </c>
      <c r="K89" s="42">
        <f>IF(tblObs[[#This Row],[Date]]="","",IF(AND(tblObs[[#This Row],[Exclude]]&lt;&gt;"Yes",tblObs[[#This Row],[Date]]&gt;=FFrom,tblObs[[#This Row],[Date]]&lt;=FTo),tblObs[[#This Row],[Date]],""))</f>
        <v>46275</v>
      </c>
      <c r="L89" s="30">
        <f>IF(tblObs[[#This Row],[Date]]="","",IF(AND(tblObs[[#This Row],[Station]]=ChartStation,ISNUMBER(tblObs[[#This Row],[View date]])),COUNTIFS(INDEX(tblObs[Station],1):tblObs[[#This Row],[Station]],tblObs[[#This Row],[Station]],INDEX(tblObs[View date],1):tblObs[[#This Row],[View date]],"&gt;0"),""))</f>
        <v/>
      </c>
      <c r="M89" s="43" t="str">
        <f>IF(tblObs[[#This Row],[Date]]="","",IF(tblObs[[#This Row],[Station]]="","Missing station",IF(tblObs[[#This Row],[Cycle (s)]]="","Missing cycle",IF(tblObs[[#This Row],[Exclude]]="","Missing exclude",IF(COUNTIF(tblStations[Station],tblObs[[#This Row],[Station]])=0,"Station not on Setup list",IF(AND(tblObs[[#This Row],[Exclude]]="Yes",tblObs[[#This Row],[Notes]]=""),"Exclude: no reason",IF(AND(tblObs[[#This Row],[Exclude]]&lt;&gt;"Yes",ISNUMBER(tblObs[[#This Row],[Standard (s)]]),tblObs[[#This Row],[Cycle (s)]]&gt;2*tblObs[[#This Row],[Standard (s)]]),"Over 2x standard","OK")))))))</f>
        <v>OK</v>
      </c>
      <c r="N89" s="44" t="s">
        <v>113</v>
      </c>
    </row>
    <row r="90" spans="2:14" x14ac:dyDescent="0.25">
      <c r="B90" s="37">
        <v>46280</v>
      </c>
      <c r="C90" s="28" t="s">
        <v>86</v>
      </c>
      <c r="D90" s="28" t="s">
        <v>111</v>
      </c>
      <c r="E90" s="35">
        <v>45.5</v>
      </c>
      <c r="F90" s="28" t="s">
        <v>112</v>
      </c>
      <c r="G90" s="38">
        <f>IF(tblObs[[#This Row],[Date]]="","",IFERROR(INDEX(tblStations[Standard cycle (s)],MATCH(tblObs[[#This Row],[Station]],tblStations[Station],0)),""))</f>
        <v>46</v>
      </c>
      <c r="H90" s="39">
        <f>IF(tblObs[[#This Row],[Date]]="","",IF(ISNUMBER(tblObs[[#This Row],[Standard (s)]]),tblObs[[#This Row],[Cycle (s)]]-tblObs[[#This Row],[Standard (s)]],""))</f>
        <v>-0.5</v>
      </c>
      <c r="I90" s="40">
        <f>IF(tblObs[[#This Row],[Date]]="","",IF(ISNUMBER(Takt),tblObs[[#This Row],[Cycle (s)]]/Takt,""))</f>
        <v>0.8125</v>
      </c>
      <c r="J90" s="41" t="str">
        <f>IF(tblObs[[#This Row],[Date]]="","",IF(tblObs[[#This Row],[Exclude]]="Yes","Excluded",IF(NOT(ISNUMBER(tblObs[[#This Row],[Loading (% of takt)]])),"",IF(tblObs[[#This Row],[Loading (% of takt)]]&gt;OverAt,"Over capacity",IF(tblObs[[#This Row],[Loading (% of takt)]]&gt;=NearAt,"Near capacity","Under capacity")))))</f>
        <v>Under capacity</v>
      </c>
      <c r="K90" s="42">
        <f>IF(tblObs[[#This Row],[Date]]="","",IF(AND(tblObs[[#This Row],[Exclude]]&lt;&gt;"Yes",tblObs[[#This Row],[Date]]&gt;=FFrom,tblObs[[#This Row],[Date]]&lt;=FTo),tblObs[[#This Row],[Date]],""))</f>
        <v>46280</v>
      </c>
      <c r="L90" s="30">
        <f>IF(tblObs[[#This Row],[Date]]="","",IF(AND(tblObs[[#This Row],[Station]]=ChartStation,ISNUMBER(tblObs[[#This Row],[View date]])),COUNTIFS(INDEX(tblObs[Station],1):tblObs[[#This Row],[Station]],tblObs[[#This Row],[Station]],INDEX(tblObs[View date],1):tblObs[[#This Row],[View date]],"&gt;0"),""))</f>
        <v/>
      </c>
      <c r="M90" s="43" t="str">
        <f>IF(tblObs[[#This Row],[Date]]="","",IF(tblObs[[#This Row],[Station]]="","Missing station",IF(tblObs[[#This Row],[Cycle (s)]]="","Missing cycle",IF(tblObs[[#This Row],[Exclude]]="","Missing exclude",IF(COUNTIF(tblStations[Station],tblObs[[#This Row],[Station]])=0,"Station not on Setup list",IF(AND(tblObs[[#This Row],[Exclude]]="Yes",tblObs[[#This Row],[Notes]]=""),"Exclude: no reason",IF(AND(tblObs[[#This Row],[Exclude]]&lt;&gt;"Yes",ISNUMBER(tblObs[[#This Row],[Standard (s)]]),tblObs[[#This Row],[Cycle (s)]]&gt;2*tblObs[[#This Row],[Standard (s)]]),"Over 2x standard","OK")))))))</f>
        <v>OK</v>
      </c>
      <c r="N90" s="44" t="s">
        <v>113</v>
      </c>
    </row>
    <row r="91" spans="2:14" x14ac:dyDescent="0.25">
      <c r="B91" s="37">
        <v>46280</v>
      </c>
      <c r="C91" s="28" t="s">
        <v>86</v>
      </c>
      <c r="D91" s="28" t="s">
        <v>111</v>
      </c>
      <c r="E91" s="35">
        <v>47.1</v>
      </c>
      <c r="F91" s="28" t="s">
        <v>112</v>
      </c>
      <c r="G91" s="38">
        <f>IF(tblObs[[#This Row],[Date]]="","",IFERROR(INDEX(tblStations[Standard cycle (s)],MATCH(tblObs[[#This Row],[Station]],tblStations[Station],0)),""))</f>
        <v>46</v>
      </c>
      <c r="H91" s="39">
        <f>IF(tblObs[[#This Row],[Date]]="","",IF(ISNUMBER(tblObs[[#This Row],[Standard (s)]]),tblObs[[#This Row],[Cycle (s)]]-tblObs[[#This Row],[Standard (s)]],""))</f>
        <v>1.1</v>
      </c>
      <c r="I91" s="40">
        <f>IF(tblObs[[#This Row],[Date]]="","",IF(ISNUMBER(Takt),tblObs[[#This Row],[Cycle (s)]]/Takt,""))</f>
        <v>0.841071428571429</v>
      </c>
      <c r="J91" s="41" t="str">
        <f>IF(tblObs[[#This Row],[Date]]="","",IF(tblObs[[#This Row],[Exclude]]="Yes","Excluded",IF(NOT(ISNUMBER(tblObs[[#This Row],[Loading (% of takt)]])),"",IF(tblObs[[#This Row],[Loading (% of takt)]]&gt;OverAt,"Over capacity",IF(tblObs[[#This Row],[Loading (% of takt)]]&gt;=NearAt,"Near capacity","Under capacity")))))</f>
        <v>Under capacity</v>
      </c>
      <c r="K91" s="42">
        <f>IF(tblObs[[#This Row],[Date]]="","",IF(AND(tblObs[[#This Row],[Exclude]]&lt;&gt;"Yes",tblObs[[#This Row],[Date]]&gt;=FFrom,tblObs[[#This Row],[Date]]&lt;=FTo),tblObs[[#This Row],[Date]],""))</f>
        <v>46280</v>
      </c>
      <c r="L91" s="30">
        <f>IF(tblObs[[#This Row],[Date]]="","",IF(AND(tblObs[[#This Row],[Station]]=ChartStation,ISNUMBER(tblObs[[#This Row],[View date]])),COUNTIFS(INDEX(tblObs[Station],1):tblObs[[#This Row],[Station]],tblObs[[#This Row],[Station]],INDEX(tblObs[View date],1):tblObs[[#This Row],[View date]],"&gt;0"),""))</f>
        <v/>
      </c>
      <c r="M91" s="43" t="str">
        <f>IF(tblObs[[#This Row],[Date]]="","",IF(tblObs[[#This Row],[Station]]="","Missing station",IF(tblObs[[#This Row],[Cycle (s)]]="","Missing cycle",IF(tblObs[[#This Row],[Exclude]]="","Missing exclude",IF(COUNTIF(tblStations[Station],tblObs[[#This Row],[Station]])=0,"Station not on Setup list",IF(AND(tblObs[[#This Row],[Exclude]]="Yes",tblObs[[#This Row],[Notes]]=""),"Exclude: no reason",IF(AND(tblObs[[#This Row],[Exclude]]&lt;&gt;"Yes",ISNUMBER(tblObs[[#This Row],[Standard (s)]]),tblObs[[#This Row],[Cycle (s)]]&gt;2*tblObs[[#This Row],[Standard (s)]]),"Over 2x standard","OK")))))))</f>
        <v>OK</v>
      </c>
      <c r="N91" s="44" t="s">
        <v>113</v>
      </c>
    </row>
    <row r="92" spans="2:14" x14ac:dyDescent="0.25">
      <c r="B92" s="37">
        <v>46280</v>
      </c>
      <c r="C92" s="28" t="s">
        <v>86</v>
      </c>
      <c r="D92" s="28" t="s">
        <v>111</v>
      </c>
      <c r="E92" s="35">
        <v>47.1</v>
      </c>
      <c r="F92" s="28" t="s">
        <v>112</v>
      </c>
      <c r="G92" s="38">
        <f>IF(tblObs[[#This Row],[Date]]="","",IFERROR(INDEX(tblStations[Standard cycle (s)],MATCH(tblObs[[#This Row],[Station]],tblStations[Station],0)),""))</f>
        <v>46</v>
      </c>
      <c r="H92" s="39">
        <f>IF(tblObs[[#This Row],[Date]]="","",IF(ISNUMBER(tblObs[[#This Row],[Standard (s)]]),tblObs[[#This Row],[Cycle (s)]]-tblObs[[#This Row],[Standard (s)]],""))</f>
        <v>1.1</v>
      </c>
      <c r="I92" s="40">
        <f>IF(tblObs[[#This Row],[Date]]="","",IF(ISNUMBER(Takt),tblObs[[#This Row],[Cycle (s)]]/Takt,""))</f>
        <v>0.841071428571429</v>
      </c>
      <c r="J92" s="41" t="str">
        <f>IF(tblObs[[#This Row],[Date]]="","",IF(tblObs[[#This Row],[Exclude]]="Yes","Excluded",IF(NOT(ISNUMBER(tblObs[[#This Row],[Loading (% of takt)]])),"",IF(tblObs[[#This Row],[Loading (% of takt)]]&gt;OverAt,"Over capacity",IF(tblObs[[#This Row],[Loading (% of takt)]]&gt;=NearAt,"Near capacity","Under capacity")))))</f>
        <v>Under capacity</v>
      </c>
      <c r="K92" s="42">
        <f>IF(tblObs[[#This Row],[Date]]="","",IF(AND(tblObs[[#This Row],[Exclude]]&lt;&gt;"Yes",tblObs[[#This Row],[Date]]&gt;=FFrom,tblObs[[#This Row],[Date]]&lt;=FTo),tblObs[[#This Row],[Date]],""))</f>
        <v>46280</v>
      </c>
      <c r="L92" s="30">
        <f>IF(tblObs[[#This Row],[Date]]="","",IF(AND(tblObs[[#This Row],[Station]]=ChartStation,ISNUMBER(tblObs[[#This Row],[View date]])),COUNTIFS(INDEX(tblObs[Station],1):tblObs[[#This Row],[Station]],tblObs[[#This Row],[Station]],INDEX(tblObs[View date],1):tblObs[[#This Row],[View date]],"&gt;0"),""))</f>
        <v/>
      </c>
      <c r="M92" s="43" t="str">
        <f>IF(tblObs[[#This Row],[Date]]="","",IF(tblObs[[#This Row],[Station]]="","Missing station",IF(tblObs[[#This Row],[Cycle (s)]]="","Missing cycle",IF(tblObs[[#This Row],[Exclude]]="","Missing exclude",IF(COUNTIF(tblStations[Station],tblObs[[#This Row],[Station]])=0,"Station not on Setup list",IF(AND(tblObs[[#This Row],[Exclude]]="Yes",tblObs[[#This Row],[Notes]]=""),"Exclude: no reason",IF(AND(tblObs[[#This Row],[Exclude]]&lt;&gt;"Yes",ISNUMBER(tblObs[[#This Row],[Standard (s)]]),tblObs[[#This Row],[Cycle (s)]]&gt;2*tblObs[[#This Row],[Standard (s)]]),"Over 2x standard","OK")))))))</f>
        <v>OK</v>
      </c>
      <c r="N92" s="44" t="s">
        <v>113</v>
      </c>
    </row>
    <row r="93" spans="2:14" x14ac:dyDescent="0.25">
      <c r="B93" s="37">
        <v>46280</v>
      </c>
      <c r="C93" s="28" t="s">
        <v>86</v>
      </c>
      <c r="D93" s="28" t="s">
        <v>111</v>
      </c>
      <c r="E93" s="35">
        <v>49.2</v>
      </c>
      <c r="F93" s="28" t="s">
        <v>112</v>
      </c>
      <c r="G93" s="38">
        <f>IF(tblObs[[#This Row],[Date]]="","",IFERROR(INDEX(tblStations[Standard cycle (s)],MATCH(tblObs[[#This Row],[Station]],tblStations[Station],0)),""))</f>
        <v>46</v>
      </c>
      <c r="H93" s="39">
        <f>IF(tblObs[[#This Row],[Date]]="","",IF(ISNUMBER(tblObs[[#This Row],[Standard (s)]]),tblObs[[#This Row],[Cycle (s)]]-tblObs[[#This Row],[Standard (s)]],""))</f>
        <v>3.2</v>
      </c>
      <c r="I93" s="40">
        <f>IF(tblObs[[#This Row],[Date]]="","",IF(ISNUMBER(Takt),tblObs[[#This Row],[Cycle (s)]]/Takt,""))</f>
        <v>0.878571428571429</v>
      </c>
      <c r="J93" s="41" t="str">
        <f>IF(tblObs[[#This Row],[Date]]="","",IF(tblObs[[#This Row],[Exclude]]="Yes","Excluded",IF(NOT(ISNUMBER(tblObs[[#This Row],[Loading (% of takt)]])),"",IF(tblObs[[#This Row],[Loading (% of takt)]]&gt;OverAt,"Over capacity",IF(tblObs[[#This Row],[Loading (% of takt)]]&gt;=NearAt,"Near capacity","Under capacity")))))</f>
        <v>Under capacity</v>
      </c>
      <c r="K93" s="42">
        <f>IF(tblObs[[#This Row],[Date]]="","",IF(AND(tblObs[[#This Row],[Exclude]]&lt;&gt;"Yes",tblObs[[#This Row],[Date]]&gt;=FFrom,tblObs[[#This Row],[Date]]&lt;=FTo),tblObs[[#This Row],[Date]],""))</f>
        <v>46280</v>
      </c>
      <c r="L93" s="30">
        <f>IF(tblObs[[#This Row],[Date]]="","",IF(AND(tblObs[[#This Row],[Station]]=ChartStation,ISNUMBER(tblObs[[#This Row],[View date]])),COUNTIFS(INDEX(tblObs[Station],1):tblObs[[#This Row],[Station]],tblObs[[#This Row],[Station]],INDEX(tblObs[View date],1):tblObs[[#This Row],[View date]],"&gt;0"),""))</f>
        <v/>
      </c>
      <c r="M93" s="43" t="str">
        <f>IF(tblObs[[#This Row],[Date]]="","",IF(tblObs[[#This Row],[Station]]="","Missing station",IF(tblObs[[#This Row],[Cycle (s)]]="","Missing cycle",IF(tblObs[[#This Row],[Exclude]]="","Missing exclude",IF(COUNTIF(tblStations[Station],tblObs[[#This Row],[Station]])=0,"Station not on Setup list",IF(AND(tblObs[[#This Row],[Exclude]]="Yes",tblObs[[#This Row],[Notes]]=""),"Exclude: no reason",IF(AND(tblObs[[#This Row],[Exclude]]&lt;&gt;"Yes",ISNUMBER(tblObs[[#This Row],[Standard (s)]]),tblObs[[#This Row],[Cycle (s)]]&gt;2*tblObs[[#This Row],[Standard (s)]]),"Over 2x standard","OK")))))))</f>
        <v>OK</v>
      </c>
      <c r="N93" s="44" t="s">
        <v>113</v>
      </c>
    </row>
    <row r="94" spans="2:14" x14ac:dyDescent="0.25">
      <c r="B94" s="37">
        <v>46280</v>
      </c>
      <c r="C94" s="28" t="s">
        <v>86</v>
      </c>
      <c r="D94" s="28" t="s">
        <v>111</v>
      </c>
      <c r="E94" s="35">
        <v>47.8</v>
      </c>
      <c r="F94" s="28" t="s">
        <v>112</v>
      </c>
      <c r="G94" s="38">
        <f>IF(tblObs[[#This Row],[Date]]="","",IFERROR(INDEX(tblStations[Standard cycle (s)],MATCH(tblObs[[#This Row],[Station]],tblStations[Station],0)),""))</f>
        <v>46</v>
      </c>
      <c r="H94" s="39">
        <f>IF(tblObs[[#This Row],[Date]]="","",IF(ISNUMBER(tblObs[[#This Row],[Standard (s)]]),tblObs[[#This Row],[Cycle (s)]]-tblObs[[#This Row],[Standard (s)]],""))</f>
        <v>1.8</v>
      </c>
      <c r="I94" s="40">
        <f>IF(tblObs[[#This Row],[Date]]="","",IF(ISNUMBER(Takt),tblObs[[#This Row],[Cycle (s)]]/Takt,""))</f>
        <v>0.853571428571429</v>
      </c>
      <c r="J94" s="41" t="str">
        <f>IF(tblObs[[#This Row],[Date]]="","",IF(tblObs[[#This Row],[Exclude]]="Yes","Excluded",IF(NOT(ISNUMBER(tblObs[[#This Row],[Loading (% of takt)]])),"",IF(tblObs[[#This Row],[Loading (% of takt)]]&gt;OverAt,"Over capacity",IF(tblObs[[#This Row],[Loading (% of takt)]]&gt;=NearAt,"Near capacity","Under capacity")))))</f>
        <v>Under capacity</v>
      </c>
      <c r="K94" s="42">
        <f>IF(tblObs[[#This Row],[Date]]="","",IF(AND(tblObs[[#This Row],[Exclude]]&lt;&gt;"Yes",tblObs[[#This Row],[Date]]&gt;=FFrom,tblObs[[#This Row],[Date]]&lt;=FTo),tblObs[[#This Row],[Date]],""))</f>
        <v>46280</v>
      </c>
      <c r="L94" s="30">
        <f>IF(tblObs[[#This Row],[Date]]="","",IF(AND(tblObs[[#This Row],[Station]]=ChartStation,ISNUMBER(tblObs[[#This Row],[View date]])),COUNTIFS(INDEX(tblObs[Station],1):tblObs[[#This Row],[Station]],tblObs[[#This Row],[Station]],INDEX(tblObs[View date],1):tblObs[[#This Row],[View date]],"&gt;0"),""))</f>
        <v/>
      </c>
      <c r="M94" s="43" t="str">
        <f>IF(tblObs[[#This Row],[Date]]="","",IF(tblObs[[#This Row],[Station]]="","Missing station",IF(tblObs[[#This Row],[Cycle (s)]]="","Missing cycle",IF(tblObs[[#This Row],[Exclude]]="","Missing exclude",IF(COUNTIF(tblStations[Station],tblObs[[#This Row],[Station]])=0,"Station not on Setup list",IF(AND(tblObs[[#This Row],[Exclude]]="Yes",tblObs[[#This Row],[Notes]]=""),"Exclude: no reason",IF(AND(tblObs[[#This Row],[Exclude]]&lt;&gt;"Yes",ISNUMBER(tblObs[[#This Row],[Standard (s)]]),tblObs[[#This Row],[Cycle (s)]]&gt;2*tblObs[[#This Row],[Standard (s)]]),"Over 2x standard","OK")))))))</f>
        <v>OK</v>
      </c>
      <c r="N94" s="44" t="s">
        <v>113</v>
      </c>
    </row>
    <row r="95" spans="2:14" x14ac:dyDescent="0.25">
      <c r="B95" s="37">
        <v>46280</v>
      </c>
      <c r="C95" s="28" t="s">
        <v>86</v>
      </c>
      <c r="D95" s="28" t="s">
        <v>111</v>
      </c>
      <c r="E95" s="35">
        <v>45.4</v>
      </c>
      <c r="F95" s="28" t="s">
        <v>112</v>
      </c>
      <c r="G95" s="38">
        <f>IF(tblObs[[#This Row],[Date]]="","",IFERROR(INDEX(tblStations[Standard cycle (s)],MATCH(tblObs[[#This Row],[Station]],tblStations[Station],0)),""))</f>
        <v>46</v>
      </c>
      <c r="H95" s="39">
        <f>IF(tblObs[[#This Row],[Date]]="","",IF(ISNUMBER(tblObs[[#This Row],[Standard (s)]]),tblObs[[#This Row],[Cycle (s)]]-tblObs[[#This Row],[Standard (s)]],""))</f>
        <v>-0.600000000000001</v>
      </c>
      <c r="I95" s="40">
        <f>IF(tblObs[[#This Row],[Date]]="","",IF(ISNUMBER(Takt),tblObs[[#This Row],[Cycle (s)]]/Takt,""))</f>
        <v>0.810714285714286</v>
      </c>
      <c r="J95" s="41" t="str">
        <f>IF(tblObs[[#This Row],[Date]]="","",IF(tblObs[[#This Row],[Exclude]]="Yes","Excluded",IF(NOT(ISNUMBER(tblObs[[#This Row],[Loading (% of takt)]])),"",IF(tblObs[[#This Row],[Loading (% of takt)]]&gt;OverAt,"Over capacity",IF(tblObs[[#This Row],[Loading (% of takt)]]&gt;=NearAt,"Near capacity","Under capacity")))))</f>
        <v>Under capacity</v>
      </c>
      <c r="K95" s="42">
        <f>IF(tblObs[[#This Row],[Date]]="","",IF(AND(tblObs[[#This Row],[Exclude]]&lt;&gt;"Yes",tblObs[[#This Row],[Date]]&gt;=FFrom,tblObs[[#This Row],[Date]]&lt;=FTo),tblObs[[#This Row],[Date]],""))</f>
        <v>46280</v>
      </c>
      <c r="L95" s="30">
        <f>IF(tblObs[[#This Row],[Date]]="","",IF(AND(tblObs[[#This Row],[Station]]=ChartStation,ISNUMBER(tblObs[[#This Row],[View date]])),COUNTIFS(INDEX(tblObs[Station],1):tblObs[[#This Row],[Station]],tblObs[[#This Row],[Station]],INDEX(tblObs[View date],1):tblObs[[#This Row],[View date]],"&gt;0"),""))</f>
        <v/>
      </c>
      <c r="M95" s="43" t="str">
        <f>IF(tblObs[[#This Row],[Date]]="","",IF(tblObs[[#This Row],[Station]]="","Missing station",IF(tblObs[[#This Row],[Cycle (s)]]="","Missing cycle",IF(tblObs[[#This Row],[Exclude]]="","Missing exclude",IF(COUNTIF(tblStations[Station],tblObs[[#This Row],[Station]])=0,"Station not on Setup list",IF(AND(tblObs[[#This Row],[Exclude]]="Yes",tblObs[[#This Row],[Notes]]=""),"Exclude: no reason",IF(AND(tblObs[[#This Row],[Exclude]]&lt;&gt;"Yes",ISNUMBER(tblObs[[#This Row],[Standard (s)]]),tblObs[[#This Row],[Cycle (s)]]&gt;2*tblObs[[#This Row],[Standard (s)]]),"Over 2x standard","OK")))))))</f>
        <v>OK</v>
      </c>
      <c r="N95" s="44" t="s">
        <v>113</v>
      </c>
    </row>
    <row r="96" spans="2:14" x14ac:dyDescent="0.25">
      <c r="B96" s="37">
        <v>46280</v>
      </c>
      <c r="C96" s="28" t="s">
        <v>88</v>
      </c>
      <c r="D96" s="28" t="s">
        <v>126</v>
      </c>
      <c r="E96" s="35">
        <v>44.3</v>
      </c>
      <c r="F96" s="28" t="s">
        <v>112</v>
      </c>
      <c r="G96" s="38">
        <f>IF(tblObs[[#This Row],[Date]]="","",IFERROR(INDEX(tblStations[Standard cycle (s)],MATCH(tblObs[[#This Row],[Station]],tblStations[Station],0)),""))</f>
        <v>42</v>
      </c>
      <c r="H96" s="39">
        <f>IF(tblObs[[#This Row],[Date]]="","",IF(ISNUMBER(tblObs[[#This Row],[Standard (s)]]),tblObs[[#This Row],[Cycle (s)]]-tblObs[[#This Row],[Standard (s)]],""))</f>
        <v>2.3</v>
      </c>
      <c r="I96" s="40">
        <f>IF(tblObs[[#This Row],[Date]]="","",IF(ISNUMBER(Takt),tblObs[[#This Row],[Cycle (s)]]/Takt,""))</f>
        <v>0.791071428571429</v>
      </c>
      <c r="J96" s="41" t="str">
        <f>IF(tblObs[[#This Row],[Date]]="","",IF(tblObs[[#This Row],[Exclude]]="Yes","Excluded",IF(NOT(ISNUMBER(tblObs[[#This Row],[Loading (% of takt)]])),"",IF(tblObs[[#This Row],[Loading (% of takt)]]&gt;OverAt,"Over capacity",IF(tblObs[[#This Row],[Loading (% of takt)]]&gt;=NearAt,"Near capacity","Under capacity")))))</f>
        <v>Under capacity</v>
      </c>
      <c r="K96" s="42">
        <f>IF(tblObs[[#This Row],[Date]]="","",IF(AND(tblObs[[#This Row],[Exclude]]&lt;&gt;"Yes",tblObs[[#This Row],[Date]]&gt;=FFrom,tblObs[[#This Row],[Date]]&lt;=FTo),tblObs[[#This Row],[Date]],""))</f>
        <v>46280</v>
      </c>
      <c r="L96" s="30">
        <f>IF(tblObs[[#This Row],[Date]]="","",IF(AND(tblObs[[#This Row],[Station]]=ChartStation,ISNUMBER(tblObs[[#This Row],[View date]])),COUNTIFS(INDEX(tblObs[Station],1):tblObs[[#This Row],[Station]],tblObs[[#This Row],[Station]],INDEX(tblObs[View date],1):tblObs[[#This Row],[View date]],"&gt;0"),""))</f>
        <v/>
      </c>
      <c r="M96" s="43" t="str">
        <f>IF(tblObs[[#This Row],[Date]]="","",IF(tblObs[[#This Row],[Station]]="","Missing station",IF(tblObs[[#This Row],[Cycle (s)]]="","Missing cycle",IF(tblObs[[#This Row],[Exclude]]="","Missing exclude",IF(COUNTIF(tblStations[Station],tblObs[[#This Row],[Station]])=0,"Station not on Setup list",IF(AND(tblObs[[#This Row],[Exclude]]="Yes",tblObs[[#This Row],[Notes]]=""),"Exclude: no reason",IF(AND(tblObs[[#This Row],[Exclude]]&lt;&gt;"Yes",ISNUMBER(tblObs[[#This Row],[Standard (s)]]),tblObs[[#This Row],[Cycle (s)]]&gt;2*tblObs[[#This Row],[Standard (s)]]),"Over 2x standard","OK")))))))</f>
        <v>OK</v>
      </c>
      <c r="N96" s="44" t="s">
        <v>113</v>
      </c>
    </row>
    <row r="97" spans="2:14" x14ac:dyDescent="0.25">
      <c r="B97" s="37">
        <v>46280</v>
      </c>
      <c r="C97" s="28" t="s">
        <v>88</v>
      </c>
      <c r="D97" s="28" t="s">
        <v>126</v>
      </c>
      <c r="E97" s="35">
        <v>41.3</v>
      </c>
      <c r="F97" s="28" t="s">
        <v>112</v>
      </c>
      <c r="G97" s="38">
        <f>IF(tblObs[[#This Row],[Date]]="","",IFERROR(INDEX(tblStations[Standard cycle (s)],MATCH(tblObs[[#This Row],[Station]],tblStations[Station],0)),""))</f>
        <v>42</v>
      </c>
      <c r="H97" s="39">
        <f>IF(tblObs[[#This Row],[Date]]="","",IF(ISNUMBER(tblObs[[#This Row],[Standard (s)]]),tblObs[[#This Row],[Cycle (s)]]-tblObs[[#This Row],[Standard (s)]],""))</f>
        <v>-0.700000000000003</v>
      </c>
      <c r="I97" s="40">
        <f>IF(tblObs[[#This Row],[Date]]="","",IF(ISNUMBER(Takt),tblObs[[#This Row],[Cycle (s)]]/Takt,""))</f>
        <v>0.7375</v>
      </c>
      <c r="J97" s="41" t="str">
        <f>IF(tblObs[[#This Row],[Date]]="","",IF(tblObs[[#This Row],[Exclude]]="Yes","Excluded",IF(NOT(ISNUMBER(tblObs[[#This Row],[Loading (% of takt)]])),"",IF(tblObs[[#This Row],[Loading (% of takt)]]&gt;OverAt,"Over capacity",IF(tblObs[[#This Row],[Loading (% of takt)]]&gt;=NearAt,"Near capacity","Under capacity")))))</f>
        <v>Under capacity</v>
      </c>
      <c r="K97" s="42">
        <f>IF(tblObs[[#This Row],[Date]]="","",IF(AND(tblObs[[#This Row],[Exclude]]&lt;&gt;"Yes",tblObs[[#This Row],[Date]]&gt;=FFrom,tblObs[[#This Row],[Date]]&lt;=FTo),tblObs[[#This Row],[Date]],""))</f>
        <v>46280</v>
      </c>
      <c r="L97" s="30">
        <f>IF(tblObs[[#This Row],[Date]]="","",IF(AND(tblObs[[#This Row],[Station]]=ChartStation,ISNUMBER(tblObs[[#This Row],[View date]])),COUNTIFS(INDEX(tblObs[Station],1):tblObs[[#This Row],[Station]],tblObs[[#This Row],[Station]],INDEX(tblObs[View date],1):tblObs[[#This Row],[View date]],"&gt;0"),""))</f>
        <v/>
      </c>
      <c r="M97" s="43" t="str">
        <f>IF(tblObs[[#This Row],[Date]]="","",IF(tblObs[[#This Row],[Station]]="","Missing station",IF(tblObs[[#This Row],[Cycle (s)]]="","Missing cycle",IF(tblObs[[#This Row],[Exclude]]="","Missing exclude",IF(COUNTIF(tblStations[Station],tblObs[[#This Row],[Station]])=0,"Station not on Setup list",IF(AND(tblObs[[#This Row],[Exclude]]="Yes",tblObs[[#This Row],[Notes]]=""),"Exclude: no reason",IF(AND(tblObs[[#This Row],[Exclude]]&lt;&gt;"Yes",ISNUMBER(tblObs[[#This Row],[Standard (s)]]),tblObs[[#This Row],[Cycle (s)]]&gt;2*tblObs[[#This Row],[Standard (s)]]),"Over 2x standard","OK")))))))</f>
        <v>OK</v>
      </c>
      <c r="N97" s="44" t="s">
        <v>113</v>
      </c>
    </row>
    <row r="98" spans="2:14" x14ac:dyDescent="0.25">
      <c r="B98" s="37">
        <v>46280</v>
      </c>
      <c r="C98" s="28" t="s">
        <v>88</v>
      </c>
      <c r="D98" s="28" t="s">
        <v>126</v>
      </c>
      <c r="E98" s="35">
        <v>43.6</v>
      </c>
      <c r="F98" s="28" t="s">
        <v>112</v>
      </c>
      <c r="G98" s="38">
        <f>IF(tblObs[[#This Row],[Date]]="","",IFERROR(INDEX(tblStations[Standard cycle (s)],MATCH(tblObs[[#This Row],[Station]],tblStations[Station],0)),""))</f>
        <v>42</v>
      </c>
      <c r="H98" s="39">
        <f>IF(tblObs[[#This Row],[Date]]="","",IF(ISNUMBER(tblObs[[#This Row],[Standard (s)]]),tblObs[[#This Row],[Cycle (s)]]-tblObs[[#This Row],[Standard (s)]],""))</f>
        <v>1.6</v>
      </c>
      <c r="I98" s="40">
        <f>IF(tblObs[[#This Row],[Date]]="","",IF(ISNUMBER(Takt),tblObs[[#This Row],[Cycle (s)]]/Takt,""))</f>
        <v>0.778571428571429</v>
      </c>
      <c r="J98" s="41" t="str">
        <f>IF(tblObs[[#This Row],[Date]]="","",IF(tblObs[[#This Row],[Exclude]]="Yes","Excluded",IF(NOT(ISNUMBER(tblObs[[#This Row],[Loading (% of takt)]])),"",IF(tblObs[[#This Row],[Loading (% of takt)]]&gt;OverAt,"Over capacity",IF(tblObs[[#This Row],[Loading (% of takt)]]&gt;=NearAt,"Near capacity","Under capacity")))))</f>
        <v>Under capacity</v>
      </c>
      <c r="K98" s="42">
        <f>IF(tblObs[[#This Row],[Date]]="","",IF(AND(tblObs[[#This Row],[Exclude]]&lt;&gt;"Yes",tblObs[[#This Row],[Date]]&gt;=FFrom,tblObs[[#This Row],[Date]]&lt;=FTo),tblObs[[#This Row],[Date]],""))</f>
        <v>46280</v>
      </c>
      <c r="L98" s="30">
        <f>IF(tblObs[[#This Row],[Date]]="","",IF(AND(tblObs[[#This Row],[Station]]=ChartStation,ISNUMBER(tblObs[[#This Row],[View date]])),COUNTIFS(INDEX(tblObs[Station],1):tblObs[[#This Row],[Station]],tblObs[[#This Row],[Station]],INDEX(tblObs[View date],1):tblObs[[#This Row],[View date]],"&gt;0"),""))</f>
        <v/>
      </c>
      <c r="M98" s="43" t="str">
        <f>IF(tblObs[[#This Row],[Date]]="","",IF(tblObs[[#This Row],[Station]]="","Missing station",IF(tblObs[[#This Row],[Cycle (s)]]="","Missing cycle",IF(tblObs[[#This Row],[Exclude]]="","Missing exclude",IF(COUNTIF(tblStations[Station],tblObs[[#This Row],[Station]])=0,"Station not on Setup list",IF(AND(tblObs[[#This Row],[Exclude]]="Yes",tblObs[[#This Row],[Notes]]=""),"Exclude: no reason",IF(AND(tblObs[[#This Row],[Exclude]]&lt;&gt;"Yes",ISNUMBER(tblObs[[#This Row],[Standard (s)]]),tblObs[[#This Row],[Cycle (s)]]&gt;2*tblObs[[#This Row],[Standard (s)]]),"Over 2x standard","OK")))))))</f>
        <v>OK</v>
      </c>
      <c r="N98" s="44" t="s">
        <v>113</v>
      </c>
    </row>
    <row r="99" spans="2:14" x14ac:dyDescent="0.25">
      <c r="B99" s="37">
        <v>46280</v>
      </c>
      <c r="C99" s="28" t="s">
        <v>88</v>
      </c>
      <c r="D99" s="28" t="s">
        <v>126</v>
      </c>
      <c r="E99" s="35">
        <v>43.7</v>
      </c>
      <c r="F99" s="28" t="s">
        <v>112</v>
      </c>
      <c r="G99" s="38">
        <f>IF(tblObs[[#This Row],[Date]]="","",IFERROR(INDEX(tblStations[Standard cycle (s)],MATCH(tblObs[[#This Row],[Station]],tblStations[Station],0)),""))</f>
        <v>42</v>
      </c>
      <c r="H99" s="39">
        <f>IF(tblObs[[#This Row],[Date]]="","",IF(ISNUMBER(tblObs[[#This Row],[Standard (s)]]),tblObs[[#This Row],[Cycle (s)]]-tblObs[[#This Row],[Standard (s)]],""))</f>
        <v>1.7</v>
      </c>
      <c r="I99" s="40">
        <f>IF(tblObs[[#This Row],[Date]]="","",IF(ISNUMBER(Takt),tblObs[[#This Row],[Cycle (s)]]/Takt,""))</f>
        <v>0.780357142857143</v>
      </c>
      <c r="J99" s="41" t="str">
        <f>IF(tblObs[[#This Row],[Date]]="","",IF(tblObs[[#This Row],[Exclude]]="Yes","Excluded",IF(NOT(ISNUMBER(tblObs[[#This Row],[Loading (% of takt)]])),"",IF(tblObs[[#This Row],[Loading (% of takt)]]&gt;OverAt,"Over capacity",IF(tblObs[[#This Row],[Loading (% of takt)]]&gt;=NearAt,"Near capacity","Under capacity")))))</f>
        <v>Under capacity</v>
      </c>
      <c r="K99" s="42">
        <f>IF(tblObs[[#This Row],[Date]]="","",IF(AND(tblObs[[#This Row],[Exclude]]&lt;&gt;"Yes",tblObs[[#This Row],[Date]]&gt;=FFrom,tblObs[[#This Row],[Date]]&lt;=FTo),tblObs[[#This Row],[Date]],""))</f>
        <v>46280</v>
      </c>
      <c r="L99" s="30">
        <f>IF(tblObs[[#This Row],[Date]]="","",IF(AND(tblObs[[#This Row],[Station]]=ChartStation,ISNUMBER(tblObs[[#This Row],[View date]])),COUNTIFS(INDEX(tblObs[Station],1):tblObs[[#This Row],[Station]],tblObs[[#This Row],[Station]],INDEX(tblObs[View date],1):tblObs[[#This Row],[View date]],"&gt;0"),""))</f>
        <v/>
      </c>
      <c r="M99" s="43" t="str">
        <f>IF(tblObs[[#This Row],[Date]]="","",IF(tblObs[[#This Row],[Station]]="","Missing station",IF(tblObs[[#This Row],[Cycle (s)]]="","Missing cycle",IF(tblObs[[#This Row],[Exclude]]="","Missing exclude",IF(COUNTIF(tblStations[Station],tblObs[[#This Row],[Station]])=0,"Station not on Setup list",IF(AND(tblObs[[#This Row],[Exclude]]="Yes",tblObs[[#This Row],[Notes]]=""),"Exclude: no reason",IF(AND(tblObs[[#This Row],[Exclude]]&lt;&gt;"Yes",ISNUMBER(tblObs[[#This Row],[Standard (s)]]),tblObs[[#This Row],[Cycle (s)]]&gt;2*tblObs[[#This Row],[Standard (s)]]),"Over 2x standard","OK")))))))</f>
        <v>OK</v>
      </c>
      <c r="N99" s="44" t="s">
        <v>113</v>
      </c>
    </row>
    <row r="100" spans="2:14" x14ac:dyDescent="0.25">
      <c r="B100" s="37">
        <v>46280</v>
      </c>
      <c r="C100" s="28" t="s">
        <v>88</v>
      </c>
      <c r="D100" s="28" t="s">
        <v>126</v>
      </c>
      <c r="E100" s="35">
        <v>44.5</v>
      </c>
      <c r="F100" s="28" t="s">
        <v>112</v>
      </c>
      <c r="G100" s="38">
        <f>IF(tblObs[[#This Row],[Date]]="","",IFERROR(INDEX(tblStations[Standard cycle (s)],MATCH(tblObs[[#This Row],[Station]],tblStations[Station],0)),""))</f>
        <v>42</v>
      </c>
      <c r="H100" s="39">
        <f>IF(tblObs[[#This Row],[Date]]="","",IF(ISNUMBER(tblObs[[#This Row],[Standard (s)]]),tblObs[[#This Row],[Cycle (s)]]-tblObs[[#This Row],[Standard (s)]],""))</f>
        <v>2.5</v>
      </c>
      <c r="I100" s="40">
        <f>IF(tblObs[[#This Row],[Date]]="","",IF(ISNUMBER(Takt),tblObs[[#This Row],[Cycle (s)]]/Takt,""))</f>
        <v>0.794642857142857</v>
      </c>
      <c r="J100" s="41" t="str">
        <f>IF(tblObs[[#This Row],[Date]]="","",IF(tblObs[[#This Row],[Exclude]]="Yes","Excluded",IF(NOT(ISNUMBER(tblObs[[#This Row],[Loading (% of takt)]])),"",IF(tblObs[[#This Row],[Loading (% of takt)]]&gt;OverAt,"Over capacity",IF(tblObs[[#This Row],[Loading (% of takt)]]&gt;=NearAt,"Near capacity","Under capacity")))))</f>
        <v>Under capacity</v>
      </c>
      <c r="K100" s="42">
        <f>IF(tblObs[[#This Row],[Date]]="","",IF(AND(tblObs[[#This Row],[Exclude]]&lt;&gt;"Yes",tblObs[[#This Row],[Date]]&gt;=FFrom,tblObs[[#This Row],[Date]]&lt;=FTo),tblObs[[#This Row],[Date]],""))</f>
        <v>46280</v>
      </c>
      <c r="L100" s="30">
        <f>IF(tblObs[[#This Row],[Date]]="","",IF(AND(tblObs[[#This Row],[Station]]=ChartStation,ISNUMBER(tblObs[[#This Row],[View date]])),COUNTIFS(INDEX(tblObs[Station],1):tblObs[[#This Row],[Station]],tblObs[[#This Row],[Station]],INDEX(tblObs[View date],1):tblObs[[#This Row],[View date]],"&gt;0"),""))</f>
        <v/>
      </c>
      <c r="M100" s="43" t="str">
        <f>IF(tblObs[[#This Row],[Date]]="","",IF(tblObs[[#This Row],[Station]]="","Missing station",IF(tblObs[[#This Row],[Cycle (s)]]="","Missing cycle",IF(tblObs[[#This Row],[Exclude]]="","Missing exclude",IF(COUNTIF(tblStations[Station],tblObs[[#This Row],[Station]])=0,"Station not on Setup list",IF(AND(tblObs[[#This Row],[Exclude]]="Yes",tblObs[[#This Row],[Notes]]=""),"Exclude: no reason",IF(AND(tblObs[[#This Row],[Exclude]]&lt;&gt;"Yes",ISNUMBER(tblObs[[#This Row],[Standard (s)]]),tblObs[[#This Row],[Cycle (s)]]&gt;2*tblObs[[#This Row],[Standard (s)]]),"Over 2x standard","OK")))))))</f>
        <v>OK</v>
      </c>
      <c r="N100" s="44" t="s">
        <v>113</v>
      </c>
    </row>
    <row r="101" spans="2:14" x14ac:dyDescent="0.25">
      <c r="B101" s="37">
        <v>46280</v>
      </c>
      <c r="C101" s="28" t="s">
        <v>88</v>
      </c>
      <c r="D101" s="28" t="s">
        <v>126</v>
      </c>
      <c r="E101" s="35">
        <v>45.2</v>
      </c>
      <c r="F101" s="28" t="s">
        <v>112</v>
      </c>
      <c r="G101" s="38">
        <f>IF(tblObs[[#This Row],[Date]]="","",IFERROR(INDEX(tblStations[Standard cycle (s)],MATCH(tblObs[[#This Row],[Station]],tblStations[Station],0)),""))</f>
        <v>42</v>
      </c>
      <c r="H101" s="39">
        <f>IF(tblObs[[#This Row],[Date]]="","",IF(ISNUMBER(tblObs[[#This Row],[Standard (s)]]),tblObs[[#This Row],[Cycle (s)]]-tblObs[[#This Row],[Standard (s)]],""))</f>
        <v>3.2</v>
      </c>
      <c r="I101" s="40">
        <f>IF(tblObs[[#This Row],[Date]]="","",IF(ISNUMBER(Takt),tblObs[[#This Row],[Cycle (s)]]/Takt,""))</f>
        <v>0.807142857142857</v>
      </c>
      <c r="J101" s="41" t="str">
        <f>IF(tblObs[[#This Row],[Date]]="","",IF(tblObs[[#This Row],[Exclude]]="Yes","Excluded",IF(NOT(ISNUMBER(tblObs[[#This Row],[Loading (% of takt)]])),"",IF(tblObs[[#This Row],[Loading (% of takt)]]&gt;OverAt,"Over capacity",IF(tblObs[[#This Row],[Loading (% of takt)]]&gt;=NearAt,"Near capacity","Under capacity")))))</f>
        <v>Under capacity</v>
      </c>
      <c r="K101" s="42">
        <f>IF(tblObs[[#This Row],[Date]]="","",IF(AND(tblObs[[#This Row],[Exclude]]&lt;&gt;"Yes",tblObs[[#This Row],[Date]]&gt;=FFrom,tblObs[[#This Row],[Date]]&lt;=FTo),tblObs[[#This Row],[Date]],""))</f>
        <v>46280</v>
      </c>
      <c r="L101" s="30">
        <f>IF(tblObs[[#This Row],[Date]]="","",IF(AND(tblObs[[#This Row],[Station]]=ChartStation,ISNUMBER(tblObs[[#This Row],[View date]])),COUNTIFS(INDEX(tblObs[Station],1):tblObs[[#This Row],[Station]],tblObs[[#This Row],[Station]],INDEX(tblObs[View date],1):tblObs[[#This Row],[View date]],"&gt;0"),""))</f>
        <v/>
      </c>
      <c r="M101" s="43" t="str">
        <f>IF(tblObs[[#This Row],[Date]]="","",IF(tblObs[[#This Row],[Station]]="","Missing station",IF(tblObs[[#This Row],[Cycle (s)]]="","Missing cycle",IF(tblObs[[#This Row],[Exclude]]="","Missing exclude",IF(COUNTIF(tblStations[Station],tblObs[[#This Row],[Station]])=0,"Station not on Setup list",IF(AND(tblObs[[#This Row],[Exclude]]="Yes",tblObs[[#This Row],[Notes]]=""),"Exclude: no reason",IF(AND(tblObs[[#This Row],[Exclude]]&lt;&gt;"Yes",ISNUMBER(tblObs[[#This Row],[Standard (s)]]),tblObs[[#This Row],[Cycle (s)]]&gt;2*tblObs[[#This Row],[Standard (s)]]),"Over 2x standard","OK")))))))</f>
        <v>OK</v>
      </c>
      <c r="N101" s="44" t="s">
        <v>113</v>
      </c>
    </row>
    <row r="102" spans="2:14" x14ac:dyDescent="0.25">
      <c r="B102" s="37">
        <v>46280</v>
      </c>
      <c r="C102" s="28" t="s">
        <v>90</v>
      </c>
      <c r="D102" s="28" t="s">
        <v>117</v>
      </c>
      <c r="E102" s="35">
        <v>51.5</v>
      </c>
      <c r="F102" s="28" t="s">
        <v>112</v>
      </c>
      <c r="G102" s="38">
        <f>IF(tblObs[[#This Row],[Date]]="","",IFERROR(INDEX(tblStations[Standard cycle (s)],MATCH(tblObs[[#This Row],[Station]],tblStations[Station],0)),""))</f>
        <v>49</v>
      </c>
      <c r="H102" s="39">
        <f>IF(tblObs[[#This Row],[Date]]="","",IF(ISNUMBER(tblObs[[#This Row],[Standard (s)]]),tblObs[[#This Row],[Cycle (s)]]-tblObs[[#This Row],[Standard (s)]],""))</f>
        <v>2.5</v>
      </c>
      <c r="I102" s="40">
        <f>IF(tblObs[[#This Row],[Date]]="","",IF(ISNUMBER(Takt),tblObs[[#This Row],[Cycle (s)]]/Takt,""))</f>
        <v>0.919642857142857</v>
      </c>
      <c r="J102" s="41" t="str">
        <f>IF(tblObs[[#This Row],[Date]]="","",IF(tblObs[[#This Row],[Exclude]]="Yes","Excluded",IF(NOT(ISNUMBER(tblObs[[#This Row],[Loading (% of takt)]])),"",IF(tblObs[[#This Row],[Loading (% of takt)]]&gt;OverAt,"Over capacity",IF(tblObs[[#This Row],[Loading (% of takt)]]&gt;=NearAt,"Near capacity","Under capacity")))))</f>
        <v>Near capacity</v>
      </c>
      <c r="K102" s="42">
        <f>IF(tblObs[[#This Row],[Date]]="","",IF(AND(tblObs[[#This Row],[Exclude]]&lt;&gt;"Yes",tblObs[[#This Row],[Date]]&gt;=FFrom,tblObs[[#This Row],[Date]]&lt;=FTo),tblObs[[#This Row],[Date]],""))</f>
        <v>46280</v>
      </c>
      <c r="L102" s="30">
        <f>IF(tblObs[[#This Row],[Date]]="","",IF(AND(tblObs[[#This Row],[Station]]=ChartStation,ISNUMBER(tblObs[[#This Row],[View date]])),COUNTIFS(INDEX(tblObs[Station],1):tblObs[[#This Row],[Station]],tblObs[[#This Row],[Station]],INDEX(tblObs[View date],1):tblObs[[#This Row],[View date]],"&gt;0"),""))</f>
        <v/>
      </c>
      <c r="M102" s="43" t="str">
        <f>IF(tblObs[[#This Row],[Date]]="","",IF(tblObs[[#This Row],[Station]]="","Missing station",IF(tblObs[[#This Row],[Cycle (s)]]="","Missing cycle",IF(tblObs[[#This Row],[Exclude]]="","Missing exclude",IF(COUNTIF(tblStations[Station],tblObs[[#This Row],[Station]])=0,"Station not on Setup list",IF(AND(tblObs[[#This Row],[Exclude]]="Yes",tblObs[[#This Row],[Notes]]=""),"Exclude: no reason",IF(AND(tblObs[[#This Row],[Exclude]]&lt;&gt;"Yes",ISNUMBER(tblObs[[#This Row],[Standard (s)]]),tblObs[[#This Row],[Cycle (s)]]&gt;2*tblObs[[#This Row],[Standard (s)]]),"Over 2x standard","OK")))))))</f>
        <v>OK</v>
      </c>
      <c r="N102" s="44" t="s">
        <v>113</v>
      </c>
    </row>
    <row r="103" spans="2:14" x14ac:dyDescent="0.25">
      <c r="B103" s="37">
        <v>46280</v>
      </c>
      <c r="C103" s="28" t="s">
        <v>90</v>
      </c>
      <c r="D103" s="28" t="s">
        <v>117</v>
      </c>
      <c r="E103" s="35">
        <v>49.7</v>
      </c>
      <c r="F103" s="28" t="s">
        <v>112</v>
      </c>
      <c r="G103" s="38">
        <f>IF(tblObs[[#This Row],[Date]]="","",IFERROR(INDEX(tblStations[Standard cycle (s)],MATCH(tblObs[[#This Row],[Station]],tblStations[Station],0)),""))</f>
        <v>49</v>
      </c>
      <c r="H103" s="39">
        <f>IF(tblObs[[#This Row],[Date]]="","",IF(ISNUMBER(tblObs[[#This Row],[Standard (s)]]),tblObs[[#This Row],[Cycle (s)]]-tblObs[[#This Row],[Standard (s)]],""))</f>
        <v>0.700000000000003</v>
      </c>
      <c r="I103" s="40">
        <f>IF(tblObs[[#This Row],[Date]]="","",IF(ISNUMBER(Takt),tblObs[[#This Row],[Cycle (s)]]/Takt,""))</f>
        <v>0.8875</v>
      </c>
      <c r="J103" s="41" t="str">
        <f>IF(tblObs[[#This Row],[Date]]="","",IF(tblObs[[#This Row],[Exclude]]="Yes","Excluded",IF(NOT(ISNUMBER(tblObs[[#This Row],[Loading (% of takt)]])),"",IF(tblObs[[#This Row],[Loading (% of takt)]]&gt;OverAt,"Over capacity",IF(tblObs[[#This Row],[Loading (% of takt)]]&gt;=NearAt,"Near capacity","Under capacity")))))</f>
        <v>Under capacity</v>
      </c>
      <c r="K103" s="42">
        <f>IF(tblObs[[#This Row],[Date]]="","",IF(AND(tblObs[[#This Row],[Exclude]]&lt;&gt;"Yes",tblObs[[#This Row],[Date]]&gt;=FFrom,tblObs[[#This Row],[Date]]&lt;=FTo),tblObs[[#This Row],[Date]],""))</f>
        <v>46280</v>
      </c>
      <c r="L103" s="30">
        <f>IF(tblObs[[#This Row],[Date]]="","",IF(AND(tblObs[[#This Row],[Station]]=ChartStation,ISNUMBER(tblObs[[#This Row],[View date]])),COUNTIFS(INDEX(tblObs[Station],1):tblObs[[#This Row],[Station]],tblObs[[#This Row],[Station]],INDEX(tblObs[View date],1):tblObs[[#This Row],[View date]],"&gt;0"),""))</f>
        <v/>
      </c>
      <c r="M103" s="43" t="str">
        <f>IF(tblObs[[#This Row],[Date]]="","",IF(tblObs[[#This Row],[Station]]="","Missing station",IF(tblObs[[#This Row],[Cycle (s)]]="","Missing cycle",IF(tblObs[[#This Row],[Exclude]]="","Missing exclude",IF(COUNTIF(tblStations[Station],tblObs[[#This Row],[Station]])=0,"Station not on Setup list",IF(AND(tblObs[[#This Row],[Exclude]]="Yes",tblObs[[#This Row],[Notes]]=""),"Exclude: no reason",IF(AND(tblObs[[#This Row],[Exclude]]&lt;&gt;"Yes",ISNUMBER(tblObs[[#This Row],[Standard (s)]]),tblObs[[#This Row],[Cycle (s)]]&gt;2*tblObs[[#This Row],[Standard (s)]]),"Over 2x standard","OK")))))))</f>
        <v>OK</v>
      </c>
      <c r="N103" s="44" t="s">
        <v>113</v>
      </c>
    </row>
    <row r="104" spans="2:14" x14ac:dyDescent="0.25">
      <c r="B104" s="37">
        <v>46280</v>
      </c>
      <c r="C104" s="28" t="s">
        <v>90</v>
      </c>
      <c r="D104" s="28" t="s">
        <v>117</v>
      </c>
      <c r="E104" s="35">
        <v>51.7</v>
      </c>
      <c r="F104" s="28" t="s">
        <v>112</v>
      </c>
      <c r="G104" s="38">
        <f>IF(tblObs[[#This Row],[Date]]="","",IFERROR(INDEX(tblStations[Standard cycle (s)],MATCH(tblObs[[#This Row],[Station]],tblStations[Station],0)),""))</f>
        <v>49</v>
      </c>
      <c r="H104" s="39">
        <f>IF(tblObs[[#This Row],[Date]]="","",IF(ISNUMBER(tblObs[[#This Row],[Standard (s)]]),tblObs[[#This Row],[Cycle (s)]]-tblObs[[#This Row],[Standard (s)]],""))</f>
        <v>2.7</v>
      </c>
      <c r="I104" s="40">
        <f>IF(tblObs[[#This Row],[Date]]="","",IF(ISNUMBER(Takt),tblObs[[#This Row],[Cycle (s)]]/Takt,""))</f>
        <v>0.923214285714286</v>
      </c>
      <c r="J104" s="41" t="str">
        <f>IF(tblObs[[#This Row],[Date]]="","",IF(tblObs[[#This Row],[Exclude]]="Yes","Excluded",IF(NOT(ISNUMBER(tblObs[[#This Row],[Loading (% of takt)]])),"",IF(tblObs[[#This Row],[Loading (% of takt)]]&gt;OverAt,"Over capacity",IF(tblObs[[#This Row],[Loading (% of takt)]]&gt;=NearAt,"Near capacity","Under capacity")))))</f>
        <v>Near capacity</v>
      </c>
      <c r="K104" s="42">
        <f>IF(tblObs[[#This Row],[Date]]="","",IF(AND(tblObs[[#This Row],[Exclude]]&lt;&gt;"Yes",tblObs[[#This Row],[Date]]&gt;=FFrom,tblObs[[#This Row],[Date]]&lt;=FTo),tblObs[[#This Row],[Date]],""))</f>
        <v>46280</v>
      </c>
      <c r="L104" s="30">
        <f>IF(tblObs[[#This Row],[Date]]="","",IF(AND(tblObs[[#This Row],[Station]]=ChartStation,ISNUMBER(tblObs[[#This Row],[View date]])),COUNTIFS(INDEX(tblObs[Station],1):tblObs[[#This Row],[Station]],tblObs[[#This Row],[Station]],INDEX(tblObs[View date],1):tblObs[[#This Row],[View date]],"&gt;0"),""))</f>
        <v/>
      </c>
      <c r="M104" s="43" t="str">
        <f>IF(tblObs[[#This Row],[Date]]="","",IF(tblObs[[#This Row],[Station]]="","Missing station",IF(tblObs[[#This Row],[Cycle (s)]]="","Missing cycle",IF(tblObs[[#This Row],[Exclude]]="","Missing exclude",IF(COUNTIF(tblStations[Station],tblObs[[#This Row],[Station]])=0,"Station not on Setup list",IF(AND(tblObs[[#This Row],[Exclude]]="Yes",tblObs[[#This Row],[Notes]]=""),"Exclude: no reason",IF(AND(tblObs[[#This Row],[Exclude]]&lt;&gt;"Yes",ISNUMBER(tblObs[[#This Row],[Standard (s)]]),tblObs[[#This Row],[Cycle (s)]]&gt;2*tblObs[[#This Row],[Standard (s)]]),"Over 2x standard","OK")))))))</f>
        <v>OK</v>
      </c>
      <c r="N104" s="44" t="s">
        <v>113</v>
      </c>
    </row>
    <row r="105" spans="2:14" x14ac:dyDescent="0.25">
      <c r="B105" s="37">
        <v>46280</v>
      </c>
      <c r="C105" s="28" t="s">
        <v>90</v>
      </c>
      <c r="D105" s="28" t="s">
        <v>117</v>
      </c>
      <c r="E105" s="35">
        <v>56</v>
      </c>
      <c r="F105" s="28" t="s">
        <v>112</v>
      </c>
      <c r="G105" s="38">
        <f>IF(tblObs[[#This Row],[Date]]="","",IFERROR(INDEX(tblStations[Standard cycle (s)],MATCH(tblObs[[#This Row],[Station]],tblStations[Station],0)),""))</f>
        <v>49</v>
      </c>
      <c r="H105" s="39">
        <f>IF(tblObs[[#This Row],[Date]]="","",IF(ISNUMBER(tblObs[[#This Row],[Standard (s)]]),tblObs[[#This Row],[Cycle (s)]]-tblObs[[#This Row],[Standard (s)]],""))</f>
        <v>7</v>
      </c>
      <c r="I105" s="40">
        <f>IF(tblObs[[#This Row],[Date]]="","",IF(ISNUMBER(Takt),tblObs[[#This Row],[Cycle (s)]]/Takt,""))</f>
        <v>1</v>
      </c>
      <c r="J105" s="41" t="str">
        <f>IF(tblObs[[#This Row],[Date]]="","",IF(tblObs[[#This Row],[Exclude]]="Yes","Excluded",IF(NOT(ISNUMBER(tblObs[[#This Row],[Loading (% of takt)]])),"",IF(tblObs[[#This Row],[Loading (% of takt)]]&gt;OverAt,"Over capacity",IF(tblObs[[#This Row],[Loading (% of takt)]]&gt;=NearAt,"Near capacity","Under capacity")))))</f>
        <v>Near capacity</v>
      </c>
      <c r="K105" s="42">
        <f>IF(tblObs[[#This Row],[Date]]="","",IF(AND(tblObs[[#This Row],[Exclude]]&lt;&gt;"Yes",tblObs[[#This Row],[Date]]&gt;=FFrom,tblObs[[#This Row],[Date]]&lt;=FTo),tblObs[[#This Row],[Date]],""))</f>
        <v>46280</v>
      </c>
      <c r="L105" s="30">
        <f>IF(tblObs[[#This Row],[Date]]="","",IF(AND(tblObs[[#This Row],[Station]]=ChartStation,ISNUMBER(tblObs[[#This Row],[View date]])),COUNTIFS(INDEX(tblObs[Station],1):tblObs[[#This Row],[Station]],tblObs[[#This Row],[Station]],INDEX(tblObs[View date],1):tblObs[[#This Row],[View date]],"&gt;0"),""))</f>
        <v/>
      </c>
      <c r="M105" s="43" t="str">
        <f>IF(tblObs[[#This Row],[Date]]="","",IF(tblObs[[#This Row],[Station]]="","Missing station",IF(tblObs[[#This Row],[Cycle (s)]]="","Missing cycle",IF(tblObs[[#This Row],[Exclude]]="","Missing exclude",IF(COUNTIF(tblStations[Station],tblObs[[#This Row],[Station]])=0,"Station not on Setup list",IF(AND(tblObs[[#This Row],[Exclude]]="Yes",tblObs[[#This Row],[Notes]]=""),"Exclude: no reason",IF(AND(tblObs[[#This Row],[Exclude]]&lt;&gt;"Yes",ISNUMBER(tblObs[[#This Row],[Standard (s)]]),tblObs[[#This Row],[Cycle (s)]]&gt;2*tblObs[[#This Row],[Standard (s)]]),"Over 2x standard","OK")))))))</f>
        <v>OK</v>
      </c>
      <c r="N105" s="44" t="s">
        <v>113</v>
      </c>
    </row>
    <row r="106" spans="2:14" x14ac:dyDescent="0.25">
      <c r="B106" s="37">
        <v>46280</v>
      </c>
      <c r="C106" s="28" t="s">
        <v>90</v>
      </c>
      <c r="D106" s="28" t="s">
        <v>117</v>
      </c>
      <c r="E106" s="35">
        <v>48.7</v>
      </c>
      <c r="F106" s="28" t="s">
        <v>112</v>
      </c>
      <c r="G106" s="38">
        <f>IF(tblObs[[#This Row],[Date]]="","",IFERROR(INDEX(tblStations[Standard cycle (s)],MATCH(tblObs[[#This Row],[Station]],tblStations[Station],0)),""))</f>
        <v>49</v>
      </c>
      <c r="H106" s="39">
        <f>IF(tblObs[[#This Row],[Date]]="","",IF(ISNUMBER(tblObs[[#This Row],[Standard (s)]]),tblObs[[#This Row],[Cycle (s)]]-tblObs[[#This Row],[Standard (s)]],""))</f>
        <v>-0.299999999999997</v>
      </c>
      <c r="I106" s="40">
        <f>IF(tblObs[[#This Row],[Date]]="","",IF(ISNUMBER(Takt),tblObs[[#This Row],[Cycle (s)]]/Takt,""))</f>
        <v>0.869642857142857</v>
      </c>
      <c r="J106" s="41" t="str">
        <f>IF(tblObs[[#This Row],[Date]]="","",IF(tblObs[[#This Row],[Exclude]]="Yes","Excluded",IF(NOT(ISNUMBER(tblObs[[#This Row],[Loading (% of takt)]])),"",IF(tblObs[[#This Row],[Loading (% of takt)]]&gt;OverAt,"Over capacity",IF(tblObs[[#This Row],[Loading (% of takt)]]&gt;=NearAt,"Near capacity","Under capacity")))))</f>
        <v>Under capacity</v>
      </c>
      <c r="K106" s="42">
        <f>IF(tblObs[[#This Row],[Date]]="","",IF(AND(tblObs[[#This Row],[Exclude]]&lt;&gt;"Yes",tblObs[[#This Row],[Date]]&gt;=FFrom,tblObs[[#This Row],[Date]]&lt;=FTo),tblObs[[#This Row],[Date]],""))</f>
        <v>46280</v>
      </c>
      <c r="L106" s="30">
        <f>IF(tblObs[[#This Row],[Date]]="","",IF(AND(tblObs[[#This Row],[Station]]=ChartStation,ISNUMBER(tblObs[[#This Row],[View date]])),COUNTIFS(INDEX(tblObs[Station],1):tblObs[[#This Row],[Station]],tblObs[[#This Row],[Station]],INDEX(tblObs[View date],1):tblObs[[#This Row],[View date]],"&gt;0"),""))</f>
        <v/>
      </c>
      <c r="M106" s="43" t="str">
        <f>IF(tblObs[[#This Row],[Date]]="","",IF(tblObs[[#This Row],[Station]]="","Missing station",IF(tblObs[[#This Row],[Cycle (s)]]="","Missing cycle",IF(tblObs[[#This Row],[Exclude]]="","Missing exclude",IF(COUNTIF(tblStations[Station],tblObs[[#This Row],[Station]])=0,"Station not on Setup list",IF(AND(tblObs[[#This Row],[Exclude]]="Yes",tblObs[[#This Row],[Notes]]=""),"Exclude: no reason",IF(AND(tblObs[[#This Row],[Exclude]]&lt;&gt;"Yes",ISNUMBER(tblObs[[#This Row],[Standard (s)]]),tblObs[[#This Row],[Cycle (s)]]&gt;2*tblObs[[#This Row],[Standard (s)]]),"Over 2x standard","OK")))))))</f>
        <v>OK</v>
      </c>
      <c r="N106" s="44" t="s">
        <v>113</v>
      </c>
    </row>
    <row r="107" spans="2:14" x14ac:dyDescent="0.25">
      <c r="B107" s="37">
        <v>46280</v>
      </c>
      <c r="C107" s="28" t="s">
        <v>90</v>
      </c>
      <c r="D107" s="28" t="s">
        <v>117</v>
      </c>
      <c r="E107" s="35">
        <v>51.9</v>
      </c>
      <c r="F107" s="28" t="s">
        <v>112</v>
      </c>
      <c r="G107" s="38">
        <f>IF(tblObs[[#This Row],[Date]]="","",IFERROR(INDEX(tblStations[Standard cycle (s)],MATCH(tblObs[[#This Row],[Station]],tblStations[Station],0)),""))</f>
        <v>49</v>
      </c>
      <c r="H107" s="39">
        <f>IF(tblObs[[#This Row],[Date]]="","",IF(ISNUMBER(tblObs[[#This Row],[Standard (s)]]),tblObs[[#This Row],[Cycle (s)]]-tblObs[[#This Row],[Standard (s)]],""))</f>
        <v>2.9</v>
      </c>
      <c r="I107" s="40">
        <f>IF(tblObs[[#This Row],[Date]]="","",IF(ISNUMBER(Takt),tblObs[[#This Row],[Cycle (s)]]/Takt,""))</f>
        <v>0.926785714285714</v>
      </c>
      <c r="J107" s="41" t="str">
        <f>IF(tblObs[[#This Row],[Date]]="","",IF(tblObs[[#This Row],[Exclude]]="Yes","Excluded",IF(NOT(ISNUMBER(tblObs[[#This Row],[Loading (% of takt)]])),"",IF(tblObs[[#This Row],[Loading (% of takt)]]&gt;OverAt,"Over capacity",IF(tblObs[[#This Row],[Loading (% of takt)]]&gt;=NearAt,"Near capacity","Under capacity")))))</f>
        <v>Near capacity</v>
      </c>
      <c r="K107" s="42">
        <f>IF(tblObs[[#This Row],[Date]]="","",IF(AND(tblObs[[#This Row],[Exclude]]&lt;&gt;"Yes",tblObs[[#This Row],[Date]]&gt;=FFrom,tblObs[[#This Row],[Date]]&lt;=FTo),tblObs[[#This Row],[Date]],""))</f>
        <v>46280</v>
      </c>
      <c r="L107" s="30">
        <f>IF(tblObs[[#This Row],[Date]]="","",IF(AND(tblObs[[#This Row],[Station]]=ChartStation,ISNUMBER(tblObs[[#This Row],[View date]])),COUNTIFS(INDEX(tblObs[Station],1):tblObs[[#This Row],[Station]],tblObs[[#This Row],[Station]],INDEX(tblObs[View date],1):tblObs[[#This Row],[View date]],"&gt;0"),""))</f>
        <v/>
      </c>
      <c r="M107" s="43" t="str">
        <f>IF(tblObs[[#This Row],[Date]]="","",IF(tblObs[[#This Row],[Station]]="","Missing station",IF(tblObs[[#This Row],[Cycle (s)]]="","Missing cycle",IF(tblObs[[#This Row],[Exclude]]="","Missing exclude",IF(COUNTIF(tblStations[Station],tblObs[[#This Row],[Station]])=0,"Station not on Setup list",IF(AND(tblObs[[#This Row],[Exclude]]="Yes",tblObs[[#This Row],[Notes]]=""),"Exclude: no reason",IF(AND(tblObs[[#This Row],[Exclude]]&lt;&gt;"Yes",ISNUMBER(tblObs[[#This Row],[Standard (s)]]),tblObs[[#This Row],[Cycle (s)]]&gt;2*tblObs[[#This Row],[Standard (s)]]),"Over 2x standard","OK")))))))</f>
        <v>OK</v>
      </c>
      <c r="N107" s="44" t="s">
        <v>113</v>
      </c>
    </row>
    <row r="108" spans="2:14" x14ac:dyDescent="0.25">
      <c r="B108" s="37">
        <v>46280</v>
      </c>
      <c r="C108" s="28" t="s">
        <v>92</v>
      </c>
      <c r="D108" s="28" t="s">
        <v>118</v>
      </c>
      <c r="E108" s="35">
        <v>52.2</v>
      </c>
      <c r="F108" s="28" t="s">
        <v>112</v>
      </c>
      <c r="G108" s="38">
        <f>IF(tblObs[[#This Row],[Date]]="","",IFERROR(INDEX(tblStations[Standard cycle (s)],MATCH(tblObs[[#This Row],[Station]],tblStations[Station],0)),""))</f>
        <v>54</v>
      </c>
      <c r="H108" s="39">
        <f>IF(tblObs[[#This Row],[Date]]="","",IF(ISNUMBER(tblObs[[#This Row],[Standard (s)]]),tblObs[[#This Row],[Cycle (s)]]-tblObs[[#This Row],[Standard (s)]],""))</f>
        <v>-1.8</v>
      </c>
      <c r="I108" s="40">
        <f>IF(tblObs[[#This Row],[Date]]="","",IF(ISNUMBER(Takt),tblObs[[#This Row],[Cycle (s)]]/Takt,""))</f>
        <v>0.932142857142857</v>
      </c>
      <c r="J108" s="41" t="str">
        <f>IF(tblObs[[#This Row],[Date]]="","",IF(tblObs[[#This Row],[Exclude]]="Yes","Excluded",IF(NOT(ISNUMBER(tblObs[[#This Row],[Loading (% of takt)]])),"",IF(tblObs[[#This Row],[Loading (% of takt)]]&gt;OverAt,"Over capacity",IF(tblObs[[#This Row],[Loading (% of takt)]]&gt;=NearAt,"Near capacity","Under capacity")))))</f>
        <v>Near capacity</v>
      </c>
      <c r="K108" s="42">
        <f>IF(tblObs[[#This Row],[Date]]="","",IF(AND(tblObs[[#This Row],[Exclude]]&lt;&gt;"Yes",tblObs[[#This Row],[Date]]&gt;=FFrom,tblObs[[#This Row],[Date]]&lt;=FTo),tblObs[[#This Row],[Date]],""))</f>
        <v>46280</v>
      </c>
      <c r="L108" s="30">
        <f>IF(tblObs[[#This Row],[Date]]="","",IF(AND(tblObs[[#This Row],[Station]]=ChartStation,ISNUMBER(tblObs[[#This Row],[View date]])),COUNTIFS(INDEX(tblObs[Station],1):tblObs[[#This Row],[Station]],tblObs[[#This Row],[Station]],INDEX(tblObs[View date],1):tblObs[[#This Row],[View date]],"&gt;0"),""))</f>
        <v>14</v>
      </c>
      <c r="M108" s="43" t="str">
        <f>IF(tblObs[[#This Row],[Date]]="","",IF(tblObs[[#This Row],[Station]]="","Missing station",IF(tblObs[[#This Row],[Cycle (s)]]="","Missing cycle",IF(tblObs[[#This Row],[Exclude]]="","Missing exclude",IF(COUNTIF(tblStations[Station],tblObs[[#This Row],[Station]])=0,"Station not on Setup list",IF(AND(tblObs[[#This Row],[Exclude]]="Yes",tblObs[[#This Row],[Notes]]=""),"Exclude: no reason",IF(AND(tblObs[[#This Row],[Exclude]]&lt;&gt;"Yes",ISNUMBER(tblObs[[#This Row],[Standard (s)]]),tblObs[[#This Row],[Cycle (s)]]&gt;2*tblObs[[#This Row],[Standard (s)]]),"Over 2x standard","OK")))))))</f>
        <v>OK</v>
      </c>
      <c r="N108" s="44" t="s">
        <v>127</v>
      </c>
    </row>
    <row r="109" spans="2:14" x14ac:dyDescent="0.25">
      <c r="B109" s="37">
        <v>46280</v>
      </c>
      <c r="C109" s="28" t="s">
        <v>92</v>
      </c>
      <c r="D109" s="28" t="s">
        <v>118</v>
      </c>
      <c r="E109" s="35">
        <v>54.1</v>
      </c>
      <c r="F109" s="28" t="s">
        <v>112</v>
      </c>
      <c r="G109" s="38">
        <f>IF(tblObs[[#This Row],[Date]]="","",IFERROR(INDEX(tblStations[Standard cycle (s)],MATCH(tblObs[[#This Row],[Station]],tblStations[Station],0)),""))</f>
        <v>54</v>
      </c>
      <c r="H109" s="39">
        <f>IF(tblObs[[#This Row],[Date]]="","",IF(ISNUMBER(tblObs[[#This Row],[Standard (s)]]),tblObs[[#This Row],[Cycle (s)]]-tblObs[[#This Row],[Standard (s)]],""))</f>
        <v>0.100000000000001</v>
      </c>
      <c r="I109" s="40">
        <f>IF(tblObs[[#This Row],[Date]]="","",IF(ISNUMBER(Takt),tblObs[[#This Row],[Cycle (s)]]/Takt,""))</f>
        <v>0.966071428571429</v>
      </c>
      <c r="J109" s="41" t="str">
        <f>IF(tblObs[[#This Row],[Date]]="","",IF(tblObs[[#This Row],[Exclude]]="Yes","Excluded",IF(NOT(ISNUMBER(tblObs[[#This Row],[Loading (% of takt)]])),"",IF(tblObs[[#This Row],[Loading (% of takt)]]&gt;OverAt,"Over capacity",IF(tblObs[[#This Row],[Loading (% of takt)]]&gt;=NearAt,"Near capacity","Under capacity")))))</f>
        <v>Near capacity</v>
      </c>
      <c r="K109" s="42">
        <f>IF(tblObs[[#This Row],[Date]]="","",IF(AND(tblObs[[#This Row],[Exclude]]&lt;&gt;"Yes",tblObs[[#This Row],[Date]]&gt;=FFrom,tblObs[[#This Row],[Date]]&lt;=FTo),tblObs[[#This Row],[Date]],""))</f>
        <v>46280</v>
      </c>
      <c r="L109" s="30">
        <f>IF(tblObs[[#This Row],[Date]]="","",IF(AND(tblObs[[#This Row],[Station]]=ChartStation,ISNUMBER(tblObs[[#This Row],[View date]])),COUNTIFS(INDEX(tblObs[Station],1):tblObs[[#This Row],[Station]],tblObs[[#This Row],[Station]],INDEX(tblObs[View date],1):tblObs[[#This Row],[View date]],"&gt;0"),""))</f>
        <v>15</v>
      </c>
      <c r="M109" s="43" t="str">
        <f>IF(tblObs[[#This Row],[Date]]="","",IF(tblObs[[#This Row],[Station]]="","Missing station",IF(tblObs[[#This Row],[Cycle (s)]]="","Missing cycle",IF(tblObs[[#This Row],[Exclude]]="","Missing exclude",IF(COUNTIF(tblStations[Station],tblObs[[#This Row],[Station]])=0,"Station not on Setup list",IF(AND(tblObs[[#This Row],[Exclude]]="Yes",tblObs[[#This Row],[Notes]]=""),"Exclude: no reason",IF(AND(tblObs[[#This Row],[Exclude]]&lt;&gt;"Yes",ISNUMBER(tblObs[[#This Row],[Standard (s)]]),tblObs[[#This Row],[Cycle (s)]]&gt;2*tblObs[[#This Row],[Standard (s)]]),"Over 2x standard","OK")))))))</f>
        <v>OK</v>
      </c>
      <c r="N109" s="44" t="s">
        <v>113</v>
      </c>
    </row>
    <row r="110" spans="2:14" x14ac:dyDescent="0.25">
      <c r="B110" s="37">
        <v>46280</v>
      </c>
      <c r="C110" s="28" t="s">
        <v>92</v>
      </c>
      <c r="D110" s="28" t="s">
        <v>118</v>
      </c>
      <c r="E110" s="35">
        <v>55.3</v>
      </c>
      <c r="F110" s="28" t="s">
        <v>112</v>
      </c>
      <c r="G110" s="38">
        <f>IF(tblObs[[#This Row],[Date]]="","",IFERROR(INDEX(tblStations[Standard cycle (s)],MATCH(tblObs[[#This Row],[Station]],tblStations[Station],0)),""))</f>
        <v>54</v>
      </c>
      <c r="H110" s="39">
        <f>IF(tblObs[[#This Row],[Date]]="","",IF(ISNUMBER(tblObs[[#This Row],[Standard (s)]]),tblObs[[#This Row],[Cycle (s)]]-tblObs[[#This Row],[Standard (s)]],""))</f>
        <v>1.3</v>
      </c>
      <c r="I110" s="40">
        <f>IF(tblObs[[#This Row],[Date]]="","",IF(ISNUMBER(Takt),tblObs[[#This Row],[Cycle (s)]]/Takt,""))</f>
        <v>0.9875</v>
      </c>
      <c r="J110" s="41" t="str">
        <f>IF(tblObs[[#This Row],[Date]]="","",IF(tblObs[[#This Row],[Exclude]]="Yes","Excluded",IF(NOT(ISNUMBER(tblObs[[#This Row],[Loading (% of takt)]])),"",IF(tblObs[[#This Row],[Loading (% of takt)]]&gt;OverAt,"Over capacity",IF(tblObs[[#This Row],[Loading (% of takt)]]&gt;=NearAt,"Near capacity","Under capacity")))))</f>
        <v>Near capacity</v>
      </c>
      <c r="K110" s="42">
        <f>IF(tblObs[[#This Row],[Date]]="","",IF(AND(tblObs[[#This Row],[Exclude]]&lt;&gt;"Yes",tblObs[[#This Row],[Date]]&gt;=FFrom,tblObs[[#This Row],[Date]]&lt;=FTo),tblObs[[#This Row],[Date]],""))</f>
        <v>46280</v>
      </c>
      <c r="L110" s="30">
        <f>IF(tblObs[[#This Row],[Date]]="","",IF(AND(tblObs[[#This Row],[Station]]=ChartStation,ISNUMBER(tblObs[[#This Row],[View date]])),COUNTIFS(INDEX(tblObs[Station],1):tblObs[[#This Row],[Station]],tblObs[[#This Row],[Station]],INDEX(tblObs[View date],1):tblObs[[#This Row],[View date]],"&gt;0"),""))</f>
        <v>16</v>
      </c>
      <c r="M110" s="43" t="str">
        <f>IF(tblObs[[#This Row],[Date]]="","",IF(tblObs[[#This Row],[Station]]="","Missing station",IF(tblObs[[#This Row],[Cycle (s)]]="","Missing cycle",IF(tblObs[[#This Row],[Exclude]]="","Missing exclude",IF(COUNTIF(tblStations[Station],tblObs[[#This Row],[Station]])=0,"Station not on Setup list",IF(AND(tblObs[[#This Row],[Exclude]]="Yes",tblObs[[#This Row],[Notes]]=""),"Exclude: no reason",IF(AND(tblObs[[#This Row],[Exclude]]&lt;&gt;"Yes",ISNUMBER(tblObs[[#This Row],[Standard (s)]]),tblObs[[#This Row],[Cycle (s)]]&gt;2*tblObs[[#This Row],[Standard (s)]]),"Over 2x standard","OK")))))))</f>
        <v>OK</v>
      </c>
      <c r="N110" s="44" t="s">
        <v>113</v>
      </c>
    </row>
    <row r="111" spans="2:14" x14ac:dyDescent="0.25">
      <c r="B111" s="37">
        <v>46280</v>
      </c>
      <c r="C111" s="28" t="s">
        <v>92</v>
      </c>
      <c r="D111" s="28" t="s">
        <v>118</v>
      </c>
      <c r="E111" s="35">
        <v>52.3</v>
      </c>
      <c r="F111" s="28" t="s">
        <v>112</v>
      </c>
      <c r="G111" s="38">
        <f>IF(tblObs[[#This Row],[Date]]="","",IFERROR(INDEX(tblStations[Standard cycle (s)],MATCH(tblObs[[#This Row],[Station]],tblStations[Station],0)),""))</f>
        <v>54</v>
      </c>
      <c r="H111" s="39">
        <f>IF(tblObs[[#This Row],[Date]]="","",IF(ISNUMBER(tblObs[[#This Row],[Standard (s)]]),tblObs[[#This Row],[Cycle (s)]]-tblObs[[#This Row],[Standard (s)]],""))</f>
        <v>-1.7</v>
      </c>
      <c r="I111" s="40">
        <f>IF(tblObs[[#This Row],[Date]]="","",IF(ISNUMBER(Takt),tblObs[[#This Row],[Cycle (s)]]/Takt,""))</f>
        <v>0.933928571428571</v>
      </c>
      <c r="J111" s="41" t="str">
        <f>IF(tblObs[[#This Row],[Date]]="","",IF(tblObs[[#This Row],[Exclude]]="Yes","Excluded",IF(NOT(ISNUMBER(tblObs[[#This Row],[Loading (% of takt)]])),"",IF(tblObs[[#This Row],[Loading (% of takt)]]&gt;OverAt,"Over capacity",IF(tblObs[[#This Row],[Loading (% of takt)]]&gt;=NearAt,"Near capacity","Under capacity")))))</f>
        <v>Near capacity</v>
      </c>
      <c r="K111" s="42">
        <f>IF(tblObs[[#This Row],[Date]]="","",IF(AND(tblObs[[#This Row],[Exclude]]&lt;&gt;"Yes",tblObs[[#This Row],[Date]]&gt;=FFrom,tblObs[[#This Row],[Date]]&lt;=FTo),tblObs[[#This Row],[Date]],""))</f>
        <v>46280</v>
      </c>
      <c r="L111" s="30">
        <f>IF(tblObs[[#This Row],[Date]]="","",IF(AND(tblObs[[#This Row],[Station]]=ChartStation,ISNUMBER(tblObs[[#This Row],[View date]])),COUNTIFS(INDEX(tblObs[Station],1):tblObs[[#This Row],[Station]],tblObs[[#This Row],[Station]],INDEX(tblObs[View date],1):tblObs[[#This Row],[View date]],"&gt;0"),""))</f>
        <v>17</v>
      </c>
      <c r="M111" s="43" t="str">
        <f>IF(tblObs[[#This Row],[Date]]="","",IF(tblObs[[#This Row],[Station]]="","Missing station",IF(tblObs[[#This Row],[Cycle (s)]]="","Missing cycle",IF(tblObs[[#This Row],[Exclude]]="","Missing exclude",IF(COUNTIF(tblStations[Station],tblObs[[#This Row],[Station]])=0,"Station not on Setup list",IF(AND(tblObs[[#This Row],[Exclude]]="Yes",tblObs[[#This Row],[Notes]]=""),"Exclude: no reason",IF(AND(tblObs[[#This Row],[Exclude]]&lt;&gt;"Yes",ISNUMBER(tblObs[[#This Row],[Standard (s)]]),tblObs[[#This Row],[Cycle (s)]]&gt;2*tblObs[[#This Row],[Standard (s)]]),"Over 2x standard","OK")))))))</f>
        <v>OK</v>
      </c>
      <c r="N111" s="44" t="s">
        <v>113</v>
      </c>
    </row>
    <row r="112" spans="2:14" x14ac:dyDescent="0.25">
      <c r="B112" s="37">
        <v>46280</v>
      </c>
      <c r="C112" s="28" t="s">
        <v>92</v>
      </c>
      <c r="D112" s="28" t="s">
        <v>118</v>
      </c>
      <c r="E112" s="35">
        <v>54.2</v>
      </c>
      <c r="F112" s="28" t="s">
        <v>112</v>
      </c>
      <c r="G112" s="38">
        <f>IF(tblObs[[#This Row],[Date]]="","",IFERROR(INDEX(tblStations[Standard cycle (s)],MATCH(tblObs[[#This Row],[Station]],tblStations[Station],0)),""))</f>
        <v>54</v>
      </c>
      <c r="H112" s="39">
        <f>IF(tblObs[[#This Row],[Date]]="","",IF(ISNUMBER(tblObs[[#This Row],[Standard (s)]]),tblObs[[#This Row],[Cycle (s)]]-tblObs[[#This Row],[Standard (s)]],""))</f>
        <v>0.200000000000003</v>
      </c>
      <c r="I112" s="40">
        <f>IF(tblObs[[#This Row],[Date]]="","",IF(ISNUMBER(Takt),tblObs[[#This Row],[Cycle (s)]]/Takt,""))</f>
        <v>0.967857142857143</v>
      </c>
      <c r="J112" s="41" t="str">
        <f>IF(tblObs[[#This Row],[Date]]="","",IF(tblObs[[#This Row],[Exclude]]="Yes","Excluded",IF(NOT(ISNUMBER(tblObs[[#This Row],[Loading (% of takt)]])),"",IF(tblObs[[#This Row],[Loading (% of takt)]]&gt;OverAt,"Over capacity",IF(tblObs[[#This Row],[Loading (% of takt)]]&gt;=NearAt,"Near capacity","Under capacity")))))</f>
        <v>Near capacity</v>
      </c>
      <c r="K112" s="42">
        <f>IF(tblObs[[#This Row],[Date]]="","",IF(AND(tblObs[[#This Row],[Exclude]]&lt;&gt;"Yes",tblObs[[#This Row],[Date]]&gt;=FFrom,tblObs[[#This Row],[Date]]&lt;=FTo),tblObs[[#This Row],[Date]],""))</f>
        <v>46280</v>
      </c>
      <c r="L112" s="30">
        <f>IF(tblObs[[#This Row],[Date]]="","",IF(AND(tblObs[[#This Row],[Station]]=ChartStation,ISNUMBER(tblObs[[#This Row],[View date]])),COUNTIFS(INDEX(tblObs[Station],1):tblObs[[#This Row],[Station]],tblObs[[#This Row],[Station]],INDEX(tblObs[View date],1):tblObs[[#This Row],[View date]],"&gt;0"),""))</f>
        <v>18</v>
      </c>
      <c r="M112" s="43" t="str">
        <f>IF(tblObs[[#This Row],[Date]]="","",IF(tblObs[[#This Row],[Station]]="","Missing station",IF(tblObs[[#This Row],[Cycle (s)]]="","Missing cycle",IF(tblObs[[#This Row],[Exclude]]="","Missing exclude",IF(COUNTIF(tblStations[Station],tblObs[[#This Row],[Station]])=0,"Station not on Setup list",IF(AND(tblObs[[#This Row],[Exclude]]="Yes",tblObs[[#This Row],[Notes]]=""),"Exclude: no reason",IF(AND(tblObs[[#This Row],[Exclude]]&lt;&gt;"Yes",ISNUMBER(tblObs[[#This Row],[Standard (s)]]),tblObs[[#This Row],[Cycle (s)]]&gt;2*tblObs[[#This Row],[Standard (s)]]),"Over 2x standard","OK")))))))</f>
        <v>OK</v>
      </c>
      <c r="N112" s="44" t="s">
        <v>113</v>
      </c>
    </row>
    <row r="113" spans="2:14" x14ac:dyDescent="0.25">
      <c r="B113" s="37">
        <v>46280</v>
      </c>
      <c r="C113" s="28" t="s">
        <v>92</v>
      </c>
      <c r="D113" s="28" t="s">
        <v>118</v>
      </c>
      <c r="E113" s="35">
        <v>54.2</v>
      </c>
      <c r="F113" s="28" t="s">
        <v>112</v>
      </c>
      <c r="G113" s="38">
        <f>IF(tblObs[[#This Row],[Date]]="","",IFERROR(INDEX(tblStations[Standard cycle (s)],MATCH(tblObs[[#This Row],[Station]],tblStations[Station],0)),""))</f>
        <v>54</v>
      </c>
      <c r="H113" s="39">
        <f>IF(tblObs[[#This Row],[Date]]="","",IF(ISNUMBER(tblObs[[#This Row],[Standard (s)]]),tblObs[[#This Row],[Cycle (s)]]-tblObs[[#This Row],[Standard (s)]],""))</f>
        <v>0.200000000000003</v>
      </c>
      <c r="I113" s="40">
        <f>IF(tblObs[[#This Row],[Date]]="","",IF(ISNUMBER(Takt),tblObs[[#This Row],[Cycle (s)]]/Takt,""))</f>
        <v>0.967857142857143</v>
      </c>
      <c r="J113" s="41" t="str">
        <f>IF(tblObs[[#This Row],[Date]]="","",IF(tblObs[[#This Row],[Exclude]]="Yes","Excluded",IF(NOT(ISNUMBER(tblObs[[#This Row],[Loading (% of takt)]])),"",IF(tblObs[[#This Row],[Loading (% of takt)]]&gt;OverAt,"Over capacity",IF(tblObs[[#This Row],[Loading (% of takt)]]&gt;=NearAt,"Near capacity","Under capacity")))))</f>
        <v>Near capacity</v>
      </c>
      <c r="K113" s="42">
        <f>IF(tblObs[[#This Row],[Date]]="","",IF(AND(tblObs[[#This Row],[Exclude]]&lt;&gt;"Yes",tblObs[[#This Row],[Date]]&gt;=FFrom,tblObs[[#This Row],[Date]]&lt;=FTo),tblObs[[#This Row],[Date]],""))</f>
        <v>46280</v>
      </c>
      <c r="L113" s="30">
        <f>IF(tblObs[[#This Row],[Date]]="","",IF(AND(tblObs[[#This Row],[Station]]=ChartStation,ISNUMBER(tblObs[[#This Row],[View date]])),COUNTIFS(INDEX(tblObs[Station],1):tblObs[[#This Row],[Station]],tblObs[[#This Row],[Station]],INDEX(tblObs[View date],1):tblObs[[#This Row],[View date]],"&gt;0"),""))</f>
        <v>19</v>
      </c>
      <c r="M113" s="43" t="str">
        <f>IF(tblObs[[#This Row],[Date]]="","",IF(tblObs[[#This Row],[Station]]="","Missing station",IF(tblObs[[#This Row],[Cycle (s)]]="","Missing cycle",IF(tblObs[[#This Row],[Exclude]]="","Missing exclude",IF(COUNTIF(tblStations[Station],tblObs[[#This Row],[Station]])=0,"Station not on Setup list",IF(AND(tblObs[[#This Row],[Exclude]]="Yes",tblObs[[#This Row],[Notes]]=""),"Exclude: no reason",IF(AND(tblObs[[#This Row],[Exclude]]&lt;&gt;"Yes",ISNUMBER(tblObs[[#This Row],[Standard (s)]]),tblObs[[#This Row],[Cycle (s)]]&gt;2*tblObs[[#This Row],[Standard (s)]]),"Over 2x standard","OK")))))))</f>
        <v>OK</v>
      </c>
      <c r="N113" s="44" t="s">
        <v>113</v>
      </c>
    </row>
    <row r="114" spans="2:14" x14ac:dyDescent="0.25">
      <c r="B114" s="37">
        <v>46280</v>
      </c>
      <c r="C114" s="28" t="s">
        <v>94</v>
      </c>
      <c r="D114" s="28" t="s">
        <v>120</v>
      </c>
      <c r="E114" s="35">
        <v>52.3</v>
      </c>
      <c r="F114" s="28" t="s">
        <v>112</v>
      </c>
      <c r="G114" s="38">
        <f>IF(tblObs[[#This Row],[Date]]="","",IFERROR(INDEX(tblStations[Standard cycle (s)],MATCH(tblObs[[#This Row],[Station]],tblStations[Station],0)),""))</f>
        <v>51</v>
      </c>
      <c r="H114" s="39">
        <f>IF(tblObs[[#This Row],[Date]]="","",IF(ISNUMBER(tblObs[[#This Row],[Standard (s)]]),tblObs[[#This Row],[Cycle (s)]]-tblObs[[#This Row],[Standard (s)]],""))</f>
        <v>1.3</v>
      </c>
      <c r="I114" s="40">
        <f>IF(tblObs[[#This Row],[Date]]="","",IF(ISNUMBER(Takt),tblObs[[#This Row],[Cycle (s)]]/Takt,""))</f>
        <v>0.933928571428571</v>
      </c>
      <c r="J114" s="41" t="str">
        <f>IF(tblObs[[#This Row],[Date]]="","",IF(tblObs[[#This Row],[Exclude]]="Yes","Excluded",IF(NOT(ISNUMBER(tblObs[[#This Row],[Loading (% of takt)]])),"",IF(tblObs[[#This Row],[Loading (% of takt)]]&gt;OverAt,"Over capacity",IF(tblObs[[#This Row],[Loading (% of takt)]]&gt;=NearAt,"Near capacity","Under capacity")))))</f>
        <v>Near capacity</v>
      </c>
      <c r="K114" s="42">
        <f>IF(tblObs[[#This Row],[Date]]="","",IF(AND(tblObs[[#This Row],[Exclude]]&lt;&gt;"Yes",tblObs[[#This Row],[Date]]&gt;=FFrom,tblObs[[#This Row],[Date]]&lt;=FTo),tblObs[[#This Row],[Date]],""))</f>
        <v>46280</v>
      </c>
      <c r="L114" s="30">
        <f>IF(tblObs[[#This Row],[Date]]="","",IF(AND(tblObs[[#This Row],[Station]]=ChartStation,ISNUMBER(tblObs[[#This Row],[View date]])),COUNTIFS(INDEX(tblObs[Station],1):tblObs[[#This Row],[Station]],tblObs[[#This Row],[Station]],INDEX(tblObs[View date],1):tblObs[[#This Row],[View date]],"&gt;0"),""))</f>
        <v/>
      </c>
      <c r="M114" s="43" t="str">
        <f>IF(tblObs[[#This Row],[Date]]="","",IF(tblObs[[#This Row],[Station]]="","Missing station",IF(tblObs[[#This Row],[Cycle (s)]]="","Missing cycle",IF(tblObs[[#This Row],[Exclude]]="","Missing exclude",IF(COUNTIF(tblStations[Station],tblObs[[#This Row],[Station]])=0,"Station not on Setup list",IF(AND(tblObs[[#This Row],[Exclude]]="Yes",tblObs[[#This Row],[Notes]]=""),"Exclude: no reason",IF(AND(tblObs[[#This Row],[Exclude]]&lt;&gt;"Yes",ISNUMBER(tblObs[[#This Row],[Standard (s)]]),tblObs[[#This Row],[Cycle (s)]]&gt;2*tblObs[[#This Row],[Standard (s)]]),"Over 2x standard","OK")))))))</f>
        <v>OK</v>
      </c>
      <c r="N114" s="44" t="s">
        <v>113</v>
      </c>
    </row>
    <row r="115" spans="2:14" x14ac:dyDescent="0.25">
      <c r="B115" s="37">
        <v>46280</v>
      </c>
      <c r="C115" s="28" t="s">
        <v>94</v>
      </c>
      <c r="D115" s="28" t="s">
        <v>120</v>
      </c>
      <c r="E115" s="35">
        <v>52</v>
      </c>
      <c r="F115" s="28" t="s">
        <v>112</v>
      </c>
      <c r="G115" s="38">
        <f>IF(tblObs[[#This Row],[Date]]="","",IFERROR(INDEX(tblStations[Standard cycle (s)],MATCH(tblObs[[#This Row],[Station]],tblStations[Station],0)),""))</f>
        <v>51</v>
      </c>
      <c r="H115" s="39">
        <f>IF(tblObs[[#This Row],[Date]]="","",IF(ISNUMBER(tblObs[[#This Row],[Standard (s)]]),tblObs[[#This Row],[Cycle (s)]]-tblObs[[#This Row],[Standard (s)]],""))</f>
        <v>1</v>
      </c>
      <c r="I115" s="40">
        <f>IF(tblObs[[#This Row],[Date]]="","",IF(ISNUMBER(Takt),tblObs[[#This Row],[Cycle (s)]]/Takt,""))</f>
        <v>0.928571428571429</v>
      </c>
      <c r="J115" s="41" t="str">
        <f>IF(tblObs[[#This Row],[Date]]="","",IF(tblObs[[#This Row],[Exclude]]="Yes","Excluded",IF(NOT(ISNUMBER(tblObs[[#This Row],[Loading (% of takt)]])),"",IF(tblObs[[#This Row],[Loading (% of takt)]]&gt;OverAt,"Over capacity",IF(tblObs[[#This Row],[Loading (% of takt)]]&gt;=NearAt,"Near capacity","Under capacity")))))</f>
        <v>Near capacity</v>
      </c>
      <c r="K115" s="42">
        <f>IF(tblObs[[#This Row],[Date]]="","",IF(AND(tblObs[[#This Row],[Exclude]]&lt;&gt;"Yes",tblObs[[#This Row],[Date]]&gt;=FFrom,tblObs[[#This Row],[Date]]&lt;=FTo),tblObs[[#This Row],[Date]],""))</f>
        <v>46280</v>
      </c>
      <c r="L115" s="30">
        <f>IF(tblObs[[#This Row],[Date]]="","",IF(AND(tblObs[[#This Row],[Station]]=ChartStation,ISNUMBER(tblObs[[#This Row],[View date]])),COUNTIFS(INDEX(tblObs[Station],1):tblObs[[#This Row],[Station]],tblObs[[#This Row],[Station]],INDEX(tblObs[View date],1):tblObs[[#This Row],[View date]],"&gt;0"),""))</f>
        <v/>
      </c>
      <c r="M115" s="43" t="str">
        <f>IF(tblObs[[#This Row],[Date]]="","",IF(tblObs[[#This Row],[Station]]="","Missing station",IF(tblObs[[#This Row],[Cycle (s)]]="","Missing cycle",IF(tblObs[[#This Row],[Exclude]]="","Missing exclude",IF(COUNTIF(tblStations[Station],tblObs[[#This Row],[Station]])=0,"Station not on Setup list",IF(AND(tblObs[[#This Row],[Exclude]]="Yes",tblObs[[#This Row],[Notes]]=""),"Exclude: no reason",IF(AND(tblObs[[#This Row],[Exclude]]&lt;&gt;"Yes",ISNUMBER(tblObs[[#This Row],[Standard (s)]]),tblObs[[#This Row],[Cycle (s)]]&gt;2*tblObs[[#This Row],[Standard (s)]]),"Over 2x standard","OK")))))))</f>
        <v>OK</v>
      </c>
      <c r="N115" s="44" t="s">
        <v>113</v>
      </c>
    </row>
    <row r="116" spans="2:14" x14ac:dyDescent="0.25">
      <c r="B116" s="37">
        <v>46280</v>
      </c>
      <c r="C116" s="28" t="s">
        <v>94</v>
      </c>
      <c r="D116" s="28" t="s">
        <v>120</v>
      </c>
      <c r="E116" s="35">
        <v>51.5</v>
      </c>
      <c r="F116" s="28" t="s">
        <v>112</v>
      </c>
      <c r="G116" s="38">
        <f>IF(tblObs[[#This Row],[Date]]="","",IFERROR(INDEX(tblStations[Standard cycle (s)],MATCH(tblObs[[#This Row],[Station]],tblStations[Station],0)),""))</f>
        <v>51</v>
      </c>
      <c r="H116" s="39">
        <f>IF(tblObs[[#This Row],[Date]]="","",IF(ISNUMBER(tblObs[[#This Row],[Standard (s)]]),tblObs[[#This Row],[Cycle (s)]]-tblObs[[#This Row],[Standard (s)]],""))</f>
        <v>0.5</v>
      </c>
      <c r="I116" s="40">
        <f>IF(tblObs[[#This Row],[Date]]="","",IF(ISNUMBER(Takt),tblObs[[#This Row],[Cycle (s)]]/Takt,""))</f>
        <v>0.919642857142857</v>
      </c>
      <c r="J116" s="41" t="str">
        <f>IF(tblObs[[#This Row],[Date]]="","",IF(tblObs[[#This Row],[Exclude]]="Yes","Excluded",IF(NOT(ISNUMBER(tblObs[[#This Row],[Loading (% of takt)]])),"",IF(tblObs[[#This Row],[Loading (% of takt)]]&gt;OverAt,"Over capacity",IF(tblObs[[#This Row],[Loading (% of takt)]]&gt;=NearAt,"Near capacity","Under capacity")))))</f>
        <v>Near capacity</v>
      </c>
      <c r="K116" s="42">
        <f>IF(tblObs[[#This Row],[Date]]="","",IF(AND(tblObs[[#This Row],[Exclude]]&lt;&gt;"Yes",tblObs[[#This Row],[Date]]&gt;=FFrom,tblObs[[#This Row],[Date]]&lt;=FTo),tblObs[[#This Row],[Date]],""))</f>
        <v>46280</v>
      </c>
      <c r="L116" s="30">
        <f>IF(tblObs[[#This Row],[Date]]="","",IF(AND(tblObs[[#This Row],[Station]]=ChartStation,ISNUMBER(tblObs[[#This Row],[View date]])),COUNTIFS(INDEX(tblObs[Station],1):tblObs[[#This Row],[Station]],tblObs[[#This Row],[Station]],INDEX(tblObs[View date],1):tblObs[[#This Row],[View date]],"&gt;0"),""))</f>
        <v/>
      </c>
      <c r="M116" s="43" t="str">
        <f>IF(tblObs[[#This Row],[Date]]="","",IF(tblObs[[#This Row],[Station]]="","Missing station",IF(tblObs[[#This Row],[Cycle (s)]]="","Missing cycle",IF(tblObs[[#This Row],[Exclude]]="","Missing exclude",IF(COUNTIF(tblStations[Station],tblObs[[#This Row],[Station]])=0,"Station not on Setup list",IF(AND(tblObs[[#This Row],[Exclude]]="Yes",tblObs[[#This Row],[Notes]]=""),"Exclude: no reason",IF(AND(tblObs[[#This Row],[Exclude]]&lt;&gt;"Yes",ISNUMBER(tblObs[[#This Row],[Standard (s)]]),tblObs[[#This Row],[Cycle (s)]]&gt;2*tblObs[[#This Row],[Standard (s)]]),"Over 2x standard","OK")))))))</f>
        <v>OK</v>
      </c>
      <c r="N116" s="44" t="s">
        <v>113</v>
      </c>
    </row>
    <row r="117" spans="2:14" x14ac:dyDescent="0.25">
      <c r="B117" s="37">
        <v>46280</v>
      </c>
      <c r="C117" s="28" t="s">
        <v>94</v>
      </c>
      <c r="D117" s="28" t="s">
        <v>120</v>
      </c>
      <c r="E117" s="35">
        <v>51.9</v>
      </c>
      <c r="F117" s="28" t="s">
        <v>112</v>
      </c>
      <c r="G117" s="38">
        <f>IF(tblObs[[#This Row],[Date]]="","",IFERROR(INDEX(tblStations[Standard cycle (s)],MATCH(tblObs[[#This Row],[Station]],tblStations[Station],0)),""))</f>
        <v>51</v>
      </c>
      <c r="H117" s="39">
        <f>IF(tblObs[[#This Row],[Date]]="","",IF(ISNUMBER(tblObs[[#This Row],[Standard (s)]]),tblObs[[#This Row],[Cycle (s)]]-tblObs[[#This Row],[Standard (s)]],""))</f>
        <v>0.899999999999999</v>
      </c>
      <c r="I117" s="40">
        <f>IF(tblObs[[#This Row],[Date]]="","",IF(ISNUMBER(Takt),tblObs[[#This Row],[Cycle (s)]]/Takt,""))</f>
        <v>0.926785714285714</v>
      </c>
      <c r="J117" s="41" t="str">
        <f>IF(tblObs[[#This Row],[Date]]="","",IF(tblObs[[#This Row],[Exclude]]="Yes","Excluded",IF(NOT(ISNUMBER(tblObs[[#This Row],[Loading (% of takt)]])),"",IF(tblObs[[#This Row],[Loading (% of takt)]]&gt;OverAt,"Over capacity",IF(tblObs[[#This Row],[Loading (% of takt)]]&gt;=NearAt,"Near capacity","Under capacity")))))</f>
        <v>Near capacity</v>
      </c>
      <c r="K117" s="42">
        <f>IF(tblObs[[#This Row],[Date]]="","",IF(AND(tblObs[[#This Row],[Exclude]]&lt;&gt;"Yes",tblObs[[#This Row],[Date]]&gt;=FFrom,tblObs[[#This Row],[Date]]&lt;=FTo),tblObs[[#This Row],[Date]],""))</f>
        <v>46280</v>
      </c>
      <c r="L117" s="30">
        <f>IF(tblObs[[#This Row],[Date]]="","",IF(AND(tblObs[[#This Row],[Station]]=ChartStation,ISNUMBER(tblObs[[#This Row],[View date]])),COUNTIFS(INDEX(tblObs[Station],1):tblObs[[#This Row],[Station]],tblObs[[#This Row],[Station]],INDEX(tblObs[View date],1):tblObs[[#This Row],[View date]],"&gt;0"),""))</f>
        <v/>
      </c>
      <c r="M117" s="43" t="str">
        <f>IF(tblObs[[#This Row],[Date]]="","",IF(tblObs[[#This Row],[Station]]="","Missing station",IF(tblObs[[#This Row],[Cycle (s)]]="","Missing cycle",IF(tblObs[[#This Row],[Exclude]]="","Missing exclude",IF(COUNTIF(tblStations[Station],tblObs[[#This Row],[Station]])=0,"Station not on Setup list",IF(AND(tblObs[[#This Row],[Exclude]]="Yes",tblObs[[#This Row],[Notes]]=""),"Exclude: no reason",IF(AND(tblObs[[#This Row],[Exclude]]&lt;&gt;"Yes",ISNUMBER(tblObs[[#This Row],[Standard (s)]]),tblObs[[#This Row],[Cycle (s)]]&gt;2*tblObs[[#This Row],[Standard (s)]]),"Over 2x standard","OK")))))))</f>
        <v>OK</v>
      </c>
      <c r="N117" s="44" t="s">
        <v>113</v>
      </c>
    </row>
    <row r="118" spans="2:14" x14ac:dyDescent="0.25">
      <c r="B118" s="37">
        <v>46280</v>
      </c>
      <c r="C118" s="28" t="s">
        <v>94</v>
      </c>
      <c r="D118" s="28" t="s">
        <v>120</v>
      </c>
      <c r="E118" s="35">
        <v>51.9</v>
      </c>
      <c r="F118" s="28" t="s">
        <v>112</v>
      </c>
      <c r="G118" s="38">
        <f>IF(tblObs[[#This Row],[Date]]="","",IFERROR(INDEX(tblStations[Standard cycle (s)],MATCH(tblObs[[#This Row],[Station]],tblStations[Station],0)),""))</f>
        <v>51</v>
      </c>
      <c r="H118" s="39">
        <f>IF(tblObs[[#This Row],[Date]]="","",IF(ISNUMBER(tblObs[[#This Row],[Standard (s)]]),tblObs[[#This Row],[Cycle (s)]]-tblObs[[#This Row],[Standard (s)]],""))</f>
        <v>0.899999999999999</v>
      </c>
      <c r="I118" s="40">
        <f>IF(tblObs[[#This Row],[Date]]="","",IF(ISNUMBER(Takt),tblObs[[#This Row],[Cycle (s)]]/Takt,""))</f>
        <v>0.926785714285714</v>
      </c>
      <c r="J118" s="41" t="str">
        <f>IF(tblObs[[#This Row],[Date]]="","",IF(tblObs[[#This Row],[Exclude]]="Yes","Excluded",IF(NOT(ISNUMBER(tblObs[[#This Row],[Loading (% of takt)]])),"",IF(tblObs[[#This Row],[Loading (% of takt)]]&gt;OverAt,"Over capacity",IF(tblObs[[#This Row],[Loading (% of takt)]]&gt;=NearAt,"Near capacity","Under capacity")))))</f>
        <v>Near capacity</v>
      </c>
      <c r="K118" s="42">
        <f>IF(tblObs[[#This Row],[Date]]="","",IF(AND(tblObs[[#This Row],[Exclude]]&lt;&gt;"Yes",tblObs[[#This Row],[Date]]&gt;=FFrom,tblObs[[#This Row],[Date]]&lt;=FTo),tblObs[[#This Row],[Date]],""))</f>
        <v>46280</v>
      </c>
      <c r="L118" s="30">
        <f>IF(tblObs[[#This Row],[Date]]="","",IF(AND(tblObs[[#This Row],[Station]]=ChartStation,ISNUMBER(tblObs[[#This Row],[View date]])),COUNTIFS(INDEX(tblObs[Station],1):tblObs[[#This Row],[Station]],tblObs[[#This Row],[Station]],INDEX(tblObs[View date],1):tblObs[[#This Row],[View date]],"&gt;0"),""))</f>
        <v/>
      </c>
      <c r="M118" s="43" t="str">
        <f>IF(tblObs[[#This Row],[Date]]="","",IF(tblObs[[#This Row],[Station]]="","Missing station",IF(tblObs[[#This Row],[Cycle (s)]]="","Missing cycle",IF(tblObs[[#This Row],[Exclude]]="","Missing exclude",IF(COUNTIF(tblStations[Station],tblObs[[#This Row],[Station]])=0,"Station not on Setup list",IF(AND(tblObs[[#This Row],[Exclude]]="Yes",tblObs[[#This Row],[Notes]]=""),"Exclude: no reason",IF(AND(tblObs[[#This Row],[Exclude]]&lt;&gt;"Yes",ISNUMBER(tblObs[[#This Row],[Standard (s)]]),tblObs[[#This Row],[Cycle (s)]]&gt;2*tblObs[[#This Row],[Standard (s)]]),"Over 2x standard","OK")))))))</f>
        <v>OK</v>
      </c>
      <c r="N118" s="44" t="s">
        <v>113</v>
      </c>
    </row>
    <row r="119" spans="2:14" x14ac:dyDescent="0.25">
      <c r="B119" s="37">
        <v>46280</v>
      </c>
      <c r="C119" s="28" t="s">
        <v>94</v>
      </c>
      <c r="D119" s="28" t="s">
        <v>120</v>
      </c>
      <c r="E119" s="35">
        <v>51.7</v>
      </c>
      <c r="F119" s="28" t="s">
        <v>112</v>
      </c>
      <c r="G119" s="38">
        <f>IF(tblObs[[#This Row],[Date]]="","",IFERROR(INDEX(tblStations[Standard cycle (s)],MATCH(tblObs[[#This Row],[Station]],tblStations[Station],0)),""))</f>
        <v>51</v>
      </c>
      <c r="H119" s="39">
        <f>IF(tblObs[[#This Row],[Date]]="","",IF(ISNUMBER(tblObs[[#This Row],[Standard (s)]]),tblObs[[#This Row],[Cycle (s)]]-tblObs[[#This Row],[Standard (s)]],""))</f>
        <v>0.700000000000003</v>
      </c>
      <c r="I119" s="40">
        <f>IF(tblObs[[#This Row],[Date]]="","",IF(ISNUMBER(Takt),tblObs[[#This Row],[Cycle (s)]]/Takt,""))</f>
        <v>0.923214285714286</v>
      </c>
      <c r="J119" s="41" t="str">
        <f>IF(tblObs[[#This Row],[Date]]="","",IF(tblObs[[#This Row],[Exclude]]="Yes","Excluded",IF(NOT(ISNUMBER(tblObs[[#This Row],[Loading (% of takt)]])),"",IF(tblObs[[#This Row],[Loading (% of takt)]]&gt;OverAt,"Over capacity",IF(tblObs[[#This Row],[Loading (% of takt)]]&gt;=NearAt,"Near capacity","Under capacity")))))</f>
        <v>Near capacity</v>
      </c>
      <c r="K119" s="42">
        <f>IF(tblObs[[#This Row],[Date]]="","",IF(AND(tblObs[[#This Row],[Exclude]]&lt;&gt;"Yes",tblObs[[#This Row],[Date]]&gt;=FFrom,tblObs[[#This Row],[Date]]&lt;=FTo),tblObs[[#This Row],[Date]],""))</f>
        <v>46280</v>
      </c>
      <c r="L119" s="30">
        <f>IF(tblObs[[#This Row],[Date]]="","",IF(AND(tblObs[[#This Row],[Station]]=ChartStation,ISNUMBER(tblObs[[#This Row],[View date]])),COUNTIFS(INDEX(tblObs[Station],1):tblObs[[#This Row],[Station]],tblObs[[#This Row],[Station]],INDEX(tblObs[View date],1):tblObs[[#This Row],[View date]],"&gt;0"),""))</f>
        <v/>
      </c>
      <c r="M119" s="43" t="str">
        <f>IF(tblObs[[#This Row],[Date]]="","",IF(tblObs[[#This Row],[Station]]="","Missing station",IF(tblObs[[#This Row],[Cycle (s)]]="","Missing cycle",IF(tblObs[[#This Row],[Exclude]]="","Missing exclude",IF(COUNTIF(tblStations[Station],tblObs[[#This Row],[Station]])=0,"Station not on Setup list",IF(AND(tblObs[[#This Row],[Exclude]]="Yes",tblObs[[#This Row],[Notes]]=""),"Exclude: no reason",IF(AND(tblObs[[#This Row],[Exclude]]&lt;&gt;"Yes",ISNUMBER(tblObs[[#This Row],[Standard (s)]]),tblObs[[#This Row],[Cycle (s)]]&gt;2*tblObs[[#This Row],[Standard (s)]]),"Over 2x standard","OK")))))))</f>
        <v>OK</v>
      </c>
      <c r="N119" s="44" t="s">
        <v>113</v>
      </c>
    </row>
    <row r="120" spans="2:14" x14ac:dyDescent="0.25">
      <c r="B120" s="37">
        <v>46280</v>
      </c>
      <c r="C120" s="28" t="s">
        <v>96</v>
      </c>
      <c r="D120" s="28" t="s">
        <v>121</v>
      </c>
      <c r="E120" s="35">
        <v>36.3</v>
      </c>
      <c r="F120" s="28" t="s">
        <v>112</v>
      </c>
      <c r="G120" s="38">
        <f>IF(tblObs[[#This Row],[Date]]="","",IFERROR(INDEX(tblStations[Standard cycle (s)],MATCH(tblObs[[#This Row],[Station]],tblStations[Station],0)),""))</f>
        <v>36</v>
      </c>
      <c r="H120" s="39">
        <f>IF(tblObs[[#This Row],[Date]]="","",IF(ISNUMBER(tblObs[[#This Row],[Standard (s)]]),tblObs[[#This Row],[Cycle (s)]]-tblObs[[#This Row],[Standard (s)]],""))</f>
        <v>0.299999999999997</v>
      </c>
      <c r="I120" s="40">
        <f>IF(tblObs[[#This Row],[Date]]="","",IF(ISNUMBER(Takt),tblObs[[#This Row],[Cycle (s)]]/Takt,""))</f>
        <v>0.648214285714286</v>
      </c>
      <c r="J120" s="41" t="str">
        <f>IF(tblObs[[#This Row],[Date]]="","",IF(tblObs[[#This Row],[Exclude]]="Yes","Excluded",IF(NOT(ISNUMBER(tblObs[[#This Row],[Loading (% of takt)]])),"",IF(tblObs[[#This Row],[Loading (% of takt)]]&gt;OverAt,"Over capacity",IF(tblObs[[#This Row],[Loading (% of takt)]]&gt;=NearAt,"Near capacity","Under capacity")))))</f>
        <v>Under capacity</v>
      </c>
      <c r="K120" s="42">
        <f>IF(tblObs[[#This Row],[Date]]="","",IF(AND(tblObs[[#This Row],[Exclude]]&lt;&gt;"Yes",tblObs[[#This Row],[Date]]&gt;=FFrom,tblObs[[#This Row],[Date]]&lt;=FTo),tblObs[[#This Row],[Date]],""))</f>
        <v>46280</v>
      </c>
      <c r="L120" s="30">
        <f>IF(tblObs[[#This Row],[Date]]="","",IF(AND(tblObs[[#This Row],[Station]]=ChartStation,ISNUMBER(tblObs[[#This Row],[View date]])),COUNTIFS(INDEX(tblObs[Station],1):tblObs[[#This Row],[Station]],tblObs[[#This Row],[Station]],INDEX(tblObs[View date],1):tblObs[[#This Row],[View date]],"&gt;0"),""))</f>
        <v/>
      </c>
      <c r="M120" s="43" t="str">
        <f>IF(tblObs[[#This Row],[Date]]="","",IF(tblObs[[#This Row],[Station]]="","Missing station",IF(tblObs[[#This Row],[Cycle (s)]]="","Missing cycle",IF(tblObs[[#This Row],[Exclude]]="","Missing exclude",IF(COUNTIF(tblStations[Station],tblObs[[#This Row],[Station]])=0,"Station not on Setup list",IF(AND(tblObs[[#This Row],[Exclude]]="Yes",tblObs[[#This Row],[Notes]]=""),"Exclude: no reason",IF(AND(tblObs[[#This Row],[Exclude]]&lt;&gt;"Yes",ISNUMBER(tblObs[[#This Row],[Standard (s)]]),tblObs[[#This Row],[Cycle (s)]]&gt;2*tblObs[[#This Row],[Standard (s)]]),"Over 2x standard","OK")))))))</f>
        <v>OK</v>
      </c>
      <c r="N120" s="44" t="s">
        <v>113</v>
      </c>
    </row>
    <row r="121" spans="2:14" x14ac:dyDescent="0.25">
      <c r="B121" s="37">
        <v>46280</v>
      </c>
      <c r="C121" s="28" t="s">
        <v>96</v>
      </c>
      <c r="D121" s="28" t="s">
        <v>121</v>
      </c>
      <c r="E121" s="35">
        <v>39.6</v>
      </c>
      <c r="F121" s="28" t="s">
        <v>112</v>
      </c>
      <c r="G121" s="38">
        <f>IF(tblObs[[#This Row],[Date]]="","",IFERROR(INDEX(tblStations[Standard cycle (s)],MATCH(tblObs[[#This Row],[Station]],tblStations[Station],0)),""))</f>
        <v>36</v>
      </c>
      <c r="H121" s="39">
        <f>IF(tblObs[[#This Row],[Date]]="","",IF(ISNUMBER(tblObs[[#This Row],[Standard (s)]]),tblObs[[#This Row],[Cycle (s)]]-tblObs[[#This Row],[Standard (s)]],""))</f>
        <v>3.6</v>
      </c>
      <c r="I121" s="40">
        <f>IF(tblObs[[#This Row],[Date]]="","",IF(ISNUMBER(Takt),tblObs[[#This Row],[Cycle (s)]]/Takt,""))</f>
        <v>0.707142857142857</v>
      </c>
      <c r="J121" s="41" t="str">
        <f>IF(tblObs[[#This Row],[Date]]="","",IF(tblObs[[#This Row],[Exclude]]="Yes","Excluded",IF(NOT(ISNUMBER(tblObs[[#This Row],[Loading (% of takt)]])),"",IF(tblObs[[#This Row],[Loading (% of takt)]]&gt;OverAt,"Over capacity",IF(tblObs[[#This Row],[Loading (% of takt)]]&gt;=NearAt,"Near capacity","Under capacity")))))</f>
        <v>Under capacity</v>
      </c>
      <c r="K121" s="42">
        <f>IF(tblObs[[#This Row],[Date]]="","",IF(AND(tblObs[[#This Row],[Exclude]]&lt;&gt;"Yes",tblObs[[#This Row],[Date]]&gt;=FFrom,tblObs[[#This Row],[Date]]&lt;=FTo),tblObs[[#This Row],[Date]],""))</f>
        <v>46280</v>
      </c>
      <c r="L121" s="30">
        <f>IF(tblObs[[#This Row],[Date]]="","",IF(AND(tblObs[[#This Row],[Station]]=ChartStation,ISNUMBER(tblObs[[#This Row],[View date]])),COUNTIFS(INDEX(tblObs[Station],1):tblObs[[#This Row],[Station]],tblObs[[#This Row],[Station]],INDEX(tblObs[View date],1):tblObs[[#This Row],[View date]],"&gt;0"),""))</f>
        <v/>
      </c>
      <c r="M121" s="43" t="str">
        <f>IF(tblObs[[#This Row],[Date]]="","",IF(tblObs[[#This Row],[Station]]="","Missing station",IF(tblObs[[#This Row],[Cycle (s)]]="","Missing cycle",IF(tblObs[[#This Row],[Exclude]]="","Missing exclude",IF(COUNTIF(tblStations[Station],tblObs[[#This Row],[Station]])=0,"Station not on Setup list",IF(AND(tblObs[[#This Row],[Exclude]]="Yes",tblObs[[#This Row],[Notes]]=""),"Exclude: no reason",IF(AND(tblObs[[#This Row],[Exclude]]&lt;&gt;"Yes",ISNUMBER(tblObs[[#This Row],[Standard (s)]]),tblObs[[#This Row],[Cycle (s)]]&gt;2*tblObs[[#This Row],[Standard (s)]]),"Over 2x standard","OK")))))))</f>
        <v>OK</v>
      </c>
      <c r="N121" s="44" t="s">
        <v>113</v>
      </c>
    </row>
    <row r="122" spans="2:14" x14ac:dyDescent="0.25">
      <c r="B122" s="37">
        <v>46280</v>
      </c>
      <c r="C122" s="28" t="s">
        <v>96</v>
      </c>
      <c r="D122" s="28" t="s">
        <v>121</v>
      </c>
      <c r="E122" s="35">
        <v>39.1</v>
      </c>
      <c r="F122" s="28" t="s">
        <v>112</v>
      </c>
      <c r="G122" s="38">
        <f>IF(tblObs[[#This Row],[Date]]="","",IFERROR(INDEX(tblStations[Standard cycle (s)],MATCH(tblObs[[#This Row],[Station]],tblStations[Station],0)),""))</f>
        <v>36</v>
      </c>
      <c r="H122" s="39">
        <f>IF(tblObs[[#This Row],[Date]]="","",IF(ISNUMBER(tblObs[[#This Row],[Standard (s)]]),tblObs[[#This Row],[Cycle (s)]]-tblObs[[#This Row],[Standard (s)]],""))</f>
        <v>3.1</v>
      </c>
      <c r="I122" s="40">
        <f>IF(tblObs[[#This Row],[Date]]="","",IF(ISNUMBER(Takt),tblObs[[#This Row],[Cycle (s)]]/Takt,""))</f>
        <v>0.698214285714286</v>
      </c>
      <c r="J122" s="41" t="str">
        <f>IF(tblObs[[#This Row],[Date]]="","",IF(tblObs[[#This Row],[Exclude]]="Yes","Excluded",IF(NOT(ISNUMBER(tblObs[[#This Row],[Loading (% of takt)]])),"",IF(tblObs[[#This Row],[Loading (% of takt)]]&gt;OverAt,"Over capacity",IF(tblObs[[#This Row],[Loading (% of takt)]]&gt;=NearAt,"Near capacity","Under capacity")))))</f>
        <v>Under capacity</v>
      </c>
      <c r="K122" s="42">
        <f>IF(tblObs[[#This Row],[Date]]="","",IF(AND(tblObs[[#This Row],[Exclude]]&lt;&gt;"Yes",tblObs[[#This Row],[Date]]&gt;=FFrom,tblObs[[#This Row],[Date]]&lt;=FTo),tblObs[[#This Row],[Date]],""))</f>
        <v>46280</v>
      </c>
      <c r="L122" s="30">
        <f>IF(tblObs[[#This Row],[Date]]="","",IF(AND(tblObs[[#This Row],[Station]]=ChartStation,ISNUMBER(tblObs[[#This Row],[View date]])),COUNTIFS(INDEX(tblObs[Station],1):tblObs[[#This Row],[Station]],tblObs[[#This Row],[Station]],INDEX(tblObs[View date],1):tblObs[[#This Row],[View date]],"&gt;0"),""))</f>
        <v/>
      </c>
      <c r="M122" s="43" t="str">
        <f>IF(tblObs[[#This Row],[Date]]="","",IF(tblObs[[#This Row],[Station]]="","Missing station",IF(tblObs[[#This Row],[Cycle (s)]]="","Missing cycle",IF(tblObs[[#This Row],[Exclude]]="","Missing exclude",IF(COUNTIF(tblStations[Station],tblObs[[#This Row],[Station]])=0,"Station not on Setup list",IF(AND(tblObs[[#This Row],[Exclude]]="Yes",tblObs[[#This Row],[Notes]]=""),"Exclude: no reason",IF(AND(tblObs[[#This Row],[Exclude]]&lt;&gt;"Yes",ISNUMBER(tblObs[[#This Row],[Standard (s)]]),tblObs[[#This Row],[Cycle (s)]]&gt;2*tblObs[[#This Row],[Standard (s)]]),"Over 2x standard","OK")))))))</f>
        <v>OK</v>
      </c>
      <c r="N122" s="44" t="s">
        <v>113</v>
      </c>
    </row>
    <row r="123" spans="2:14" x14ac:dyDescent="0.25">
      <c r="B123" s="37">
        <v>46280</v>
      </c>
      <c r="C123" s="28" t="s">
        <v>96</v>
      </c>
      <c r="D123" s="28" t="s">
        <v>121</v>
      </c>
      <c r="E123" s="35">
        <v>37.6</v>
      </c>
      <c r="F123" s="28" t="s">
        <v>112</v>
      </c>
      <c r="G123" s="38">
        <f>IF(tblObs[[#This Row],[Date]]="","",IFERROR(INDEX(tblStations[Standard cycle (s)],MATCH(tblObs[[#This Row],[Station]],tblStations[Station],0)),""))</f>
        <v>36</v>
      </c>
      <c r="H123" s="39">
        <f>IF(tblObs[[#This Row],[Date]]="","",IF(ISNUMBER(tblObs[[#This Row],[Standard (s)]]),tblObs[[#This Row],[Cycle (s)]]-tblObs[[#This Row],[Standard (s)]],""))</f>
        <v>1.6</v>
      </c>
      <c r="I123" s="40">
        <f>IF(tblObs[[#This Row],[Date]]="","",IF(ISNUMBER(Takt),tblObs[[#This Row],[Cycle (s)]]/Takt,""))</f>
        <v>0.671428571428572</v>
      </c>
      <c r="J123" s="41" t="str">
        <f>IF(tblObs[[#This Row],[Date]]="","",IF(tblObs[[#This Row],[Exclude]]="Yes","Excluded",IF(NOT(ISNUMBER(tblObs[[#This Row],[Loading (% of takt)]])),"",IF(tblObs[[#This Row],[Loading (% of takt)]]&gt;OverAt,"Over capacity",IF(tblObs[[#This Row],[Loading (% of takt)]]&gt;=NearAt,"Near capacity","Under capacity")))))</f>
        <v>Under capacity</v>
      </c>
      <c r="K123" s="42">
        <f>IF(tblObs[[#This Row],[Date]]="","",IF(AND(tblObs[[#This Row],[Exclude]]&lt;&gt;"Yes",tblObs[[#This Row],[Date]]&gt;=FFrom,tblObs[[#This Row],[Date]]&lt;=FTo),tblObs[[#This Row],[Date]],""))</f>
        <v>46280</v>
      </c>
      <c r="L123" s="30">
        <f>IF(tblObs[[#This Row],[Date]]="","",IF(AND(tblObs[[#This Row],[Station]]=ChartStation,ISNUMBER(tblObs[[#This Row],[View date]])),COUNTIFS(INDEX(tblObs[Station],1):tblObs[[#This Row],[Station]],tblObs[[#This Row],[Station]],INDEX(tblObs[View date],1):tblObs[[#This Row],[View date]],"&gt;0"),""))</f>
        <v/>
      </c>
      <c r="M123" s="43" t="str">
        <f>IF(tblObs[[#This Row],[Date]]="","",IF(tblObs[[#This Row],[Station]]="","Missing station",IF(tblObs[[#This Row],[Cycle (s)]]="","Missing cycle",IF(tblObs[[#This Row],[Exclude]]="","Missing exclude",IF(COUNTIF(tblStations[Station],tblObs[[#This Row],[Station]])=0,"Station not on Setup list",IF(AND(tblObs[[#This Row],[Exclude]]="Yes",tblObs[[#This Row],[Notes]]=""),"Exclude: no reason",IF(AND(tblObs[[#This Row],[Exclude]]&lt;&gt;"Yes",ISNUMBER(tblObs[[#This Row],[Standard (s)]]),tblObs[[#This Row],[Cycle (s)]]&gt;2*tblObs[[#This Row],[Standard (s)]]),"Over 2x standard","OK")))))))</f>
        <v>OK</v>
      </c>
      <c r="N123" s="44" t="s">
        <v>113</v>
      </c>
    </row>
    <row r="124" spans="2:14" x14ac:dyDescent="0.25">
      <c r="B124" s="37">
        <v>46280</v>
      </c>
      <c r="C124" s="28" t="s">
        <v>96</v>
      </c>
      <c r="D124" s="28" t="s">
        <v>121</v>
      </c>
      <c r="E124" s="35">
        <v>38.1</v>
      </c>
      <c r="F124" s="28" t="s">
        <v>112</v>
      </c>
      <c r="G124" s="38">
        <f>IF(tblObs[[#This Row],[Date]]="","",IFERROR(INDEX(tblStations[Standard cycle (s)],MATCH(tblObs[[#This Row],[Station]],tblStations[Station],0)),""))</f>
        <v>36</v>
      </c>
      <c r="H124" s="39">
        <f>IF(tblObs[[#This Row],[Date]]="","",IF(ISNUMBER(tblObs[[#This Row],[Standard (s)]]),tblObs[[#This Row],[Cycle (s)]]-tblObs[[#This Row],[Standard (s)]],""))</f>
        <v>2.1</v>
      </c>
      <c r="I124" s="40">
        <f>IF(tblObs[[#This Row],[Date]]="","",IF(ISNUMBER(Takt),tblObs[[#This Row],[Cycle (s)]]/Takt,""))</f>
        <v>0.680357142857143</v>
      </c>
      <c r="J124" s="41" t="str">
        <f>IF(tblObs[[#This Row],[Date]]="","",IF(tblObs[[#This Row],[Exclude]]="Yes","Excluded",IF(NOT(ISNUMBER(tblObs[[#This Row],[Loading (% of takt)]])),"",IF(tblObs[[#This Row],[Loading (% of takt)]]&gt;OverAt,"Over capacity",IF(tblObs[[#This Row],[Loading (% of takt)]]&gt;=NearAt,"Near capacity","Under capacity")))))</f>
        <v>Under capacity</v>
      </c>
      <c r="K124" s="42">
        <f>IF(tblObs[[#This Row],[Date]]="","",IF(AND(tblObs[[#This Row],[Exclude]]&lt;&gt;"Yes",tblObs[[#This Row],[Date]]&gt;=FFrom,tblObs[[#This Row],[Date]]&lt;=FTo),tblObs[[#This Row],[Date]],""))</f>
        <v>46280</v>
      </c>
      <c r="L124" s="30">
        <f>IF(tblObs[[#This Row],[Date]]="","",IF(AND(tblObs[[#This Row],[Station]]=ChartStation,ISNUMBER(tblObs[[#This Row],[View date]])),COUNTIFS(INDEX(tblObs[Station],1):tblObs[[#This Row],[Station]],tblObs[[#This Row],[Station]],INDEX(tblObs[View date],1):tblObs[[#This Row],[View date]],"&gt;0"),""))</f>
        <v/>
      </c>
      <c r="M124" s="43" t="str">
        <f>IF(tblObs[[#This Row],[Date]]="","",IF(tblObs[[#This Row],[Station]]="","Missing station",IF(tblObs[[#This Row],[Cycle (s)]]="","Missing cycle",IF(tblObs[[#This Row],[Exclude]]="","Missing exclude",IF(COUNTIF(tblStations[Station],tblObs[[#This Row],[Station]])=0,"Station not on Setup list",IF(AND(tblObs[[#This Row],[Exclude]]="Yes",tblObs[[#This Row],[Notes]]=""),"Exclude: no reason",IF(AND(tblObs[[#This Row],[Exclude]]&lt;&gt;"Yes",ISNUMBER(tblObs[[#This Row],[Standard (s)]]),tblObs[[#This Row],[Cycle (s)]]&gt;2*tblObs[[#This Row],[Standard (s)]]),"Over 2x standard","OK")))))))</f>
        <v>OK</v>
      </c>
      <c r="N124" s="44" t="s">
        <v>113</v>
      </c>
    </row>
    <row r="125" spans="2:14" x14ac:dyDescent="0.25">
      <c r="B125" s="37">
        <v>46280</v>
      </c>
      <c r="C125" s="28" t="s">
        <v>96</v>
      </c>
      <c r="D125" s="28" t="s">
        <v>121</v>
      </c>
      <c r="E125" s="35">
        <v>38.8</v>
      </c>
      <c r="F125" s="28" t="s">
        <v>112</v>
      </c>
      <c r="G125" s="38">
        <f>IF(tblObs[[#This Row],[Date]]="","",IFERROR(INDEX(tblStations[Standard cycle (s)],MATCH(tblObs[[#This Row],[Station]],tblStations[Station],0)),""))</f>
        <v>36</v>
      </c>
      <c r="H125" s="39">
        <f>IF(tblObs[[#This Row],[Date]]="","",IF(ISNUMBER(tblObs[[#This Row],[Standard (s)]]),tblObs[[#This Row],[Cycle (s)]]-tblObs[[#This Row],[Standard (s)]],""))</f>
        <v>2.8</v>
      </c>
      <c r="I125" s="40">
        <f>IF(tblObs[[#This Row],[Date]]="","",IF(ISNUMBER(Takt),tblObs[[#This Row],[Cycle (s)]]/Takt,""))</f>
        <v>0.692857142857143</v>
      </c>
      <c r="J125" s="41" t="str">
        <f>IF(tblObs[[#This Row],[Date]]="","",IF(tblObs[[#This Row],[Exclude]]="Yes","Excluded",IF(NOT(ISNUMBER(tblObs[[#This Row],[Loading (% of takt)]])),"",IF(tblObs[[#This Row],[Loading (% of takt)]]&gt;OverAt,"Over capacity",IF(tblObs[[#This Row],[Loading (% of takt)]]&gt;=NearAt,"Near capacity","Under capacity")))))</f>
        <v>Under capacity</v>
      </c>
      <c r="K125" s="42">
        <f>IF(tblObs[[#This Row],[Date]]="","",IF(AND(tblObs[[#This Row],[Exclude]]&lt;&gt;"Yes",tblObs[[#This Row],[Date]]&gt;=FFrom,tblObs[[#This Row],[Date]]&lt;=FTo),tblObs[[#This Row],[Date]],""))</f>
        <v>46280</v>
      </c>
      <c r="L125" s="30">
        <f>IF(tblObs[[#This Row],[Date]]="","",IF(AND(tblObs[[#This Row],[Station]]=ChartStation,ISNUMBER(tblObs[[#This Row],[View date]])),COUNTIFS(INDEX(tblObs[Station],1):tblObs[[#This Row],[Station]],tblObs[[#This Row],[Station]],INDEX(tblObs[View date],1):tblObs[[#This Row],[View date]],"&gt;0"),""))</f>
        <v/>
      </c>
      <c r="M125" s="43" t="str">
        <f>IF(tblObs[[#This Row],[Date]]="","",IF(tblObs[[#This Row],[Station]]="","Missing station",IF(tblObs[[#This Row],[Cycle (s)]]="","Missing cycle",IF(tblObs[[#This Row],[Exclude]]="","Missing exclude",IF(COUNTIF(tblStations[Station],tblObs[[#This Row],[Station]])=0,"Station not on Setup list",IF(AND(tblObs[[#This Row],[Exclude]]="Yes",tblObs[[#This Row],[Notes]]=""),"Exclude: no reason",IF(AND(tblObs[[#This Row],[Exclude]]&lt;&gt;"Yes",ISNUMBER(tblObs[[#This Row],[Standard (s)]]),tblObs[[#This Row],[Cycle (s)]]&gt;2*tblObs[[#This Row],[Standard (s)]]),"Over 2x standard","OK")))))))</f>
        <v>OK</v>
      </c>
      <c r="N125" s="44" t="s">
        <v>113</v>
      </c>
    </row>
  </sheetData>
  <mergeCells count="3">
    <mergeCell ref="A1:N1"/>
    <mergeCell ref="B2:M2"/>
    <mergeCell ref="B4:N4"/>
  </mergeCells>
  <conditionalFormatting sqref="I6:I625">
    <cfRule type="dataBar" priority="1">
      <dataBar>
        <cfvo type="num" val="0"/>
        <cfvo type="max"/>
        <color rgb="FFA8BDF0"/>
      </dataBar>
      <extLst>
        <ext xmlns:x14="http://schemas.microsoft.com/office/spreadsheetml/2009/9/main" uri="{B025F937-C7B1-47D3-B67F-A62EFF666E3E}">
          <x14:id>{DA7ABA51-AAAA-BBBB-0003-000000000001}</x14:id>
        </ext>
      </extLst>
    </cfRule>
  </conditionalFormatting>
  <conditionalFormatting sqref="M6:M625">
    <cfRule type="expression" dxfId="3" priority="2">
      <formula>$M6="OK"</formula>
    </cfRule>
    <cfRule type="expression" dxfId="1" priority="3">
      <formula>AND($M6&lt;&gt;"",$M6&lt;&gt;"OK")</formula>
    </cfRule>
  </conditionalFormatting>
  <dataValidations count="6">
    <dataValidation type="date" allowBlank="1" showInputMessage="1" showErrorMessage="1" errorTitle="Check this entry" error="Enter a date between 01 Jan 2000 and 31 Dec 2100." promptTitle="Date" prompt="Enter a date between 01 Jan 2000 and 31 Dec 2100." sqref="B6:B625">
      <formula1>36526</formula1>
      <formula2>73415</formula2>
    </dataValidation>
    <dataValidation type="list" allowBlank="1" showInputMessage="1" showErrorMessage="1" errorTitle="Check this entry" error="Pick from the list (edit the list on Setup: Stations)." promptTitle="Station" prompt="Pick from the list (edit the list on Setup: Stations)." sqref="C6:C625">
      <formula1>Stations</formula1>
    </dataValidation>
    <dataValidation type="textLength" allowBlank="1" showInputMessage="1" showErrorMessage="1" errorTitle="Check this entry" error="Text up to 20 characters." promptTitle="Operator" prompt="Initials of the operator timed (optional). Text up to 20 characters." sqref="D6:D625">
      <formula1>0</formula1>
      <formula2>20</formula2>
    </dataValidation>
    <dataValidation type="decimal" allowBlank="1" showInputMessage="1" showErrorMessage="1" errorTitle="Check this entry" error="Enter a number from 0.1 to 86,400." promptTitle="Cycle (s)" prompt="Seconds from the start of one unit to the start of the next at this station. Enter a number from 0.1 to 86,400." sqref="E6:E625">
      <formula1>0.1</formula1>
      <formula2>86400</formula2>
    </dataValidation>
    <dataValidation type="list" allowBlank="1" showInputMessage="1" showErrorMessage="1" errorTitle="Check this entry" error="Pick one of: Yes, No." promptTitle="Exclude" prompt="Yes for an abnormal cycle (dropped part, waiting, fault). It stays on the log but is not counted; say why in Notes. Pick one of: Yes, No." sqref="F6:F625">
      <formula1>"Yes,No"</formula1>
    </dataValidation>
    <dataValidation type="textLength" allowBlank="1" showInputMessage="1" showErrorMessage="1" errorTitle="Check this entry" error="Text up to 255 characters." promptTitle="Notes" prompt="Text up to 255 characters." sqref="N6:N625">
      <formula1>0</formula1>
      <formula2>255</formula2>
    </dataValidation>
  </dataValidations>
  <hyperlinks>
    <hyperlink ref="N2" r:id="rId1" tooltip="Free manufacturing calculators and templates"/>
  </hyperlinks>
  <pageMargins left="0.4" right="0.4" top="0.7" bottom="0.65" header="0.3" footer="0.3"/>
  <pageSetup fitToHeight="0" orientation="landscape"/>
  <headerFooter>
    <oddHeader>&amp;L&amp;8MFG Calcs - Cycle Time Tracker&amp;R&amp;8&amp;A</oddHeader>
    <oddFooter>&amp;L&amp;8mfgcalcs.com - free manufacturing templates&amp;R&amp;8Page &amp;P of &amp;N</oddFooter>
  </headerFooter>
  <tableParts count="1">
    <tablePart r:id="rId2"/>
  </tableParts>
  <extLst>
    <ext xmlns:x14="http://schemas.microsoft.com/office/spreadsheetml/2009/9/main" uri="{78C0D931-6437-407d-A8EE-F0AAD7539E65}">
      <x14:conditionalFormattings>
        <x14:conditionalFormatting xmlns:xm="http://schemas.microsoft.com/office/excel/2006/main">
          <x14:cfRule type="dataBar" id="{DA7ABA51-AAAA-BBBB-0003-000000000001}">
            <x14:dataBar minLength="0" maxLength="100" border="1" gradient="0" negativeBarBorderColorSameAsPositive="0">
              <x14:cfvo type="num">
                <xm:f>0</xm:f>
              </x14:cfvo>
              <x14:cfvo type="autoMax"/>
              <x14:borderColor rgb="FFA8BDF0"/>
              <x14:negativeFillColor rgb="FFFF0000"/>
              <x14:negativeBorderColor rgb="FFFF0000"/>
              <x14:axisColor rgb="FF000000"/>
            </x14:dataBar>
          </x14:cfRule>
          <xm:sqref>I6:I625</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BA37A"/>
    <pageSetUpPr fitToPage="1"/>
  </sheetPr>
  <dimension ref="A1:L71"/>
  <sheetViews>
    <sheetView showGridLines="0" zoomScale="90" zoomScaleNormal="90" workbookViewId="0"/>
  </sheetViews>
  <sheetFormatPr defaultRowHeight="15" x14ac:dyDescent="0.25"/>
  <cols>
    <col min="1" max="1" width="2.7109375" customWidth="1"/>
    <col min="2" max="2" width="20.7109375" customWidth="1"/>
    <col min="3" max="12" width="10.7109375" customWidth="1"/>
  </cols>
  <sheetData>
    <row r="1" spans="1:12" ht="30" customHeight="1" x14ac:dyDescent="0.25">
      <c r="A1" s="1" t="s">
        <v>0</v>
      </c>
      <c r="B1" s="1"/>
      <c r="C1" s="1"/>
      <c r="D1" s="1"/>
      <c r="E1" s="1"/>
      <c r="F1" s="1"/>
      <c r="G1" s="1"/>
      <c r="H1" s="1"/>
      <c r="I1" s="1"/>
      <c r="J1" s="1"/>
      <c r="K1" s="1"/>
      <c r="L1" s="1"/>
    </row>
    <row r="2" spans="1:12" ht="21" customHeight="1" x14ac:dyDescent="0.25">
      <c r="B2" s="2" t="s">
        <v>24</v>
      </c>
      <c r="C2" s="2"/>
      <c r="D2" s="2"/>
      <c r="E2" s="2"/>
      <c r="F2" s="2"/>
      <c r="G2" s="2"/>
      <c r="H2" s="2"/>
      <c r="I2" s="2"/>
      <c r="J2" s="2"/>
      <c r="K2" s="3" t="s">
        <v>2</v>
      </c>
      <c r="L2" s="3"/>
    </row>
    <row r="3" spans="1:12" ht="6" customHeight="1" x14ac:dyDescent="0.25"/>
    <row r="4" spans="1:12" x14ac:dyDescent="0.25">
      <c r="B4" s="27" t="s">
        <v>128</v>
      </c>
      <c r="C4" s="28"/>
      <c r="D4" s="28"/>
      <c r="F4" s="27" t="s">
        <v>129</v>
      </c>
      <c r="G4" s="45"/>
      <c r="H4" s="45"/>
      <c r="J4" s="27" t="s">
        <v>130</v>
      </c>
      <c r="K4" s="45"/>
      <c r="L4" s="45"/>
    </row>
    <row r="5" spans="1:12" x14ac:dyDescent="0.25">
      <c r="B5" s="46" t="str">
        <f>"Showing "&amp;COUNTIFS(tblObs[View date],"&gt;0")&amp;" counted cycles; "&amp;COUNTIFS(tblObs[Exclude],"Yes",tblObs[Date],"&gt;="&amp;FFrom,tblObs[Date],"&lt;="&amp;FTo)&amp;" abnormal cycles excluded. Leave the filters blank to include everything; dates are inclusive."</f>
        <v>Showing 117 counted cycles; 3 abnormal cycles excluded. Leave the filters blank to include everything; dates are inclusive.</v>
      </c>
      <c r="C5" s="46"/>
      <c r="D5" s="46"/>
      <c r="E5" s="46"/>
      <c r="F5" s="46"/>
      <c r="G5" s="46"/>
      <c r="H5" s="46"/>
      <c r="I5" s="46"/>
      <c r="J5" s="46"/>
      <c r="K5" s="46"/>
      <c r="L5" s="46"/>
    </row>
    <row r="7" spans="1:12" ht="18" customHeight="1" x14ac:dyDescent="0.25">
      <c r="B7" s="47" t="s">
        <v>131</v>
      </c>
      <c r="C7" s="47"/>
      <c r="D7" s="47" t="s">
        <v>132</v>
      </c>
      <c r="E7" s="47"/>
      <c r="F7" s="47"/>
      <c r="G7" s="47" t="s">
        <v>133</v>
      </c>
      <c r="H7" s="47"/>
      <c r="I7" s="47"/>
      <c r="J7" s="47" t="s">
        <v>134</v>
      </c>
      <c r="K7" s="47"/>
      <c r="L7" s="47"/>
    </row>
    <row r="8" spans="1:12" ht="21" customHeight="1" x14ac:dyDescent="0.25">
      <c r="B8" s="48">
        <f>IF(ISNUMBER(Takt),Takt,"")</f>
        <v>56</v>
      </c>
      <c r="C8" s="48"/>
      <c r="D8" s="49" t="str">
        <f>IF(COUNT($D$40:$D$45)=0,"No data",INDEX($B$40:$B$45,MATCH(MAX($D$40:$D$45),$D$40:$D$45,0)))</f>
        <v>S4 Solenoid</v>
      </c>
      <c r="E8" s="49"/>
      <c r="F8" s="49"/>
      <c r="G8" s="48">
        <f>IF(COUNT($D$40:$D$45)=0,"",MAX($D$40:$D$45))</f>
        <v>57.9578947368421</v>
      </c>
      <c r="H8" s="48"/>
      <c r="I8" s="48"/>
      <c r="J8" s="50">
        <f>IF(COUNT($D$40:$D$45)=0,"",NetMin*60/MAX($D$40:$D$45))</f>
        <v>434.798401743552</v>
      </c>
      <c r="K8" s="50"/>
      <c r="L8" s="50"/>
    </row>
    <row r="9" spans="1:12" ht="21" customHeight="1" x14ac:dyDescent="0.25">
      <c r="B9" s="48"/>
      <c r="C9" s="48"/>
      <c r="D9" s="49"/>
      <c r="E9" s="49"/>
      <c r="F9" s="49"/>
      <c r="G9" s="48"/>
      <c r="H9" s="48"/>
      <c r="I9" s="48"/>
      <c r="J9" s="50"/>
      <c r="K9" s="50"/>
      <c r="L9" s="50"/>
    </row>
    <row r="10" spans="1:12" x14ac:dyDescent="0.25">
      <c r="B10" s="51" t="s">
        <v>135</v>
      </c>
      <c r="C10" s="51"/>
      <c r="D10" s="51" t="s">
        <v>136</v>
      </c>
      <c r="E10" s="51"/>
      <c r="F10" s="51"/>
      <c r="G10" s="52">
        <f>Takt</f>
        <v>56</v>
      </c>
      <c r="H10" s="52"/>
      <c r="I10" s="52"/>
      <c r="J10" s="53">
        <f>Demand</f>
        <v>450</v>
      </c>
      <c r="K10" s="53"/>
      <c r="L10" s="53"/>
    </row>
    <row r="11" spans="1:12" ht="18" customHeight="1" x14ac:dyDescent="0.25">
      <c r="B11" s="54"/>
      <c r="C11" s="54"/>
      <c r="D11" s="54"/>
      <c r="E11" s="54"/>
      <c r="F11" s="54"/>
      <c r="G11" s="54" t="str">
        <f>IF(NOT(ISNUMBER(KpiBnCycle)),"No data",IF(KpiBnCycle&lt;=(NearAt*Takt),"Under capacity",IF(KpiBnCycle&lt;=(OverAt*Takt),"Near capacity","Over capacity")))</f>
        <v>Over capacity</v>
      </c>
      <c r="H11" s="54"/>
      <c r="I11" s="54"/>
      <c r="J11" s="54" t="str">
        <f>IF(NOT(ISNUMBER(KpiCapacity)),"No data",IF(KpiCapacity&gt;=(Demand),"On target",IF(KpiCapacity&gt;=(Demand)*(1-0.0),"Near target","Below target")))</f>
        <v>Below target</v>
      </c>
      <c r="K11" s="54"/>
      <c r="L11" s="54"/>
    </row>
    <row r="13" spans="1:12" x14ac:dyDescent="0.25">
      <c r="G13" s="46" t="str">
        <f>"Run chart station: "&amp;ChartStation&amp;IF(DashStation="","  (the bottleneck; pick another above)","")</f>
        <v>Run chart station: S4 Solenoid  (the bottleneck; pick another above)</v>
      </c>
      <c r="H13" s="46"/>
      <c r="I13" s="46"/>
      <c r="J13" s="46"/>
      <c r="K13" s="46"/>
      <c r="L13" s="46"/>
    </row>
    <row r="31" spans="2:12" ht="18" customHeight="1" x14ac:dyDescent="0.25">
      <c r="B31" s="47" t="s">
        <v>137</v>
      </c>
      <c r="C31" s="47"/>
      <c r="D31" s="47" t="s">
        <v>138</v>
      </c>
      <c r="E31" s="47"/>
      <c r="F31" s="47"/>
      <c r="G31" s="47" t="s">
        <v>139</v>
      </c>
      <c r="H31" s="47"/>
      <c r="I31" s="47"/>
      <c r="J31" s="47" t="s">
        <v>140</v>
      </c>
      <c r="K31" s="47"/>
      <c r="L31" s="47"/>
    </row>
    <row r="32" spans="2:12" ht="21" customHeight="1" x14ac:dyDescent="0.25">
      <c r="B32" s="50">
        <f>COUNTIFS(tblObs[View date],"&gt;0")</f>
        <v>117</v>
      </c>
      <c r="C32" s="50"/>
      <c r="D32" s="55">
        <f>IF(COUNT($D$40:$D$45)=0,"",INDEX($I$40:$I$45,MATCH(MAX($D$40:$D$45),$D$40:$D$45,0)))</f>
        <v>0.631578947368421</v>
      </c>
      <c r="E32" s="55"/>
      <c r="F32" s="55"/>
      <c r="G32" s="56">
        <f>IF(COUNT($D$40:$D$45)=0,"",NetMin*60/MAX($D$40:$D$45)-Demand)</f>
        <v>-15.2015982564475</v>
      </c>
      <c r="H32" s="56"/>
      <c r="I32" s="56"/>
      <c r="J32" s="48">
        <f>IF(COUNT($D$40:$D$45)=0,"",MAX(0,Demand*MAX($D$40:$D$45)/60-NetMin))</f>
        <v>14.6842105263158</v>
      </c>
      <c r="K32" s="48"/>
      <c r="L32" s="48"/>
    </row>
    <row r="33" spans="2:12" ht="21" customHeight="1" x14ac:dyDescent="0.25">
      <c r="B33" s="50"/>
      <c r="C33" s="50"/>
      <c r="D33" s="55"/>
      <c r="E33" s="55"/>
      <c r="F33" s="55"/>
      <c r="G33" s="56"/>
      <c r="H33" s="56"/>
      <c r="I33" s="56"/>
      <c r="J33" s="48"/>
      <c r="K33" s="48"/>
      <c r="L33" s="48"/>
    </row>
    <row r="34" spans="2:12" x14ac:dyDescent="0.25">
      <c r="B34" s="51" t="s">
        <v>141</v>
      </c>
      <c r="C34" s="51"/>
      <c r="D34" s="51" t="s">
        <v>142</v>
      </c>
      <c r="E34" s="51"/>
      <c r="F34" s="51"/>
      <c r="G34" s="51" t="s">
        <v>143</v>
      </c>
      <c r="H34" s="51"/>
      <c r="I34" s="51"/>
      <c r="J34" s="51" t="s">
        <v>144</v>
      </c>
      <c r="K34" s="51"/>
      <c r="L34" s="51"/>
    </row>
    <row r="35" spans="2:12" ht="18" customHeight="1" x14ac:dyDescent="0.25">
      <c r="B35" s="54"/>
      <c r="C35" s="54"/>
      <c r="D35" s="54"/>
      <c r="E35" s="54"/>
      <c r="F35" s="54"/>
      <c r="G35" s="54"/>
      <c r="H35" s="54"/>
      <c r="I35" s="54"/>
      <c r="J35" s="54"/>
      <c r="K35" s="54"/>
      <c r="L35" s="54"/>
    </row>
    <row r="37" spans="2:12" x14ac:dyDescent="0.25">
      <c r="B37" s="33" t="s">
        <v>145</v>
      </c>
      <c r="C37" s="33"/>
      <c r="D37" s="33"/>
      <c r="E37" s="33"/>
      <c r="F37" s="33"/>
      <c r="G37" s="33"/>
      <c r="H37" s="33"/>
      <c r="I37" s="33"/>
      <c r="J37" s="33"/>
      <c r="K37" s="33"/>
      <c r="L37" s="33"/>
    </row>
    <row r="38" spans="2:12" ht="32" customHeight="1" x14ac:dyDescent="0.25">
      <c r="B38" s="57" t="s">
        <v>62</v>
      </c>
      <c r="C38" s="34" t="s">
        <v>146</v>
      </c>
      <c r="D38" s="34" t="s">
        <v>147</v>
      </c>
      <c r="E38" s="34" t="s">
        <v>148</v>
      </c>
      <c r="F38" s="34" t="s">
        <v>149</v>
      </c>
      <c r="G38" s="34" t="s">
        <v>150</v>
      </c>
      <c r="H38" s="34" t="s">
        <v>104</v>
      </c>
      <c r="I38" s="34" t="s">
        <v>151</v>
      </c>
      <c r="J38" s="34" t="s">
        <v>152</v>
      </c>
      <c r="K38" s="34" t="s">
        <v>153</v>
      </c>
      <c r="L38" s="34"/>
    </row>
    <row r="39" spans="2:12" ht="14" customHeight="1" x14ac:dyDescent="0.25">
      <c r="B39" s="58"/>
      <c r="C39" s="58" t="s">
        <v>154</v>
      </c>
      <c r="D39" s="58" t="s">
        <v>155</v>
      </c>
      <c r="E39" s="58" t="s">
        <v>155</v>
      </c>
      <c r="F39" s="58" t="s">
        <v>155</v>
      </c>
      <c r="G39" s="58" t="s">
        <v>155</v>
      </c>
      <c r="H39" s="58" t="s">
        <v>156</v>
      </c>
      <c r="I39" s="58" t="s">
        <v>156</v>
      </c>
      <c r="J39" s="58" t="s">
        <v>157</v>
      </c>
      <c r="K39" s="58"/>
      <c r="L39" s="58"/>
    </row>
    <row r="40" spans="2:12" x14ac:dyDescent="0.25">
      <c r="B40" s="59" t="str">
        <f>IFERROR(INDEX(tblStations[Station],1)&amp;"","")</f>
        <v>S1 Body load</v>
      </c>
      <c r="C40" s="30">
        <f>IF($B$40="","",COUNTIFS(tblObs[Station],$B$40,tblObs[View date],"&gt;0"))</f>
        <v>19</v>
      </c>
      <c r="D40" s="38">
        <f>IF($B$40="","",IF(($C$40)=0,"",(SUMIFS(tblObs[Cycle (s)],tblObs[Station],$B$40,tblObs[View date],"&gt;0"))/($C$40)))</f>
        <v>47.4947368421053</v>
      </c>
      <c r="E40" s="38">
        <f>IF($B$40="","",IF($C$40=0,"",SUMPRODUCT(MAX((tblObs[Station]=$B$40)*ISNUMBER(tblObs[View date])*tblObs[Cycle (s)]))))</f>
        <v>51.7</v>
      </c>
      <c r="F40" s="38">
        <f>IF($B$40="","",IF($C$40&lt;2,"",SQRT(MAX(0,(SUMPRODUCT((tblObs[Station]=$B$40)*ISNUMBER(tblObs[View date])*tblObs[Cycle (s)]^2)-$C$40*$D$40^2)/($C$40-1)))))</f>
        <v>1.71122882560087</v>
      </c>
      <c r="G40" s="60">
        <f>Takt</f>
        <v>56</v>
      </c>
      <c r="H40" s="40">
        <f>IF($B$40="","",IF(AND(ISNUMBER($D$40),ISNUMBER(Takt)),$D$40/Takt,""))</f>
        <v>0.84812030075188</v>
      </c>
      <c r="I40" s="40">
        <f>IF($B$40="","",IF(($C$40)=0,"",(COUNTIFS(tblObs[Station],$B$40,tblObs[View date],"&gt;0",tblObs[Cycle (s)],"&gt;"&amp;Takt))/($C$40)))</f>
        <v>0</v>
      </c>
      <c r="J40" s="30">
        <f>IF($B$40="","",IF(ISNUMBER($D$40),NetMin*60/$D$40,""))</f>
        <v>530.585106382979</v>
      </c>
      <c r="K40" s="41" t="str">
        <f>IF($B$40="","",IF(NOT(ISNUMBER($H$40)),"",IF($H$40&gt;OverAt,"Over capacity",IF($H$40&gt;=NearAt,"Near capacity","Under capacity"))))</f>
        <v>Under capacity</v>
      </c>
      <c r="L40" s="41"/>
    </row>
    <row r="41" spans="2:12" x14ac:dyDescent="0.25">
      <c r="B41" s="59" t="str">
        <f>IFERROR(INDEX(tblStations[Station],2)&amp;"","")</f>
        <v>S2 Spool fit</v>
      </c>
      <c r="C41" s="30">
        <f>IF($B$41="","",COUNTIFS(tblObs[Station],$B$41,tblObs[View date],"&gt;0"))</f>
        <v>20</v>
      </c>
      <c r="D41" s="38">
        <f>IF($B$41="","",IF(($C$41)=0,"",(SUMIFS(tblObs[Cycle (s)],tblObs[Station],$B$41,tblObs[View date],"&gt;0"))/($C$41)))</f>
        <v>42.745</v>
      </c>
      <c r="E41" s="38">
        <f>IF($B$41="","",IF($C$41=0,"",SUMPRODUCT(MAX((tblObs[Station]=$B$41)*ISNUMBER(tblObs[View date])*tblObs[Cycle (s)]))))</f>
        <v>45.5</v>
      </c>
      <c r="F41" s="38">
        <f>IF($B$41="","",IF($C$41&lt;2,"",SQRT(MAX(0,(SUMPRODUCT((tblObs[Station]=$B$41)*ISNUMBER(tblObs[View date])*tblObs[Cycle (s)]^2)-$C$41*$D$41^2)/($C$41-1)))))</f>
        <v>2.03275157049956</v>
      </c>
      <c r="G41" s="60">
        <f>Takt</f>
        <v>56</v>
      </c>
      <c r="H41" s="40">
        <f>IF($B$41="","",IF(AND(ISNUMBER($D$41),ISNUMBER(Takt)),$D$41/Takt,""))</f>
        <v>0.763303571428571</v>
      </c>
      <c r="I41" s="40">
        <f>IF($B$41="","",IF(($C$41)=0,"",(COUNTIFS(tblObs[Station],$B$41,tblObs[View date],"&gt;0",tblObs[Cycle (s)],"&gt;"&amp;Takt))/($C$41)))</f>
        <v>0</v>
      </c>
      <c r="J41" s="30">
        <f>IF($B$41="","",IF(ISNUMBER($D$41),NetMin*60/$D$41,""))</f>
        <v>589.54263656568</v>
      </c>
      <c r="K41" s="41" t="str">
        <f>IF($B$41="","",IF(NOT(ISNUMBER($H$41)),"",IF($H$41&gt;OverAt,"Over capacity",IF($H$41&gt;=NearAt,"Near capacity","Under capacity"))))</f>
        <v>Under capacity</v>
      </c>
      <c r="L41" s="41"/>
    </row>
    <row r="42" spans="2:12" x14ac:dyDescent="0.25">
      <c r="B42" s="59" t="str">
        <f>IFERROR(INDEX(tblStations[Station],3)&amp;"","")</f>
        <v>S3 Spring/cap</v>
      </c>
      <c r="C42" s="30">
        <f>IF($B$42="","",COUNTIFS(tblObs[Station],$B$42,tblObs[View date],"&gt;0"))</f>
        <v>19</v>
      </c>
      <c r="D42" s="38">
        <f>IF($B$42="","",IF(($C$42)=0,"",(SUMIFS(tblObs[Cycle (s)],tblObs[Station],$B$42,tblObs[View date],"&gt;0"))/($C$42)))</f>
        <v>50.8947368421053</v>
      </c>
      <c r="E42" s="38">
        <f>IF($B$42="","",IF($C$42=0,"",SUMPRODUCT(MAX((tblObs[Station]=$B$42)*ISNUMBER(tblObs[View date])*tblObs[Cycle (s)]))))</f>
        <v>56</v>
      </c>
      <c r="F42" s="38">
        <f>IF($B$42="","",IF($C$42&lt;2,"",SQRT(MAX(0,(SUMPRODUCT((tblObs[Station]=$B$42)*ISNUMBER(tblObs[View date])*tblObs[Cycle (s)]^2)-$C$42*$D$42^2)/($C$42-1)))))</f>
        <v>2.30807126892915</v>
      </c>
      <c r="G42" s="60">
        <f>Takt</f>
        <v>56</v>
      </c>
      <c r="H42" s="40">
        <f>IF($B$42="","",IF(AND(ISNUMBER($D$42),ISNUMBER(Takt)),$D$42/Takt,""))</f>
        <v>0.908834586466165</v>
      </c>
      <c r="I42" s="40">
        <f>IF($B$42="","",IF(($C$42)=0,"",(COUNTIFS(tblObs[Station],$B$42,tblObs[View date],"&gt;0",tblObs[Cycle (s)],"&gt;"&amp;Takt))/($C$42)))</f>
        <v>0</v>
      </c>
      <c r="J42" s="30">
        <f>IF($B$42="","",IF(ISNUMBER($D$42),NetMin*60/$D$42,""))</f>
        <v>495.139607032058</v>
      </c>
      <c r="K42" s="41" t="str">
        <f>IF($B$42="","",IF(NOT(ISNUMBER($H$42)),"",IF($H$42&gt;OverAt,"Over capacity",IF($H$42&gt;=NearAt,"Near capacity","Under capacity"))))</f>
        <v>Near capacity</v>
      </c>
      <c r="L42" s="41"/>
    </row>
    <row r="43" spans="2:12" x14ac:dyDescent="0.25">
      <c r="B43" s="59" t="str">
        <f>IFERROR(INDEX(tblStations[Station],4)&amp;"","")</f>
        <v>S4 Solenoid</v>
      </c>
      <c r="C43" s="30">
        <f>IF($B$43="","",COUNTIFS(tblObs[Station],$B$43,tblObs[View date],"&gt;0"))</f>
        <v>19</v>
      </c>
      <c r="D43" s="38">
        <f>IF($B$43="","",IF(($C$43)=0,"",(SUMIFS(tblObs[Cycle (s)],tblObs[Station],$B$43,tblObs[View date],"&gt;0"))/($C$43)))</f>
        <v>57.9578947368421</v>
      </c>
      <c r="E43" s="38">
        <f>IF($B$43="","",IF($C$43=0,"",SUMPRODUCT(MAX((tblObs[Station]=$B$43)*ISNUMBER(tblObs[View date])*tblObs[Cycle (s)]))))</f>
        <v>63.7</v>
      </c>
      <c r="F43" s="38">
        <f>IF($B$43="","",IF($C$43&lt;2,"",SQRT(MAX(0,(SUMPRODUCT((tblObs[Station]=$B$43)*ISNUMBER(tblObs[View date])*tblObs[Cycle (s)]^2)-$C$43*$D$43^2)/($C$43-1)))))</f>
        <v>3.70454912378366</v>
      </c>
      <c r="G43" s="60">
        <f>Takt</f>
        <v>56</v>
      </c>
      <c r="H43" s="40">
        <f>IF($B$43="","",IF(AND(ISNUMBER($D$43),ISNUMBER(Takt)),$D$43/Takt,""))</f>
        <v>1.03496240601504</v>
      </c>
      <c r="I43" s="40">
        <f>IF($B$43="","",IF(($C$43)=0,"",(COUNTIFS(tblObs[Station],$B$43,tblObs[View date],"&gt;0",tblObs[Cycle (s)],"&gt;"&amp;Takt))/($C$43)))</f>
        <v>0.631578947368421</v>
      </c>
      <c r="J43" s="30">
        <f>IF($B$43="","",IF(ISNUMBER($D$43),NetMin*60/$D$43,""))</f>
        <v>434.798401743552</v>
      </c>
      <c r="K43" s="41" t="str">
        <f>IF($B$43="","",IF(NOT(ISNUMBER($H$43)),"",IF($H$43&gt;OverAt,"Over capacity",IF($H$43&gt;=NearAt,"Near capacity","Under capacity"))))</f>
        <v>Over capacity</v>
      </c>
      <c r="L43" s="41"/>
    </row>
    <row r="44" spans="2:12" x14ac:dyDescent="0.25">
      <c r="B44" s="59" t="str">
        <f>IFERROR(INDEX(tblStations[Station],5)&amp;"","")</f>
        <v>S5 Leak test</v>
      </c>
      <c r="C44" s="30">
        <f>IF($B$44="","",COUNTIFS(tblObs[Station],$B$44,tblObs[View date],"&gt;0"))</f>
        <v>20</v>
      </c>
      <c r="D44" s="38">
        <f>IF($B$44="","",IF(($C$44)=0,"",(SUMIFS(tblObs[Cycle (s)],tblObs[Station],$B$44,tblObs[View date],"&gt;0"))/($C$44)))</f>
        <v>51.865</v>
      </c>
      <c r="E44" s="38">
        <f>IF($B$44="","",IF($C$44=0,"",SUMPRODUCT(MAX((tblObs[Station]=$B$44)*ISNUMBER(tblObs[View date])*tblObs[Cycle (s)]))))</f>
        <v>52.9</v>
      </c>
      <c r="F44" s="38">
        <f>IF($B$44="","",IF($C$44&lt;2,"",SQRT(MAX(0,(SUMPRODUCT((tblObs[Station]=$B$44)*ISNUMBER(tblObs[View date])*tblObs[Cycle (s)]^2)-$C$44*$D$44^2)/($C$44-1)))))</f>
        <v>0.452216762184454</v>
      </c>
      <c r="G44" s="60">
        <f>Takt</f>
        <v>56</v>
      </c>
      <c r="H44" s="40">
        <f>IF($B$44="","",IF(AND(ISNUMBER($D$44),ISNUMBER(Takt)),$D$44/Takt,""))</f>
        <v>0.926160714285714</v>
      </c>
      <c r="I44" s="40">
        <f>IF($B$44="","",IF(($C$44)=0,"",(COUNTIFS(tblObs[Station],$B$44,tblObs[View date],"&gt;0",tblObs[Cycle (s)],"&gt;"&amp;Takt))/($C$44)))</f>
        <v>0</v>
      </c>
      <c r="J44" s="30">
        <f>IF($B$44="","",IF(ISNUMBER($D$44),NetMin*60/$D$44,""))</f>
        <v>485.876795526849</v>
      </c>
      <c r="K44" s="41" t="str">
        <f>IF($B$44="","",IF(NOT(ISNUMBER($H$44)),"",IF($H$44&gt;OverAt,"Over capacity",IF($H$44&gt;=NearAt,"Near capacity","Under capacity"))))</f>
        <v>Near capacity</v>
      </c>
      <c r="L44" s="41"/>
    </row>
    <row r="45" spans="2:12" x14ac:dyDescent="0.25">
      <c r="B45" s="59" t="str">
        <f>IFERROR(INDEX(tblStations[Station],6)&amp;"","")</f>
        <v>S6 Pack</v>
      </c>
      <c r="C45" s="30">
        <f>IF($B$45="","",COUNTIFS(tblObs[Station],$B$45,tblObs[View date],"&gt;0"))</f>
        <v>20</v>
      </c>
      <c r="D45" s="38">
        <f>IF($B$45="","",IF(($C$45)=0,"",(SUMIFS(tblObs[Cycle (s)],tblObs[Station],$B$45,tblObs[View date],"&gt;0"))/($C$45)))</f>
        <v>37.235</v>
      </c>
      <c r="E45" s="38">
        <f>IF($B$45="","",IF($C$45=0,"",SUMPRODUCT(MAX((tblObs[Station]=$B$45)*ISNUMBER(tblObs[View date])*tblObs[Cycle (s)]))))</f>
        <v>41</v>
      </c>
      <c r="F45" s="38">
        <f>IF($B$45="","",IF($C$45&lt;2,"",SQRT(MAX(0,(SUMPRODUCT((tblObs[Station]=$B$45)*ISNUMBER(tblObs[View date])*tblObs[Cycle (s)]^2)-$C$45*$D$45^2)/($C$45-1)))))</f>
        <v>2.18783117793809</v>
      </c>
      <c r="G45" s="60">
        <f>Takt</f>
        <v>56</v>
      </c>
      <c r="H45" s="40">
        <f>IF($B$45="","",IF(AND(ISNUMBER($D$45),ISNUMBER(Takt)),$D$45/Takt,""))</f>
        <v>0.664910714285714</v>
      </c>
      <c r="I45" s="40">
        <f>IF($B$45="","",IF(($C$45)=0,"",(COUNTIFS(tblObs[Station],$B$45,tblObs[View date],"&gt;0",tblObs[Cycle (s)],"&gt;"&amp;Takt))/($C$45)))</f>
        <v>0</v>
      </c>
      <c r="J45" s="30">
        <f>IF($B$45="","",IF(ISNUMBER($D$45),NetMin*60/$D$45,""))</f>
        <v>676.782597018934</v>
      </c>
      <c r="K45" s="41" t="str">
        <f>IF($B$45="","",IF(NOT(ISNUMBER($H$45)),"",IF($H$45&gt;OverAt,"Over capacity",IF($H$45&gt;=NearAt,"Near capacity","Under capacity"))))</f>
        <v>Under capacity</v>
      </c>
      <c r="L45" s="41"/>
    </row>
    <row r="47" spans="2:12" x14ac:dyDescent="0.25">
      <c r="B47" s="33" t="s">
        <v>158</v>
      </c>
      <c r="C47" s="33"/>
      <c r="D47" s="33"/>
      <c r="E47" s="33"/>
      <c r="F47" s="33"/>
    </row>
    <row r="48" spans="2:12" ht="32" customHeight="1" x14ac:dyDescent="0.25">
      <c r="B48" s="57" t="s">
        <v>159</v>
      </c>
      <c r="C48" s="34" t="s">
        <v>98</v>
      </c>
      <c r="D48" s="34" t="s">
        <v>100</v>
      </c>
      <c r="E48" s="34" t="s">
        <v>160</v>
      </c>
      <c r="F48" s="34" t="s">
        <v>150</v>
      </c>
    </row>
    <row r="49" spans="2:6" x14ac:dyDescent="0.25">
      <c r="B49" s="61">
        <f>IF($B$50="","",IF($B$50&lt;=1,"",$B$50-1))</f>
        <v/>
      </c>
      <c r="C49" s="62">
        <f>IF($B$49="","",IFERROR(INDEX(tblObs[Date],MATCH($B$49,tblObs[Chart no.],0)),""))</f>
        <v/>
      </c>
      <c r="D49" s="38">
        <f>IF($B$49="","",IFERROR(INDEX(tblObs[Cycle (s)],MATCH($B$49,tblObs[Chart no.],0)),""))</f>
        <v/>
      </c>
      <c r="E49" s="60">
        <f>IFERROR(INDEX($D$40:$D$45,MATCH(ChartStation,$B$40:$B$45,0)),"")</f>
        <v>57.9578947368421</v>
      </c>
      <c r="F49" s="60">
        <f>Takt</f>
        <v>56</v>
      </c>
    </row>
    <row r="50" spans="2:6" x14ac:dyDescent="0.25">
      <c r="B50" s="61">
        <f>IF($B$51="","",IF($B$51&lt;=1,"",$B$51-1))</f>
        <v>1</v>
      </c>
      <c r="C50" s="62">
        <f>IF($B$50="","",IFERROR(INDEX(tblObs[Date],MATCH($B$50,tblObs[Chart no.],0)),""))</f>
        <v>46273</v>
      </c>
      <c r="D50" s="38">
        <f>IF($B$50="","",IFERROR(INDEX(tblObs[Cycle (s)],MATCH($B$50,tblObs[Chart no.],0)),""))</f>
        <v>59.2</v>
      </c>
      <c r="E50" s="60">
        <f>IFERROR(INDEX($D$40:$D$45,MATCH(ChartStation,$B$40:$B$45,0)),"")</f>
        <v>57.9578947368421</v>
      </c>
      <c r="F50" s="60">
        <f>Takt</f>
        <v>56</v>
      </c>
    </row>
    <row r="51" spans="2:6" x14ac:dyDescent="0.25">
      <c r="B51" s="61">
        <f>IF($B$52="","",IF($B$52&lt;=1,"",$B$52-1))</f>
        <v>2</v>
      </c>
      <c r="C51" s="62">
        <f>IF($B$51="","",IFERROR(INDEX(tblObs[Date],MATCH($B$51,tblObs[Chart no.],0)),""))</f>
        <v>46273</v>
      </c>
      <c r="D51" s="38">
        <f>IF($B$51="","",IFERROR(INDEX(tblObs[Cycle (s)],MATCH($B$51,tblObs[Chart no.],0)),""))</f>
        <v>61.5</v>
      </c>
      <c r="E51" s="60">
        <f>IFERROR(INDEX($D$40:$D$45,MATCH(ChartStation,$B$40:$B$45,0)),"")</f>
        <v>57.9578947368421</v>
      </c>
      <c r="F51" s="60">
        <f>Takt</f>
        <v>56</v>
      </c>
    </row>
    <row r="52" spans="2:6" x14ac:dyDescent="0.25">
      <c r="B52" s="61">
        <f>IF($B$53="","",IF($B$53&lt;=1,"",$B$53-1))</f>
        <v>3</v>
      </c>
      <c r="C52" s="62">
        <f>IF($B$52="","",IFERROR(INDEX(tblObs[Date],MATCH($B$52,tblObs[Chart no.],0)),""))</f>
        <v>46273</v>
      </c>
      <c r="D52" s="38">
        <f>IF($B$52="","",IFERROR(INDEX(tblObs[Cycle (s)],MATCH($B$52,tblObs[Chart no.],0)),""))</f>
        <v>60.7</v>
      </c>
      <c r="E52" s="60">
        <f>IFERROR(INDEX($D$40:$D$45,MATCH(ChartStation,$B$40:$B$45,0)),"")</f>
        <v>57.9578947368421</v>
      </c>
      <c r="F52" s="60">
        <f>Takt</f>
        <v>56</v>
      </c>
    </row>
    <row r="53" spans="2:6" x14ac:dyDescent="0.25">
      <c r="B53" s="61">
        <f>IF($B$54="","",IF($B$54&lt;=1,"",$B$54-1))</f>
        <v>4</v>
      </c>
      <c r="C53" s="62">
        <f>IF($B$53="","",IFERROR(INDEX(tblObs[Date],MATCH($B$53,tblObs[Chart no.],0)),""))</f>
        <v>46273</v>
      </c>
      <c r="D53" s="38">
        <f>IF($B$53="","",IFERROR(INDEX(tblObs[Cycle (s)],MATCH($B$53,tblObs[Chart no.],0)),""))</f>
        <v>57.3</v>
      </c>
      <c r="E53" s="60">
        <f>IFERROR(INDEX($D$40:$D$45,MATCH(ChartStation,$B$40:$B$45,0)),"")</f>
        <v>57.9578947368421</v>
      </c>
      <c r="F53" s="60">
        <f>Takt</f>
        <v>56</v>
      </c>
    </row>
    <row r="54" spans="2:6" x14ac:dyDescent="0.25">
      <c r="B54" s="61">
        <f>IF($B$55="","",IF($B$55&lt;=1,"",$B$55-1))</f>
        <v>5</v>
      </c>
      <c r="C54" s="62">
        <f>IF($B$54="","",IFERROR(INDEX(tblObs[Date],MATCH($B$54,tblObs[Chart no.],0)),""))</f>
        <v>46273</v>
      </c>
      <c r="D54" s="38">
        <f>IF($B$54="","",IFERROR(INDEX(tblObs[Cycle (s)],MATCH($B$54,tblObs[Chart no.],0)),""))</f>
        <v>61.1</v>
      </c>
      <c r="E54" s="60">
        <f>IFERROR(INDEX($D$40:$D$45,MATCH(ChartStation,$B$40:$B$45,0)),"")</f>
        <v>57.9578947368421</v>
      </c>
      <c r="F54" s="60">
        <f>Takt</f>
        <v>56</v>
      </c>
    </row>
    <row r="55" spans="2:6" x14ac:dyDescent="0.25">
      <c r="B55" s="61">
        <f>IF($B$56="","",IF($B$56&lt;=1,"",$B$56-1))</f>
        <v>6</v>
      </c>
      <c r="C55" s="62">
        <f>IF($B$55="","",IFERROR(INDEX(tblObs[Date],MATCH($B$55,tblObs[Chart no.],0)),""))</f>
        <v>46273</v>
      </c>
      <c r="D55" s="38">
        <f>IF($B$55="","",IFERROR(INDEX(tblObs[Cycle (s)],MATCH($B$55,tblObs[Chart no.],0)),""))</f>
        <v>59.2</v>
      </c>
      <c r="E55" s="60">
        <f>IFERROR(INDEX($D$40:$D$45,MATCH(ChartStation,$B$40:$B$45,0)),"")</f>
        <v>57.9578947368421</v>
      </c>
      <c r="F55" s="60">
        <f>Takt</f>
        <v>56</v>
      </c>
    </row>
    <row r="56" spans="2:6" x14ac:dyDescent="0.25">
      <c r="B56" s="61">
        <f>IF($B$57="","",IF($B$57&lt;=1,"",$B$57-1))</f>
        <v>7</v>
      </c>
      <c r="C56" s="62">
        <f>IF($B$56="","",IFERROR(INDEX(tblObs[Date],MATCH($B$56,tblObs[Chart no.],0)),""))</f>
        <v>46275</v>
      </c>
      <c r="D56" s="38">
        <f>IF($B$56="","",IFERROR(INDEX(tblObs[Cycle (s)],MATCH($B$56,tblObs[Chart no.],0)),""))</f>
        <v>57.3</v>
      </c>
      <c r="E56" s="60">
        <f>IFERROR(INDEX($D$40:$D$45,MATCH(ChartStation,$B$40:$B$45,0)),"")</f>
        <v>57.9578947368421</v>
      </c>
      <c r="F56" s="60">
        <f>Takt</f>
        <v>56</v>
      </c>
    </row>
    <row r="57" spans="2:6" x14ac:dyDescent="0.25">
      <c r="B57" s="61">
        <f>IF($B$58="","",IF($B$58&lt;=1,"",$B$58-1))</f>
        <v>8</v>
      </c>
      <c r="C57" s="62">
        <f>IF($B$57="","",IFERROR(INDEX(tblObs[Date],MATCH($B$57,tblObs[Chart no.],0)),""))</f>
        <v>46275</v>
      </c>
      <c r="D57" s="38">
        <f>IF($B$57="","",IFERROR(INDEX(tblObs[Cycle (s)],MATCH($B$57,tblObs[Chart no.],0)),""))</f>
        <v>60.6</v>
      </c>
      <c r="E57" s="60">
        <f>IFERROR(INDEX($D$40:$D$45,MATCH(ChartStation,$B$40:$B$45,0)),"")</f>
        <v>57.9578947368421</v>
      </c>
      <c r="F57" s="60">
        <f>Takt</f>
        <v>56</v>
      </c>
    </row>
    <row r="58" spans="2:6" x14ac:dyDescent="0.25">
      <c r="B58" s="61">
        <f>IF($B$59="","",IF($B$59&lt;=1,"",$B$59-1))</f>
        <v>9</v>
      </c>
      <c r="C58" s="62">
        <f>IF($B$58="","",IFERROR(INDEX(tblObs[Date],MATCH($B$58,tblObs[Chart no.],0)),""))</f>
        <v>46275</v>
      </c>
      <c r="D58" s="38">
        <f>IF($B$58="","",IFERROR(INDEX(tblObs[Cycle (s)],MATCH($B$58,tblObs[Chart no.],0)),""))</f>
        <v>63</v>
      </c>
      <c r="E58" s="60">
        <f>IFERROR(INDEX($D$40:$D$45,MATCH(ChartStation,$B$40:$B$45,0)),"")</f>
        <v>57.9578947368421</v>
      </c>
      <c r="F58" s="60">
        <f>Takt</f>
        <v>56</v>
      </c>
    </row>
    <row r="59" spans="2:6" x14ac:dyDescent="0.25">
      <c r="B59" s="61">
        <f>IF($B$60="","",IF($B$60&lt;=1,"",$B$60-1))</f>
        <v>10</v>
      </c>
      <c r="C59" s="62">
        <f>IF($B$59="","",IFERROR(INDEX(tblObs[Date],MATCH($B$59,tblObs[Chart no.],0)),""))</f>
        <v>46275</v>
      </c>
      <c r="D59" s="38">
        <f>IF($B$59="","",IFERROR(INDEX(tblObs[Cycle (s)],MATCH($B$59,tblObs[Chart no.],0)),""))</f>
        <v>62.8</v>
      </c>
      <c r="E59" s="60">
        <f>IFERROR(INDEX($D$40:$D$45,MATCH(ChartStation,$B$40:$B$45,0)),"")</f>
        <v>57.9578947368421</v>
      </c>
      <c r="F59" s="60">
        <f>Takt</f>
        <v>56</v>
      </c>
    </row>
    <row r="60" spans="2:6" x14ac:dyDescent="0.25">
      <c r="B60" s="61">
        <f>IF($B$61="","",IF($B$61&lt;=1,"",$B$61-1))</f>
        <v>11</v>
      </c>
      <c r="C60" s="62">
        <f>IF($B$60="","",IFERROR(INDEX(tblObs[Date],MATCH($B$60,tblObs[Chart no.],0)),""))</f>
        <v>46275</v>
      </c>
      <c r="D60" s="38">
        <f>IF($B$60="","",IFERROR(INDEX(tblObs[Cycle (s)],MATCH($B$60,tblObs[Chart no.],0)),""))</f>
        <v>55</v>
      </c>
      <c r="E60" s="60">
        <f>IFERROR(INDEX($D$40:$D$45,MATCH(ChartStation,$B$40:$B$45,0)),"")</f>
        <v>57.9578947368421</v>
      </c>
      <c r="F60" s="60">
        <f>Takt</f>
        <v>56</v>
      </c>
    </row>
    <row r="61" spans="2:6" x14ac:dyDescent="0.25">
      <c r="B61" s="61">
        <f>IF($B$62="","",IF($B$62&lt;=1,"",$B$62-1))</f>
        <v>12</v>
      </c>
      <c r="C61" s="62">
        <f>IF($B$61="","",IFERROR(INDEX(tblObs[Date],MATCH($B$61,tblObs[Chart no.],0)),""))</f>
        <v>46275</v>
      </c>
      <c r="D61" s="38">
        <f>IF($B$61="","",IFERROR(INDEX(tblObs[Cycle (s)],MATCH($B$61,tblObs[Chart no.],0)),""))</f>
        <v>57.5</v>
      </c>
      <c r="E61" s="60">
        <f>IFERROR(INDEX($D$40:$D$45,MATCH(ChartStation,$B$40:$B$45,0)),"")</f>
        <v>57.9578947368421</v>
      </c>
      <c r="F61" s="60">
        <f>Takt</f>
        <v>56</v>
      </c>
    </row>
    <row r="62" spans="2:6" x14ac:dyDescent="0.25">
      <c r="B62" s="61">
        <f>IF($B$63="","",IF($B$63&lt;=1,"",$B$63-1))</f>
        <v>13</v>
      </c>
      <c r="C62" s="62">
        <f>IF($B$62="","",IFERROR(INDEX(tblObs[Date],MATCH($B$62,tblObs[Chart no.],0)),""))</f>
        <v>46275</v>
      </c>
      <c r="D62" s="38">
        <f>IF($B$62="","",IFERROR(INDEX(tblObs[Cycle (s)],MATCH($B$62,tblObs[Chart no.],0)),""))</f>
        <v>63.7</v>
      </c>
      <c r="E62" s="60">
        <f>IFERROR(INDEX($D$40:$D$45,MATCH(ChartStation,$B$40:$B$45,0)),"")</f>
        <v>57.9578947368421</v>
      </c>
      <c r="F62" s="60">
        <f>Takt</f>
        <v>56</v>
      </c>
    </row>
    <row r="63" spans="2:6" x14ac:dyDescent="0.25">
      <c r="B63" s="61">
        <f>IF($B$64="","",IF($B$64&lt;=1,"",$B$64-1))</f>
        <v>14</v>
      </c>
      <c r="C63" s="62">
        <f>IF($B$63="","",IFERROR(INDEX(tblObs[Date],MATCH($B$63,tblObs[Chart no.],0)),""))</f>
        <v>46280</v>
      </c>
      <c r="D63" s="38">
        <f>IF($B$63="","",IFERROR(INDEX(tblObs[Cycle (s)],MATCH($B$63,tblObs[Chart no.],0)),""))</f>
        <v>52.2</v>
      </c>
      <c r="E63" s="60">
        <f>IFERROR(INDEX($D$40:$D$45,MATCH(ChartStation,$B$40:$B$45,0)),"")</f>
        <v>57.9578947368421</v>
      </c>
      <c r="F63" s="60">
        <f>Takt</f>
        <v>56</v>
      </c>
    </row>
    <row r="64" spans="2:6" x14ac:dyDescent="0.25">
      <c r="B64" s="61">
        <f>IF($B$65="","",IF($B$65&lt;=1,"",$B$65-1))</f>
        <v>15</v>
      </c>
      <c r="C64" s="62">
        <f>IF($B$64="","",IFERROR(INDEX(tblObs[Date],MATCH($B$64,tblObs[Chart no.],0)),""))</f>
        <v>46280</v>
      </c>
      <c r="D64" s="38">
        <f>IF($B$64="","",IFERROR(INDEX(tblObs[Cycle (s)],MATCH($B$64,tblObs[Chart no.],0)),""))</f>
        <v>54.1</v>
      </c>
      <c r="E64" s="60">
        <f>IFERROR(INDEX($D$40:$D$45,MATCH(ChartStation,$B$40:$B$45,0)),"")</f>
        <v>57.9578947368421</v>
      </c>
      <c r="F64" s="60">
        <f>Takt</f>
        <v>56</v>
      </c>
    </row>
    <row r="65" spans="2:12" x14ac:dyDescent="0.25">
      <c r="B65" s="61">
        <f>IF($B$66="","",IF($B$66&lt;=1,"",$B$66-1))</f>
        <v>16</v>
      </c>
      <c r="C65" s="62">
        <f>IF($B$65="","",IFERROR(INDEX(tblObs[Date],MATCH($B$65,tblObs[Chart no.],0)),""))</f>
        <v>46280</v>
      </c>
      <c r="D65" s="38">
        <f>IF($B$65="","",IFERROR(INDEX(tblObs[Cycle (s)],MATCH($B$65,tblObs[Chart no.],0)),""))</f>
        <v>55.3</v>
      </c>
      <c r="E65" s="60">
        <f>IFERROR(INDEX($D$40:$D$45,MATCH(ChartStation,$B$40:$B$45,0)),"")</f>
        <v>57.9578947368421</v>
      </c>
      <c r="F65" s="60">
        <f>Takt</f>
        <v>56</v>
      </c>
    </row>
    <row r="66" spans="2:12" x14ac:dyDescent="0.25">
      <c r="B66" s="61">
        <f>IF($B$67="","",IF($B$67&lt;=1,"",$B$67-1))</f>
        <v>17</v>
      </c>
      <c r="C66" s="62">
        <f>IF($B$66="","",IFERROR(INDEX(tblObs[Date],MATCH($B$66,tblObs[Chart no.],0)),""))</f>
        <v>46280</v>
      </c>
      <c r="D66" s="38">
        <f>IF($B$66="","",IFERROR(INDEX(tblObs[Cycle (s)],MATCH($B$66,tblObs[Chart no.],0)),""))</f>
        <v>52.3</v>
      </c>
      <c r="E66" s="60">
        <f>IFERROR(INDEX($D$40:$D$45,MATCH(ChartStation,$B$40:$B$45,0)),"")</f>
        <v>57.9578947368421</v>
      </c>
      <c r="F66" s="60">
        <f>Takt</f>
        <v>56</v>
      </c>
    </row>
    <row r="67" spans="2:12" x14ac:dyDescent="0.25">
      <c r="B67" s="61">
        <f>IF($B$68="","",IF($B$68&lt;=1,"",$B$68-1))</f>
        <v>18</v>
      </c>
      <c r="C67" s="62">
        <f>IF($B$67="","",IFERROR(INDEX(tblObs[Date],MATCH($B$67,tblObs[Chart no.],0)),""))</f>
        <v>46280</v>
      </c>
      <c r="D67" s="38">
        <f>IF($B$67="","",IFERROR(INDEX(tblObs[Cycle (s)],MATCH($B$67,tblObs[Chart no.],0)),""))</f>
        <v>54.2</v>
      </c>
      <c r="E67" s="60">
        <f>IFERROR(INDEX($D$40:$D$45,MATCH(ChartStation,$B$40:$B$45,0)),"")</f>
        <v>57.9578947368421</v>
      </c>
      <c r="F67" s="60">
        <f>Takt</f>
        <v>56</v>
      </c>
    </row>
    <row r="68" spans="2:12" x14ac:dyDescent="0.25">
      <c r="B68" s="61">
        <f>IF(COUNT(tblObs[Chart no.])=0,"",MAX(tblObs[Chart no.]))</f>
        <v>19</v>
      </c>
      <c r="C68" s="62">
        <f>IF($B$68="","",IFERROR(INDEX(tblObs[Date],MATCH($B$68,tblObs[Chart no.],0)),""))</f>
        <v>46280</v>
      </c>
      <c r="D68" s="38">
        <f>IF($B$68="","",IFERROR(INDEX(tblObs[Cycle (s)],MATCH($B$68,tblObs[Chart no.],0)),""))</f>
        <v>54.2</v>
      </c>
      <c r="E68" s="60">
        <f>IFERROR(INDEX($D$40:$D$45,MATCH(ChartStation,$B$40:$B$45,0)),"")</f>
        <v>57.9578947368421</v>
      </c>
      <c r="F68" s="60">
        <f>Takt</f>
        <v>56</v>
      </c>
    </row>
    <row r="69" spans="2:12" ht="8" customHeight="1" x14ac:dyDescent="0.25"/>
    <row r="70" spans="2:12" x14ac:dyDescent="0.25">
      <c r="B70" s="21" t="s">
        <v>161</v>
      </c>
      <c r="C70" s="21"/>
      <c r="D70" s="21"/>
      <c r="E70" s="21"/>
      <c r="F70" s="21"/>
      <c r="G70" s="21"/>
      <c r="H70" s="21"/>
      <c r="I70" s="21"/>
      <c r="J70" s="21"/>
      <c r="K70" s="21"/>
      <c r="L70" s="21"/>
    </row>
    <row r="71" spans="2:12" x14ac:dyDescent="0.25">
      <c r="B71" s="63">
        <f>IF(COUNTA(tblStations[Station])&gt;6,"The Setup list has more stations than the Dashboard shows: some stations are not included.","")</f>
        <v/>
      </c>
      <c r="C71" s="63"/>
      <c r="D71" s="63"/>
      <c r="E71" s="63"/>
      <c r="F71" s="63"/>
      <c r="G71" s="63"/>
      <c r="H71" s="63"/>
      <c r="I71" s="63"/>
      <c r="J71" s="63"/>
      <c r="K71" s="63"/>
      <c r="L71" s="63"/>
    </row>
  </sheetData>
  <sheetProtection sheet="1" formatColumns="0" formatRows="0"/>
  <mergeCells count="52">
    <mergeCell ref="A1:L1"/>
    <mergeCell ref="B2:J2"/>
    <mergeCell ref="K2:L2"/>
    <mergeCell ref="C4:D4"/>
    <mergeCell ref="G4:H4"/>
    <mergeCell ref="K4:L4"/>
    <mergeCell ref="B5:L5"/>
    <mergeCell ref="B7:C7"/>
    <mergeCell ref="B8:C9"/>
    <mergeCell ref="B10:C10"/>
    <mergeCell ref="B11:C11"/>
    <mergeCell ref="D7:F7"/>
    <mergeCell ref="D8:F9"/>
    <mergeCell ref="D10:F10"/>
    <mergeCell ref="D11:F11"/>
    <mergeCell ref="G7:I7"/>
    <mergeCell ref="G8:I9"/>
    <mergeCell ref="G10:I10"/>
    <mergeCell ref="G11:I11"/>
    <mergeCell ref="J7:L7"/>
    <mergeCell ref="J8:L9"/>
    <mergeCell ref="J10:L10"/>
    <mergeCell ref="J11:L11"/>
    <mergeCell ref="G13:L13"/>
    <mergeCell ref="B31:C31"/>
    <mergeCell ref="B32:C33"/>
    <mergeCell ref="B34:C34"/>
    <mergeCell ref="B35:C35"/>
    <mergeCell ref="D31:F31"/>
    <mergeCell ref="D32:F33"/>
    <mergeCell ref="D34:F34"/>
    <mergeCell ref="D35:F35"/>
    <mergeCell ref="G31:I31"/>
    <mergeCell ref="G32:I33"/>
    <mergeCell ref="G34:I34"/>
    <mergeCell ref="G35:I35"/>
    <mergeCell ref="J31:L31"/>
    <mergeCell ref="J32:L33"/>
    <mergeCell ref="J34:L34"/>
    <mergeCell ref="J35:L35"/>
    <mergeCell ref="B37:L37"/>
    <mergeCell ref="K38:L38"/>
    <mergeCell ref="K39:L39"/>
    <mergeCell ref="K40:L40"/>
    <mergeCell ref="K41:L41"/>
    <mergeCell ref="K42:L42"/>
    <mergeCell ref="K43:L43"/>
    <mergeCell ref="K44:L44"/>
    <mergeCell ref="K45:L45"/>
    <mergeCell ref="B47:F47"/>
    <mergeCell ref="B70:L70"/>
    <mergeCell ref="B71:L71"/>
  </mergeCells>
  <conditionalFormatting sqref="G11">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H40:H45">
    <cfRule type="dataBar" priority="41">
      <dataBar>
        <cfvo type="num" val="0"/>
        <cfvo type="max"/>
        <color rgb="FFA8BDF0"/>
      </dataBar>
      <extLst>
        <ext xmlns:x14="http://schemas.microsoft.com/office/spreadsheetml/2009/9/main" uri="{B025F937-C7B1-47D3-B67F-A62EFF666E3E}">
          <x14:id>{DA7ABA51-AAAA-BBBB-0004-000000000001}</x14:id>
        </ext>
      </extLst>
    </cfRule>
  </conditionalFormatting>
  <conditionalFormatting sqref="J11">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K40:K45">
    <cfRule type="cellIs" dxfId="0" priority="42" operator="equal">
      <formula>"On target"</formula>
    </cfRule>
    <cfRule type="cellIs" dxfId="0" priority="43" operator="equal">
      <formula>"PASS"</formula>
    </cfRule>
    <cfRule type="cellIs" dxfId="0" priority="44" operator="equal">
      <formula>"OK"</formula>
    </cfRule>
    <cfRule type="cellIs" dxfId="0" priority="45" operator="equal">
      <formula>"Within limits"</formula>
    </cfRule>
    <cfRule type="cellIs" dxfId="0" priority="46" operator="equal">
      <formula>"Under capacity"</formula>
    </cfRule>
    <cfRule type="cellIs" dxfId="0" priority="47" operator="equal">
      <formula>"Complete"</formula>
    </cfRule>
    <cfRule type="cellIs" dxfId="0" priority="48" operator="equal">
      <formula>"Yes"</formula>
    </cfRule>
    <cfRule type="cellIs" dxfId="1" priority="49" operator="equal">
      <formula>"Near target"</formula>
    </cfRule>
    <cfRule type="cellIs" dxfId="1" priority="50" operator="equal">
      <formula>"Check"</formula>
    </cfRule>
    <cfRule type="cellIs" dxfId="1" priority="51" operator="equal">
      <formula>"Due soon"</formula>
    </cfRule>
    <cfRule type="cellIs" dxfId="1" priority="52" operator="equal">
      <formula>"Near capacity"</formula>
    </cfRule>
    <cfRule type="cellIs" dxfId="1" priority="53" operator="equal">
      <formula>"In progress"</formula>
    </cfRule>
    <cfRule type="cellIs" dxfId="1" priority="54" operator="equal">
      <formula>"Partial"</formula>
    </cfRule>
    <cfRule type="cellIs" dxfId="2" priority="55" operator="equal">
      <formula>"Below target"</formula>
    </cfRule>
    <cfRule type="cellIs" dxfId="2" priority="56" operator="equal">
      <formula>"Above target"</formula>
    </cfRule>
    <cfRule type="cellIs" dxfId="2" priority="57" operator="equal">
      <formula>"FAIL"</formula>
    </cfRule>
    <cfRule type="cellIs" dxfId="2" priority="58" operator="equal">
      <formula>"Over capacity"</formula>
    </cfRule>
    <cfRule type="cellIs" dxfId="2" priority="59" operator="equal">
      <formula>"Overdue"</formula>
    </cfRule>
    <cfRule type="cellIs" dxfId="2" priority="60" operator="equal">
      <formula>"Out of limits"</formula>
    </cfRule>
    <cfRule type="cellIs" dxfId="2" priority="61" operator="equal">
      <formula>"No"</formula>
    </cfRule>
  </conditionalFormatting>
  <dataValidations count="3">
    <dataValidation type="list" allowBlank="1" showInputMessage="1" showErrorMessage="1" errorTitle="Check this entry" error="Pick from the list (edit the list on Setup: Stations)." promptTitle="Run chart station" prompt="Station for the run chart. Leave blank to chart the bottleneck. Pick from the list (edit the list on Setup: Stations)." sqref="C4">
      <formula1>Stations</formula1>
    </dataValidation>
    <dataValidation type="date" allowBlank="1" showInputMessage="1" showErrorMessage="1" errorTitle="Check this entry" error="Enter a date between 01 Jan 2000 and 31 Dec 2100." promptTitle="From" prompt="First date to include. Leave blank to start at the first record. Enter a date between 01 Jan 2000 and 31 Dec 2100." sqref="G4">
      <formula1>36526</formula1>
      <formula2>73415</formula2>
    </dataValidation>
    <dataValidation type="date" allowBlank="1" showInputMessage="1" showErrorMessage="1" errorTitle="Check this entry" error="Enter a date between 01 Jan 2000 and 31 Dec 2100." promptTitle="To" prompt="Last date to include. Leave blank to end at the latest record. Enter a date between 01 Jan 2000 and 31 Dec 2100." sqref="K4">
      <formula1>36526</formula1>
      <formula2>73415</formula2>
    </dataValidation>
  </dataValidations>
  <hyperlinks>
    <hyperlink ref="K2" r:id="rId1" tooltip="Free manufacturing calculators and templates"/>
  </hyperlinks>
  <pageMargins left="0.4" right="0.4" top="0.7" bottom="0.65" header="0.3" footer="0.3"/>
  <pageSetup fitToHeight="0" orientation="landscape"/>
  <headerFooter>
    <oddHeader>&amp;L&amp;8MFG Calcs - Cycle Time Tracker&amp;R&amp;8&amp;A</oddHeader>
    <oddFooter>&amp;L&amp;8mfgcalcs.com - free manufacturing templates&amp;R&amp;8Page &amp;P of &amp;N</oddFooter>
  </headerFooter>
  <rowBreaks count="2" manualBreakCount="2">
    <brk id="29" max="16383" man="1"/>
    <brk id="46" max="16383" man="1"/>
  </rowBreaks>
  <drawing r:id="rId2"/>
  <extLst>
    <ext xmlns:x14="http://schemas.microsoft.com/office/spreadsheetml/2009/9/main" uri="{78C0D931-6437-407d-A8EE-F0AAD7539E65}">
      <x14:conditionalFormattings>
        <x14:conditionalFormatting xmlns:xm="http://schemas.microsoft.com/office/excel/2006/main">
          <x14:cfRule type="dataBar" id="{DA7ABA51-AAAA-BBBB-0004-000000000001}">
            <x14:dataBar minLength="0" maxLength="100" border="1" gradient="0" negativeBarBorderColorSameAsPositive="0">
              <x14:cfvo type="num">
                <xm:f>0</xm:f>
              </x14:cfvo>
              <x14:cfvo type="autoMax"/>
              <x14:borderColor rgb="FFA8BDF0"/>
              <x14:negativeFillColor rgb="FFFF0000"/>
              <x14:negativeBorderColor rgb="FFFF0000"/>
              <x14:axisColor rgb="FF000000"/>
            </x14:dataBar>
          </x14:cfRule>
          <xm:sqref>H40:H45</xm:sqref>
        </x14:conditionalFormatting>
      </x14:conditionalFormattings>
    </ext>
  </extLst>
</worksheet>
</file>

<file path=xl/worksheets/sheet5.xml><?xml version="1.0" encoding="utf-8"?>
<worksheet xmlns="http://schemas.openxmlformats.org/spreadsheetml/2006/main" xmlns:r="http://schemas.openxmlformats.org/officeDocument/2006/relationships">
  <sheetPr>
    <tabColor rgb="FF6B7280"/>
    <pageSetUpPr fitToPage="1"/>
  </sheetPr>
  <dimension ref="A1:D63"/>
  <sheetViews>
    <sheetView showGridLines="0" workbookViewId="0"/>
  </sheetViews>
  <sheetFormatPr defaultRowHeight="15"/>
  <cols>
    <col min="1" max="1" width="2.7109375" customWidth="1"/>
    <col min="2" max="2" width="26.7109375" customWidth="1"/>
    <col min="3" max="3" width="64.7109375" customWidth="1"/>
    <col min="4" max="4" width="14.7109375" customWidth="1"/>
  </cols>
  <sheetData>
    <row r="1" spans="1:4" ht="30" customHeight="1">
      <c r="A1" s="1" t="s">
        <v>0</v>
      </c>
      <c r="B1" s="1"/>
      <c r="C1" s="1"/>
      <c r="D1" s="1"/>
    </row>
    <row r="2" spans="1:4" ht="21" customHeight="1">
      <c r="B2" s="2" t="s">
        <v>26</v>
      </c>
      <c r="C2" s="2"/>
      <c r="D2" s="3" t="s">
        <v>2</v>
      </c>
    </row>
    <row r="3" spans="1:4" ht="6" customHeight="1"/>
    <row r="4" spans="1:4" ht="21" customHeight="1">
      <c r="B4" s="8" t="s">
        <v>162</v>
      </c>
      <c r="C4" s="8"/>
      <c r="D4" s="8"/>
    </row>
    <row r="5" spans="1:4" ht="5" customHeight="1"/>
    <row r="6" spans="1:4" ht="55.8" customHeight="1">
      <c r="B6" s="10" t="s">
        <v>163</v>
      </c>
      <c r="C6" s="10"/>
      <c r="D6" s="10"/>
    </row>
    <row r="8" spans="1:4" ht="21" customHeight="1">
      <c r="B8" s="8" t="s">
        <v>164</v>
      </c>
      <c r="C8" s="8"/>
      <c r="D8" s="8"/>
    </row>
    <row r="9" spans="1:4" ht="5" customHeight="1"/>
    <row r="10" spans="1:4" ht="20" customHeight="1">
      <c r="B10" s="57" t="s">
        <v>165</v>
      </c>
      <c r="C10" s="57" t="s">
        <v>166</v>
      </c>
      <c r="D10" s="34" t="s">
        <v>167</v>
      </c>
    </row>
    <row r="11" spans="1:4" ht="17.2" customHeight="1">
      <c r="B11" s="64" t="s">
        <v>76</v>
      </c>
      <c r="C11" s="65" t="s">
        <v>168</v>
      </c>
      <c r="D11" s="66" t="s">
        <v>72</v>
      </c>
    </row>
    <row r="12" spans="1:4" ht="17.2" customHeight="1">
      <c r="B12" s="64" t="s">
        <v>68</v>
      </c>
      <c r="C12" s="65" t="s">
        <v>169</v>
      </c>
      <c r="D12" s="66" t="s">
        <v>77</v>
      </c>
    </row>
    <row r="13" spans="1:4" ht="30.4" customHeight="1">
      <c r="B13" s="64" t="s">
        <v>170</v>
      </c>
      <c r="C13" s="65" t="s">
        <v>171</v>
      </c>
      <c r="D13" s="66" t="s">
        <v>155</v>
      </c>
    </row>
    <row r="14" spans="1:4" ht="17.2" customHeight="1">
      <c r="B14" s="64" t="s">
        <v>172</v>
      </c>
      <c r="C14" s="65" t="s">
        <v>173</v>
      </c>
      <c r="D14" s="66" t="s">
        <v>174</v>
      </c>
    </row>
    <row r="15" spans="1:4" ht="43.6" customHeight="1">
      <c r="B15" s="64" t="s">
        <v>175</v>
      </c>
      <c r="C15" s="65" t="s">
        <v>176</v>
      </c>
      <c r="D15" s="66" t="s">
        <v>177</v>
      </c>
    </row>
    <row r="16" spans="1:4" ht="30.4" customHeight="1">
      <c r="B16" s="64" t="s">
        <v>178</v>
      </c>
      <c r="C16" s="65" t="s">
        <v>179</v>
      </c>
      <c r="D16" s="66" t="s">
        <v>177</v>
      </c>
    </row>
    <row r="17" spans="2:4" ht="17.2" customHeight="1">
      <c r="B17" s="64" t="s">
        <v>180</v>
      </c>
      <c r="C17" s="65" t="s">
        <v>181</v>
      </c>
      <c r="D17" s="66" t="s">
        <v>154</v>
      </c>
    </row>
    <row r="18" spans="2:4" ht="17.2" customHeight="1">
      <c r="B18" s="64" t="s">
        <v>182</v>
      </c>
      <c r="C18" s="65" t="s">
        <v>183</v>
      </c>
      <c r="D18" s="66" t="s">
        <v>155</v>
      </c>
    </row>
    <row r="19" spans="2:4" ht="30.4" customHeight="1">
      <c r="B19" s="64" t="s">
        <v>184</v>
      </c>
      <c r="C19" s="65" t="s">
        <v>185</v>
      </c>
      <c r="D19" s="66" t="s">
        <v>155</v>
      </c>
    </row>
    <row r="20" spans="2:4" ht="30.4" customHeight="1">
      <c r="B20" s="64" t="s">
        <v>186</v>
      </c>
      <c r="C20" s="65" t="s">
        <v>187</v>
      </c>
      <c r="D20" s="66" t="s">
        <v>155</v>
      </c>
    </row>
    <row r="21" spans="2:4" ht="17.2" customHeight="1">
      <c r="B21" s="64" t="s">
        <v>151</v>
      </c>
      <c r="C21" s="65" t="s">
        <v>188</v>
      </c>
      <c r="D21" s="66" t="s">
        <v>156</v>
      </c>
    </row>
    <row r="22" spans="2:4" ht="30.4" customHeight="1">
      <c r="B22" s="64" t="s">
        <v>152</v>
      </c>
      <c r="C22" s="65" t="s">
        <v>189</v>
      </c>
      <c r="D22" s="66" t="s">
        <v>157</v>
      </c>
    </row>
    <row r="23" spans="2:4" ht="17.2" customHeight="1">
      <c r="B23" s="64" t="s">
        <v>190</v>
      </c>
      <c r="C23" s="65" t="s">
        <v>191</v>
      </c>
      <c r="D23" s="66" t="s">
        <v>177</v>
      </c>
    </row>
    <row r="24" spans="2:4" ht="17.2" customHeight="1">
      <c r="B24" s="64" t="s">
        <v>192</v>
      </c>
      <c r="C24" s="65" t="s">
        <v>193</v>
      </c>
      <c r="D24" s="66" t="s">
        <v>75</v>
      </c>
    </row>
    <row r="25" spans="2:4" ht="17.2" customHeight="1">
      <c r="B25" s="64" t="s">
        <v>194</v>
      </c>
      <c r="C25" s="65" t="s">
        <v>195</v>
      </c>
      <c r="D25" s="66" t="s">
        <v>72</v>
      </c>
    </row>
    <row r="26" spans="2:4" ht="43.6" customHeight="1">
      <c r="B26" s="64" t="s">
        <v>196</v>
      </c>
      <c r="C26" s="65" t="s">
        <v>197</v>
      </c>
      <c r="D26" s="66" t="s">
        <v>155</v>
      </c>
    </row>
    <row r="28" spans="2:4" ht="21" customHeight="1">
      <c r="B28" s="8" t="s">
        <v>198</v>
      </c>
      <c r="C28" s="8"/>
      <c r="D28" s="8"/>
    </row>
    <row r="29" spans="2:4" ht="5" customHeight="1"/>
    <row r="30" spans="2:4" ht="29.4" customHeight="1">
      <c r="B30" s="26" t="s">
        <v>55</v>
      </c>
      <c r="C30" s="10" t="s">
        <v>199</v>
      </c>
      <c r="D30" s="10"/>
    </row>
    <row r="31" spans="2:4" ht="16.2" customHeight="1">
      <c r="B31" s="26" t="s">
        <v>55</v>
      </c>
      <c r="C31" s="10" t="s">
        <v>200</v>
      </c>
      <c r="D31" s="10"/>
    </row>
    <row r="32" spans="2:4" ht="29.4" customHeight="1">
      <c r="B32" s="26" t="s">
        <v>55</v>
      </c>
      <c r="C32" s="10" t="s">
        <v>201</v>
      </c>
      <c r="D32" s="10"/>
    </row>
    <row r="33" spans="2:4" ht="29.4" customHeight="1">
      <c r="B33" s="26" t="s">
        <v>55</v>
      </c>
      <c r="C33" s="10" t="s">
        <v>202</v>
      </c>
      <c r="D33" s="10"/>
    </row>
    <row r="35" spans="2:4" ht="21" customHeight="1">
      <c r="B35" s="8" t="s">
        <v>203</v>
      </c>
      <c r="C35" s="8"/>
      <c r="D35" s="8"/>
    </row>
    <row r="36" spans="2:4" ht="5" customHeight="1"/>
    <row r="37" spans="2:4" ht="29.4" customHeight="1">
      <c r="B37" s="26" t="s">
        <v>55</v>
      </c>
      <c r="C37" s="10" t="s">
        <v>204</v>
      </c>
      <c r="D37" s="10"/>
    </row>
    <row r="38" spans="2:4" ht="42.6" customHeight="1">
      <c r="B38" s="26" t="s">
        <v>55</v>
      </c>
      <c r="C38" s="10" t="s">
        <v>205</v>
      </c>
      <c r="D38" s="10"/>
    </row>
    <row r="39" spans="2:4" ht="29.4" customHeight="1">
      <c r="B39" s="26" t="s">
        <v>55</v>
      </c>
      <c r="C39" s="10" t="s">
        <v>206</v>
      </c>
      <c r="D39" s="10"/>
    </row>
    <row r="40" spans="2:4" ht="29.4" customHeight="1">
      <c r="B40" s="26" t="s">
        <v>55</v>
      </c>
      <c r="C40" s="10" t="s">
        <v>207</v>
      </c>
      <c r="D40" s="10"/>
    </row>
    <row r="42" spans="2:4" ht="21" customHeight="1">
      <c r="B42" s="8" t="s">
        <v>208</v>
      </c>
      <c r="C42" s="8"/>
      <c r="D42" s="8"/>
    </row>
    <row r="43" spans="2:4" ht="5" customHeight="1"/>
    <row r="44" spans="2:4" ht="82.2" customHeight="1">
      <c r="B44" s="10" t="s">
        <v>209</v>
      </c>
      <c r="C44" s="10"/>
      <c r="D44" s="10"/>
    </row>
    <row r="45" spans="2:4">
      <c r="B45" s="24" t="s">
        <v>210</v>
      </c>
      <c r="C45" s="24"/>
      <c r="D45" s="24"/>
    </row>
    <row r="47" spans="2:4" ht="21" customHeight="1">
      <c r="B47" s="8" t="s">
        <v>42</v>
      </c>
      <c r="C47" s="8"/>
      <c r="D47" s="8"/>
    </row>
    <row r="48" spans="2:4" ht="5" customHeight="1"/>
    <row r="49" spans="2:4" ht="42.6" customHeight="1">
      <c r="B49" s="10" t="s">
        <v>211</v>
      </c>
      <c r="C49" s="10"/>
      <c r="D49" s="10"/>
    </row>
    <row r="51" spans="2:4" ht="21" customHeight="1">
      <c r="B51" s="8" t="s">
        <v>212</v>
      </c>
      <c r="C51" s="8"/>
      <c r="D51" s="8"/>
    </row>
    <row r="52" spans="2:4" ht="5" customHeight="1"/>
    <row r="53" spans="2:4" ht="16.2" customHeight="1">
      <c r="B53" s="26" t="s">
        <v>55</v>
      </c>
      <c r="C53" s="10" t="s">
        <v>213</v>
      </c>
      <c r="D53" s="10"/>
    </row>
    <row r="54" spans="2:4" ht="29.4" customHeight="1">
      <c r="B54" s="26" t="s">
        <v>55</v>
      </c>
      <c r="C54" s="10" t="s">
        <v>214</v>
      </c>
      <c r="D54" s="10"/>
    </row>
    <row r="55" spans="2:4" ht="29.4" customHeight="1">
      <c r="B55" s="26" t="s">
        <v>55</v>
      </c>
      <c r="C55" s="10" t="s">
        <v>215</v>
      </c>
      <c r="D55" s="10"/>
    </row>
    <row r="56" spans="2:4">
      <c r="B56" s="21" t="s">
        <v>216</v>
      </c>
      <c r="C56" s="21"/>
      <c r="D56" s="21"/>
    </row>
    <row r="58" spans="2:4" ht="21" customHeight="1">
      <c r="B58" s="8" t="s">
        <v>217</v>
      </c>
      <c r="C58" s="8"/>
      <c r="D58" s="8"/>
    </row>
    <row r="59" spans="2:4" ht="5" customHeight="1"/>
    <row r="60" spans="2:4">
      <c r="B60" s="57" t="s">
        <v>50</v>
      </c>
      <c r="C60" s="57" t="s">
        <v>218</v>
      </c>
      <c r="D60" s="34" t="s">
        <v>98</v>
      </c>
    </row>
    <row r="61" spans="2:4" ht="16.2" customHeight="1">
      <c r="B61" s="67" t="s">
        <v>219</v>
      </c>
      <c r="C61" s="68" t="s">
        <v>220</v>
      </c>
      <c r="D61" s="69" t="s">
        <v>221</v>
      </c>
    </row>
    <row r="63" spans="2:4">
      <c r="B63" s="21" t="s">
        <v>61</v>
      </c>
      <c r="C63" s="21"/>
      <c r="D63" s="21"/>
    </row>
  </sheetData>
  <sheetProtection sheet="1" formatColumns="0" formatRows="0"/>
  <mergeCells count="27">
    <mergeCell ref="A1:D1"/>
    <mergeCell ref="B2:C2"/>
    <mergeCell ref="B4:D4"/>
    <mergeCell ref="B6:D6"/>
    <mergeCell ref="B8:D8"/>
    <mergeCell ref="B28:D28"/>
    <mergeCell ref="C30:D30"/>
    <mergeCell ref="C31:D31"/>
    <mergeCell ref="C32:D32"/>
    <mergeCell ref="C33:D33"/>
    <mergeCell ref="B35:D35"/>
    <mergeCell ref="C37:D37"/>
    <mergeCell ref="C38:D38"/>
    <mergeCell ref="C39:D39"/>
    <mergeCell ref="C40:D40"/>
    <mergeCell ref="B42:D42"/>
    <mergeCell ref="B44:D44"/>
    <mergeCell ref="B45:D45"/>
    <mergeCell ref="B47:D47"/>
    <mergeCell ref="B49:D49"/>
    <mergeCell ref="B51:D51"/>
    <mergeCell ref="C53:D53"/>
    <mergeCell ref="C54:D54"/>
    <mergeCell ref="C55:D55"/>
    <mergeCell ref="B56:D56"/>
    <mergeCell ref="B58:D58"/>
    <mergeCell ref="B63:D63"/>
  </mergeCells>
  <hyperlinks>
    <hyperlink ref="D2" r:id="rId1" tooltip="Free manufacturing calculators and templates"/>
    <hyperlink ref="B45" r:id="rId2"/>
  </hyperlinks>
  <printOptions horizontalCentered="1"/>
  <pageMargins left="0.4" right="0.4" top="0.7" bottom="0.65" header="0.3" footer="0.3"/>
  <pageSetup fitToHeight="0" orientation="portrait"/>
  <headerFooter>
    <oddHeader>&amp;L&amp;8MFG Calcs - Cycle Time Tracker&amp;R&amp;8&amp;A</oddHeader>
    <oddFooter>&amp;L&amp;8mfgcalcs.com - free manufacturing templates&amp;R&amp;8Page &amp;P of &amp;N</oddFooter>
  </headerFooter>
  <rowBreaks count="2" manualBreakCount="2">
    <brk id="27" max="16383" man="1"/>
    <brk id="5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C3440"/>
    <pageSetUpPr fitToPage="1"/>
  </sheetPr>
  <dimension ref="A1:N119"/>
  <sheetViews>
    <sheetView showGridLines="0" workbookViewId="0"/>
  </sheetViews>
  <sheetFormatPr defaultRowHeight="15" x14ac:dyDescent="0.25"/>
  <cols>
    <col min="1" max="1" width="2.7109375" customWidth="1"/>
    <col min="2" max="19" width="12.7109375" customWidth="1"/>
  </cols>
  <sheetData>
    <row r="1" spans="1:14" ht="30" customHeight="1" x14ac:dyDescent="0.25">
      <c r="A1" s="1" t="s">
        <v>0</v>
      </c>
      <c r="B1" s="1"/>
      <c r="C1" s="1"/>
      <c r="D1" s="1"/>
      <c r="E1" s="1"/>
      <c r="F1" s="1"/>
      <c r="G1" s="1"/>
      <c r="H1" s="1"/>
      <c r="I1" s="1"/>
      <c r="J1" s="1"/>
      <c r="K1" s="1"/>
      <c r="L1" s="1"/>
      <c r="M1" s="1"/>
      <c r="N1" s="1"/>
    </row>
    <row r="2" spans="1:14" ht="21" customHeight="1" x14ac:dyDescent="0.25">
      <c r="B2" s="2" t="s">
        <v>28</v>
      </c>
      <c r="C2" s="2"/>
      <c r="D2" s="2"/>
      <c r="E2" s="2"/>
      <c r="F2" s="2"/>
      <c r="G2" s="2"/>
      <c r="H2" s="2"/>
      <c r="I2" s="2"/>
      <c r="J2" s="2"/>
      <c r="K2" s="2"/>
      <c r="L2" s="2"/>
      <c r="M2" s="2"/>
      <c r="N2" s="3" t="s">
        <v>2</v>
      </c>
    </row>
    <row r="3" spans="1:14" ht="6" customHeight="1" x14ac:dyDescent="0.25"/>
    <row r="4" spans="1:14" ht="30" customHeight="1" x14ac:dyDescent="0.25">
      <c r="B4" s="70" t="s">
        <v>222</v>
      </c>
      <c r="C4" s="70"/>
      <c r="D4" s="22" t="str">
        <f>IF(COUNTIF($K$11:$K$47,"PASS")=37,"PASS","FAIL")</f>
        <v>PASS</v>
      </c>
      <c r="E4" s="22"/>
      <c r="F4" s="23" t="str">
        <f>COUNTIF($K$11:$K$47,"PASS")&amp;" of 37 checks pass"</f>
        <v>37 of 37 checks pass</v>
      </c>
      <c r="G4" s="23"/>
      <c r="H4" s="23"/>
      <c r="I4" s="23"/>
      <c r="J4" s="23"/>
    </row>
    <row r="6" spans="1:14" ht="29.4" customHeight="1" x14ac:dyDescent="0.25">
      <c r="B6" s="10" t="s">
        <v>223</v>
      </c>
      <c r="C6" s="10"/>
      <c r="D6" s="10"/>
      <c r="E6" s="10"/>
      <c r="F6" s="10"/>
      <c r="G6" s="10"/>
      <c r="H6" s="10"/>
      <c r="I6" s="10"/>
      <c r="J6" s="10"/>
      <c r="K6" s="10"/>
      <c r="L6" s="10"/>
    </row>
    <row r="8" spans="1:14" ht="21" customHeight="1" x14ac:dyDescent="0.25">
      <c r="B8" s="8" t="s">
        <v>224</v>
      </c>
      <c r="C8" s="8"/>
      <c r="D8" s="8"/>
      <c r="E8" s="8"/>
      <c r="F8" s="8"/>
      <c r="G8" s="8"/>
      <c r="H8" s="8"/>
      <c r="I8" s="8"/>
      <c r="J8" s="8"/>
      <c r="K8" s="8"/>
      <c r="L8" s="8"/>
    </row>
    <row r="9" spans="1:14" ht="5" customHeight="1" x14ac:dyDescent="0.25"/>
    <row r="10" spans="1:14" ht="30" customHeight="1" x14ac:dyDescent="0.25">
      <c r="B10" s="34" t="s">
        <v>225</v>
      </c>
      <c r="C10" s="57" t="s">
        <v>108</v>
      </c>
      <c r="D10" s="57"/>
      <c r="E10" s="57"/>
      <c r="F10" s="57"/>
      <c r="G10" s="34" t="s">
        <v>226</v>
      </c>
      <c r="H10" s="34" t="s">
        <v>227</v>
      </c>
      <c r="I10" s="34" t="s">
        <v>228</v>
      </c>
      <c r="J10" s="34" t="s">
        <v>229</v>
      </c>
      <c r="K10" s="34" t="s">
        <v>230</v>
      </c>
    </row>
    <row r="11" spans="1:14" ht="16.2" customHeight="1" x14ac:dyDescent="0.25">
      <c r="B11" s="71">
        <v>1</v>
      </c>
      <c r="C11" s="68" t="s">
        <v>231</v>
      </c>
      <c r="D11" s="68"/>
      <c r="E11" s="68"/>
      <c r="F11" s="68"/>
      <c r="G11" s="72">
        <v>420</v>
      </c>
      <c r="H11" s="30">
        <f>$E$64</f>
        <v>420</v>
      </c>
      <c r="I11" s="73">
        <f>IF(AND(ISNUMBER($G$11),ISNUMBER($H$11)),ABS($H$11-$G$11),"")</f>
        <v>0</v>
      </c>
      <c r="J11" s="74">
        <v>1E-09</v>
      </c>
      <c r="K11" s="41" t="str">
        <f>IF(AND(ISNUMBER($G$11),ISNUMBER($H$11)),IF(ABS($H$11-$G$11)&lt;=$J$11,"PASS","FAIL"),"FAIL")</f>
        <v>PASS</v>
      </c>
    </row>
    <row r="12" spans="1:14" ht="16.2" customHeight="1" x14ac:dyDescent="0.25">
      <c r="B12" s="71">
        <v>2</v>
      </c>
      <c r="C12" s="68" t="s">
        <v>232</v>
      </c>
      <c r="D12" s="68"/>
      <c r="E12" s="68"/>
      <c r="F12" s="68"/>
      <c r="G12" s="75">
        <v>56</v>
      </c>
      <c r="H12" s="76">
        <f>$E$65</f>
        <v>56</v>
      </c>
      <c r="I12" s="73">
        <f>IF(AND(ISNUMBER($G$12),ISNUMBER($H$12)),ABS($H$12-$G$12),"")</f>
        <v>0</v>
      </c>
      <c r="J12" s="74">
        <v>1E-09</v>
      </c>
      <c r="K12" s="41" t="str">
        <f>IF(AND(ISNUMBER($G$12),ISNUMBER($H$12)),IF(ABS($H$12-$G$12)&lt;=$J$12,"PASS","FAIL"),"FAIL")</f>
        <v>PASS</v>
      </c>
    </row>
    <row r="13" spans="1:14" ht="16.2" customHeight="1" x14ac:dyDescent="0.25">
      <c r="B13" s="71">
        <v>3</v>
      </c>
      <c r="C13" s="68" t="s">
        <v>233</v>
      </c>
      <c r="D13" s="68"/>
      <c r="E13" s="68"/>
      <c r="F13" s="68"/>
      <c r="G13" s="77">
        <v>3</v>
      </c>
      <c r="H13" s="78">
        <f>$H$76</f>
        <v>3</v>
      </c>
      <c r="I13" s="73">
        <f>IF(AND(ISNUMBER($G$13),ISNUMBER($H$13)),ABS($H$13-$G$13),"")</f>
        <v>0</v>
      </c>
      <c r="J13" s="74">
        <v>1E-09</v>
      </c>
      <c r="K13" s="41" t="str">
        <f>IF(AND(ISNUMBER($G$13),ISNUMBER($H$13)),IF(ABS($H$13-$G$13)&lt;=$J$13,"PASS","FAIL"),"FAIL")</f>
        <v>PASS</v>
      </c>
    </row>
    <row r="14" spans="1:14" ht="16.2" customHeight="1" x14ac:dyDescent="0.25">
      <c r="B14" s="71">
        <v>4</v>
      </c>
      <c r="C14" s="68" t="s">
        <v>234</v>
      </c>
      <c r="D14" s="68"/>
      <c r="E14" s="68"/>
      <c r="F14" s="68"/>
      <c r="G14" s="79">
        <v>1.035714285714286</v>
      </c>
      <c r="H14" s="80">
        <f>$I$76</f>
        <v>1.03571428571429</v>
      </c>
      <c r="I14" s="73">
        <f>IF(AND(ISNUMBER($G$14),ISNUMBER($H$14)),ABS($H$14-$G$14),"")</f>
        <v>0</v>
      </c>
      <c r="J14" s="74">
        <v>1E-09</v>
      </c>
      <c r="K14" s="41" t="str">
        <f>IF(AND(ISNUMBER($G$14),ISNUMBER($H$14)),IF(ABS($H$14-$G$14)&lt;=$J$14,"PASS","FAIL"),"FAIL")</f>
        <v>PASS</v>
      </c>
    </row>
    <row r="15" spans="1:14" ht="16.2" customHeight="1" x14ac:dyDescent="0.25">
      <c r="B15" s="71">
        <v>5</v>
      </c>
      <c r="C15" s="68" t="s">
        <v>235</v>
      </c>
      <c r="D15" s="68"/>
      <c r="E15" s="68"/>
      <c r="F15" s="68"/>
      <c r="G15" s="67" t="s">
        <v>236</v>
      </c>
      <c r="H15" s="81" t="str">
        <f>$J$75</f>
        <v>Under capacity</v>
      </c>
      <c r="I15" s="81"/>
      <c r="J15" s="69" t="s">
        <v>237</v>
      </c>
      <c r="K15" s="41" t="str">
        <f>IF($H$15&amp;""=$G$15&amp;"","PASS","FAIL")</f>
        <v>PASS</v>
      </c>
    </row>
    <row r="16" spans="1:14" ht="16.2" customHeight="1" x14ac:dyDescent="0.25">
      <c r="B16" s="71">
        <v>6</v>
      </c>
      <c r="C16" s="68" t="s">
        <v>238</v>
      </c>
      <c r="D16" s="68"/>
      <c r="E16" s="68"/>
      <c r="F16" s="68"/>
      <c r="G16" s="67" t="s">
        <v>239</v>
      </c>
      <c r="H16" s="81" t="str">
        <f>$J$76</f>
        <v>Over capacity</v>
      </c>
      <c r="I16" s="81"/>
      <c r="J16" s="69" t="s">
        <v>237</v>
      </c>
      <c r="K16" s="41" t="str">
        <f>IF($H$16&amp;""=$G$16&amp;"","PASS","FAIL")</f>
        <v>PASS</v>
      </c>
    </row>
    <row r="17" spans="2:11" ht="16.2" customHeight="1" x14ac:dyDescent="0.25">
      <c r="B17" s="71">
        <v>7</v>
      </c>
      <c r="C17" s="68" t="s">
        <v>240</v>
      </c>
      <c r="D17" s="68"/>
      <c r="E17" s="68"/>
      <c r="F17" s="68"/>
      <c r="G17" s="67" t="s">
        <v>241</v>
      </c>
      <c r="H17" s="81" t="str">
        <f>$J$82</f>
        <v>Excluded</v>
      </c>
      <c r="I17" s="81"/>
      <c r="J17" s="69" t="s">
        <v>237</v>
      </c>
      <c r="K17" s="41" t="str">
        <f>IF($H$17&amp;""=$G$17&amp;"","PASS","FAIL")</f>
        <v>PASS</v>
      </c>
    </row>
    <row r="18" spans="2:11" ht="16.2" customHeight="1" x14ac:dyDescent="0.25">
      <c r="B18" s="71">
        <v>8</v>
      </c>
      <c r="C18" s="68" t="s">
        <v>242</v>
      </c>
      <c r="D18" s="68"/>
      <c r="E18" s="68"/>
      <c r="F18" s="68"/>
      <c r="G18" s="67" t="s">
        <v>243</v>
      </c>
      <c r="H18" s="81" t="str">
        <f>$M$85</f>
        <v>Over 2x standard</v>
      </c>
      <c r="I18" s="81"/>
      <c r="J18" s="69" t="s">
        <v>237</v>
      </c>
      <c r="K18" s="41" t="str">
        <f>IF($H$18&amp;""=$G$18&amp;"","PASS","FAIL")</f>
        <v>PASS</v>
      </c>
    </row>
    <row r="19" spans="2:11" ht="16.2" customHeight="1" x14ac:dyDescent="0.25">
      <c r="B19" s="71">
        <v>9</v>
      </c>
      <c r="C19" s="68" t="s">
        <v>244</v>
      </c>
      <c r="D19" s="68"/>
      <c r="E19" s="68"/>
      <c r="F19" s="68"/>
      <c r="G19" s="67" t="s">
        <v>245</v>
      </c>
      <c r="H19" s="81" t="str">
        <f>$M$86</f>
        <v>Exclude: no reason</v>
      </c>
      <c r="I19" s="81"/>
      <c r="J19" s="69" t="s">
        <v>237</v>
      </c>
      <c r="K19" s="41" t="str">
        <f>IF($H$19&amp;""=$G$19&amp;"","PASS","FAIL")</f>
        <v>PASS</v>
      </c>
    </row>
    <row r="20" spans="2:11" ht="16.2" customHeight="1" x14ac:dyDescent="0.25">
      <c r="B20" s="71">
        <v>10</v>
      </c>
      <c r="C20" s="68" t="s">
        <v>246</v>
      </c>
      <c r="D20" s="68"/>
      <c r="E20" s="68"/>
      <c r="F20" s="68"/>
      <c r="G20" s="67" t="s">
        <v>247</v>
      </c>
      <c r="H20" s="81" t="str">
        <f>$M$75</f>
        <v>OK</v>
      </c>
      <c r="I20" s="81"/>
      <c r="J20" s="69" t="s">
        <v>237</v>
      </c>
      <c r="K20" s="41" t="str">
        <f>IF($H$20&amp;""=$G$20&amp;"","PASS","FAIL")</f>
        <v>PASS</v>
      </c>
    </row>
    <row r="21" spans="2:11" ht="16.2" customHeight="1" x14ac:dyDescent="0.25">
      <c r="B21" s="71">
        <v>11</v>
      </c>
      <c r="C21" s="68" t="s">
        <v>248</v>
      </c>
      <c r="D21" s="68"/>
      <c r="E21" s="68"/>
      <c r="F21" s="68"/>
      <c r="G21" s="72">
        <v>3</v>
      </c>
      <c r="H21" s="30">
        <f>$C$91</f>
        <v>3</v>
      </c>
      <c r="I21" s="73">
        <f>IF(AND(ISNUMBER($G$21),ISNUMBER($H$21)),ABS($H$21-$G$21),"")</f>
        <v>0</v>
      </c>
      <c r="J21" s="74">
        <v>1E-09</v>
      </c>
      <c r="K21" s="41" t="str">
        <f>IF(AND(ISNUMBER($G$21),ISNUMBER($H$21)),IF(ABS($H$21-$G$21)&lt;=$J$21,"PASS","FAIL"),"FAIL")</f>
        <v>PASS</v>
      </c>
    </row>
    <row r="22" spans="2:11" ht="16.2" customHeight="1" x14ac:dyDescent="0.25">
      <c r="B22" s="71">
        <v>12</v>
      </c>
      <c r="C22" s="68" t="s">
        <v>249</v>
      </c>
      <c r="D22" s="68"/>
      <c r="E22" s="68"/>
      <c r="F22" s="68"/>
      <c r="G22" s="75">
        <v>52.16666666666666</v>
      </c>
      <c r="H22" s="76">
        <f>$D$91</f>
        <v>52.1666666666667</v>
      </c>
      <c r="I22" s="73">
        <f>IF(AND(ISNUMBER($G$22),ISNUMBER($H$22)),ABS($H$22-$G$22),"")</f>
        <v>0</v>
      </c>
      <c r="J22" s="74">
        <v>1E-09</v>
      </c>
      <c r="K22" s="41" t="str">
        <f>IF(AND(ISNUMBER($G$22),ISNUMBER($H$22)),IF(ABS($H$22-$G$22)&lt;=$J$22,"PASS","FAIL"),"FAIL")</f>
        <v>PASS</v>
      </c>
    </row>
    <row r="23" spans="2:11" ht="16.2" customHeight="1" x14ac:dyDescent="0.25">
      <c r="B23" s="71">
        <v>13</v>
      </c>
      <c r="C23" s="68" t="s">
        <v>250</v>
      </c>
      <c r="D23" s="68"/>
      <c r="E23" s="68"/>
      <c r="F23" s="68"/>
      <c r="G23" s="77">
        <v>54.5</v>
      </c>
      <c r="H23" s="78">
        <f>$E$91</f>
        <v>54.5</v>
      </c>
      <c r="I23" s="73">
        <f>IF(AND(ISNUMBER($G$23),ISNUMBER($H$23)),ABS($H$23-$G$23),"")</f>
        <v>0</v>
      </c>
      <c r="J23" s="74">
        <v>1E-09</v>
      </c>
      <c r="K23" s="41" t="str">
        <f>IF(AND(ISNUMBER($G$23),ISNUMBER($H$23)),IF(ABS($H$23-$G$23)&lt;=$J$23,"PASS","FAIL"),"FAIL")</f>
        <v>PASS</v>
      </c>
    </row>
    <row r="24" spans="2:11" ht="16.2" customHeight="1" x14ac:dyDescent="0.25">
      <c r="B24" s="71">
        <v>14</v>
      </c>
      <c r="C24" s="68" t="s">
        <v>251</v>
      </c>
      <c r="D24" s="68"/>
      <c r="E24" s="68"/>
      <c r="F24" s="68"/>
      <c r="G24" s="75">
        <v>2.254624876411447</v>
      </c>
      <c r="H24" s="76">
        <f>$F$91</f>
        <v>2.25462487641158</v>
      </c>
      <c r="I24" s="73">
        <f>IF(AND(ISNUMBER($G$24),ISNUMBER($H$24)),ABS($H$24-$G$24),"")</f>
        <v>1.34559030584569e-13</v>
      </c>
      <c r="J24" s="74">
        <v>1E-09</v>
      </c>
      <c r="K24" s="41" t="str">
        <f>IF(AND(ISNUMBER($G$24),ISNUMBER($H$24)),IF(ABS($H$24-$G$24)&lt;=$J$24,"PASS","FAIL"),"FAIL")</f>
        <v>PASS</v>
      </c>
    </row>
    <row r="25" spans="2:11" ht="16.2" customHeight="1" x14ac:dyDescent="0.25">
      <c r="B25" s="71">
        <v>15</v>
      </c>
      <c r="C25" s="68" t="s">
        <v>252</v>
      </c>
      <c r="D25" s="68"/>
      <c r="E25" s="68"/>
      <c r="F25" s="68"/>
      <c r="G25" s="79">
        <v>0</v>
      </c>
      <c r="H25" s="80">
        <f>$I$91</f>
        <v>0</v>
      </c>
      <c r="I25" s="73">
        <f>IF(AND(ISNUMBER($G$25),ISNUMBER($H$25)),ABS($H$25-$G$25),"")</f>
        <v>0</v>
      </c>
      <c r="J25" s="74">
        <v>1E-09</v>
      </c>
      <c r="K25" s="41" t="str">
        <f>IF(AND(ISNUMBER($G$25),ISNUMBER($H$25)),IF(ABS($H$25-$G$25)&lt;=$J$25,"PASS","FAIL"),"FAIL")</f>
        <v>PASS</v>
      </c>
    </row>
    <row r="26" spans="2:11" ht="16.2" customHeight="1" x14ac:dyDescent="0.25">
      <c r="B26" s="71">
        <v>16</v>
      </c>
      <c r="C26" s="68" t="s">
        <v>253</v>
      </c>
      <c r="D26" s="68"/>
      <c r="E26" s="68"/>
      <c r="F26" s="68"/>
      <c r="G26" s="67" t="s">
        <v>254</v>
      </c>
      <c r="H26" s="81" t="str">
        <f>$K$91</f>
        <v>Near capacity</v>
      </c>
      <c r="I26" s="81"/>
      <c r="J26" s="69" t="s">
        <v>237</v>
      </c>
      <c r="K26" s="41" t="str">
        <f>IF($H$26&amp;""=$G$26&amp;"","PASS","FAIL")</f>
        <v>PASS</v>
      </c>
    </row>
    <row r="27" spans="2:11" ht="16.2" customHeight="1" x14ac:dyDescent="0.25">
      <c r="B27" s="71">
        <v>17</v>
      </c>
      <c r="C27" s="68" t="s">
        <v>255</v>
      </c>
      <c r="D27" s="68"/>
      <c r="E27" s="68"/>
      <c r="F27" s="68"/>
      <c r="G27" s="72">
        <v>4</v>
      </c>
      <c r="H27" s="30">
        <f>$C$92</f>
        <v>4</v>
      </c>
      <c r="I27" s="73">
        <f>IF(AND(ISNUMBER($G$27),ISNUMBER($H$27)),ABS($H$27-$G$27),"")</f>
        <v>0</v>
      </c>
      <c r="J27" s="74">
        <v>1E-09</v>
      </c>
      <c r="K27" s="41" t="str">
        <f>IF(AND(ISNUMBER($G$27),ISNUMBER($H$27)),IF(ABS($H$27-$G$27)&lt;=$J$27,"PASS","FAIL"),"FAIL")</f>
        <v>PASS</v>
      </c>
    </row>
    <row r="28" spans="2:11" ht="16.2" customHeight="1" x14ac:dyDescent="0.25">
      <c r="B28" s="71">
        <v>18</v>
      </c>
      <c r="C28" s="68" t="s">
        <v>256</v>
      </c>
      <c r="D28" s="68"/>
      <c r="E28" s="68"/>
      <c r="F28" s="68"/>
      <c r="G28" s="75">
        <v>60</v>
      </c>
      <c r="H28" s="76">
        <f>$D$92</f>
        <v>60</v>
      </c>
      <c r="I28" s="73">
        <f>IF(AND(ISNUMBER($G$28),ISNUMBER($H$28)),ABS($H$28-$G$28),"")</f>
        <v>0</v>
      </c>
      <c r="J28" s="74">
        <v>1E-09</v>
      </c>
      <c r="K28" s="41" t="str">
        <f>IF(AND(ISNUMBER($G$28),ISNUMBER($H$28)),IF(ABS($H$28-$G$28)&lt;=$J$28,"PASS","FAIL"),"FAIL")</f>
        <v>PASS</v>
      </c>
    </row>
    <row r="29" spans="2:11" ht="16.2" customHeight="1" x14ac:dyDescent="0.25">
      <c r="B29" s="71">
        <v>19</v>
      </c>
      <c r="C29" s="68" t="s">
        <v>257</v>
      </c>
      <c r="D29" s="68"/>
      <c r="E29" s="68"/>
      <c r="F29" s="68"/>
      <c r="G29" s="77">
        <v>64</v>
      </c>
      <c r="H29" s="78">
        <f>$E$92</f>
        <v>64</v>
      </c>
      <c r="I29" s="73">
        <f>IF(AND(ISNUMBER($G$29),ISNUMBER($H$29)),ABS($H$29-$G$29),"")</f>
        <v>0</v>
      </c>
      <c r="J29" s="74">
        <v>1E-09</v>
      </c>
      <c r="K29" s="41" t="str">
        <f>IF(AND(ISNUMBER($G$29),ISNUMBER($H$29)),IF(ABS($H$29-$G$29)&lt;=$J$29,"PASS","FAIL"),"FAIL")</f>
        <v>PASS</v>
      </c>
    </row>
    <row r="30" spans="2:11" ht="16.2" customHeight="1" x14ac:dyDescent="0.25">
      <c r="B30" s="71">
        <v>20</v>
      </c>
      <c r="C30" s="68" t="s">
        <v>258</v>
      </c>
      <c r="D30" s="68"/>
      <c r="E30" s="68"/>
      <c r="F30" s="68"/>
      <c r="G30" s="75">
        <v>3.16227766016838</v>
      </c>
      <c r="H30" s="76">
        <f>$F$92</f>
        <v>3.16227766016838</v>
      </c>
      <c r="I30" s="73">
        <f>IF(AND(ISNUMBER($G$30),ISNUMBER($H$30)),ABS($H$30-$G$30),"")</f>
        <v>0</v>
      </c>
      <c r="J30" s="74">
        <v>1E-09</v>
      </c>
      <c r="K30" s="41" t="str">
        <f>IF(AND(ISNUMBER($G$30),ISNUMBER($H$30)),IF(ABS($H$30-$G$30)&lt;=$J$30,"PASS","FAIL"),"FAIL")</f>
        <v>PASS</v>
      </c>
    </row>
    <row r="31" spans="2:11" ht="16.2" customHeight="1" x14ac:dyDescent="0.25">
      <c r="B31" s="71">
        <v>21</v>
      </c>
      <c r="C31" s="68" t="s">
        <v>259</v>
      </c>
      <c r="D31" s="68"/>
      <c r="E31" s="68"/>
      <c r="F31" s="68"/>
      <c r="G31" s="79">
        <v>1</v>
      </c>
      <c r="H31" s="80">
        <f>$I$92</f>
        <v>1</v>
      </c>
      <c r="I31" s="73">
        <f>IF(AND(ISNUMBER($G$31),ISNUMBER($H$31)),ABS($H$31-$G$31),"")</f>
        <v>0</v>
      </c>
      <c r="J31" s="74">
        <v>1E-09</v>
      </c>
      <c r="K31" s="41" t="str">
        <f>IF(AND(ISNUMBER($G$31),ISNUMBER($H$31)),IF(ABS($H$31-$G$31)&lt;=$J$31,"PASS","FAIL"),"FAIL")</f>
        <v>PASS</v>
      </c>
    </row>
    <row r="32" spans="2:11" ht="16.2" customHeight="1" x14ac:dyDescent="0.25">
      <c r="B32" s="71">
        <v>22</v>
      </c>
      <c r="C32" s="68" t="s">
        <v>260</v>
      </c>
      <c r="D32" s="68"/>
      <c r="E32" s="68"/>
      <c r="F32" s="68"/>
      <c r="G32" s="67" t="s">
        <v>239</v>
      </c>
      <c r="H32" s="81" t="str">
        <f>$K$92</f>
        <v>Over capacity</v>
      </c>
      <c r="I32" s="81"/>
      <c r="J32" s="69" t="s">
        <v>237</v>
      </c>
      <c r="K32" s="41" t="str">
        <f>IF($H$32&amp;""=$G$32&amp;"","PASS","FAIL")</f>
        <v>PASS</v>
      </c>
    </row>
    <row r="33" spans="2:11" ht="16.2" customHeight="1" x14ac:dyDescent="0.25">
      <c r="B33" s="71">
        <v>23</v>
      </c>
      <c r="C33" s="68" t="s">
        <v>261</v>
      </c>
      <c r="D33" s="68"/>
      <c r="E33" s="68"/>
      <c r="F33" s="68"/>
      <c r="G33" s="72">
        <v>3</v>
      </c>
      <c r="H33" s="30">
        <f>$C$93</f>
        <v>3</v>
      </c>
      <c r="I33" s="73">
        <f>IF(AND(ISNUMBER($G$33),ISNUMBER($H$33)),ABS($H$33-$G$33),"")</f>
        <v>0</v>
      </c>
      <c r="J33" s="74">
        <v>1E-09</v>
      </c>
      <c r="K33" s="41" t="str">
        <f>IF(AND(ISNUMBER($G$33),ISNUMBER($H$33)),IF(ABS($H$33-$G$33)&lt;=$J$33,"PASS","FAIL"),"FAIL")</f>
        <v>PASS</v>
      </c>
    </row>
    <row r="34" spans="2:11" ht="16.2" customHeight="1" x14ac:dyDescent="0.25">
      <c r="B34" s="71">
        <v>24</v>
      </c>
      <c r="C34" s="68" t="s">
        <v>262</v>
      </c>
      <c r="D34" s="68"/>
      <c r="E34" s="68"/>
      <c r="F34" s="68"/>
      <c r="G34" s="75">
        <v>55.66666666666666</v>
      </c>
      <c r="H34" s="76">
        <f>$D$93</f>
        <v>55.6666666666667</v>
      </c>
      <c r="I34" s="73">
        <f>IF(AND(ISNUMBER($G$34),ISNUMBER($H$34)),ABS($H$34-$G$34),"")</f>
        <v>0</v>
      </c>
      <c r="J34" s="74">
        <v>1E-09</v>
      </c>
      <c r="K34" s="41" t="str">
        <f>IF(AND(ISNUMBER($G$34),ISNUMBER($H$34)),IF(ABS($H$34-$G$34)&lt;=$J$34,"PASS","FAIL"),"FAIL")</f>
        <v>PASS</v>
      </c>
    </row>
    <row r="35" spans="2:11" ht="16.2" customHeight="1" x14ac:dyDescent="0.25">
      <c r="B35" s="71">
        <v>25</v>
      </c>
      <c r="C35" s="68" t="s">
        <v>263</v>
      </c>
      <c r="D35" s="68"/>
      <c r="E35" s="68"/>
      <c r="F35" s="68"/>
      <c r="G35" s="77">
        <v>85</v>
      </c>
      <c r="H35" s="78">
        <f>$E$93</f>
        <v>85</v>
      </c>
      <c r="I35" s="73">
        <f>IF(AND(ISNUMBER($G$35),ISNUMBER($H$35)),ABS($H$35-$G$35),"")</f>
        <v>0</v>
      </c>
      <c r="J35" s="74">
        <v>1E-09</v>
      </c>
      <c r="K35" s="41" t="str">
        <f>IF(AND(ISNUMBER($G$35),ISNUMBER($H$35)),IF(ABS($H$35-$G$35)&lt;=$J$35,"PASS","FAIL"),"FAIL")</f>
        <v>PASS</v>
      </c>
    </row>
    <row r="36" spans="2:11" ht="16.2" customHeight="1" x14ac:dyDescent="0.25">
      <c r="B36" s="71">
        <v>26</v>
      </c>
      <c r="C36" s="68" t="s">
        <v>264</v>
      </c>
      <c r="D36" s="68"/>
      <c r="E36" s="68"/>
      <c r="F36" s="68"/>
      <c r="G36" s="75">
        <v>25.40833196676502</v>
      </c>
      <c r="H36" s="76">
        <f>$F$93</f>
        <v>25.408331966765</v>
      </c>
      <c r="I36" s="73">
        <f>IF(AND(ISNUMBER($G$36),ISNUMBER($H$36)),ABS($H$36-$G$36),"")</f>
        <v>0</v>
      </c>
      <c r="J36" s="74">
        <v>1E-09</v>
      </c>
      <c r="K36" s="41" t="str">
        <f>IF(AND(ISNUMBER($G$36),ISNUMBER($H$36)),IF(ABS($H$36-$G$36)&lt;=$J$36,"PASS","FAIL"),"FAIL")</f>
        <v>PASS</v>
      </c>
    </row>
    <row r="37" spans="2:11" ht="16.2" customHeight="1" x14ac:dyDescent="0.25">
      <c r="B37" s="71">
        <v>27</v>
      </c>
      <c r="C37" s="68" t="s">
        <v>265</v>
      </c>
      <c r="D37" s="68"/>
      <c r="E37" s="68"/>
      <c r="F37" s="68"/>
      <c r="G37" s="79">
        <v>0.3333333333333333</v>
      </c>
      <c r="H37" s="80">
        <f>$I$93</f>
        <v>0.333333333333333</v>
      </c>
      <c r="I37" s="73">
        <f>IF(AND(ISNUMBER($G$37),ISNUMBER($H$37)),ABS($H$37-$G$37),"")</f>
        <v>0</v>
      </c>
      <c r="J37" s="74">
        <v>1E-09</v>
      </c>
      <c r="K37" s="41" t="str">
        <f>IF(AND(ISNUMBER($G$37),ISNUMBER($H$37)),IF(ABS($H$37-$G$37)&lt;=$J$37,"PASS","FAIL"),"FAIL")</f>
        <v>PASS</v>
      </c>
    </row>
    <row r="38" spans="2:11" ht="16.2" customHeight="1" x14ac:dyDescent="0.25">
      <c r="B38" s="71">
        <v>28</v>
      </c>
      <c r="C38" s="68" t="s">
        <v>266</v>
      </c>
      <c r="D38" s="68"/>
      <c r="E38" s="68"/>
      <c r="F38" s="68"/>
      <c r="G38" s="67" t="s">
        <v>254</v>
      </c>
      <c r="H38" s="81" t="str">
        <f>$K$93</f>
        <v>Near capacity</v>
      </c>
      <c r="I38" s="81"/>
      <c r="J38" s="69" t="s">
        <v>237</v>
      </c>
      <c r="K38" s="41" t="str">
        <f>IF($H$38&amp;""=$G$38&amp;"","PASS","FAIL")</f>
        <v>PASS</v>
      </c>
    </row>
    <row r="39" spans="2:11" ht="16.2" customHeight="1" x14ac:dyDescent="0.25">
      <c r="B39" s="71">
        <v>29</v>
      </c>
      <c r="C39" s="68" t="s">
        <v>267</v>
      </c>
      <c r="D39" s="68"/>
      <c r="E39" s="68"/>
      <c r="F39" s="68"/>
      <c r="G39" s="79">
        <v>1.071428571428571</v>
      </c>
      <c r="H39" s="80">
        <f>$H$92</f>
        <v>1.07142857142857</v>
      </c>
      <c r="I39" s="73">
        <f>IF(AND(ISNUMBER($G$39),ISNUMBER($H$39)),ABS($H$39-$G$39),"")</f>
        <v>0</v>
      </c>
      <c r="J39" s="74">
        <v>1E-09</v>
      </c>
      <c r="K39" s="41" t="str">
        <f>IF(AND(ISNUMBER($G$39),ISNUMBER($H$39)),IF(ABS($H$39-$G$39)&lt;=$J$39,"PASS","FAIL"),"FAIL")</f>
        <v>PASS</v>
      </c>
    </row>
    <row r="40" spans="2:11" ht="16.2" customHeight="1" x14ac:dyDescent="0.25">
      <c r="B40" s="71">
        <v>30</v>
      </c>
      <c r="C40" s="68" t="s">
        <v>268</v>
      </c>
      <c r="D40" s="68"/>
      <c r="E40" s="68"/>
      <c r="F40" s="68"/>
      <c r="G40" s="75">
        <v>420</v>
      </c>
      <c r="H40" s="76">
        <f>$J$92</f>
        <v>420</v>
      </c>
      <c r="I40" s="73">
        <f>IF(AND(ISNUMBER($G$40),ISNUMBER($H$40)),ABS($H$40-$G$40),"")</f>
        <v>0</v>
      </c>
      <c r="J40" s="74">
        <v>1E-09</v>
      </c>
      <c r="K40" s="41" t="str">
        <f>IF(AND(ISNUMBER($G$40),ISNUMBER($H$40)),IF(ABS($H$40-$G$40)&lt;=$J$40,"PASS","FAIL"),"FAIL")</f>
        <v>PASS</v>
      </c>
    </row>
    <row r="41" spans="2:11" ht="16.2" customHeight="1" x14ac:dyDescent="0.25">
      <c r="B41" s="71">
        <v>31</v>
      </c>
      <c r="C41" s="68" t="s">
        <v>269</v>
      </c>
      <c r="D41" s="68"/>
      <c r="E41" s="68"/>
      <c r="F41" s="68"/>
      <c r="G41" s="67" t="s">
        <v>270</v>
      </c>
      <c r="H41" s="81" t="str">
        <f>IF(COUNT($D$91:$D$96)=0,"No data",INDEX($B$91:$B$96,MATCH(MAX($D$91:$D$96),$D$91:$D$96,0)))</f>
        <v>B</v>
      </c>
      <c r="I41" s="81"/>
      <c r="J41" s="69" t="s">
        <v>237</v>
      </c>
      <c r="K41" s="41" t="str">
        <f>IF($H$41&amp;""=$G$41&amp;"","PASS","FAIL")</f>
        <v>PASS</v>
      </c>
    </row>
    <row r="42" spans="2:11" ht="16.2" customHeight="1" x14ac:dyDescent="0.25">
      <c r="B42" s="71">
        <v>32</v>
      </c>
      <c r="C42" s="68" t="s">
        <v>271</v>
      </c>
      <c r="D42" s="68"/>
      <c r="E42" s="68"/>
      <c r="F42" s="68"/>
      <c r="G42" s="75">
        <v>60</v>
      </c>
      <c r="H42" s="76">
        <f>IF(COUNT($D$91:$D$96)=0,"",MAX($D$91:$D$96))</f>
        <v>60</v>
      </c>
      <c r="I42" s="73">
        <f>IF(AND(ISNUMBER($G$42),ISNUMBER($H$42)),ABS($H$42-$G$42),"")</f>
        <v>0</v>
      </c>
      <c r="J42" s="74">
        <v>1E-09</v>
      </c>
      <c r="K42" s="41" t="str">
        <f>IF(AND(ISNUMBER($G$42),ISNUMBER($H$42)),IF(ABS($H$42-$G$42)&lt;=$J$42,"PASS","FAIL"),"FAIL")</f>
        <v>PASS</v>
      </c>
    </row>
    <row r="43" spans="2:11" ht="16.2" customHeight="1" x14ac:dyDescent="0.25">
      <c r="B43" s="71">
        <v>33</v>
      </c>
      <c r="C43" s="68" t="s">
        <v>272</v>
      </c>
      <c r="D43" s="68"/>
      <c r="E43" s="68"/>
      <c r="F43" s="68"/>
      <c r="G43" s="75">
        <v>420</v>
      </c>
      <c r="H43" s="76">
        <f>IF(COUNT($D$91:$D$96)=0,"",$E$64*60/MAX($D$91:$D$96))</f>
        <v>420</v>
      </c>
      <c r="I43" s="73">
        <f>IF(AND(ISNUMBER($G$43),ISNUMBER($H$43)),ABS($H$43-$G$43),"")</f>
        <v>0</v>
      </c>
      <c r="J43" s="74">
        <v>1E-09</v>
      </c>
      <c r="K43" s="41" t="str">
        <f>IF(AND(ISNUMBER($G$43),ISNUMBER($H$43)),IF(ABS($H$43-$G$43)&lt;=$J$43,"PASS","FAIL"),"FAIL")</f>
        <v>PASS</v>
      </c>
    </row>
    <row r="44" spans="2:11" ht="16.2" customHeight="1" x14ac:dyDescent="0.25">
      <c r="B44" s="71">
        <v>34</v>
      </c>
      <c r="C44" s="68" t="s">
        <v>273</v>
      </c>
      <c r="D44" s="68"/>
      <c r="E44" s="68"/>
      <c r="F44" s="68"/>
      <c r="G44" s="75">
        <v>-30</v>
      </c>
      <c r="H44" s="76">
        <f>IF(COUNT($D$91:$D$96)=0,"",$E$64*60/MAX($D$91:$D$96)-$E$63)</f>
        <v>-30</v>
      </c>
      <c r="I44" s="73">
        <f>IF(AND(ISNUMBER($G$44),ISNUMBER($H$44)),ABS($H$44-$G$44),"")</f>
        <v>0</v>
      </c>
      <c r="J44" s="74">
        <v>1E-09</v>
      </c>
      <c r="K44" s="41" t="str">
        <f>IF(AND(ISNUMBER($G$44),ISNUMBER($H$44)),IF(ABS($H$44-$G$44)&lt;=$J$44,"PASS","FAIL"),"FAIL")</f>
        <v>PASS</v>
      </c>
    </row>
    <row r="45" spans="2:11" ht="16.2" customHeight="1" x14ac:dyDescent="0.25">
      <c r="B45" s="71">
        <v>35</v>
      </c>
      <c r="C45" s="68" t="s">
        <v>274</v>
      </c>
      <c r="D45" s="68"/>
      <c r="E45" s="68"/>
      <c r="F45" s="68"/>
      <c r="G45" s="75">
        <v>30</v>
      </c>
      <c r="H45" s="76">
        <f>IF(COUNT($D$91:$D$96)=0,"",MAX(0,$E$63*MAX($D$91:$D$96)/60-$E$64))</f>
        <v>30</v>
      </c>
      <c r="I45" s="73">
        <f>IF(AND(ISNUMBER($G$45),ISNUMBER($H$45)),ABS($H$45-$G$45),"")</f>
        <v>0</v>
      </c>
      <c r="J45" s="74">
        <v>1E-09</v>
      </c>
      <c r="K45" s="41" t="str">
        <f>IF(AND(ISNUMBER($G$45),ISNUMBER($H$45)),IF(ABS($H$45-$G$45)&lt;=$J$45,"PASS","FAIL"),"FAIL")</f>
        <v>PASS</v>
      </c>
    </row>
    <row r="46" spans="2:11" ht="16.2" customHeight="1" x14ac:dyDescent="0.25">
      <c r="B46" s="71">
        <v>36</v>
      </c>
      <c r="C46" s="68" t="s">
        <v>275</v>
      </c>
      <c r="D46" s="68"/>
      <c r="E46" s="68"/>
      <c r="F46" s="68"/>
      <c r="G46" s="60">
        <v>64</v>
      </c>
      <c r="H46" s="38">
        <f>$D$119</f>
        <v>64</v>
      </c>
      <c r="I46" s="73">
        <f>IF(AND(ISNUMBER($G$46),ISNUMBER($H$46)),ABS($H$46-$G$46),"")</f>
        <v>0</v>
      </c>
      <c r="J46" s="74">
        <v>1E-09</v>
      </c>
      <c r="K46" s="41" t="str">
        <f>IF(AND(ISNUMBER($G$46),ISNUMBER($H$46)),IF(ABS($H$46-$G$46)&lt;=$J$46,"PASS","FAIL"),"FAIL")</f>
        <v>PASS</v>
      </c>
    </row>
    <row r="47" spans="2:11" ht="16.2" customHeight="1" x14ac:dyDescent="0.25">
      <c r="B47" s="71">
        <v>37</v>
      </c>
      <c r="C47" s="68" t="s">
        <v>276</v>
      </c>
      <c r="D47" s="68"/>
      <c r="E47" s="68"/>
      <c r="F47" s="68"/>
      <c r="G47" s="60">
        <v>58</v>
      </c>
      <c r="H47" s="38">
        <f>$D$116</f>
        <v>58</v>
      </c>
      <c r="I47" s="73">
        <f>IF(AND(ISNUMBER($G$47),ISNUMBER($H$47)),ABS($H$47-$G$47),"")</f>
        <v>0</v>
      </c>
      <c r="J47" s="74">
        <v>1E-09</v>
      </c>
      <c r="K47" s="41" t="str">
        <f>IF(AND(ISNUMBER($G$47),ISNUMBER($H$47)),IF(ABS($H$47-$G$47)&lt;=$J$47,"PASS","FAIL"),"FAIL")</f>
        <v>PASS</v>
      </c>
    </row>
    <row r="49" spans="2:12" ht="21" customHeight="1" x14ac:dyDescent="0.25">
      <c r="B49" s="8" t="s">
        <v>277</v>
      </c>
      <c r="C49" s="8"/>
      <c r="D49" s="8"/>
      <c r="E49" s="8"/>
      <c r="F49" s="8"/>
      <c r="G49" s="8"/>
      <c r="H49" s="8"/>
      <c r="I49" s="8"/>
      <c r="J49" s="8"/>
      <c r="K49" s="8"/>
      <c r="L49" s="8"/>
    </row>
    <row r="50" spans="2:12" ht="5" customHeight="1" x14ac:dyDescent="0.25"/>
    <row r="51" spans="2:12" x14ac:dyDescent="0.25">
      <c r="B51" s="21" t="s">
        <v>278</v>
      </c>
      <c r="C51" s="21"/>
      <c r="D51" s="21"/>
      <c r="E51" s="21"/>
      <c r="F51" s="21"/>
      <c r="G51" s="21"/>
      <c r="H51" s="21"/>
      <c r="I51" s="21"/>
      <c r="J51" s="21"/>
      <c r="K51" s="21"/>
      <c r="L51" s="21"/>
    </row>
    <row r="52" spans="2:12" x14ac:dyDescent="0.25">
      <c r="B52" s="33" t="s">
        <v>279</v>
      </c>
      <c r="C52" s="33"/>
      <c r="D52" s="33"/>
      <c r="E52" s="33"/>
      <c r="F52" s="33"/>
    </row>
    <row r="53" spans="2:12" x14ac:dyDescent="0.25">
      <c r="B53" s="27" t="s">
        <v>80</v>
      </c>
      <c r="C53" s="27"/>
      <c r="D53" s="27"/>
      <c r="E53" s="82">
        <v>0.9</v>
      </c>
      <c r="F53" s="7"/>
    </row>
    <row r="54" spans="2:12" x14ac:dyDescent="0.25">
      <c r="B54" s="27" t="s">
        <v>82</v>
      </c>
      <c r="C54" s="27"/>
      <c r="D54" s="27"/>
      <c r="E54" s="82">
        <v>1</v>
      </c>
      <c r="F54" s="7"/>
    </row>
    <row r="55" spans="2:12" x14ac:dyDescent="0.25">
      <c r="B55" s="27" t="s">
        <v>280</v>
      </c>
      <c r="C55" s="27"/>
      <c r="D55" s="27"/>
      <c r="E55" s="72">
        <v>0</v>
      </c>
      <c r="F55" s="7"/>
    </row>
    <row r="56" spans="2:12" x14ac:dyDescent="0.25">
      <c r="B56" s="27" t="s">
        <v>281</v>
      </c>
      <c r="C56" s="27"/>
      <c r="D56" s="27"/>
      <c r="E56" s="72">
        <v>2958465</v>
      </c>
      <c r="F56" s="7"/>
    </row>
    <row r="57" spans="2:12" x14ac:dyDescent="0.25">
      <c r="B57" s="27" t="s">
        <v>128</v>
      </c>
      <c r="C57" s="27"/>
      <c r="D57" s="27"/>
      <c r="E57" s="67" t="s">
        <v>270</v>
      </c>
      <c r="F57" s="67"/>
    </row>
    <row r="59" spans="2:12" x14ac:dyDescent="0.25">
      <c r="B59" s="33" t="s">
        <v>282</v>
      </c>
      <c r="C59" s="33"/>
      <c r="D59" s="33"/>
      <c r="E59" s="33"/>
      <c r="F59" s="33"/>
      <c r="G59" s="33"/>
      <c r="H59" s="33"/>
      <c r="I59" s="33"/>
      <c r="J59" s="33"/>
      <c r="K59" s="33"/>
      <c r="L59" s="33"/>
    </row>
    <row r="60" spans="2:12" x14ac:dyDescent="0.25">
      <c r="B60" s="27" t="s">
        <v>69</v>
      </c>
      <c r="C60" s="27"/>
      <c r="D60" s="27"/>
      <c r="E60" s="72">
        <v>480</v>
      </c>
      <c r="F60" s="7" t="s">
        <v>70</v>
      </c>
    </row>
    <row r="61" spans="2:12" x14ac:dyDescent="0.25">
      <c r="B61" s="27" t="s">
        <v>71</v>
      </c>
      <c r="C61" s="27"/>
      <c r="D61" s="27"/>
      <c r="E61" s="72">
        <v>40</v>
      </c>
      <c r="F61" s="7" t="s">
        <v>72</v>
      </c>
    </row>
    <row r="62" spans="2:12" x14ac:dyDescent="0.25">
      <c r="B62" s="27" t="s">
        <v>73</v>
      </c>
      <c r="C62" s="27"/>
      <c r="D62" s="27"/>
      <c r="E62" s="72">
        <v>20</v>
      </c>
      <c r="F62" s="7" t="s">
        <v>72</v>
      </c>
    </row>
    <row r="63" spans="2:12" x14ac:dyDescent="0.25">
      <c r="B63" s="27" t="s">
        <v>74</v>
      </c>
      <c r="C63" s="27"/>
      <c r="D63" s="27"/>
      <c r="E63" s="72">
        <v>450</v>
      </c>
      <c r="F63" s="7" t="s">
        <v>75</v>
      </c>
    </row>
    <row r="64" spans="2:12" x14ac:dyDescent="0.25">
      <c r="B64" s="27" t="s">
        <v>76</v>
      </c>
      <c r="C64" s="27"/>
      <c r="D64" s="27"/>
      <c r="E64" s="30">
        <f>$E$60-$E$61-$E$62</f>
        <v>420</v>
      </c>
      <c r="F64" s="7" t="s">
        <v>72</v>
      </c>
    </row>
    <row r="65" spans="2:14" x14ac:dyDescent="0.25">
      <c r="B65" s="17" t="s">
        <v>68</v>
      </c>
      <c r="C65" s="17"/>
      <c r="D65" s="17"/>
      <c r="E65" s="31">
        <f>IF(AND($E$64&gt;0,$E$63&gt;0),$E$64*60/$E$63,"")</f>
        <v>56</v>
      </c>
      <c r="F65" s="7" t="s">
        <v>77</v>
      </c>
    </row>
    <row r="67" spans="2:14" x14ac:dyDescent="0.25">
      <c r="B67" s="33" t="s">
        <v>283</v>
      </c>
      <c r="C67" s="33"/>
      <c r="D67" s="33"/>
      <c r="E67" s="33"/>
      <c r="F67" s="33"/>
      <c r="G67" s="33"/>
      <c r="H67" s="33"/>
      <c r="I67" s="33"/>
      <c r="J67" s="33"/>
      <c r="K67" s="33"/>
      <c r="L67" s="33"/>
    </row>
    <row r="68" spans="2:14" ht="32" customHeight="1" x14ac:dyDescent="0.25">
      <c r="B68" s="34" t="s">
        <v>62</v>
      </c>
      <c r="C68" s="34" t="s">
        <v>63</v>
      </c>
      <c r="D68" s="34" t="s">
        <v>64</v>
      </c>
    </row>
    <row r="69" spans="2:14" x14ac:dyDescent="0.25">
      <c r="B69" s="67" t="s">
        <v>284</v>
      </c>
      <c r="C69" s="60">
        <v>50</v>
      </c>
      <c r="D69" s="67" t="s">
        <v>285</v>
      </c>
    </row>
    <row r="70" spans="2:14" x14ac:dyDescent="0.25">
      <c r="B70" s="67" t="s">
        <v>270</v>
      </c>
      <c r="C70" s="60">
        <v>55</v>
      </c>
      <c r="D70" s="67" t="s">
        <v>286</v>
      </c>
    </row>
    <row r="71" spans="2:14" x14ac:dyDescent="0.25">
      <c r="B71" s="67" t="s">
        <v>287</v>
      </c>
      <c r="C71" s="60">
        <v>40</v>
      </c>
      <c r="D71" s="67" t="s">
        <v>288</v>
      </c>
    </row>
    <row r="73" spans="2:14" x14ac:dyDescent="0.25">
      <c r="B73" s="33" t="s">
        <v>289</v>
      </c>
      <c r="C73" s="33"/>
      <c r="D73" s="33"/>
      <c r="E73" s="33"/>
      <c r="F73" s="33"/>
      <c r="G73" s="33"/>
      <c r="H73" s="33"/>
      <c r="I73" s="33"/>
      <c r="J73" s="33"/>
      <c r="K73" s="33"/>
      <c r="L73" s="33"/>
    </row>
    <row r="74" spans="2:14" ht="32" customHeight="1" x14ac:dyDescent="0.25">
      <c r="B74" s="34" t="s">
        <v>98</v>
      </c>
      <c r="C74" s="34" t="s">
        <v>62</v>
      </c>
      <c r="D74" s="34" t="s">
        <v>99</v>
      </c>
      <c r="E74" s="34" t="s">
        <v>100</v>
      </c>
      <c r="F74" s="34" t="s">
        <v>101</v>
      </c>
      <c r="G74" s="34" t="s">
        <v>102</v>
      </c>
      <c r="H74" s="34" t="s">
        <v>103</v>
      </c>
      <c r="I74" s="34" t="s">
        <v>104</v>
      </c>
      <c r="J74" s="34" t="s">
        <v>105</v>
      </c>
      <c r="K74" s="34" t="s">
        <v>106</v>
      </c>
      <c r="L74" s="34" t="s">
        <v>107</v>
      </c>
      <c r="M74" s="34" t="s">
        <v>108</v>
      </c>
      <c r="N74" s="34" t="s">
        <v>109</v>
      </c>
    </row>
    <row r="75" spans="2:14" x14ac:dyDescent="0.25">
      <c r="B75" s="83">
        <v>46028</v>
      </c>
      <c r="C75" s="67" t="s">
        <v>284</v>
      </c>
      <c r="D75" s="67" t="s">
        <v>290</v>
      </c>
      <c r="E75" s="60">
        <v>50</v>
      </c>
      <c r="F75" s="67" t="s">
        <v>112</v>
      </c>
      <c r="G75" s="60">
        <v>50</v>
      </c>
      <c r="H75" s="39">
        <f>IF(tblVerifyObs[[#This Row],[Date]]="","",IF(ISNUMBER(tblVerifyObs[[#This Row],[Standard (s)]]),tblVerifyObs[[#This Row],[Cycle (s)]]-tblVerifyObs[[#This Row],[Standard (s)]],""))</f>
        <v>0</v>
      </c>
      <c r="I75" s="40">
        <f>IF(tblVerifyObs[[#This Row],[Date]]="","",IF(ISNUMBER($E$65),tblVerifyObs[[#This Row],[Cycle (s)]]/$E$65,""))</f>
        <v>0.892857142857143</v>
      </c>
      <c r="J75" s="41" t="str">
        <f>IF(tblVerifyObs[[#This Row],[Date]]="","",IF(tblVerifyObs[[#This Row],[Exclude]]="Yes","Excluded",IF(NOT(ISNUMBER(tblVerifyObs[[#This Row],[Loading (% of takt)]])),"",IF(tblVerifyObs[[#This Row],[Loading (% of takt)]]&gt;$E$54,"Over capacity",IF(tblVerifyObs[[#This Row],[Loading (% of takt)]]&gt;=$E$53,"Near capacity","Under capacity")))))</f>
        <v>Under capacity</v>
      </c>
      <c r="K75" s="42">
        <f>IF(tblVerifyObs[[#This Row],[Date]]="","",IF(AND(tblVerifyObs[[#This Row],[Exclude]]&lt;&gt;"Yes",tblVerifyObs[[#This Row],[Date]]&gt;=$E$55,tblVerifyObs[[#This Row],[Date]]&lt;=$E$56),tblVerifyObs[[#This Row],[Date]],""))</f>
        <v>46028</v>
      </c>
      <c r="L75" s="30">
        <f>IF(tblVerifyObs[[#This Row],[Date]]="","",IF(AND(tblVerifyObs[[#This Row],[Station]]=$E$57,ISNUMBER(tblVerifyObs[[#This Row],[View date]])),COUNTIFS(INDEX(tblVerifyObs[Station],1):tblVerifyObs[[#This Row],[Station]],tblVerifyObs[[#This Row],[Station]],INDEX(tblVerifyObs[View date],1):tblVerifyObs[[#This Row],[View date]],"&gt;0"),""))</f>
        <v/>
      </c>
      <c r="M75" s="43" t="str">
        <f>IF(tblVerifyObs[[#This Row],[Date]]="","",IF(tblVerifyObs[[#This Row],[Station]]="","Missing station",IF(tblVerifyObs[[#This Row],[Cycle (s)]]="","Missing cycle",IF(tblVerifyObs[[#This Row],[Exclude]]="","Missing exclude",IF(COUNTIF(tblVerifyStations[Station],tblVerifyObs[[#This Row],[Station]])=0,"Station not on Setup list",IF(AND(tblVerifyObs[[#This Row],[Exclude]]="Yes",tblVerifyObs[[#This Row],[Notes]]=""),"Exclude: no reason",IF(AND(tblVerifyObs[[#This Row],[Exclude]]&lt;&gt;"Yes",ISNUMBER(tblVerifyObs[[#This Row],[Standard (s)]]),tblVerifyObs[[#This Row],[Cycle (s)]]&gt;2*tblVerifyObs[[#This Row],[Standard (s)]]),"Over 2x standard","OK")))))))</f>
        <v>OK</v>
      </c>
      <c r="N75" s="67" t="s">
        <v>291</v>
      </c>
    </row>
    <row r="76" spans="2:14" x14ac:dyDescent="0.25">
      <c r="B76" s="83">
        <v>46028</v>
      </c>
      <c r="C76" s="67" t="s">
        <v>270</v>
      </c>
      <c r="D76" s="67" t="s">
        <v>290</v>
      </c>
      <c r="E76" s="60">
        <v>58</v>
      </c>
      <c r="F76" s="67" t="s">
        <v>112</v>
      </c>
      <c r="G76" s="60">
        <v>55</v>
      </c>
      <c r="H76" s="39">
        <f>IF(tblVerifyObs[[#This Row],[Date]]="","",IF(ISNUMBER(tblVerifyObs[[#This Row],[Standard (s)]]),tblVerifyObs[[#This Row],[Cycle (s)]]-tblVerifyObs[[#This Row],[Standard (s)]],""))</f>
        <v>3</v>
      </c>
      <c r="I76" s="40">
        <f>IF(tblVerifyObs[[#This Row],[Date]]="","",IF(ISNUMBER($E$65),tblVerifyObs[[#This Row],[Cycle (s)]]/$E$65,""))</f>
        <v>1.03571428571429</v>
      </c>
      <c r="J76" s="41" t="str">
        <f>IF(tblVerifyObs[[#This Row],[Date]]="","",IF(tblVerifyObs[[#This Row],[Exclude]]="Yes","Excluded",IF(NOT(ISNUMBER(tblVerifyObs[[#This Row],[Loading (% of takt)]])),"",IF(tblVerifyObs[[#This Row],[Loading (% of takt)]]&gt;$E$54,"Over capacity",IF(tblVerifyObs[[#This Row],[Loading (% of takt)]]&gt;=$E$53,"Near capacity","Under capacity")))))</f>
        <v>Over capacity</v>
      </c>
      <c r="K76" s="42">
        <f>IF(tblVerifyObs[[#This Row],[Date]]="","",IF(AND(tblVerifyObs[[#This Row],[Exclude]]&lt;&gt;"Yes",tblVerifyObs[[#This Row],[Date]]&gt;=$E$55,tblVerifyObs[[#This Row],[Date]]&lt;=$E$56),tblVerifyObs[[#This Row],[Date]],""))</f>
        <v>46028</v>
      </c>
      <c r="L76" s="30">
        <f>IF(tblVerifyObs[[#This Row],[Date]]="","",IF(AND(tblVerifyObs[[#This Row],[Station]]=$E$57,ISNUMBER(tblVerifyObs[[#This Row],[View date]])),COUNTIFS(INDEX(tblVerifyObs[Station],1):tblVerifyObs[[#This Row],[Station]],tblVerifyObs[[#This Row],[Station]],INDEX(tblVerifyObs[View date],1):tblVerifyObs[[#This Row],[View date]],"&gt;0"),""))</f>
        <v>1</v>
      </c>
      <c r="M76" s="43" t="str">
        <f>IF(tblVerifyObs[[#This Row],[Date]]="","",IF(tblVerifyObs[[#This Row],[Station]]="","Missing station",IF(tblVerifyObs[[#This Row],[Cycle (s)]]="","Missing cycle",IF(tblVerifyObs[[#This Row],[Exclude]]="","Missing exclude",IF(COUNTIF(tblVerifyStations[Station],tblVerifyObs[[#This Row],[Station]])=0,"Station not on Setup list",IF(AND(tblVerifyObs[[#This Row],[Exclude]]="Yes",tblVerifyObs[[#This Row],[Notes]]=""),"Exclude: no reason",IF(AND(tblVerifyObs[[#This Row],[Exclude]]&lt;&gt;"Yes",ISNUMBER(tblVerifyObs[[#This Row],[Standard (s)]]),tblVerifyObs[[#This Row],[Cycle (s)]]&gt;2*tblVerifyObs[[#This Row],[Standard (s)]]),"Over 2x standard","OK")))))))</f>
        <v>OK</v>
      </c>
      <c r="N76" s="67" t="s">
        <v>291</v>
      </c>
    </row>
    <row r="77" spans="2:14" x14ac:dyDescent="0.25">
      <c r="B77" s="83">
        <v>46028</v>
      </c>
      <c r="C77" s="67" t="s">
        <v>284</v>
      </c>
      <c r="D77" s="67" t="s">
        <v>290</v>
      </c>
      <c r="E77" s="60">
        <v>52</v>
      </c>
      <c r="F77" s="67" t="s">
        <v>112</v>
      </c>
      <c r="G77" s="60">
        <v>50</v>
      </c>
      <c r="H77" s="39">
        <f>IF(tblVerifyObs[[#This Row],[Date]]="","",IF(ISNUMBER(tblVerifyObs[[#This Row],[Standard (s)]]),tblVerifyObs[[#This Row],[Cycle (s)]]-tblVerifyObs[[#This Row],[Standard (s)]],""))</f>
        <v>2</v>
      </c>
      <c r="I77" s="40">
        <f>IF(tblVerifyObs[[#This Row],[Date]]="","",IF(ISNUMBER($E$65),tblVerifyObs[[#This Row],[Cycle (s)]]/$E$65,""))</f>
        <v>0.928571428571429</v>
      </c>
      <c r="J77" s="41" t="str">
        <f>IF(tblVerifyObs[[#This Row],[Date]]="","",IF(tblVerifyObs[[#This Row],[Exclude]]="Yes","Excluded",IF(NOT(ISNUMBER(tblVerifyObs[[#This Row],[Loading (% of takt)]])),"",IF(tblVerifyObs[[#This Row],[Loading (% of takt)]]&gt;$E$54,"Over capacity",IF(tblVerifyObs[[#This Row],[Loading (% of takt)]]&gt;=$E$53,"Near capacity","Under capacity")))))</f>
        <v>Near capacity</v>
      </c>
      <c r="K77" s="42">
        <f>IF(tblVerifyObs[[#This Row],[Date]]="","",IF(AND(tblVerifyObs[[#This Row],[Exclude]]&lt;&gt;"Yes",tblVerifyObs[[#This Row],[Date]]&gt;=$E$55,tblVerifyObs[[#This Row],[Date]]&lt;=$E$56),tblVerifyObs[[#This Row],[Date]],""))</f>
        <v>46028</v>
      </c>
      <c r="L77" s="30">
        <f>IF(tblVerifyObs[[#This Row],[Date]]="","",IF(AND(tblVerifyObs[[#This Row],[Station]]=$E$57,ISNUMBER(tblVerifyObs[[#This Row],[View date]])),COUNTIFS(INDEX(tblVerifyObs[Station],1):tblVerifyObs[[#This Row],[Station]],tblVerifyObs[[#This Row],[Station]],INDEX(tblVerifyObs[View date],1):tblVerifyObs[[#This Row],[View date]],"&gt;0"),""))</f>
        <v/>
      </c>
      <c r="M77" s="43" t="str">
        <f>IF(tblVerifyObs[[#This Row],[Date]]="","",IF(tblVerifyObs[[#This Row],[Station]]="","Missing station",IF(tblVerifyObs[[#This Row],[Cycle (s)]]="","Missing cycle",IF(tblVerifyObs[[#This Row],[Exclude]]="","Missing exclude",IF(COUNTIF(tblVerifyStations[Station],tblVerifyObs[[#This Row],[Station]])=0,"Station not on Setup list",IF(AND(tblVerifyObs[[#This Row],[Exclude]]="Yes",tblVerifyObs[[#This Row],[Notes]]=""),"Exclude: no reason",IF(AND(tblVerifyObs[[#This Row],[Exclude]]&lt;&gt;"Yes",ISNUMBER(tblVerifyObs[[#This Row],[Standard (s)]]),tblVerifyObs[[#This Row],[Cycle (s)]]&gt;2*tblVerifyObs[[#This Row],[Standard (s)]]),"Over 2x standard","OK")))))))</f>
        <v>OK</v>
      </c>
      <c r="N77" s="67" t="s">
        <v>291</v>
      </c>
    </row>
    <row r="78" spans="2:14" x14ac:dyDescent="0.25">
      <c r="B78" s="83">
        <v>46028</v>
      </c>
      <c r="C78" s="67" t="s">
        <v>270</v>
      </c>
      <c r="D78" s="67" t="s">
        <v>290</v>
      </c>
      <c r="E78" s="60">
        <v>61</v>
      </c>
      <c r="F78" s="67" t="s">
        <v>112</v>
      </c>
      <c r="G78" s="60">
        <v>55</v>
      </c>
      <c r="H78" s="39">
        <f>IF(tblVerifyObs[[#This Row],[Date]]="","",IF(ISNUMBER(tblVerifyObs[[#This Row],[Standard (s)]]),tblVerifyObs[[#This Row],[Cycle (s)]]-tblVerifyObs[[#This Row],[Standard (s)]],""))</f>
        <v>6</v>
      </c>
      <c r="I78" s="40">
        <f>IF(tblVerifyObs[[#This Row],[Date]]="","",IF(ISNUMBER($E$65),tblVerifyObs[[#This Row],[Cycle (s)]]/$E$65,""))</f>
        <v>1.08928571428571</v>
      </c>
      <c r="J78" s="41" t="str">
        <f>IF(tblVerifyObs[[#This Row],[Date]]="","",IF(tblVerifyObs[[#This Row],[Exclude]]="Yes","Excluded",IF(NOT(ISNUMBER(tblVerifyObs[[#This Row],[Loading (% of takt)]])),"",IF(tblVerifyObs[[#This Row],[Loading (% of takt)]]&gt;$E$54,"Over capacity",IF(tblVerifyObs[[#This Row],[Loading (% of takt)]]&gt;=$E$53,"Near capacity","Under capacity")))))</f>
        <v>Over capacity</v>
      </c>
      <c r="K78" s="42">
        <f>IF(tblVerifyObs[[#This Row],[Date]]="","",IF(AND(tblVerifyObs[[#This Row],[Exclude]]&lt;&gt;"Yes",tblVerifyObs[[#This Row],[Date]]&gt;=$E$55,tblVerifyObs[[#This Row],[Date]]&lt;=$E$56),tblVerifyObs[[#This Row],[Date]],""))</f>
        <v>46028</v>
      </c>
      <c r="L78" s="30">
        <f>IF(tblVerifyObs[[#This Row],[Date]]="","",IF(AND(tblVerifyObs[[#This Row],[Station]]=$E$57,ISNUMBER(tblVerifyObs[[#This Row],[View date]])),COUNTIFS(INDEX(tblVerifyObs[Station],1):tblVerifyObs[[#This Row],[Station]],tblVerifyObs[[#This Row],[Station]],INDEX(tblVerifyObs[View date],1):tblVerifyObs[[#This Row],[View date]],"&gt;0"),""))</f>
        <v>2</v>
      </c>
      <c r="M78" s="43" t="str">
        <f>IF(tblVerifyObs[[#This Row],[Date]]="","",IF(tblVerifyObs[[#This Row],[Station]]="","Missing station",IF(tblVerifyObs[[#This Row],[Cycle (s)]]="","Missing cycle",IF(tblVerifyObs[[#This Row],[Exclude]]="","Missing exclude",IF(COUNTIF(tblVerifyStations[Station],tblVerifyObs[[#This Row],[Station]])=0,"Station not on Setup list",IF(AND(tblVerifyObs[[#This Row],[Exclude]]="Yes",tblVerifyObs[[#This Row],[Notes]]=""),"Exclude: no reason",IF(AND(tblVerifyObs[[#This Row],[Exclude]]&lt;&gt;"Yes",ISNUMBER(tblVerifyObs[[#This Row],[Standard (s)]]),tblVerifyObs[[#This Row],[Cycle (s)]]&gt;2*tblVerifyObs[[#This Row],[Standard (s)]]),"Over 2x standard","OK")))))))</f>
        <v>OK</v>
      </c>
      <c r="N78" s="67" t="s">
        <v>291</v>
      </c>
    </row>
    <row r="79" spans="2:14" x14ac:dyDescent="0.25">
      <c r="B79" s="83">
        <v>46028</v>
      </c>
      <c r="C79" s="67" t="s">
        <v>287</v>
      </c>
      <c r="D79" s="67" t="s">
        <v>290</v>
      </c>
      <c r="E79" s="60">
        <v>40.5</v>
      </c>
      <c r="F79" s="67" t="s">
        <v>112</v>
      </c>
      <c r="G79" s="60">
        <v>40</v>
      </c>
      <c r="H79" s="39">
        <f>IF(tblVerifyObs[[#This Row],[Date]]="","",IF(ISNUMBER(tblVerifyObs[[#This Row],[Standard (s)]]),tblVerifyObs[[#This Row],[Cycle (s)]]-tblVerifyObs[[#This Row],[Standard (s)]],""))</f>
        <v>0.5</v>
      </c>
      <c r="I79" s="40">
        <f>IF(tblVerifyObs[[#This Row],[Date]]="","",IF(ISNUMBER($E$65),tblVerifyObs[[#This Row],[Cycle (s)]]/$E$65,""))</f>
        <v>0.723214285714286</v>
      </c>
      <c r="J79" s="41" t="str">
        <f>IF(tblVerifyObs[[#This Row],[Date]]="","",IF(tblVerifyObs[[#This Row],[Exclude]]="Yes","Excluded",IF(NOT(ISNUMBER(tblVerifyObs[[#This Row],[Loading (% of takt)]])),"",IF(tblVerifyObs[[#This Row],[Loading (% of takt)]]&gt;$E$54,"Over capacity",IF(tblVerifyObs[[#This Row],[Loading (% of takt)]]&gt;=$E$53,"Near capacity","Under capacity")))))</f>
        <v>Under capacity</v>
      </c>
      <c r="K79" s="42">
        <f>IF(tblVerifyObs[[#This Row],[Date]]="","",IF(AND(tblVerifyObs[[#This Row],[Exclude]]&lt;&gt;"Yes",tblVerifyObs[[#This Row],[Date]]&gt;=$E$55,tblVerifyObs[[#This Row],[Date]]&lt;=$E$56),tblVerifyObs[[#This Row],[Date]],""))</f>
        <v>46028</v>
      </c>
      <c r="L79" s="30">
        <f>IF(tblVerifyObs[[#This Row],[Date]]="","",IF(AND(tblVerifyObs[[#This Row],[Station]]=$E$57,ISNUMBER(tblVerifyObs[[#This Row],[View date]])),COUNTIFS(INDEX(tblVerifyObs[Station],1):tblVerifyObs[[#This Row],[Station]],tblVerifyObs[[#This Row],[Station]],INDEX(tblVerifyObs[View date],1):tblVerifyObs[[#This Row],[View date]],"&gt;0"),""))</f>
        <v/>
      </c>
      <c r="M79" s="43" t="str">
        <f>IF(tblVerifyObs[[#This Row],[Date]]="","",IF(tblVerifyObs[[#This Row],[Station]]="","Missing station",IF(tblVerifyObs[[#This Row],[Cycle (s)]]="","Missing cycle",IF(tblVerifyObs[[#This Row],[Exclude]]="","Missing exclude",IF(COUNTIF(tblVerifyStations[Station],tblVerifyObs[[#This Row],[Station]])=0,"Station not on Setup list",IF(AND(tblVerifyObs[[#This Row],[Exclude]]="Yes",tblVerifyObs[[#This Row],[Notes]]=""),"Exclude: no reason",IF(AND(tblVerifyObs[[#This Row],[Exclude]]&lt;&gt;"Yes",ISNUMBER(tblVerifyObs[[#This Row],[Standard (s)]]),tblVerifyObs[[#This Row],[Cycle (s)]]&gt;2*tblVerifyObs[[#This Row],[Standard (s)]]),"Over 2x standard","OK")))))))</f>
        <v>OK</v>
      </c>
      <c r="N79" s="67" t="s">
        <v>291</v>
      </c>
    </row>
    <row r="80" spans="2:14" x14ac:dyDescent="0.25">
      <c r="B80" s="83">
        <v>46028</v>
      </c>
      <c r="C80" s="67" t="s">
        <v>270</v>
      </c>
      <c r="D80" s="67" t="s">
        <v>290</v>
      </c>
      <c r="E80" s="60">
        <v>57</v>
      </c>
      <c r="F80" s="67" t="s">
        <v>112</v>
      </c>
      <c r="G80" s="60">
        <v>55</v>
      </c>
      <c r="H80" s="39">
        <f>IF(tblVerifyObs[[#This Row],[Date]]="","",IF(ISNUMBER(tblVerifyObs[[#This Row],[Standard (s)]]),tblVerifyObs[[#This Row],[Cycle (s)]]-tblVerifyObs[[#This Row],[Standard (s)]],""))</f>
        <v>2</v>
      </c>
      <c r="I80" s="40">
        <f>IF(tblVerifyObs[[#This Row],[Date]]="","",IF(ISNUMBER($E$65),tblVerifyObs[[#This Row],[Cycle (s)]]/$E$65,""))</f>
        <v>1.01785714285714</v>
      </c>
      <c r="J80" s="41" t="str">
        <f>IF(tblVerifyObs[[#This Row],[Date]]="","",IF(tblVerifyObs[[#This Row],[Exclude]]="Yes","Excluded",IF(NOT(ISNUMBER(tblVerifyObs[[#This Row],[Loading (% of takt)]])),"",IF(tblVerifyObs[[#This Row],[Loading (% of takt)]]&gt;$E$54,"Over capacity",IF(tblVerifyObs[[#This Row],[Loading (% of takt)]]&gt;=$E$53,"Near capacity","Under capacity")))))</f>
        <v>Over capacity</v>
      </c>
      <c r="K80" s="42">
        <f>IF(tblVerifyObs[[#This Row],[Date]]="","",IF(AND(tblVerifyObs[[#This Row],[Exclude]]&lt;&gt;"Yes",tblVerifyObs[[#This Row],[Date]]&gt;=$E$55,tblVerifyObs[[#This Row],[Date]]&lt;=$E$56),tblVerifyObs[[#This Row],[Date]],""))</f>
        <v>46028</v>
      </c>
      <c r="L80" s="30">
        <f>IF(tblVerifyObs[[#This Row],[Date]]="","",IF(AND(tblVerifyObs[[#This Row],[Station]]=$E$57,ISNUMBER(tblVerifyObs[[#This Row],[View date]])),COUNTIFS(INDEX(tblVerifyObs[Station],1):tblVerifyObs[[#This Row],[Station]],tblVerifyObs[[#This Row],[Station]],INDEX(tblVerifyObs[View date],1):tblVerifyObs[[#This Row],[View date]],"&gt;0"),""))</f>
        <v>3</v>
      </c>
      <c r="M80" s="43" t="str">
        <f>IF(tblVerifyObs[[#This Row],[Date]]="","",IF(tblVerifyObs[[#This Row],[Station]]="","Missing station",IF(tblVerifyObs[[#This Row],[Cycle (s)]]="","Missing cycle",IF(tblVerifyObs[[#This Row],[Exclude]]="","Missing exclude",IF(COUNTIF(tblVerifyStations[Station],tblVerifyObs[[#This Row],[Station]])=0,"Station not on Setup list",IF(AND(tblVerifyObs[[#This Row],[Exclude]]="Yes",tblVerifyObs[[#This Row],[Notes]]=""),"Exclude: no reason",IF(AND(tblVerifyObs[[#This Row],[Exclude]]&lt;&gt;"Yes",ISNUMBER(tblVerifyObs[[#This Row],[Standard (s)]]),tblVerifyObs[[#This Row],[Cycle (s)]]&gt;2*tblVerifyObs[[#This Row],[Standard (s)]]),"Over 2x standard","OK")))))))</f>
        <v>OK</v>
      </c>
      <c r="N80" s="67" t="s">
        <v>291</v>
      </c>
    </row>
    <row r="81" spans="2:14" x14ac:dyDescent="0.25">
      <c r="B81" s="83">
        <v>46028</v>
      </c>
      <c r="C81" s="67" t="s">
        <v>284</v>
      </c>
      <c r="D81" s="67" t="s">
        <v>290</v>
      </c>
      <c r="E81" s="60">
        <v>54.5</v>
      </c>
      <c r="F81" s="67" t="s">
        <v>112</v>
      </c>
      <c r="G81" s="60">
        <v>50</v>
      </c>
      <c r="H81" s="39">
        <f>IF(tblVerifyObs[[#This Row],[Date]]="","",IF(ISNUMBER(tblVerifyObs[[#This Row],[Standard (s)]]),tblVerifyObs[[#This Row],[Cycle (s)]]-tblVerifyObs[[#This Row],[Standard (s)]],""))</f>
        <v>4.5</v>
      </c>
      <c r="I81" s="40">
        <f>IF(tblVerifyObs[[#This Row],[Date]]="","",IF(ISNUMBER($E$65),tblVerifyObs[[#This Row],[Cycle (s)]]/$E$65,""))</f>
        <v>0.973214285714286</v>
      </c>
      <c r="J81" s="41" t="str">
        <f>IF(tblVerifyObs[[#This Row],[Date]]="","",IF(tblVerifyObs[[#This Row],[Exclude]]="Yes","Excluded",IF(NOT(ISNUMBER(tblVerifyObs[[#This Row],[Loading (% of takt)]])),"",IF(tblVerifyObs[[#This Row],[Loading (% of takt)]]&gt;$E$54,"Over capacity",IF(tblVerifyObs[[#This Row],[Loading (% of takt)]]&gt;=$E$53,"Near capacity","Under capacity")))))</f>
        <v>Near capacity</v>
      </c>
      <c r="K81" s="42">
        <f>IF(tblVerifyObs[[#This Row],[Date]]="","",IF(AND(tblVerifyObs[[#This Row],[Exclude]]&lt;&gt;"Yes",tblVerifyObs[[#This Row],[Date]]&gt;=$E$55,tblVerifyObs[[#This Row],[Date]]&lt;=$E$56),tblVerifyObs[[#This Row],[Date]],""))</f>
        <v>46028</v>
      </c>
      <c r="L81" s="30">
        <f>IF(tblVerifyObs[[#This Row],[Date]]="","",IF(AND(tblVerifyObs[[#This Row],[Station]]=$E$57,ISNUMBER(tblVerifyObs[[#This Row],[View date]])),COUNTIFS(INDEX(tblVerifyObs[Station],1):tblVerifyObs[[#This Row],[Station]],tblVerifyObs[[#This Row],[Station]],INDEX(tblVerifyObs[View date],1):tblVerifyObs[[#This Row],[View date]],"&gt;0"),""))</f>
        <v/>
      </c>
      <c r="M81" s="43" t="str">
        <f>IF(tblVerifyObs[[#This Row],[Date]]="","",IF(tblVerifyObs[[#This Row],[Station]]="","Missing station",IF(tblVerifyObs[[#This Row],[Cycle (s)]]="","Missing cycle",IF(tblVerifyObs[[#This Row],[Exclude]]="","Missing exclude",IF(COUNTIF(tblVerifyStations[Station],tblVerifyObs[[#This Row],[Station]])=0,"Station not on Setup list",IF(AND(tblVerifyObs[[#This Row],[Exclude]]="Yes",tblVerifyObs[[#This Row],[Notes]]=""),"Exclude: no reason",IF(AND(tblVerifyObs[[#This Row],[Exclude]]&lt;&gt;"Yes",ISNUMBER(tblVerifyObs[[#This Row],[Standard (s)]]),tblVerifyObs[[#This Row],[Cycle (s)]]&gt;2*tblVerifyObs[[#This Row],[Standard (s)]]),"Over 2x standard","OK")))))))</f>
        <v>OK</v>
      </c>
      <c r="N81" s="67" t="s">
        <v>291</v>
      </c>
    </row>
    <row r="82" spans="2:14" x14ac:dyDescent="0.25">
      <c r="B82" s="83">
        <v>46028</v>
      </c>
      <c r="C82" s="67" t="s">
        <v>270</v>
      </c>
      <c r="D82" s="67" t="s">
        <v>290</v>
      </c>
      <c r="E82" s="60">
        <v>95</v>
      </c>
      <c r="F82" s="67" t="s">
        <v>114</v>
      </c>
      <c r="G82" s="60">
        <v>55</v>
      </c>
      <c r="H82" s="39">
        <f>IF(tblVerifyObs[[#This Row],[Date]]="","",IF(ISNUMBER(tblVerifyObs[[#This Row],[Standard (s)]]),tblVerifyObs[[#This Row],[Cycle (s)]]-tblVerifyObs[[#This Row],[Standard (s)]],""))</f>
        <v>40</v>
      </c>
      <c r="I82" s="40">
        <f>IF(tblVerifyObs[[#This Row],[Date]]="","",IF(ISNUMBER($E$65),tblVerifyObs[[#This Row],[Cycle (s)]]/$E$65,""))</f>
        <v>1.69642857142857</v>
      </c>
      <c r="J82" s="41" t="str">
        <f>IF(tblVerifyObs[[#This Row],[Date]]="","",IF(tblVerifyObs[[#This Row],[Exclude]]="Yes","Excluded",IF(NOT(ISNUMBER(tblVerifyObs[[#This Row],[Loading (% of takt)]])),"",IF(tblVerifyObs[[#This Row],[Loading (% of takt)]]&gt;$E$54,"Over capacity",IF(tblVerifyObs[[#This Row],[Loading (% of takt)]]&gt;=$E$53,"Near capacity","Under capacity")))))</f>
        <v>Excluded</v>
      </c>
      <c r="K82" s="42">
        <f>IF(tblVerifyObs[[#This Row],[Date]]="","",IF(AND(tblVerifyObs[[#This Row],[Exclude]]&lt;&gt;"Yes",tblVerifyObs[[#This Row],[Date]]&gt;=$E$55,tblVerifyObs[[#This Row],[Date]]&lt;=$E$56),tblVerifyObs[[#This Row],[Date]],""))</f>
        <v/>
      </c>
      <c r="L82" s="30">
        <f>IF(tblVerifyObs[[#This Row],[Date]]="","",IF(AND(tblVerifyObs[[#This Row],[Station]]=$E$57,ISNUMBER(tblVerifyObs[[#This Row],[View date]])),COUNTIFS(INDEX(tblVerifyObs[Station],1):tblVerifyObs[[#This Row],[Station]],tblVerifyObs[[#This Row],[Station]],INDEX(tblVerifyObs[View date],1):tblVerifyObs[[#This Row],[View date]],"&gt;0"),""))</f>
        <v/>
      </c>
      <c r="M82" s="43" t="str">
        <f>IF(tblVerifyObs[[#This Row],[Date]]="","",IF(tblVerifyObs[[#This Row],[Station]]="","Missing station",IF(tblVerifyObs[[#This Row],[Cycle (s)]]="","Missing cycle",IF(tblVerifyObs[[#This Row],[Exclude]]="","Missing exclude",IF(COUNTIF(tblVerifyStations[Station],tblVerifyObs[[#This Row],[Station]])=0,"Station not on Setup list",IF(AND(tblVerifyObs[[#This Row],[Exclude]]="Yes",tblVerifyObs[[#This Row],[Notes]]=""),"Exclude: no reason",IF(AND(tblVerifyObs[[#This Row],[Exclude]]&lt;&gt;"Yes",ISNUMBER(tblVerifyObs[[#This Row],[Standard (s)]]),tblVerifyObs[[#This Row],[Cycle (s)]]&gt;2*tblVerifyObs[[#This Row],[Standard (s)]]),"Over 2x standard","OK")))))))</f>
        <v>OK</v>
      </c>
      <c r="N82" s="67" t="s">
        <v>292</v>
      </c>
    </row>
    <row r="83" spans="2:14" x14ac:dyDescent="0.25">
      <c r="B83" s="83">
        <v>46028</v>
      </c>
      <c r="C83" s="67" t="s">
        <v>270</v>
      </c>
      <c r="D83" s="67" t="s">
        <v>290</v>
      </c>
      <c r="E83" s="60">
        <v>64</v>
      </c>
      <c r="F83" s="67" t="s">
        <v>112</v>
      </c>
      <c r="G83" s="60">
        <v>55</v>
      </c>
      <c r="H83" s="39">
        <f>IF(tblVerifyObs[[#This Row],[Date]]="","",IF(ISNUMBER(tblVerifyObs[[#This Row],[Standard (s)]]),tblVerifyObs[[#This Row],[Cycle (s)]]-tblVerifyObs[[#This Row],[Standard (s)]],""))</f>
        <v>9</v>
      </c>
      <c r="I83" s="40">
        <f>IF(tblVerifyObs[[#This Row],[Date]]="","",IF(ISNUMBER($E$65),tblVerifyObs[[#This Row],[Cycle (s)]]/$E$65,""))</f>
        <v>1.14285714285714</v>
      </c>
      <c r="J83" s="41" t="str">
        <f>IF(tblVerifyObs[[#This Row],[Date]]="","",IF(tblVerifyObs[[#This Row],[Exclude]]="Yes","Excluded",IF(NOT(ISNUMBER(tblVerifyObs[[#This Row],[Loading (% of takt)]])),"",IF(tblVerifyObs[[#This Row],[Loading (% of takt)]]&gt;$E$54,"Over capacity",IF(tblVerifyObs[[#This Row],[Loading (% of takt)]]&gt;=$E$53,"Near capacity","Under capacity")))))</f>
        <v>Over capacity</v>
      </c>
      <c r="K83" s="42">
        <f>IF(tblVerifyObs[[#This Row],[Date]]="","",IF(AND(tblVerifyObs[[#This Row],[Exclude]]&lt;&gt;"Yes",tblVerifyObs[[#This Row],[Date]]&gt;=$E$55,tblVerifyObs[[#This Row],[Date]]&lt;=$E$56),tblVerifyObs[[#This Row],[Date]],""))</f>
        <v>46028</v>
      </c>
      <c r="L83" s="30">
        <f>IF(tblVerifyObs[[#This Row],[Date]]="","",IF(AND(tblVerifyObs[[#This Row],[Station]]=$E$57,ISNUMBER(tblVerifyObs[[#This Row],[View date]])),COUNTIFS(INDEX(tblVerifyObs[Station],1):tblVerifyObs[[#This Row],[Station]],tblVerifyObs[[#This Row],[Station]],INDEX(tblVerifyObs[View date],1):tblVerifyObs[[#This Row],[View date]],"&gt;0"),""))</f>
        <v>4</v>
      </c>
      <c r="M83" s="43" t="str">
        <f>IF(tblVerifyObs[[#This Row],[Date]]="","",IF(tblVerifyObs[[#This Row],[Station]]="","Missing station",IF(tblVerifyObs[[#This Row],[Cycle (s)]]="","Missing cycle",IF(tblVerifyObs[[#This Row],[Exclude]]="","Missing exclude",IF(COUNTIF(tblVerifyStations[Station],tblVerifyObs[[#This Row],[Station]])=0,"Station not on Setup list",IF(AND(tblVerifyObs[[#This Row],[Exclude]]="Yes",tblVerifyObs[[#This Row],[Notes]]=""),"Exclude: no reason",IF(AND(tblVerifyObs[[#This Row],[Exclude]]&lt;&gt;"Yes",ISNUMBER(tblVerifyObs[[#This Row],[Standard (s)]]),tblVerifyObs[[#This Row],[Cycle (s)]]&gt;2*tblVerifyObs[[#This Row],[Standard (s)]]),"Over 2x standard","OK")))))))</f>
        <v>OK</v>
      </c>
      <c r="N83" s="67" t="s">
        <v>291</v>
      </c>
    </row>
    <row r="84" spans="2:14" x14ac:dyDescent="0.25">
      <c r="B84" s="83">
        <v>46028</v>
      </c>
      <c r="C84" s="67" t="s">
        <v>287</v>
      </c>
      <c r="D84" s="67" t="s">
        <v>290</v>
      </c>
      <c r="E84" s="60">
        <v>41.5</v>
      </c>
      <c r="F84" s="67" t="s">
        <v>112</v>
      </c>
      <c r="G84" s="60">
        <v>40</v>
      </c>
      <c r="H84" s="39">
        <f>IF(tblVerifyObs[[#This Row],[Date]]="","",IF(ISNUMBER(tblVerifyObs[[#This Row],[Standard (s)]]),tblVerifyObs[[#This Row],[Cycle (s)]]-tblVerifyObs[[#This Row],[Standard (s)]],""))</f>
        <v>1.5</v>
      </c>
      <c r="I84" s="40">
        <f>IF(tblVerifyObs[[#This Row],[Date]]="","",IF(ISNUMBER($E$65),tblVerifyObs[[#This Row],[Cycle (s)]]/$E$65,""))</f>
        <v>0.741071428571429</v>
      </c>
      <c r="J84" s="41" t="str">
        <f>IF(tblVerifyObs[[#This Row],[Date]]="","",IF(tblVerifyObs[[#This Row],[Exclude]]="Yes","Excluded",IF(NOT(ISNUMBER(tblVerifyObs[[#This Row],[Loading (% of takt)]])),"",IF(tblVerifyObs[[#This Row],[Loading (% of takt)]]&gt;$E$54,"Over capacity",IF(tblVerifyObs[[#This Row],[Loading (% of takt)]]&gt;=$E$53,"Near capacity","Under capacity")))))</f>
        <v>Under capacity</v>
      </c>
      <c r="K84" s="42">
        <f>IF(tblVerifyObs[[#This Row],[Date]]="","",IF(AND(tblVerifyObs[[#This Row],[Exclude]]&lt;&gt;"Yes",tblVerifyObs[[#This Row],[Date]]&gt;=$E$55,tblVerifyObs[[#This Row],[Date]]&lt;=$E$56),tblVerifyObs[[#This Row],[Date]],""))</f>
        <v>46028</v>
      </c>
      <c r="L84" s="30">
        <f>IF(tblVerifyObs[[#This Row],[Date]]="","",IF(AND(tblVerifyObs[[#This Row],[Station]]=$E$57,ISNUMBER(tblVerifyObs[[#This Row],[View date]])),COUNTIFS(INDEX(tblVerifyObs[Station],1):tblVerifyObs[[#This Row],[Station]],tblVerifyObs[[#This Row],[Station]],INDEX(tblVerifyObs[View date],1):tblVerifyObs[[#This Row],[View date]],"&gt;0"),""))</f>
        <v/>
      </c>
      <c r="M84" s="43" t="str">
        <f>IF(tblVerifyObs[[#This Row],[Date]]="","",IF(tblVerifyObs[[#This Row],[Station]]="","Missing station",IF(tblVerifyObs[[#This Row],[Cycle (s)]]="","Missing cycle",IF(tblVerifyObs[[#This Row],[Exclude]]="","Missing exclude",IF(COUNTIF(tblVerifyStations[Station],tblVerifyObs[[#This Row],[Station]])=0,"Station not on Setup list",IF(AND(tblVerifyObs[[#This Row],[Exclude]]="Yes",tblVerifyObs[[#This Row],[Notes]]=""),"Exclude: no reason",IF(AND(tblVerifyObs[[#This Row],[Exclude]]&lt;&gt;"Yes",ISNUMBER(tblVerifyObs[[#This Row],[Standard (s)]]),tblVerifyObs[[#This Row],[Cycle (s)]]&gt;2*tblVerifyObs[[#This Row],[Standard (s)]]),"Over 2x standard","OK")))))))</f>
        <v>OK</v>
      </c>
      <c r="N84" s="67" t="s">
        <v>291</v>
      </c>
    </row>
    <row r="85" spans="2:14" x14ac:dyDescent="0.25">
      <c r="B85" s="83">
        <v>46028</v>
      </c>
      <c r="C85" s="67" t="s">
        <v>287</v>
      </c>
      <c r="D85" s="67" t="s">
        <v>290</v>
      </c>
      <c r="E85" s="60">
        <v>85</v>
      </c>
      <c r="F85" s="67" t="s">
        <v>112</v>
      </c>
      <c r="G85" s="60">
        <v>40</v>
      </c>
      <c r="H85" s="39">
        <f>IF(tblVerifyObs[[#This Row],[Date]]="","",IF(ISNUMBER(tblVerifyObs[[#This Row],[Standard (s)]]),tblVerifyObs[[#This Row],[Cycle (s)]]-tblVerifyObs[[#This Row],[Standard (s)]],""))</f>
        <v>45</v>
      </c>
      <c r="I85" s="40">
        <f>IF(tblVerifyObs[[#This Row],[Date]]="","",IF(ISNUMBER($E$65),tblVerifyObs[[#This Row],[Cycle (s)]]/$E$65,""))</f>
        <v>1.51785714285714</v>
      </c>
      <c r="J85" s="41" t="str">
        <f>IF(tblVerifyObs[[#This Row],[Date]]="","",IF(tblVerifyObs[[#This Row],[Exclude]]="Yes","Excluded",IF(NOT(ISNUMBER(tblVerifyObs[[#This Row],[Loading (% of takt)]])),"",IF(tblVerifyObs[[#This Row],[Loading (% of takt)]]&gt;$E$54,"Over capacity",IF(tblVerifyObs[[#This Row],[Loading (% of takt)]]&gt;=$E$53,"Near capacity","Under capacity")))))</f>
        <v>Over capacity</v>
      </c>
      <c r="K85" s="42">
        <f>IF(tblVerifyObs[[#This Row],[Date]]="","",IF(AND(tblVerifyObs[[#This Row],[Exclude]]&lt;&gt;"Yes",tblVerifyObs[[#This Row],[Date]]&gt;=$E$55,tblVerifyObs[[#This Row],[Date]]&lt;=$E$56),tblVerifyObs[[#This Row],[Date]],""))</f>
        <v>46028</v>
      </c>
      <c r="L85" s="30">
        <f>IF(tblVerifyObs[[#This Row],[Date]]="","",IF(AND(tblVerifyObs[[#This Row],[Station]]=$E$57,ISNUMBER(tblVerifyObs[[#This Row],[View date]])),COUNTIFS(INDEX(tblVerifyObs[Station],1):tblVerifyObs[[#This Row],[Station]],tblVerifyObs[[#This Row],[Station]],INDEX(tblVerifyObs[View date],1):tblVerifyObs[[#This Row],[View date]],"&gt;0"),""))</f>
        <v/>
      </c>
      <c r="M85" s="43" t="str">
        <f>IF(tblVerifyObs[[#This Row],[Date]]="","",IF(tblVerifyObs[[#This Row],[Station]]="","Missing station",IF(tblVerifyObs[[#This Row],[Cycle (s)]]="","Missing cycle",IF(tblVerifyObs[[#This Row],[Exclude]]="","Missing exclude",IF(COUNTIF(tblVerifyStations[Station],tblVerifyObs[[#This Row],[Station]])=0,"Station not on Setup list",IF(AND(tblVerifyObs[[#This Row],[Exclude]]="Yes",tblVerifyObs[[#This Row],[Notes]]=""),"Exclude: no reason",IF(AND(tblVerifyObs[[#This Row],[Exclude]]&lt;&gt;"Yes",ISNUMBER(tblVerifyObs[[#This Row],[Standard (s)]]),tblVerifyObs[[#This Row],[Cycle (s)]]&gt;2*tblVerifyObs[[#This Row],[Standard (s)]]),"Over 2x standard","OK")))))))</f>
        <v>Over 2x standard</v>
      </c>
      <c r="N85" s="67" t="s">
        <v>291</v>
      </c>
    </row>
    <row r="86" spans="2:14" x14ac:dyDescent="0.25">
      <c r="B86" s="83">
        <v>46028</v>
      </c>
      <c r="C86" s="67" t="s">
        <v>284</v>
      </c>
      <c r="D86" s="67" t="s">
        <v>290</v>
      </c>
      <c r="E86" s="60">
        <v>51</v>
      </c>
      <c r="F86" s="67" t="s">
        <v>114</v>
      </c>
      <c r="G86" s="60">
        <v>50</v>
      </c>
      <c r="H86" s="39">
        <f>IF(tblVerifyObs[[#This Row],[Date]]="","",IF(ISNUMBER(tblVerifyObs[[#This Row],[Standard (s)]]),tblVerifyObs[[#This Row],[Cycle (s)]]-tblVerifyObs[[#This Row],[Standard (s)]],""))</f>
        <v>1</v>
      </c>
      <c r="I86" s="40">
        <f>IF(tblVerifyObs[[#This Row],[Date]]="","",IF(ISNUMBER($E$65),tblVerifyObs[[#This Row],[Cycle (s)]]/$E$65,""))</f>
        <v>0.910714285714286</v>
      </c>
      <c r="J86" s="41" t="str">
        <f>IF(tblVerifyObs[[#This Row],[Date]]="","",IF(tblVerifyObs[[#This Row],[Exclude]]="Yes","Excluded",IF(NOT(ISNUMBER(tblVerifyObs[[#This Row],[Loading (% of takt)]])),"",IF(tblVerifyObs[[#This Row],[Loading (% of takt)]]&gt;$E$54,"Over capacity",IF(tblVerifyObs[[#This Row],[Loading (% of takt)]]&gt;=$E$53,"Near capacity","Under capacity")))))</f>
        <v>Excluded</v>
      </c>
      <c r="K86" s="42">
        <f>IF(tblVerifyObs[[#This Row],[Date]]="","",IF(AND(tblVerifyObs[[#This Row],[Exclude]]&lt;&gt;"Yes",tblVerifyObs[[#This Row],[Date]]&gt;=$E$55,tblVerifyObs[[#This Row],[Date]]&lt;=$E$56),tblVerifyObs[[#This Row],[Date]],""))</f>
        <v/>
      </c>
      <c r="L86" s="30">
        <f>IF(tblVerifyObs[[#This Row],[Date]]="","",IF(AND(tblVerifyObs[[#This Row],[Station]]=$E$57,ISNUMBER(tblVerifyObs[[#This Row],[View date]])),COUNTIFS(INDEX(tblVerifyObs[Station],1):tblVerifyObs[[#This Row],[Station]],tblVerifyObs[[#This Row],[Station]],INDEX(tblVerifyObs[View date],1):tblVerifyObs[[#This Row],[View date]],"&gt;0"),""))</f>
        <v/>
      </c>
      <c r="M86" s="43" t="str">
        <f>IF(tblVerifyObs[[#This Row],[Date]]="","",IF(tblVerifyObs[[#This Row],[Station]]="","Missing station",IF(tblVerifyObs[[#This Row],[Cycle (s)]]="","Missing cycle",IF(tblVerifyObs[[#This Row],[Exclude]]="","Missing exclude",IF(COUNTIF(tblVerifyStations[Station],tblVerifyObs[[#This Row],[Station]])=0,"Station not on Setup list",IF(AND(tblVerifyObs[[#This Row],[Exclude]]="Yes",tblVerifyObs[[#This Row],[Notes]]=""),"Exclude: no reason",IF(AND(tblVerifyObs[[#This Row],[Exclude]]&lt;&gt;"Yes",ISNUMBER(tblVerifyObs[[#This Row],[Standard (s)]]),tblVerifyObs[[#This Row],[Cycle (s)]]&gt;2*tblVerifyObs[[#This Row],[Standard (s)]]),"Over 2x standard","OK")))))))</f>
        <v>Exclude: no reason</v>
      </c>
      <c r="N86" s="67" t="s">
        <v>113</v>
      </c>
    </row>
    <row r="88" spans="2:14" x14ac:dyDescent="0.25">
      <c r="B88" s="33" t="s">
        <v>293</v>
      </c>
      <c r="C88" s="33"/>
      <c r="D88" s="33"/>
      <c r="E88" s="33"/>
      <c r="F88" s="33"/>
      <c r="G88" s="33"/>
      <c r="H88" s="33"/>
      <c r="I88" s="33"/>
      <c r="J88" s="33"/>
      <c r="K88" s="33"/>
      <c r="L88" s="33"/>
    </row>
    <row r="89" spans="2:14" ht="32" customHeight="1" x14ac:dyDescent="0.25">
      <c r="B89" s="57" t="s">
        <v>62</v>
      </c>
      <c r="C89" s="34" t="s">
        <v>146</v>
      </c>
      <c r="D89" s="34" t="s">
        <v>147</v>
      </c>
      <c r="E89" s="34" t="s">
        <v>148</v>
      </c>
      <c r="F89" s="34" t="s">
        <v>149</v>
      </c>
      <c r="G89" s="34" t="s">
        <v>150</v>
      </c>
      <c r="H89" s="34" t="s">
        <v>104</v>
      </c>
      <c r="I89" s="34" t="s">
        <v>151</v>
      </c>
      <c r="J89" s="34" t="s">
        <v>152</v>
      </c>
      <c r="K89" s="34" t="s">
        <v>153</v>
      </c>
      <c r="L89" s="34"/>
    </row>
    <row r="90" spans="2:14" ht="14" customHeight="1" x14ac:dyDescent="0.25">
      <c r="B90" s="58"/>
      <c r="C90" s="58" t="s">
        <v>154</v>
      </c>
      <c r="D90" s="58" t="s">
        <v>155</v>
      </c>
      <c r="E90" s="58" t="s">
        <v>155</v>
      </c>
      <c r="F90" s="58" t="s">
        <v>155</v>
      </c>
      <c r="G90" s="58" t="s">
        <v>155</v>
      </c>
      <c r="H90" s="58" t="s">
        <v>156</v>
      </c>
      <c r="I90" s="58" t="s">
        <v>156</v>
      </c>
      <c r="J90" s="58" t="s">
        <v>157</v>
      </c>
      <c r="K90" s="58"/>
      <c r="L90" s="58"/>
    </row>
    <row r="91" spans="2:14" x14ac:dyDescent="0.25">
      <c r="B91" s="59" t="str">
        <f>IFERROR(INDEX(tblVerifyStations[Station],1)&amp;"","")</f>
        <v>A</v>
      </c>
      <c r="C91" s="30">
        <f>IF($B$91="","",COUNTIFS(tblVerifyObs[Station],$B$91,tblVerifyObs[View date],"&gt;0"))</f>
        <v>3</v>
      </c>
      <c r="D91" s="38">
        <f>IF($B$91="","",IF(($C$91)=0,"",(SUMIFS(tblVerifyObs[Cycle (s)],tblVerifyObs[Station],$B$91,tblVerifyObs[View date],"&gt;0"))/($C$91)))</f>
        <v>52.1666666666667</v>
      </c>
      <c r="E91" s="38">
        <f>IF($B$91="","",IF($C$91=0,"",SUMPRODUCT(MAX((tblVerifyObs[Station]=$B$91)*ISNUMBER(tblVerifyObs[View date])*tblVerifyObs[Cycle (s)]))))</f>
        <v>54.5</v>
      </c>
      <c r="F91" s="38">
        <f>IF($B$91="","",IF($C$91&lt;2,"",SQRT(MAX(0,(SUMPRODUCT((tblVerifyObs[Station]=$B$91)*ISNUMBER(tblVerifyObs[View date])*tblVerifyObs[Cycle (s)]^2)-$C$91*$D$91^2)/($C$91-1)))))</f>
        <v>2.25462487641158</v>
      </c>
      <c r="G91" s="60">
        <f>$E$65</f>
        <v>56</v>
      </c>
      <c r="H91" s="40">
        <f>IF($B$91="","",IF(AND(ISNUMBER($D$91),ISNUMBER($E$65)),$D$91/$E$65,""))</f>
        <v>0.931547619047619</v>
      </c>
      <c r="I91" s="40">
        <f>IF($B$91="","",IF(($C$91)=0,"",(COUNTIFS(tblVerifyObs[Station],$B$91,tblVerifyObs[View date],"&gt;0",tblVerifyObs[Cycle (s)],"&gt;"&amp;$E$65))/($C$91)))</f>
        <v>0</v>
      </c>
      <c r="J91" s="30">
        <f>IF($B$91="","",IF(ISNUMBER($D$91),$E$64*60/$D$91,""))</f>
        <v>483.067092651757</v>
      </c>
      <c r="K91" s="41" t="str">
        <f>IF($B$91="","",IF(NOT(ISNUMBER($H$91)),"",IF($H$91&gt;$E$54,"Over capacity",IF($H$91&gt;=$E$53,"Near capacity","Under capacity"))))</f>
        <v>Near capacity</v>
      </c>
      <c r="L91" s="41"/>
    </row>
    <row r="92" spans="2:14" x14ac:dyDescent="0.25">
      <c r="B92" s="59" t="str">
        <f>IFERROR(INDEX(tblVerifyStations[Station],2)&amp;"","")</f>
        <v>B</v>
      </c>
      <c r="C92" s="30">
        <f>IF($B$92="","",COUNTIFS(tblVerifyObs[Station],$B$92,tblVerifyObs[View date],"&gt;0"))</f>
        <v>4</v>
      </c>
      <c r="D92" s="38">
        <f>IF($B$92="","",IF(($C$92)=0,"",(SUMIFS(tblVerifyObs[Cycle (s)],tblVerifyObs[Station],$B$92,tblVerifyObs[View date],"&gt;0"))/($C$92)))</f>
        <v>60</v>
      </c>
      <c r="E92" s="38">
        <f>IF($B$92="","",IF($C$92=0,"",SUMPRODUCT(MAX((tblVerifyObs[Station]=$B$92)*ISNUMBER(tblVerifyObs[View date])*tblVerifyObs[Cycle (s)]))))</f>
        <v>64</v>
      </c>
      <c r="F92" s="38">
        <f>IF($B$92="","",IF($C$92&lt;2,"",SQRT(MAX(0,(SUMPRODUCT((tblVerifyObs[Station]=$B$92)*ISNUMBER(tblVerifyObs[View date])*tblVerifyObs[Cycle (s)]^2)-$C$92*$D$92^2)/($C$92-1)))))</f>
        <v>3.16227766016838</v>
      </c>
      <c r="G92" s="60">
        <f>$E$65</f>
        <v>56</v>
      </c>
      <c r="H92" s="40">
        <f>IF($B$92="","",IF(AND(ISNUMBER($D$92),ISNUMBER($E$65)),$D$92/$E$65,""))</f>
        <v>1.07142857142857</v>
      </c>
      <c r="I92" s="40">
        <f>IF($B$92="","",IF(($C$92)=0,"",(COUNTIFS(tblVerifyObs[Station],$B$92,tblVerifyObs[View date],"&gt;0",tblVerifyObs[Cycle (s)],"&gt;"&amp;$E$65))/($C$92)))</f>
        <v>1</v>
      </c>
      <c r="J92" s="30">
        <f>IF($B$92="","",IF(ISNUMBER($D$92),$E$64*60/$D$92,""))</f>
        <v>420</v>
      </c>
      <c r="K92" s="41" t="str">
        <f>IF($B$92="","",IF(NOT(ISNUMBER($H$92)),"",IF($H$92&gt;$E$54,"Over capacity",IF($H$92&gt;=$E$53,"Near capacity","Under capacity"))))</f>
        <v>Over capacity</v>
      </c>
      <c r="L92" s="41"/>
    </row>
    <row r="93" spans="2:14" x14ac:dyDescent="0.25">
      <c r="B93" s="59" t="str">
        <f>IFERROR(INDEX(tblVerifyStations[Station],3)&amp;"","")</f>
        <v>C</v>
      </c>
      <c r="C93" s="30">
        <f>IF($B$93="","",COUNTIFS(tblVerifyObs[Station],$B$93,tblVerifyObs[View date],"&gt;0"))</f>
        <v>3</v>
      </c>
      <c r="D93" s="38">
        <f>IF($B$93="","",IF(($C$93)=0,"",(SUMIFS(tblVerifyObs[Cycle (s)],tblVerifyObs[Station],$B$93,tblVerifyObs[View date],"&gt;0"))/($C$93)))</f>
        <v>55.6666666666667</v>
      </c>
      <c r="E93" s="38">
        <f>IF($B$93="","",IF($C$93=0,"",SUMPRODUCT(MAX((tblVerifyObs[Station]=$B$93)*ISNUMBER(tblVerifyObs[View date])*tblVerifyObs[Cycle (s)]))))</f>
        <v>85</v>
      </c>
      <c r="F93" s="38">
        <f>IF($B$93="","",IF($C$93&lt;2,"",SQRT(MAX(0,(SUMPRODUCT((tblVerifyObs[Station]=$B$93)*ISNUMBER(tblVerifyObs[View date])*tblVerifyObs[Cycle (s)]^2)-$C$93*$D$93^2)/($C$93-1)))))</f>
        <v>25.408331966765</v>
      </c>
      <c r="G93" s="60">
        <f>$E$65</f>
        <v>56</v>
      </c>
      <c r="H93" s="40">
        <f>IF($B$93="","",IF(AND(ISNUMBER($D$93),ISNUMBER($E$65)),$D$93/$E$65,""))</f>
        <v>0.994047619047619</v>
      </c>
      <c r="I93" s="40">
        <f>IF($B$93="","",IF(($C$93)=0,"",(COUNTIFS(tblVerifyObs[Station],$B$93,tblVerifyObs[View date],"&gt;0",tblVerifyObs[Cycle (s)],"&gt;"&amp;$E$65))/($C$93)))</f>
        <v>0.333333333333333</v>
      </c>
      <c r="J93" s="30">
        <f>IF($B$93="","",IF(ISNUMBER($D$93),$E$64*60/$D$93,""))</f>
        <v>452.694610778443</v>
      </c>
      <c r="K93" s="41" t="str">
        <f>IF($B$93="","",IF(NOT(ISNUMBER($H$93)),"",IF($H$93&gt;$E$54,"Over capacity",IF($H$93&gt;=$E$53,"Near capacity","Under capacity"))))</f>
        <v>Near capacity</v>
      </c>
      <c r="L93" s="41"/>
    </row>
    <row r="94" spans="2:14" x14ac:dyDescent="0.25">
      <c r="B94" s="59">
        <f>IFERROR(INDEX(tblVerifyStations[Station],4)&amp;"","")</f>
        <v/>
      </c>
      <c r="C94" s="30">
        <f>IF($B$94="","",COUNTIFS(tblVerifyObs[Station],$B$94,tblVerifyObs[View date],"&gt;0"))</f>
        <v/>
      </c>
      <c r="D94" s="38">
        <f>IF($B$94="","",IF(($C$94)=0,"",(SUMIFS(tblVerifyObs[Cycle (s)],tblVerifyObs[Station],$B$94,tblVerifyObs[View date],"&gt;0"))/($C$94)))</f>
        <v/>
      </c>
      <c r="E94" s="38">
        <f>IF($B$94="","",IF($C$94=0,"",SUMPRODUCT(MAX((tblVerifyObs[Station]=$B$94)*ISNUMBER(tblVerifyObs[View date])*tblVerifyObs[Cycle (s)]))))</f>
        <v/>
      </c>
      <c r="F94" s="38">
        <f>IF($B$94="","",IF($C$94&lt;2,"",SQRT(MAX(0,(SUMPRODUCT((tblVerifyObs[Station]=$B$94)*ISNUMBER(tblVerifyObs[View date])*tblVerifyObs[Cycle (s)]^2)-$C$94*$D$94^2)/($C$94-1)))))</f>
        <v/>
      </c>
      <c r="G94" s="60">
        <f>$E$65</f>
        <v>56</v>
      </c>
      <c r="H94" s="40">
        <f>IF($B$94="","",IF(AND(ISNUMBER($D$94),ISNUMBER($E$65)),$D$94/$E$65,""))</f>
        <v/>
      </c>
      <c r="I94" s="40">
        <f>IF($B$94="","",IF(($C$94)=0,"",(COUNTIFS(tblVerifyObs[Station],$B$94,tblVerifyObs[View date],"&gt;0",tblVerifyObs[Cycle (s)],"&gt;"&amp;$E$65))/($C$94)))</f>
        <v/>
      </c>
      <c r="J94" s="30">
        <f>IF($B$94="","",IF(ISNUMBER($D$94),$E$64*60/$D$94,""))</f>
        <v/>
      </c>
      <c r="K94" s="41">
        <f>IF($B$94="","",IF(NOT(ISNUMBER($H$94)),"",IF($H$94&gt;$E$54,"Over capacity",IF($H$94&gt;=$E$53,"Near capacity","Under capacity"))))</f>
        <v/>
      </c>
      <c r="L94" s="41"/>
    </row>
    <row r="95" spans="2:14" x14ac:dyDescent="0.25">
      <c r="B95" s="59">
        <f>IFERROR(INDEX(tblVerifyStations[Station],5)&amp;"","")</f>
        <v/>
      </c>
      <c r="C95" s="30">
        <f>IF($B$95="","",COUNTIFS(tblVerifyObs[Station],$B$95,tblVerifyObs[View date],"&gt;0"))</f>
        <v/>
      </c>
      <c r="D95" s="38">
        <f>IF($B$95="","",IF(($C$95)=0,"",(SUMIFS(tblVerifyObs[Cycle (s)],tblVerifyObs[Station],$B$95,tblVerifyObs[View date],"&gt;0"))/($C$95)))</f>
        <v/>
      </c>
      <c r="E95" s="38">
        <f>IF($B$95="","",IF($C$95=0,"",SUMPRODUCT(MAX((tblVerifyObs[Station]=$B$95)*ISNUMBER(tblVerifyObs[View date])*tblVerifyObs[Cycle (s)]))))</f>
        <v/>
      </c>
      <c r="F95" s="38">
        <f>IF($B$95="","",IF($C$95&lt;2,"",SQRT(MAX(0,(SUMPRODUCT((tblVerifyObs[Station]=$B$95)*ISNUMBER(tblVerifyObs[View date])*tblVerifyObs[Cycle (s)]^2)-$C$95*$D$95^2)/($C$95-1)))))</f>
        <v/>
      </c>
      <c r="G95" s="60">
        <f>$E$65</f>
        <v>56</v>
      </c>
      <c r="H95" s="40">
        <f>IF($B$95="","",IF(AND(ISNUMBER($D$95),ISNUMBER($E$65)),$D$95/$E$65,""))</f>
        <v/>
      </c>
      <c r="I95" s="40">
        <f>IF($B$95="","",IF(($C$95)=0,"",(COUNTIFS(tblVerifyObs[Station],$B$95,tblVerifyObs[View date],"&gt;0",tblVerifyObs[Cycle (s)],"&gt;"&amp;$E$65))/($C$95)))</f>
        <v/>
      </c>
      <c r="J95" s="30">
        <f>IF($B$95="","",IF(ISNUMBER($D$95),$E$64*60/$D$95,""))</f>
        <v/>
      </c>
      <c r="K95" s="41">
        <f>IF($B$95="","",IF(NOT(ISNUMBER($H$95)),"",IF($H$95&gt;$E$54,"Over capacity",IF($H$95&gt;=$E$53,"Near capacity","Under capacity"))))</f>
        <v/>
      </c>
      <c r="L95" s="41"/>
    </row>
    <row r="96" spans="2:14" x14ac:dyDescent="0.25">
      <c r="B96" s="59">
        <f>IFERROR(INDEX(tblVerifyStations[Station],6)&amp;"","")</f>
        <v/>
      </c>
      <c r="C96" s="30">
        <f>IF($B$96="","",COUNTIFS(tblVerifyObs[Station],$B$96,tblVerifyObs[View date],"&gt;0"))</f>
        <v/>
      </c>
      <c r="D96" s="38">
        <f>IF($B$96="","",IF(($C$96)=0,"",(SUMIFS(tblVerifyObs[Cycle (s)],tblVerifyObs[Station],$B$96,tblVerifyObs[View date],"&gt;0"))/($C$96)))</f>
        <v/>
      </c>
      <c r="E96" s="38">
        <f>IF($B$96="","",IF($C$96=0,"",SUMPRODUCT(MAX((tblVerifyObs[Station]=$B$96)*ISNUMBER(tblVerifyObs[View date])*tblVerifyObs[Cycle (s)]))))</f>
        <v/>
      </c>
      <c r="F96" s="38">
        <f>IF($B$96="","",IF($C$96&lt;2,"",SQRT(MAX(0,(SUMPRODUCT((tblVerifyObs[Station]=$B$96)*ISNUMBER(tblVerifyObs[View date])*tblVerifyObs[Cycle (s)]^2)-$C$96*$D$96^2)/($C$96-1)))))</f>
        <v/>
      </c>
      <c r="G96" s="60">
        <f>$E$65</f>
        <v>56</v>
      </c>
      <c r="H96" s="40">
        <f>IF($B$96="","",IF(AND(ISNUMBER($D$96),ISNUMBER($E$65)),$D$96/$E$65,""))</f>
        <v/>
      </c>
      <c r="I96" s="40">
        <f>IF($B$96="","",IF(($C$96)=0,"",(COUNTIFS(tblVerifyObs[Station],$B$96,tblVerifyObs[View date],"&gt;0",tblVerifyObs[Cycle (s)],"&gt;"&amp;$E$65))/($C$96)))</f>
        <v/>
      </c>
      <c r="J96" s="30">
        <f>IF($B$96="","",IF(ISNUMBER($D$96),$E$64*60/$D$96,""))</f>
        <v/>
      </c>
      <c r="K96" s="41">
        <f>IF($B$96="","",IF(NOT(ISNUMBER($H$96)),"",IF($H$96&gt;$E$54,"Over capacity",IF($H$96&gt;=$E$53,"Near capacity","Under capacity"))))</f>
        <v/>
      </c>
      <c r="L96" s="41"/>
    </row>
    <row r="98" spans="2:12" x14ac:dyDescent="0.25">
      <c r="B98" s="33" t="s">
        <v>294</v>
      </c>
      <c r="C98" s="33"/>
      <c r="D98" s="33"/>
      <c r="E98" s="33"/>
      <c r="F98" s="33"/>
      <c r="G98" s="33"/>
      <c r="H98" s="33"/>
      <c r="I98" s="33"/>
      <c r="J98" s="33"/>
      <c r="K98" s="33"/>
      <c r="L98" s="33"/>
    </row>
    <row r="99" spans="2:12" ht="32" customHeight="1" x14ac:dyDescent="0.25">
      <c r="B99" s="57" t="s">
        <v>159</v>
      </c>
      <c r="C99" s="34" t="s">
        <v>98</v>
      </c>
      <c r="D99" s="34" t="s">
        <v>100</v>
      </c>
      <c r="E99" s="34" t="s">
        <v>160</v>
      </c>
      <c r="F99" s="34" t="s">
        <v>150</v>
      </c>
    </row>
    <row r="100" spans="2:12" x14ac:dyDescent="0.25">
      <c r="B100" s="61">
        <f>IF($B$101="","",IF($B$101&lt;=1,"",$B$101-1))</f>
        <v/>
      </c>
      <c r="C100" s="62">
        <f>IF($B$100="","",IFERROR(INDEX(tblVerifyObs[Date],MATCH($B$100,tblVerifyObs[Chart no.],0)),""))</f>
        <v/>
      </c>
      <c r="D100" s="38">
        <f>IF($B$100="","",IFERROR(INDEX(tblVerifyObs[Cycle (s)],MATCH($B$100,tblVerifyObs[Chart no.],0)),""))</f>
        <v/>
      </c>
      <c r="E100" s="60">
        <f>IFERROR(INDEX($D$91:$D$96,MATCH($E$57,$B$91:$B$96,0)),"")</f>
        <v>60</v>
      </c>
      <c r="F100" s="60">
        <f>$E$65</f>
        <v>56</v>
      </c>
    </row>
    <row r="101" spans="2:12" x14ac:dyDescent="0.25">
      <c r="B101" s="61">
        <f>IF($B$102="","",IF($B$102&lt;=1,"",$B$102-1))</f>
        <v/>
      </c>
      <c r="C101" s="62">
        <f>IF($B$101="","",IFERROR(INDEX(tblVerifyObs[Date],MATCH($B$101,tblVerifyObs[Chart no.],0)),""))</f>
        <v/>
      </c>
      <c r="D101" s="38">
        <f>IF($B$101="","",IFERROR(INDEX(tblVerifyObs[Cycle (s)],MATCH($B$101,tblVerifyObs[Chart no.],0)),""))</f>
        <v/>
      </c>
      <c r="E101" s="60">
        <f>IFERROR(INDEX($D$91:$D$96,MATCH($E$57,$B$91:$B$96,0)),"")</f>
        <v>60</v>
      </c>
      <c r="F101" s="60">
        <f>$E$65</f>
        <v>56</v>
      </c>
    </row>
    <row r="102" spans="2:12" x14ac:dyDescent="0.25">
      <c r="B102" s="61">
        <f>IF($B$103="","",IF($B$103&lt;=1,"",$B$103-1))</f>
        <v/>
      </c>
      <c r="C102" s="62">
        <f>IF($B$102="","",IFERROR(INDEX(tblVerifyObs[Date],MATCH($B$102,tblVerifyObs[Chart no.],0)),""))</f>
        <v/>
      </c>
      <c r="D102" s="38">
        <f>IF($B$102="","",IFERROR(INDEX(tblVerifyObs[Cycle (s)],MATCH($B$102,tblVerifyObs[Chart no.],0)),""))</f>
        <v/>
      </c>
      <c r="E102" s="60">
        <f>IFERROR(INDEX($D$91:$D$96,MATCH($E$57,$B$91:$B$96,0)),"")</f>
        <v>60</v>
      </c>
      <c r="F102" s="60">
        <f>$E$65</f>
        <v>56</v>
      </c>
    </row>
    <row r="103" spans="2:12" x14ac:dyDescent="0.25">
      <c r="B103" s="61">
        <f>IF($B$104="","",IF($B$104&lt;=1,"",$B$104-1))</f>
        <v/>
      </c>
      <c r="C103" s="62">
        <f>IF($B$103="","",IFERROR(INDEX(tblVerifyObs[Date],MATCH($B$103,tblVerifyObs[Chart no.],0)),""))</f>
        <v/>
      </c>
      <c r="D103" s="38">
        <f>IF($B$103="","",IFERROR(INDEX(tblVerifyObs[Cycle (s)],MATCH($B$103,tblVerifyObs[Chart no.],0)),""))</f>
        <v/>
      </c>
      <c r="E103" s="60">
        <f>IFERROR(INDEX($D$91:$D$96,MATCH($E$57,$B$91:$B$96,0)),"")</f>
        <v>60</v>
      </c>
      <c r="F103" s="60">
        <f>$E$65</f>
        <v>56</v>
      </c>
    </row>
    <row r="104" spans="2:12" x14ac:dyDescent="0.25">
      <c r="B104" s="61">
        <f>IF($B$105="","",IF($B$105&lt;=1,"",$B$105-1))</f>
        <v/>
      </c>
      <c r="C104" s="62">
        <f>IF($B$104="","",IFERROR(INDEX(tblVerifyObs[Date],MATCH($B$104,tblVerifyObs[Chart no.],0)),""))</f>
        <v/>
      </c>
      <c r="D104" s="38">
        <f>IF($B$104="","",IFERROR(INDEX(tblVerifyObs[Cycle (s)],MATCH($B$104,tblVerifyObs[Chart no.],0)),""))</f>
        <v/>
      </c>
      <c r="E104" s="60">
        <f>IFERROR(INDEX($D$91:$D$96,MATCH($E$57,$B$91:$B$96,0)),"")</f>
        <v>60</v>
      </c>
      <c r="F104" s="60">
        <f>$E$65</f>
        <v>56</v>
      </c>
    </row>
    <row r="105" spans="2:12" x14ac:dyDescent="0.25">
      <c r="B105" s="61">
        <f>IF($B$106="","",IF($B$106&lt;=1,"",$B$106-1))</f>
        <v/>
      </c>
      <c r="C105" s="62">
        <f>IF($B$105="","",IFERROR(INDEX(tblVerifyObs[Date],MATCH($B$105,tblVerifyObs[Chart no.],0)),""))</f>
        <v/>
      </c>
      <c r="D105" s="38">
        <f>IF($B$105="","",IFERROR(INDEX(tblVerifyObs[Cycle (s)],MATCH($B$105,tblVerifyObs[Chart no.],0)),""))</f>
        <v/>
      </c>
      <c r="E105" s="60">
        <f>IFERROR(INDEX($D$91:$D$96,MATCH($E$57,$B$91:$B$96,0)),"")</f>
        <v>60</v>
      </c>
      <c r="F105" s="60">
        <f>$E$65</f>
        <v>56</v>
      </c>
    </row>
    <row r="106" spans="2:12" x14ac:dyDescent="0.25">
      <c r="B106" s="61">
        <f>IF($B$107="","",IF($B$107&lt;=1,"",$B$107-1))</f>
        <v/>
      </c>
      <c r="C106" s="62">
        <f>IF($B$106="","",IFERROR(INDEX(tblVerifyObs[Date],MATCH($B$106,tblVerifyObs[Chart no.],0)),""))</f>
        <v/>
      </c>
      <c r="D106" s="38">
        <f>IF($B$106="","",IFERROR(INDEX(tblVerifyObs[Cycle (s)],MATCH($B$106,tblVerifyObs[Chart no.],0)),""))</f>
        <v/>
      </c>
      <c r="E106" s="60">
        <f>IFERROR(INDEX($D$91:$D$96,MATCH($E$57,$B$91:$B$96,0)),"")</f>
        <v>60</v>
      </c>
      <c r="F106" s="60">
        <f>$E$65</f>
        <v>56</v>
      </c>
    </row>
    <row r="107" spans="2:12" x14ac:dyDescent="0.25">
      <c r="B107" s="61">
        <f>IF($B$108="","",IF($B$108&lt;=1,"",$B$108-1))</f>
        <v/>
      </c>
      <c r="C107" s="62">
        <f>IF($B$107="","",IFERROR(INDEX(tblVerifyObs[Date],MATCH($B$107,tblVerifyObs[Chart no.],0)),""))</f>
        <v/>
      </c>
      <c r="D107" s="38">
        <f>IF($B$107="","",IFERROR(INDEX(tblVerifyObs[Cycle (s)],MATCH($B$107,tblVerifyObs[Chart no.],0)),""))</f>
        <v/>
      </c>
      <c r="E107" s="60">
        <f>IFERROR(INDEX($D$91:$D$96,MATCH($E$57,$B$91:$B$96,0)),"")</f>
        <v>60</v>
      </c>
      <c r="F107" s="60">
        <f>$E$65</f>
        <v>56</v>
      </c>
    </row>
    <row r="108" spans="2:12" x14ac:dyDescent="0.25">
      <c r="B108" s="61">
        <f>IF($B$109="","",IF($B$109&lt;=1,"",$B$109-1))</f>
        <v/>
      </c>
      <c r="C108" s="62">
        <f>IF($B$108="","",IFERROR(INDEX(tblVerifyObs[Date],MATCH($B$108,tblVerifyObs[Chart no.],0)),""))</f>
        <v/>
      </c>
      <c r="D108" s="38">
        <f>IF($B$108="","",IFERROR(INDEX(tblVerifyObs[Cycle (s)],MATCH($B$108,tblVerifyObs[Chart no.],0)),""))</f>
        <v/>
      </c>
      <c r="E108" s="60">
        <f>IFERROR(INDEX($D$91:$D$96,MATCH($E$57,$B$91:$B$96,0)),"")</f>
        <v>60</v>
      </c>
      <c r="F108" s="60">
        <f>$E$65</f>
        <v>56</v>
      </c>
    </row>
    <row r="109" spans="2:12" x14ac:dyDescent="0.25">
      <c r="B109" s="61">
        <f>IF($B$110="","",IF($B$110&lt;=1,"",$B$110-1))</f>
        <v/>
      </c>
      <c r="C109" s="62">
        <f>IF($B$109="","",IFERROR(INDEX(tblVerifyObs[Date],MATCH($B$109,tblVerifyObs[Chart no.],0)),""))</f>
        <v/>
      </c>
      <c r="D109" s="38">
        <f>IF($B$109="","",IFERROR(INDEX(tblVerifyObs[Cycle (s)],MATCH($B$109,tblVerifyObs[Chart no.],0)),""))</f>
        <v/>
      </c>
      <c r="E109" s="60">
        <f>IFERROR(INDEX($D$91:$D$96,MATCH($E$57,$B$91:$B$96,0)),"")</f>
        <v>60</v>
      </c>
      <c r="F109" s="60">
        <f>$E$65</f>
        <v>56</v>
      </c>
    </row>
    <row r="110" spans="2:12" x14ac:dyDescent="0.25">
      <c r="B110" s="61">
        <f>IF($B$111="","",IF($B$111&lt;=1,"",$B$111-1))</f>
        <v/>
      </c>
      <c r="C110" s="62">
        <f>IF($B$110="","",IFERROR(INDEX(tblVerifyObs[Date],MATCH($B$110,tblVerifyObs[Chart no.],0)),""))</f>
        <v/>
      </c>
      <c r="D110" s="38">
        <f>IF($B$110="","",IFERROR(INDEX(tblVerifyObs[Cycle (s)],MATCH($B$110,tblVerifyObs[Chart no.],0)),""))</f>
        <v/>
      </c>
      <c r="E110" s="60">
        <f>IFERROR(INDEX($D$91:$D$96,MATCH($E$57,$B$91:$B$96,0)),"")</f>
        <v>60</v>
      </c>
      <c r="F110" s="60">
        <f>$E$65</f>
        <v>56</v>
      </c>
    </row>
    <row r="111" spans="2:12" x14ac:dyDescent="0.25">
      <c r="B111" s="61">
        <f>IF($B$112="","",IF($B$112&lt;=1,"",$B$112-1))</f>
        <v/>
      </c>
      <c r="C111" s="62">
        <f>IF($B$111="","",IFERROR(INDEX(tblVerifyObs[Date],MATCH($B$111,tblVerifyObs[Chart no.],0)),""))</f>
        <v/>
      </c>
      <c r="D111" s="38">
        <f>IF($B$111="","",IFERROR(INDEX(tblVerifyObs[Cycle (s)],MATCH($B$111,tblVerifyObs[Chart no.],0)),""))</f>
        <v/>
      </c>
      <c r="E111" s="60">
        <f>IFERROR(INDEX($D$91:$D$96,MATCH($E$57,$B$91:$B$96,0)),"")</f>
        <v>60</v>
      </c>
      <c r="F111" s="60">
        <f>$E$65</f>
        <v>56</v>
      </c>
    </row>
    <row r="112" spans="2:12" x14ac:dyDescent="0.25">
      <c r="B112" s="61">
        <f>IF($B$113="","",IF($B$113&lt;=1,"",$B$113-1))</f>
        <v/>
      </c>
      <c r="C112" s="62">
        <f>IF($B$112="","",IFERROR(INDEX(tblVerifyObs[Date],MATCH($B$112,tblVerifyObs[Chart no.],0)),""))</f>
        <v/>
      </c>
      <c r="D112" s="38">
        <f>IF($B$112="","",IFERROR(INDEX(tblVerifyObs[Cycle (s)],MATCH($B$112,tblVerifyObs[Chart no.],0)),""))</f>
        <v/>
      </c>
      <c r="E112" s="60">
        <f>IFERROR(INDEX($D$91:$D$96,MATCH($E$57,$B$91:$B$96,0)),"")</f>
        <v>60</v>
      </c>
      <c r="F112" s="60">
        <f>$E$65</f>
        <v>56</v>
      </c>
    </row>
    <row r="113" spans="2:6" x14ac:dyDescent="0.25">
      <c r="B113" s="61">
        <f>IF($B$114="","",IF($B$114&lt;=1,"",$B$114-1))</f>
        <v/>
      </c>
      <c r="C113" s="62">
        <f>IF($B$113="","",IFERROR(INDEX(tblVerifyObs[Date],MATCH($B$113,tblVerifyObs[Chart no.],0)),""))</f>
        <v/>
      </c>
      <c r="D113" s="38">
        <f>IF($B$113="","",IFERROR(INDEX(tblVerifyObs[Cycle (s)],MATCH($B$113,tblVerifyObs[Chart no.],0)),""))</f>
        <v/>
      </c>
      <c r="E113" s="60">
        <f>IFERROR(INDEX($D$91:$D$96,MATCH($E$57,$B$91:$B$96,0)),"")</f>
        <v>60</v>
      </c>
      <c r="F113" s="60">
        <f>$E$65</f>
        <v>56</v>
      </c>
    </row>
    <row r="114" spans="2:6" x14ac:dyDescent="0.25">
      <c r="B114" s="61">
        <f>IF($B$115="","",IF($B$115&lt;=1,"",$B$115-1))</f>
        <v/>
      </c>
      <c r="C114" s="62">
        <f>IF($B$114="","",IFERROR(INDEX(tblVerifyObs[Date],MATCH($B$114,tblVerifyObs[Chart no.],0)),""))</f>
        <v/>
      </c>
      <c r="D114" s="38">
        <f>IF($B$114="","",IFERROR(INDEX(tblVerifyObs[Cycle (s)],MATCH($B$114,tblVerifyObs[Chart no.],0)),""))</f>
        <v/>
      </c>
      <c r="E114" s="60">
        <f>IFERROR(INDEX($D$91:$D$96,MATCH($E$57,$B$91:$B$96,0)),"")</f>
        <v>60</v>
      </c>
      <c r="F114" s="60">
        <f>$E$65</f>
        <v>56</v>
      </c>
    </row>
    <row r="115" spans="2:6" x14ac:dyDescent="0.25">
      <c r="B115" s="61">
        <f>IF($B$116="","",IF($B$116&lt;=1,"",$B$116-1))</f>
        <v/>
      </c>
      <c r="C115" s="62">
        <f>IF($B$115="","",IFERROR(INDEX(tblVerifyObs[Date],MATCH($B$115,tblVerifyObs[Chart no.],0)),""))</f>
        <v/>
      </c>
      <c r="D115" s="38">
        <f>IF($B$115="","",IFERROR(INDEX(tblVerifyObs[Cycle (s)],MATCH($B$115,tblVerifyObs[Chart no.],0)),""))</f>
        <v/>
      </c>
      <c r="E115" s="60">
        <f>IFERROR(INDEX($D$91:$D$96,MATCH($E$57,$B$91:$B$96,0)),"")</f>
        <v>60</v>
      </c>
      <c r="F115" s="60">
        <f>$E$65</f>
        <v>56</v>
      </c>
    </row>
    <row r="116" spans="2:6" x14ac:dyDescent="0.25">
      <c r="B116" s="61">
        <f>IF($B$117="","",IF($B$117&lt;=1,"",$B$117-1))</f>
        <v>1</v>
      </c>
      <c r="C116" s="62">
        <f>IF($B$116="","",IFERROR(INDEX(tblVerifyObs[Date],MATCH($B$116,tblVerifyObs[Chart no.],0)),""))</f>
        <v>46028</v>
      </c>
      <c r="D116" s="38">
        <f>IF($B$116="","",IFERROR(INDEX(tblVerifyObs[Cycle (s)],MATCH($B$116,tblVerifyObs[Chart no.],0)),""))</f>
        <v>58</v>
      </c>
      <c r="E116" s="60">
        <f>IFERROR(INDEX($D$91:$D$96,MATCH($E$57,$B$91:$B$96,0)),"")</f>
        <v>60</v>
      </c>
      <c r="F116" s="60">
        <f>$E$65</f>
        <v>56</v>
      </c>
    </row>
    <row r="117" spans="2:6" x14ac:dyDescent="0.25">
      <c r="B117" s="61">
        <f>IF($B$118="","",IF($B$118&lt;=1,"",$B$118-1))</f>
        <v>2</v>
      </c>
      <c r="C117" s="62">
        <f>IF($B$117="","",IFERROR(INDEX(tblVerifyObs[Date],MATCH($B$117,tblVerifyObs[Chart no.],0)),""))</f>
        <v>46028</v>
      </c>
      <c r="D117" s="38">
        <f>IF($B$117="","",IFERROR(INDEX(tblVerifyObs[Cycle (s)],MATCH($B$117,tblVerifyObs[Chart no.],0)),""))</f>
        <v>61</v>
      </c>
      <c r="E117" s="60">
        <f>IFERROR(INDEX($D$91:$D$96,MATCH($E$57,$B$91:$B$96,0)),"")</f>
        <v>60</v>
      </c>
      <c r="F117" s="60">
        <f>$E$65</f>
        <v>56</v>
      </c>
    </row>
    <row r="118" spans="2:6" x14ac:dyDescent="0.25">
      <c r="B118" s="61">
        <f>IF($B$119="","",IF($B$119&lt;=1,"",$B$119-1))</f>
        <v>3</v>
      </c>
      <c r="C118" s="62">
        <f>IF($B$118="","",IFERROR(INDEX(tblVerifyObs[Date],MATCH($B$118,tblVerifyObs[Chart no.],0)),""))</f>
        <v>46028</v>
      </c>
      <c r="D118" s="38">
        <f>IF($B$118="","",IFERROR(INDEX(tblVerifyObs[Cycle (s)],MATCH($B$118,tblVerifyObs[Chart no.],0)),""))</f>
        <v>57</v>
      </c>
      <c r="E118" s="60">
        <f>IFERROR(INDEX($D$91:$D$96,MATCH($E$57,$B$91:$B$96,0)),"")</f>
        <v>60</v>
      </c>
      <c r="F118" s="60">
        <f>$E$65</f>
        <v>56</v>
      </c>
    </row>
    <row r="119" spans="2:6" x14ac:dyDescent="0.25">
      <c r="B119" s="61">
        <f>IF(COUNT(tblVerifyObs[Chart no.])=0,"",MAX(tblVerifyObs[Chart no.]))</f>
        <v>4</v>
      </c>
      <c r="C119" s="62">
        <f>IF($B$119="","",IFERROR(INDEX(tblVerifyObs[Date],MATCH($B$119,tblVerifyObs[Chart no.],0)),""))</f>
        <v>46028</v>
      </c>
      <c r="D119" s="38">
        <f>IF($B$119="","",IFERROR(INDEX(tblVerifyObs[Cycle (s)],MATCH($B$119,tblVerifyObs[Chart no.],0)),""))</f>
        <v>64</v>
      </c>
      <c r="E119" s="60">
        <f>IFERROR(INDEX($D$91:$D$96,MATCH($E$57,$B$91:$B$96,0)),"")</f>
        <v>60</v>
      </c>
      <c r="F119" s="60">
        <f>$E$65</f>
        <v>56</v>
      </c>
    </row>
  </sheetData>
  <sheetProtection sheet="1" formatColumns="0" formatRows="0"/>
  <mergeCells count="73">
    <mergeCell ref="A1:N1"/>
    <mergeCell ref="B2:M2"/>
    <mergeCell ref="B4:C4"/>
    <mergeCell ref="D4:E4"/>
    <mergeCell ref="F4:J4"/>
    <mergeCell ref="B6:L6"/>
    <mergeCell ref="B8:L8"/>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B49:L49"/>
    <mergeCell ref="B51:L51"/>
    <mergeCell ref="B52:F52"/>
    <mergeCell ref="B53:D53"/>
    <mergeCell ref="B54:D54"/>
    <mergeCell ref="B55:D55"/>
    <mergeCell ref="B56:D56"/>
    <mergeCell ref="B57:D57"/>
    <mergeCell ref="E57:F57"/>
    <mergeCell ref="B59:L59"/>
    <mergeCell ref="B60:D60"/>
    <mergeCell ref="B61:D61"/>
    <mergeCell ref="B62:D62"/>
    <mergeCell ref="B63:D63"/>
    <mergeCell ref="B64:D64"/>
    <mergeCell ref="B65:D65"/>
    <mergeCell ref="B67:L67"/>
    <mergeCell ref="B73:L73"/>
    <mergeCell ref="B88:L88"/>
    <mergeCell ref="K89:L89"/>
    <mergeCell ref="K90:L90"/>
    <mergeCell ref="K91:L91"/>
    <mergeCell ref="K92:L92"/>
    <mergeCell ref="K93:L93"/>
    <mergeCell ref="K94:L94"/>
    <mergeCell ref="K95:L95"/>
    <mergeCell ref="K96:L96"/>
    <mergeCell ref="B98:L98"/>
  </mergeCells>
  <conditionalFormatting sqref="D4">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H91:H96">
    <cfRule type="dataBar" priority="43">
      <dataBar>
        <cfvo type="num" val="0"/>
        <cfvo type="max"/>
        <color rgb="FFA8BDF0"/>
      </dataBar>
      <extLst>
        <ext xmlns:x14="http://schemas.microsoft.com/office/spreadsheetml/2009/9/main" uri="{B025F937-C7B1-47D3-B67F-A62EFF666E3E}">
          <x14:id>{DA7ABA51-AAAA-BBBB-0006-000000000001}</x14:id>
        </ext>
      </extLst>
    </cfRule>
  </conditionalFormatting>
  <conditionalFormatting sqref="K11:K47">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K91:K96">
    <cfRule type="cellIs" dxfId="0" priority="44" operator="equal">
      <formula>"On target"</formula>
    </cfRule>
    <cfRule type="cellIs" dxfId="0" priority="45" operator="equal">
      <formula>"PASS"</formula>
    </cfRule>
    <cfRule type="cellIs" dxfId="0" priority="46" operator="equal">
      <formula>"OK"</formula>
    </cfRule>
    <cfRule type="cellIs" dxfId="0" priority="47" operator="equal">
      <formula>"Within limits"</formula>
    </cfRule>
    <cfRule type="cellIs" dxfId="0" priority="48" operator="equal">
      <formula>"Under capacity"</formula>
    </cfRule>
    <cfRule type="cellIs" dxfId="0" priority="49" operator="equal">
      <formula>"Complete"</formula>
    </cfRule>
    <cfRule type="cellIs" dxfId="0" priority="50" operator="equal">
      <formula>"Yes"</formula>
    </cfRule>
    <cfRule type="cellIs" dxfId="1" priority="51" operator="equal">
      <formula>"Near target"</formula>
    </cfRule>
    <cfRule type="cellIs" dxfId="1" priority="52" operator="equal">
      <formula>"Check"</formula>
    </cfRule>
    <cfRule type="cellIs" dxfId="1" priority="53" operator="equal">
      <formula>"Due soon"</formula>
    </cfRule>
    <cfRule type="cellIs" dxfId="1" priority="54" operator="equal">
      <formula>"Near capacity"</formula>
    </cfRule>
    <cfRule type="cellIs" dxfId="1" priority="55" operator="equal">
      <formula>"In progress"</formula>
    </cfRule>
    <cfRule type="cellIs" dxfId="1" priority="56" operator="equal">
      <formula>"Partial"</formula>
    </cfRule>
    <cfRule type="cellIs" dxfId="2" priority="57" operator="equal">
      <formula>"Below target"</formula>
    </cfRule>
    <cfRule type="cellIs" dxfId="2" priority="58" operator="equal">
      <formula>"Above target"</formula>
    </cfRule>
    <cfRule type="cellIs" dxfId="2" priority="59" operator="equal">
      <formula>"FAIL"</formula>
    </cfRule>
    <cfRule type="cellIs" dxfId="2" priority="60" operator="equal">
      <formula>"Over capacity"</formula>
    </cfRule>
    <cfRule type="cellIs" dxfId="2" priority="61" operator="equal">
      <formula>"Overdue"</formula>
    </cfRule>
    <cfRule type="cellIs" dxfId="2" priority="62" operator="equal">
      <formula>"Out of limits"</formula>
    </cfRule>
    <cfRule type="cellIs" dxfId="2" priority="63" operator="equal">
      <formula>"No"</formula>
    </cfRule>
  </conditionalFormatting>
  <conditionalFormatting sqref="M75:M86">
    <cfRule type="expression" dxfId="3" priority="41">
      <formula>$M75="OK"</formula>
    </cfRule>
    <cfRule type="expression" dxfId="1" priority="42">
      <formula>AND($M75&lt;&gt;"",$M75&lt;&gt;"OK")</formula>
    </cfRule>
  </conditionalFormatting>
  <hyperlinks>
    <hyperlink ref="N2" r:id="rId1" tooltip="Free manufacturing calculators and templates"/>
  </hyperlinks>
  <printOptions horizontalCentered="1"/>
  <pageMargins left="0.4" right="0.4" top="0.7" bottom="0.65" header="0.3" footer="0.3"/>
  <pageSetup fitToHeight="0" orientation="landscape"/>
  <headerFooter>
    <oddHeader>&amp;L&amp;8MFG Calcs - Cycle Time Tracker&amp;R&amp;8&amp;A</oddHeader>
    <oddFooter>&amp;L&amp;8mfgcalcs.com - free manufacturing templates&amp;R&amp;8Page &amp;P of &amp;N</oddFooter>
  </headerFooter>
  <rowBreaks count="3" manualBreakCount="3">
    <brk id="32" max="16383" man="1"/>
    <brk id="66" max="16383" man="1"/>
    <brk id="97" max="16383" man="1"/>
  </rowBreaks>
  <tableParts count="2">
    <tablePart r:id="rId2"/>
    <tablePart r:id="rId3"/>
  </tableParts>
  <extLst>
    <ext xmlns:x14="http://schemas.microsoft.com/office/spreadsheetml/2009/9/main" uri="{78C0D931-6437-407d-A8EE-F0AAD7539E65}">
      <x14:conditionalFormattings>
        <x14:conditionalFormatting xmlns:xm="http://schemas.microsoft.com/office/excel/2006/main">
          <x14:cfRule type="dataBar" id="{DA7ABA51-AAAA-BBBB-0006-000000000001}">
            <x14:dataBar minLength="0" maxLength="100" border="1" gradient="0" negativeBarBorderColorSameAsPositive="0">
              <x14:cfvo type="num">
                <xm:f>0</xm:f>
              </x14:cfvo>
              <x14:cfvo type="autoMax"/>
              <x14:borderColor rgb="FFA8BDF0"/>
              <x14:negativeFillColor rgb="FFFF0000"/>
              <x14:negativeBorderColor rgb="FFFF0000"/>
              <x14:axisColor rgb="FF000000"/>
            </x14:dataBar>
          </x14:cfRule>
          <xm:sqref>H91:H96</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30</vt:i4>
      </vt:variant>
    </vt:vector>
  </HeadingPairs>
  <TitlesOfParts>
    <vt:vector size="36" baseType="lpstr">
      <vt:lpstr>Start Here</vt:lpstr>
      <vt:lpstr>Setup</vt:lpstr>
      <vt:lpstr>Observation Log</vt:lpstr>
      <vt:lpstr>Dashboard</vt:lpstr>
      <vt:lpstr>Method</vt:lpstr>
      <vt:lpstr>Verify</vt:lpstr>
      <vt:lpstr>BreakMin</vt:lpstr>
      <vt:lpstr>DashFrom</vt:lpstr>
      <vt:lpstr>DashStation</vt:lpstr>
      <vt:lpstr>DashTo</vt:lpstr>
      <vt:lpstr>Demand</vt:lpstr>
      <vt:lpstr>KpiBnCycle</vt:lpstr>
      <vt:lpstr>KpiBnOver</vt:lpstr>
      <vt:lpstr>KpiBottleneck</vt:lpstr>
      <vt:lpstr>KpiCapacity</vt:lpstr>
      <vt:lpstr>KpiCycles</vt:lpstr>
      <vt:lpstr>KpiOvertime</vt:lpstr>
      <vt:lpstr>KpiSurplus</vt:lpstr>
      <vt:lpstr>KpiTakt</vt:lpstr>
      <vt:lpstr>LineName</vt:lpstr>
      <vt:lpstr>NearAt</vt:lpstr>
      <vt:lpstr>NetMin</vt:lpstr>
      <vt:lpstr>OverAt</vt:lpstr>
      <vt:lpstr>PlannedDown</vt:lpstr>
      <vt:lpstr>Dashboard!Print_Area</vt:lpstr>
      <vt:lpstr>Method!Print_Area</vt:lpstr>
      <vt:lpstr>'Observation Log'!Print_Area</vt:lpstr>
      <vt:lpstr>Setup!Print_Area</vt:lpstr>
      <vt:lpstr>'Start Here'!Print_Area</vt:lpstr>
      <vt:lpstr>Verify!Print_Area</vt:lpstr>
      <vt:lpstr>Method!Print_Titles</vt:lpstr>
      <vt:lpstr>'Observation Log'!Print_Titles</vt:lpstr>
      <vt:lpstr>SelfCheck</vt:lpstr>
      <vt:lpstr>SelfCheckSummary</vt:lpstr>
      <vt:lpstr>ShiftMin</vt:lpstr>
      <vt:lpstr>Takt</vt:lpstr>
    </vt:vector>
  </TitlesOfParts>
  <Manager>MFG Calcs</Manager>
  <Company>MFG Calcs</Company>
  <LinksUpToDate>false</LinksUpToDate>
  <SharedDoc>false</SharedDoc>
  <HyperlinkBase>https://www.mfgcalcs.com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Cycle Time Tracker - free Excel template from MFG Calcs</dc:title>
  <dc:subject>Log timed cycles station by station and see each station's average, spread and loading against takt, the bottleneck, and the output it allows per shift.</dc:subject>
  <dc:creator>MFG Calcs</dc:creator>
  <cp:keywords>cycle time, time study, takt time, station loading, bottleneck, standard work, line capacity, run chart</cp:keywords>
  <dc:description>https://www.mfgcalcs.com/templates/cycle-time-tracker - version 1.0.0, updated 2026-10-15. Free from MFG Calcs - keep this credit when you share it.</dc:description>
  <cp:lastModifiedBy>MFG Calcs</cp:lastModifiedBy>
  <dcterms:created xsi:type="dcterms:W3CDTF">2026-10-15T12:00:00Z</dcterms:created>
  <dcterms:modified xsi:type="dcterms:W3CDTF">2026-10-15T12:00:00Z</dcterms:modified>
  <cp:category>Manufacturing template</cp:category>
  <cp:contentStatus>v1.0.0</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te slug">
    <vt:lpwstr>cycle-time-tracker</vt:lpwstr>
  </property>
  <property fmtid="{D5CDD505-2E9C-101B-9397-08002B2CF9AE}" pid="3" name="Template version">
    <vt:lpwstr>1.0.0</vt:lpwstr>
  </property>
  <property fmtid="{D5CDD505-2E9C-101B-9397-08002B2CF9AE}" pid="4" name="Template updated">
    <vt:lpwstr>2026-10-15</vt:lpwstr>
  </property>
  <property fmtid="{D5CDD505-2E9C-101B-9397-08002B2CF9AE}" pid="5" name="Template layout">
    <vt:lpwstr>log</vt:lpwstr>
  </property>
  <property fmtid="{D5CDD505-2E9C-101B-9397-08002B2CF9AE}" pid="6" name="Template URL">
    <vt:lpwstr>https://www.mfgcalcs.com/templates/cycle-time-tracker</vt:lpwstr>
  </property>
  <property fmtid="{D5CDD505-2E9C-101B-9397-08002B2CF9AE}" pid="7" name="Template sheet roles">
    <vt:lpwstr>Start Here=start;Setup=setup;Observation Log=work;Dashboard=dashboard;Method=method;Verify=verify</vt:lpwstr>
  </property>
</Properties>
</file>