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Inspection Log" sheetId="3" r:id="rId3"/>
    <sheet name="Defect Log" sheetId="4" r:id="rId4"/>
    <sheet name="Dashboard" sheetId="5" r:id="rId5"/>
    <sheet name="Method" sheetId="6" r:id="rId6"/>
    <sheet name="Verify" sheetId="7" r:id="rId7"/>
  </sheets>
  <definedNames>
    <definedName name="DashFrom">Dashboard!$G$4</definedName>
    <definedName name="DashPart">Dashboard!$C$4</definedName>
    <definedName name="DashTo">Dashboard!$K$4</definedName>
    <definedName name="DefectTypeList">tblDefectTypes[Defect type]</definedName>
    <definedName name="FFrom">IF(DashFrom="",0,DashFrom)</definedName>
    <definedName name="FTo">IF(DashTo="",2958465,DashTo)</definedName>
    <definedName name="KpiDefective">Dashboard!$D$30</definedName>
    <definedName name="KpiDefects">Dashboard!$G$30</definedName>
    <definedName name="KpiDPMO">Dashboard!$G$8</definedName>
    <definedName name="KpiDPU">Dashboard!$D$8</definedName>
    <definedName name="KpiInspected">Dashboard!$B$30</definedName>
    <definedName name="KpiPPM">Dashboard!$B$8</definedName>
    <definedName name="KpiRate">Dashboard!$J$30</definedName>
    <definedName name="KpiTop">Dashboard!$J$8</definedName>
    <definedName name="Lots">tblInspections[Lot ID]</definedName>
    <definedName name="Parts">tblParts[Part]</definedName>
    <definedName name="PlantName">Setup!$C$6</definedName>
    <definedName name="_xlnm.Print_Area" localSheetId="4">Dashboard!$A$1:$L$91</definedName>
    <definedName name="_xlnm.Print_Area" localSheetId="3">'Defect Log'!$A$1:$I$204</definedName>
    <definedName name="_xlnm.Print_Area" localSheetId="2">'Inspection Log'!$A$1:$Q$126</definedName>
    <definedName name="_xlnm.Print_Area" localSheetId="5">Method!$A$1:$D$54</definedName>
    <definedName name="_xlnm.Print_Area" localSheetId="1">Setup!$A$1:$E$31</definedName>
    <definedName name="_xlnm.Print_Area" localSheetId="0">'Start Here'!$A$1:$F$57</definedName>
    <definedName name="_xlnm.Print_Area" localSheetId="6">Verify!$A$1:$Q$53</definedName>
    <definedName name="_xlnm.Print_Titles" localSheetId="3">'Defect Log'!$1:$6</definedName>
    <definedName name="_xlnm.Print_Titles" localSheetId="2">'Inspection Log'!$1:$6</definedName>
    <definedName name="_xlnm.Print_Titles" localSheetId="5">Method!$1:$2</definedName>
    <definedName name="SelfCheck">Verify!$D$4</definedName>
    <definedName name="SelfCheckSummary">Verify!$F$4</definedName>
    <definedName name="TargetPPM">Setup!$C$7</definedName>
  </definedNames>
  <calcPr calcId="124519" fullCalcOnLoad="1"/>
</workbook>
</file>

<file path=xl/sharedStrings.xml><?xml version="1.0" encoding="utf-8"?>
<sst xmlns="http://schemas.openxmlformats.org/spreadsheetml/2006/main" count="1432" uniqueCount="373">
  <si>
    <t>Defect Rate Tracker</t>
  </si>
  <si>
    <t>Read this first: what the workbook does and how to use it.</t>
  </si>
  <si>
    <t>mfgcalcs.com</t>
  </si>
  <si>
    <t>Log inspection lots and the defects found, and see defect rate, PPM, DPU, DPMO and the top defect types by part and week.</t>
  </si>
  <si>
    <t>For: Quality engineers, inspection leads, supervisors and anyone preparing a customer quality scorecard.</t>
  </si>
  <si>
    <t>Version 1.0.0  ·  updated 15 October 2026</t>
  </si>
  <si>
    <t>Quick start</t>
  </si>
  <si>
    <t>1.</t>
  </si>
  <si>
    <t>On Setup, type your plant name and PPM target, then replace the example parts (with the opportunities checked on each unit) and defect types.</t>
  </si>
  <si>
    <t>2.</t>
  </si>
  <si>
    <t>On Inspection Log, add one row per inspected lot: lot ID, date, part, units inspected and defective units (units with one or more defects).</t>
  </si>
  <si>
    <t>3.</t>
  </si>
  <si>
    <t>On Defect Log, add one row per lot and defect type with the number of defects found. Each lot picks up its defect total automatically.</t>
  </si>
  <si>
    <t>4.</t>
  </si>
  <si>
    <t>Read the Check columns: anything other than OK names the problem in words.</t>
  </si>
  <si>
    <t>5.</t>
  </si>
  <si>
    <t>Open the Dashboard. Use the part and date filters at the top to look at one part or one week.</t>
  </si>
  <si>
    <t>What is in this workbook</t>
  </si>
  <si>
    <t>Start Here</t>
  </si>
  <si>
    <t>Setup</t>
  </si>
  <si>
    <t>Your plant, PPM target, parts and defect types.</t>
  </si>
  <si>
    <t>Inspection Log</t>
  </si>
  <si>
    <t>One row per inspected lot: units inspected and defective units. Defects come from the Defect Log.</t>
  </si>
  <si>
    <t>Defect Log</t>
  </si>
  <si>
    <t>One row per lot and defect type: how many defects of that type were found in the lot.</t>
  </si>
  <si>
    <t>Dashboard</t>
  </si>
  <si>
    <t>PPM defective, DPU, DPMO and the top defect types, for the part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</si>
  <si>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</si>
  <si>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</si>
  <si>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</si>
  <si>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</si>
  <si>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</si>
  <si>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</si>
  <si>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</si>
  <si>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</si>
  <si>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</si>
  <si>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</si>
  <si>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</si>
  <si>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</si>
  <si>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</si>
  <si>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</si>
  <si>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</si>
  <si>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</si>
  <si>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</si>
  <si>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</si>
  <si>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</si>
  <si>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</si>
  <si>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Defect Rate Calculator on mfgcalcs.com</t>
  </si>
  <si>
    <t>Latest version</t>
  </si>
  <si>
    <t>mfgcalcs.com/templates/defect-rate-tracker</t>
  </si>
  <si>
    <t>More free templates</t>
  </si>
  <si>
    <t>mfgcalcs.com/templates</t>
  </si>
  <si>
    <t>Version</t>
  </si>
  <si>
    <t>1.0.0 (updated 15 October 2026)</t>
  </si>
  <si>
    <t>About the example data</t>
  </si>
  <si>
    <t>Every number already in this workbook is example data for Corran Pressings, a fictional business invented for this template, so the dashboard and charts show something meaningful on day one. It covers four stamped parts inspected over six weeks (31 August to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</si>
  <si>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</si>
  <si>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</si>
  <si>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</si>
  <si>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</si>
  <si>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</si>
  <si>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</si>
  <si>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</si>
  <si>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</si>
  <si>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Part</t>
  </si>
  <si>
    <t>Opportunities</t>
  </si>
  <si>
    <t>Description</t>
  </si>
  <si>
    <t>Defect type</t>
  </si>
  <si>
    <t>Category</t>
  </si>
  <si>
    <t>Definition</t>
  </si>
  <si>
    <t>Plant and target</t>
  </si>
  <si>
    <t>Plant or line name</t>
  </si>
  <si>
    <t>Corran Pressings (example)</t>
  </si>
  <si>
    <t>PPM defective target (at most)</t>
  </si>
  <si>
    <t>PPM</t>
  </si>
  <si>
    <t>The target is yours to set (or your customer's); nothing in this workbook assumes an industry benchmark. 'Near target' means up to 5% above the limit (1,500 to 1,575 PPM against a 1,500 PPM target).</t>
  </si>
  <si>
    <t>Lists that feed the dropdowns</t>
  </si>
  <si>
    <t>Edit, add or remove rows; every dropdown on the logs reads these lists. Keep names unique, and rename with care: log rows that use an old name stop matching (their Check column says so). Opportunities per unit is the number of characteristics checked on one unit, each of which could be defective; it is used only for DPMO.</t>
  </si>
  <si>
    <t>Parts</t>
  </si>
  <si>
    <t>per unit</t>
  </si>
  <si>
    <t>Seat bracket SB-204</t>
  </si>
  <si>
    <t>Seat frame bracket, 2.5 mm steel</t>
  </si>
  <si>
    <t>Hinge plate HP-118</t>
  </si>
  <si>
    <t>Door hinge plate, 4 pierced holes</t>
  </si>
  <si>
    <t>Heat shield HS-330</t>
  </si>
  <si>
    <t>Exhaust heat shield, deep drawn</t>
  </si>
  <si>
    <t>Tray clip BC-77</t>
  </si>
  <si>
    <t>Battery tray clip, zinc-nickel plated</t>
  </si>
  <si>
    <t>Defect types</t>
  </si>
  <si>
    <t>Burr</t>
  </si>
  <si>
    <t>Edge</t>
  </si>
  <si>
    <t>Burr above the drawing limit on a cut or pierced edge</t>
  </si>
  <si>
    <t>Pierce</t>
  </si>
  <si>
    <t>Hole</t>
  </si>
  <si>
    <t>Hole missing, undersize or out of position</t>
  </si>
  <si>
    <t>Dimension</t>
  </si>
  <si>
    <t>Dimensional</t>
  </si>
  <si>
    <t>A formed or trimmed dimension out of tolerance</t>
  </si>
  <si>
    <t>Split</t>
  </si>
  <si>
    <t>Forming</t>
  </si>
  <si>
    <t>Split, crack or neck in a drawn area</t>
  </si>
  <si>
    <t>Wrinkle</t>
  </si>
  <si>
    <t>Wrinkle or buckle in a drawn area</t>
  </si>
  <si>
    <t>Scratch or dent</t>
  </si>
  <si>
    <t>Surface</t>
  </si>
  <si>
    <t>Surface scratch, dent or die mark</t>
  </si>
  <si>
    <t>Coating</t>
  </si>
  <si>
    <t>Plating missing, thin, blistered or stained</t>
  </si>
  <si>
    <t>Other</t>
  </si>
  <si>
    <t>Anything else; say what in the Notes</t>
  </si>
  <si>
    <t>Date</t>
  </si>
  <si>
    <t>Lot ID</t>
  </si>
  <si>
    <t>Inspected</t>
  </si>
  <si>
    <t>Defective</t>
  </si>
  <si>
    <t>Defects found</t>
  </si>
  <si>
    <t>Opportunities checked</t>
  </si>
  <si>
    <t>Defect rate</t>
  </si>
  <si>
    <t>PPM defective</t>
  </si>
  <si>
    <t>PPM status</t>
  </si>
  <si>
    <t>DPU</t>
  </si>
  <si>
    <t>DPMO</t>
  </si>
  <si>
    <t>View date</t>
  </si>
  <si>
    <t>Check</t>
  </si>
  <si>
    <t>Notes</t>
  </si>
  <si>
    <t>Example data for Corran Pressings (fictional). Replace it with your own: select the example rows, right-click, Delete &gt; Table Rows. Yellow = you type; blue = calculated; Check names any problem.</t>
  </si>
  <si>
    <t>units</t>
  </si>
  <si>
    <t>defects</t>
  </si>
  <si>
    <t>opportunities</t>
  </si>
  <si>
    <t>defects/unit</t>
  </si>
  <si>
    <t>per million</t>
  </si>
  <si>
    <t>SB204-0831</t>
  </si>
  <si>
    <t/>
  </si>
  <si>
    <t>HP118-0831</t>
  </si>
  <si>
    <t>HS330-0831</t>
  </si>
  <si>
    <t>BC77-0831</t>
  </si>
  <si>
    <t>SB204-0901</t>
  </si>
  <si>
    <t>HP118-0901</t>
  </si>
  <si>
    <t>HS330-0901</t>
  </si>
  <si>
    <t>BC77-0901</t>
  </si>
  <si>
    <t>SB204-0902</t>
  </si>
  <si>
    <t>HP118-0902</t>
  </si>
  <si>
    <t>HS330-0902</t>
  </si>
  <si>
    <t>BC77-0902</t>
  </si>
  <si>
    <t>SB204-0903</t>
  </si>
  <si>
    <t>HP118-0903</t>
  </si>
  <si>
    <t>HS330-0903</t>
  </si>
  <si>
    <t>BC77-0903</t>
  </si>
  <si>
    <t>SB204-0904</t>
  </si>
  <si>
    <t>HP118-0904</t>
  </si>
  <si>
    <t>HS330-0904</t>
  </si>
  <si>
    <t>BC77-0904</t>
  </si>
  <si>
    <t>SB204-0907</t>
  </si>
  <si>
    <t>HP118-0907</t>
  </si>
  <si>
    <t>HS330-0907</t>
  </si>
  <si>
    <t>BC77-0907</t>
  </si>
  <si>
    <t>SB204-0908</t>
  </si>
  <si>
    <t>HP118-0908</t>
  </si>
  <si>
    <t>HS330-0908</t>
  </si>
  <si>
    <t>BC77-0908</t>
  </si>
  <si>
    <t>SB204-0909</t>
  </si>
  <si>
    <t>HP118-0909</t>
  </si>
  <si>
    <t>HS330-0909</t>
  </si>
  <si>
    <t>BC77-0909</t>
  </si>
  <si>
    <t>SB204-0910</t>
  </si>
  <si>
    <t>HP118-0910</t>
  </si>
  <si>
    <t>HS330-0910</t>
  </si>
  <si>
    <t>BC77-0910</t>
  </si>
  <si>
    <t>SB204-0911</t>
  </si>
  <si>
    <t>HP118-0911</t>
  </si>
  <si>
    <t>HS330-0911</t>
  </si>
  <si>
    <t>BC77-0911</t>
  </si>
  <si>
    <t>SB204-0914</t>
  </si>
  <si>
    <t>HP118-0914</t>
  </si>
  <si>
    <t>Pierce holes undersize; die sent for punch inspection</t>
  </si>
  <si>
    <t>HS330-0914</t>
  </si>
  <si>
    <t>BC77-0914</t>
  </si>
  <si>
    <t>SB204-0915</t>
  </si>
  <si>
    <t>HP118-0915</t>
  </si>
  <si>
    <t>HS330-0915</t>
  </si>
  <si>
    <t>BC77-0915</t>
  </si>
  <si>
    <t>SB204-0916</t>
  </si>
  <si>
    <t>HP118-0916</t>
  </si>
  <si>
    <t>HS330-0916</t>
  </si>
  <si>
    <t>BC77-0916</t>
  </si>
  <si>
    <t>SB204-0917</t>
  </si>
  <si>
    <t>HP118-0917</t>
  </si>
  <si>
    <t>HS330-0917</t>
  </si>
  <si>
    <t>BC77-0917</t>
  </si>
  <si>
    <t>SB204-0918</t>
  </si>
  <si>
    <t>HP118-0918</t>
  </si>
  <si>
    <t>HS330-0918</t>
  </si>
  <si>
    <t>BC77-0918</t>
  </si>
  <si>
    <t>SB204-0921</t>
  </si>
  <si>
    <t>HP118-0921</t>
  </si>
  <si>
    <t>Pierce punch replaced on die D-118</t>
  </si>
  <si>
    <t>HS330-0921</t>
  </si>
  <si>
    <t>BC77-0921</t>
  </si>
  <si>
    <t>SB204-0922</t>
  </si>
  <si>
    <t>HP118-0922</t>
  </si>
  <si>
    <t>HS330-0922</t>
  </si>
  <si>
    <t>BC77-0922</t>
  </si>
  <si>
    <t>SB204-0923</t>
  </si>
  <si>
    <t>HP118-0923</t>
  </si>
  <si>
    <t>HS330-0923</t>
  </si>
  <si>
    <t>BC77-0923</t>
  </si>
  <si>
    <t>SB204-0924</t>
  </si>
  <si>
    <t>HP118-0924</t>
  </si>
  <si>
    <t>HS330-0924</t>
  </si>
  <si>
    <t>BC77-0924</t>
  </si>
  <si>
    <t>SB204-0925</t>
  </si>
  <si>
    <t>HP118-0925</t>
  </si>
  <si>
    <t>HS330-0925</t>
  </si>
  <si>
    <t>BC77-0925</t>
  </si>
  <si>
    <t>SB204-0928</t>
  </si>
  <si>
    <t>HP118-0928</t>
  </si>
  <si>
    <t>HS330-0928</t>
  </si>
  <si>
    <t>BC77-0928</t>
  </si>
  <si>
    <t>SB204-0929</t>
  </si>
  <si>
    <t>HP118-0929</t>
  </si>
  <si>
    <t>HS330-0929</t>
  </si>
  <si>
    <t>BC77-0929</t>
  </si>
  <si>
    <t>SB204-0930</t>
  </si>
  <si>
    <t>HP118-0930</t>
  </si>
  <si>
    <t>HS330-0930</t>
  </si>
  <si>
    <t>BC77-0930</t>
  </si>
  <si>
    <t>SB204-1001</t>
  </si>
  <si>
    <t>HP118-1001</t>
  </si>
  <si>
    <t>HS330-1001</t>
  </si>
  <si>
    <t>BC77-1001</t>
  </si>
  <si>
    <t>SB204-1002</t>
  </si>
  <si>
    <t>HP118-1002</t>
  </si>
  <si>
    <t>HS330-1002</t>
  </si>
  <si>
    <t>BC77-1002</t>
  </si>
  <si>
    <t>SB204-1005</t>
  </si>
  <si>
    <t>HP118-1005</t>
  </si>
  <si>
    <t>HS330-1005</t>
  </si>
  <si>
    <t>BC77-1005</t>
  </si>
  <si>
    <t>SB204-1006</t>
  </si>
  <si>
    <t>HP118-1006</t>
  </si>
  <si>
    <t>HS330-1006</t>
  </si>
  <si>
    <t>BC77-1006</t>
  </si>
  <si>
    <t>SB204-1007</t>
  </si>
  <si>
    <t>HP118-1007</t>
  </si>
  <si>
    <t>HS330-1007</t>
  </si>
  <si>
    <t>BC77-1007</t>
  </si>
  <si>
    <t>SB204-1008</t>
  </si>
  <si>
    <t>HP118-1008</t>
  </si>
  <si>
    <t>HS330-1008</t>
  </si>
  <si>
    <t>BC77-1008</t>
  </si>
  <si>
    <t>SB204-1009</t>
  </si>
  <si>
    <t>HP118-1009</t>
  </si>
  <si>
    <t>HS330-1009</t>
  </si>
  <si>
    <t>BC77-1009</t>
  </si>
  <si>
    <t>Count</t>
  </si>
  <si>
    <t>Example data for Corran Pressings (fictional). Date, part and View date are looked up from the Inspection Log by lot ID; Check flags defects logged against a lot that is not there.</t>
  </si>
  <si>
    <t>Wrong part number on label</t>
  </si>
  <si>
    <t>From</t>
  </si>
  <si>
    <t>To</t>
  </si>
  <si>
    <t>PPM DEFECTIVE</t>
  </si>
  <si>
    <t>DEFECTS PER UNIT (DPU)</t>
  </si>
  <si>
    <t>TOP DEFECT TYPE</t>
  </si>
  <si>
    <t>Defects found / units inspected</t>
  </si>
  <si>
    <t>Defects per million opportunities</t>
  </si>
  <si>
    <t>Ranked by defects, see the Pareto</t>
  </si>
  <si>
    <t>UNITS INSPECTED</t>
  </si>
  <si>
    <t>DEFECTIVE UNITS</t>
  </si>
  <si>
    <t>DEFECTS FOUND</t>
  </si>
  <si>
    <t>DEFECT RATE</t>
  </si>
  <si>
    <t>Inspection Log rows in view</t>
  </si>
  <si>
    <t>Units with one or more defects</t>
  </si>
  <si>
    <t>From the Defect Log</t>
  </si>
  <si>
    <t>Defective / inspected (PPM / 10,000)</t>
  </si>
  <si>
    <t>Weekly summary (last 6 weeks in view)</t>
  </si>
  <si>
    <t>Week starting (Mon)</t>
  </si>
  <si>
    <t>PPM target</t>
  </si>
  <si>
    <t>Change vs week before</t>
  </si>
  <si>
    <t>%</t>
  </si>
  <si>
    <t>By part</t>
  </si>
  <si>
    <t>Defects by part and type (where each defect type comes from)</t>
  </si>
  <si>
    <t>Total</t>
  </si>
  <si>
    <t>Defects by type (Pareto)</t>
  </si>
  <si>
    <t>Rank</t>
  </si>
  <si>
    <t>Defects</t>
  </si>
  <si>
    <t>Share</t>
  </si>
  <si>
    <t>Cumulative</t>
  </si>
  <si>
    <t>Helper: Defect type (list order)</t>
  </si>
  <si>
    <t>Helper: value (-1 = unused slot)</t>
  </si>
  <si>
    <t>Helper: rank, ties by list order</t>
  </si>
  <si>
    <t>The Dashboard shows the 4 parts and 8 defect types of the Setup lists. If you add more, extend the 'By part', matrix and Pareto blocks (see Method) or they will not appear here.</t>
  </si>
  <si>
    <t>What this workbook calculates</t>
  </si>
  <si>
    <t>A defective unit has one or more defects; a defect is each individual nonconformity. The defect rate and PPM defective count defective units and are what customer scorecards usually ask for. Defects per unit (DPU) and defects per million opportunities (DPMO) count every defect, DPMO relative to the number of characteristics checked. Every Dashboard figure is formed from summed counts, never by averaging lot percentages.</t>
  </si>
  <si>
    <t>Calculations</t>
  </si>
  <si>
    <t>Quantity</t>
  </si>
  <si>
    <t>How it is calculated</t>
  </si>
  <si>
    <t>Units</t>
  </si>
  <si>
    <t>Sum of the Defect Log counts with the same lot ID.
Excel: =SUMIFS(tblDefects[Count], tblDefects[Lot ID], [@[Lot ID]])</t>
  </si>
  <si>
    <t>Units inspected x opportunities per unit (Parts list).</t>
  </si>
  <si>
    <t>Defective units / units inspected.</t>
  </si>
  <si>
    <t>Defective units / units inspected x 1,000,000 (= defect rate x 10,000).</t>
  </si>
  <si>
    <t>On target at or below the PPM target; Near target up to 5% above it; Above target beyond.</t>
  </si>
  <si>
    <t>-</t>
  </si>
  <si>
    <t>Defects found / units inspected.</t>
  </si>
  <si>
    <t>Defects found / opportunities checked x 1,000,000.</t>
  </si>
  <si>
    <t>Dashboard roll-ups</t>
  </si>
  <si>
    <t>SUMIFS over the Inspection Log restricted to rows whose View date is filled in (inside the part and date filters); weeks start on Monday. Change vs week before = this week's PPM - the previous week's.</t>
  </si>
  <si>
    <t>Pareto and matrix</t>
  </si>
  <si>
    <t>Defect Log counts per defect type (and per part), for defect rows whose lot is in view. The Pareto ranks types largest first; ties keep list order; helper columns AO:AQ (hidden) hold the unsorted values.</t>
  </si>
  <si>
    <t>defects, %</t>
  </si>
  <si>
    <t>Assumptions</t>
  </si>
  <si>
    <t>Units inspected are the units actually checked; if you inspect a sample, the rates describe the sample.</t>
  </si>
  <si>
    <t>Opportunities per unit is fixed per part and counts the characteristics checked, as the calculator defines it.</t>
  </si>
  <si>
    <t>Every defect found in a lot is logged on the Defect Log against that lot's ID, so defects found is at least the number of defective units.</t>
  </si>
  <si>
    <t>Limitations</t>
  </si>
  <si>
    <t>A sample's PPM is an estimate; small samples at low defect rates often show zero defects by chance. Sampling plans and their tables (such as ANSI/ASQ Z1.4 or ISO 2859-1) are not reproduced here; use the published standard.</t>
  </si>
  <si>
    <t>DPMO depends on how opportunities are counted; compare it only between periods or parts counted the same way.</t>
  </si>
  <si>
    <t>The Dashboard has fixed blocks for 4 parts, 8 defect types and 6 weeks; longer lists need the blocks extended (a warning appears on the Dashboard).</t>
  </si>
  <si>
    <t>Agreement with the live calculator</t>
  </si>
  <si>
    <t>The live Defect Rate calculator works with defect events and opportunities: evaluated opportunities = units inspected x opportunities per unit; DPMO = defect events / evaluated opportunities x 1,000,000; defect events per unit = events / units. This workbook uses the same formulas for each lot and for any filter, and adds defective units, PPM defective and the defect-type breakdown. The reference implementation is checked against the calculator's engine for its default example (18 defects, 5,000 units, 4 opportunities per unit: DPMO 900, DPU 0.0036) on every build.</t>
  </si>
  <si>
    <t>Open the Defect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</si>
  <si>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</si>
  <si>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</si>
  <si>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ASQ Quality Glossary: defect, defective, nonconformity and DPMO, by definition.</t>
  </si>
  <si>
    <t>ISO 2859-1 and ANSI/ASQ Z1.4, sampling procedures for inspection by attributes (cited, not reproduced).</t>
  </si>
  <si>
    <t>MFG Calcs Defect Rate calculator (defect-rate): DPMO and defects per unit for one inspection.</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</si>
  <si>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</si>
  <si>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</si>
  <si>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</si>
  <si>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</si>
  <si>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</si>
  <si>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</si>
  <si>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</si>
  <si>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</si>
  <si>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</si>
  <si>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</si>
  <si>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</si>
  <si>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</si>
  <si>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</si>
  <si>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</si>
  <si>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</si>
  <si>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Lot 1 (calculator example): defects found from the Defect Log</t>
  </si>
  <si>
    <t>Lot 1: opportunities checked (calculator: 20,000)</t>
  </si>
  <si>
    <t>Lot 1: DPMO (calculator: 900)</t>
  </si>
  <si>
    <t>Lot 1: DPU (calculator: 0.0036)</t>
  </si>
  <si>
    <t>Lot 1: PPM defective</t>
  </si>
  <si>
    <t>Lot 1: defect rate</t>
  </si>
  <si>
    <t>Lot 1: PPM status against a 500 PPM target</t>
  </si>
  <si>
    <t>Above target</t>
  </si>
  <si>
    <t>exact</t>
  </si>
  <si>
    <t>Lot 2: PPM status (500 PPM, exactly on the target)</t>
  </si>
  <si>
    <t>On target</t>
  </si>
  <si>
    <t>Lot 3: Check reports fewer defects than defective units</t>
  </si>
  <si>
    <t>Fewer defects logged than defective units</t>
  </si>
  <si>
    <t>Defect row 5: Check reports an unknown lot</t>
  </si>
  <si>
    <t>Lot ID not on Inspection Log</t>
  </si>
  <si>
    <t>All lots: PPM defective (Dashboard formula)</t>
  </si>
  <si>
    <t>All lots: DPU (Dashboard formula)</t>
  </si>
  <si>
    <t>All lots: DPMO (Dashboard formula)</t>
  </si>
  <si>
    <t>Fixed test inputs</t>
  </si>
  <si>
    <t>White cells are fixed test inputs; blue cells are the workbook's formulas evaluated on them.</t>
  </si>
  <si>
    <t>Parameters</t>
  </si>
  <si>
    <t>Filter: from (0 = no limit)</t>
  </si>
  <si>
    <t>Filter: to (2958465 = no limit)</t>
  </si>
  <si>
    <t>Filter: part (blank = all)</t>
  </si>
  <si>
    <t>Test defect types</t>
  </si>
  <si>
    <t>Test</t>
  </si>
  <si>
    <t>Test table: Inspections</t>
  </si>
  <si>
    <t>T-1</t>
  </si>
  <si>
    <t>Part A</t>
  </si>
  <si>
    <t>T-2</t>
  </si>
  <si>
    <t>Part B</t>
  </si>
  <si>
    <t>T-3</t>
  </si>
  <si>
    <t>Test table: Defects</t>
  </si>
  <si>
    <t>T-9</t>
  </si>
</sst>
</file>

<file path=xl/styles.xml><?xml version="1.0" encoding="utf-8"?>
<styleSheet xmlns="http://schemas.openxmlformats.org/spreadsheetml/2006/main">
  <numFmts count="9">
    <numFmt numFmtId="164" formatCode="#,##0"/>
    <numFmt numFmtId="165" formatCode="d mmm yyyy"/>
    <numFmt numFmtId="166" formatCode="0.00%"/>
    <numFmt numFmtId="167" formatCode="0.0000"/>
    <numFmt numFmtId="168" formatCode="&quot;Target &quot;#,##0"/>
    <numFmt numFmtId="169" formatCode="+#,##0;-#,##0;0"/>
    <numFmt numFmtId="170" formatCode="0.0%"/>
    <numFmt numFmtId="171" formatCode="0.0E+00"/>
    <numFmt numFmtId="172"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165"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10" fillId="4" borderId="3" xfId="0" applyFont="1" applyFill="1" applyBorder="1" applyAlignment="1">
      <alignment vertical="center"/>
    </xf>
    <xf numFmtId="165"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68"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166" fontId="4" fillId="9" borderId="7" xfId="0" applyNumberFormat="1" applyFont="1" applyFill="1" applyBorder="1" applyAlignment="1">
      <alignment horizontal="left" vertical="center"/>
    </xf>
    <xf numFmtId="0" fontId="19" fillId="2" borderId="5" xfId="0" applyFont="1" applyFill="1" applyBorder="1" applyAlignment="1">
      <alignment horizontal="left" vertical="center" wrapText="1"/>
    </xf>
    <xf numFmtId="165" fontId="9" fillId="0" borderId="9" xfId="0" applyNumberFormat="1" applyFont="1" applyBorder="1" applyAlignment="1">
      <alignment vertical="center"/>
    </xf>
    <xf numFmtId="164" fontId="10" fillId="0" borderId="9" xfId="0" applyNumberFormat="1" applyFont="1" applyBorder="1" applyAlignment="1">
      <alignment vertical="center"/>
    </xf>
    <xf numFmtId="169" fontId="10" fillId="4" borderId="3" xfId="0" applyNumberFormat="1" applyFont="1" applyFill="1" applyBorder="1" applyAlignment="1">
      <alignment vertical="center"/>
    </xf>
    <xf numFmtId="0" fontId="9" fillId="0" borderId="9" xfId="0" applyFont="1" applyBorder="1" applyAlignment="1">
      <alignment vertical="center"/>
    </xf>
    <xf numFmtId="164" fontId="10" fillId="4" borderId="3" xfId="0" applyNumberFormat="1" applyFont="1" applyFill="1" applyBorder="1" applyAlignment="1">
      <alignment horizontal="center" vertical="center"/>
    </xf>
    <xf numFmtId="164" fontId="9" fillId="4" borderId="3" xfId="0" applyNumberFormat="1" applyFont="1" applyFill="1" applyBorder="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164" fontId="9" fillId="0" borderId="9" xfId="0" applyNumberFormat="1" applyFont="1" applyBorder="1" applyAlignment="1">
      <alignment horizontal="center" vertical="center"/>
    </xf>
    <xf numFmtId="170" fontId="10" fillId="4" borderId="3" xfId="0" applyNumberFormat="1" applyFont="1" applyFill="1" applyBorder="1" applyAlignment="1">
      <alignment vertical="center"/>
    </xf>
    <xf numFmtId="164" fontId="10" fillId="0" borderId="0" xfId="0" applyNumberFormat="1" applyFont="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7"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PPM defective by week</a:t>
            </a:r>
          </a:p>
        </c:rich>
      </c:tx>
      <c:layout/>
    </c:title>
    <c:plotArea>
      <c:layout/>
      <c:barChart>
        <c:barDir val="col"/>
        <c:grouping val="clustered"/>
        <c:ser>
          <c:idx val="0"/>
          <c:order val="0"/>
          <c:tx>
            <c:v>PPM defective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Dashboard!$B$54:$B$59</c:f>
              <c:numCache>
                <c:formatCode>General</c:formatCode>
                <c:ptCount val="6"/>
                <c:pt idx="0">
                  <c:v>46265</c:v>
                </c:pt>
                <c:pt idx="1">
                  <c:v>46272</c:v>
                </c:pt>
                <c:pt idx="2">
                  <c:v>46279</c:v>
                </c:pt>
                <c:pt idx="3">
                  <c:v>46286</c:v>
                </c:pt>
                <c:pt idx="4">
                  <c:v>46293</c:v>
                </c:pt>
                <c:pt idx="5">
                  <c:v>46300</c:v>
                </c:pt>
              </c:numCache>
            </c:numRef>
          </c:cat>
          <c:val>
            <c:numRef>
              <c:f>Dashboard!$G$54:$G$59</c:f>
              <c:numCache>
                <c:formatCode>General</c:formatCode>
                <c:ptCount val="6"/>
                <c:pt idx="0">
                  <c:v>1558.1098339719</c:v>
                </c:pt>
                <c:pt idx="1">
                  <c:v>1366.62286465177</c:v>
                </c:pt>
                <c:pt idx="2">
                  <c:v>2579.62621742564</c:v>
                </c:pt>
                <c:pt idx="3">
                  <c:v>1166.70987814364</c:v>
                </c:pt>
                <c:pt idx="4">
                  <c:v>1445.00936580145</c:v>
                </c:pt>
                <c:pt idx="5">
                  <c:v>1337.79264214047</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Dashboard!$B$54:$B$59</c:f>
              <c:numCache>
                <c:formatCode>General</c:formatCode>
                <c:ptCount val="6"/>
                <c:pt idx="0">
                  <c:v>46265</c:v>
                </c:pt>
                <c:pt idx="1">
                  <c:v>46272</c:v>
                </c:pt>
                <c:pt idx="2">
                  <c:v>46279</c:v>
                </c:pt>
                <c:pt idx="3">
                  <c:v>46286</c:v>
                </c:pt>
                <c:pt idx="4">
                  <c:v>46293</c:v>
                </c:pt>
                <c:pt idx="5">
                  <c:v>46300</c:v>
                </c:pt>
              </c:numCache>
            </c:numRef>
          </c:cat>
          <c:val>
            <c:numRef>
              <c:f>Dashboard!$H$54:$H$59</c:f>
              <c:numCache>
                <c:formatCode>General</c:formatCode>
                <c:ptCount val="6"/>
                <c:pt idx="0">
                  <c:v>1500</c:v>
                </c:pt>
                <c:pt idx="1">
                  <c:v>1500</c:v>
                </c:pt>
                <c:pt idx="2">
                  <c:v>1500</c:v>
                </c:pt>
                <c:pt idx="3">
                  <c:v>1500</c:v>
                </c:pt>
                <c:pt idx="4">
                  <c:v>1500</c:v>
                </c:pt>
                <c:pt idx="5">
                  <c:v>1500</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Defects by type</a:t>
            </a:r>
          </a:p>
        </c:rich>
      </c:tx>
      <c:layout/>
    </c:title>
    <c:plotArea>
      <c:layout/>
      <c:barChart>
        <c:barDir val="col"/>
        <c:grouping val="clustered"/>
        <c:ser>
          <c:idx val="0"/>
          <c:order val="0"/>
          <c:tx>
            <c:v>Defects</c:v>
          </c:tx>
          <c:spPr>
            <a:solidFill>
              <a:srgbClr val="3B64D8"/>
            </a:solidFill>
            <a:ln w="9525">
              <a:solidFill>
                <a:srgbClr val="FFFFFF"/>
              </a:solidFill>
            </a:ln>
          </c:spPr>
          <c:cat>
            <c:strRef>
              <c:f>Dashboard!$C$80:$C$87</c:f>
              <c:strCache>
                <c:ptCount val="8"/>
                <c:pt idx="0">
                  <c:v>Burr</c:v>
                </c:pt>
                <c:pt idx="1">
                  <c:v>Coating</c:v>
                </c:pt>
                <c:pt idx="2">
                  <c:v>Pierce</c:v>
                </c:pt>
                <c:pt idx="3">
                  <c:v>Split</c:v>
                </c:pt>
                <c:pt idx="4">
                  <c:v>Scratch or dent</c:v>
                </c:pt>
                <c:pt idx="5">
                  <c:v>Dimension</c:v>
                </c:pt>
                <c:pt idx="6">
                  <c:v>Wrinkle</c:v>
                </c:pt>
                <c:pt idx="7">
                  <c:v>Other</c:v>
                </c:pt>
              </c:strCache>
            </c:strRef>
          </c:cat>
          <c:val>
            <c:numRef>
              <c:f>Dashboard!$E$80:$E$87</c:f>
              <c:numCache>
                <c:formatCode>General</c:formatCode>
                <c:ptCount val="8"/>
                <c:pt idx="0">
                  <c:v>112</c:v>
                </c:pt>
                <c:pt idx="1">
                  <c:v>94</c:v>
                </c:pt>
                <c:pt idx="2">
                  <c:v>59</c:v>
                </c:pt>
                <c:pt idx="3">
                  <c:v>37</c:v>
                </c:pt>
                <c:pt idx="4">
                  <c:v>36</c:v>
                </c:pt>
                <c:pt idx="5">
                  <c:v>33</c:v>
                </c:pt>
                <c:pt idx="6">
                  <c:v>22</c:v>
                </c:pt>
                <c:pt idx="7">
                  <c:v>19</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Dashboard!$C$80:$C$87</c:f>
              <c:strCache>
                <c:ptCount val="8"/>
                <c:pt idx="0">
                  <c:v>Burr</c:v>
                </c:pt>
                <c:pt idx="1">
                  <c:v>Coating</c:v>
                </c:pt>
                <c:pt idx="2">
                  <c:v>Pierce</c:v>
                </c:pt>
                <c:pt idx="3">
                  <c:v>Split</c:v>
                </c:pt>
                <c:pt idx="4">
                  <c:v>Scratch or dent</c:v>
                </c:pt>
                <c:pt idx="5">
                  <c:v>Dimension</c:v>
                </c:pt>
                <c:pt idx="6">
                  <c:v>Wrinkle</c:v>
                </c:pt>
                <c:pt idx="7">
                  <c:v>Other</c:v>
                </c:pt>
              </c:strCache>
            </c:strRef>
          </c:cat>
          <c:val>
            <c:numRef>
              <c:f>Dashboard!$G$80:$G$87</c:f>
              <c:numCache>
                <c:formatCode>General</c:formatCode>
                <c:ptCount val="8"/>
                <c:pt idx="0">
                  <c:v>0.271844660194175</c:v>
                </c:pt>
                <c:pt idx="1">
                  <c:v>0.5</c:v>
                </c:pt>
                <c:pt idx="2">
                  <c:v>0.643203883495146</c:v>
                </c:pt>
                <c:pt idx="3">
                  <c:v>0.733009708737864</c:v>
                </c:pt>
                <c:pt idx="4">
                  <c:v>0.820388349514563</c:v>
                </c:pt>
                <c:pt idx="5">
                  <c:v>0.900485436893204</c:v>
                </c:pt>
                <c:pt idx="6">
                  <c:v>0.953883495145631</c:v>
                </c:pt>
                <c:pt idx="7">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PPM defective by part</a:t>
            </a:r>
          </a:p>
        </c:rich>
      </c:tx>
      <c:layout/>
    </c:title>
    <c:plotArea>
      <c:layout/>
      <c:barChart>
        <c:barDir val="col"/>
        <c:grouping val="clustered"/>
        <c:ser>
          <c:idx val="0"/>
          <c:order val="0"/>
          <c:tx>
            <c:v>PPM defective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Dashboard!$B$64:$B$67</c:f>
              <c:strCache>
                <c:ptCount val="4"/>
                <c:pt idx="0">
                  <c:v>Seat bracket SB-204</c:v>
                </c:pt>
                <c:pt idx="1">
                  <c:v>Hinge plate HP-118</c:v>
                </c:pt>
                <c:pt idx="2">
                  <c:v>Heat shield HS-330</c:v>
                </c:pt>
                <c:pt idx="3">
                  <c:v>Tray clip BC-77</c:v>
                </c:pt>
              </c:strCache>
            </c:strRef>
          </c:cat>
          <c:val>
            <c:numRef>
              <c:f>Dashboard!$G$64:$G$67</c:f>
              <c:numCache>
                <c:formatCode>General</c:formatCode>
                <c:ptCount val="4"/>
                <c:pt idx="0">
                  <c:v>1286.54970760234</c:v>
                </c:pt>
                <c:pt idx="1">
                  <c:v>3521.12676056338</c:v>
                </c:pt>
                <c:pt idx="2">
                  <c:v>931.899641577061</c:v>
                </c:pt>
                <c:pt idx="3">
                  <c:v>1623.95050817499</c:v>
                </c:pt>
              </c:numCache>
            </c:numRef>
          </c:val>
        </c:ser>
        <c:gapWidth val="60"/>
        <c:overlap val="-10"/>
        <c:axId val="50030001"/>
        <c:axId val="50030002"/>
      </c:barChart>
      <c:lineChart>
        <c:grouping val="standard"/>
        <c:ser>
          <c:idx val="1"/>
          <c:order val="1"/>
          <c:tx>
            <c:v>Target</c:v>
          </c:tx>
          <c:spPr>
            <a:ln w="19050">
              <a:solidFill>
                <a:srgbClr val="4A5361"/>
              </a:solidFill>
              <a:prstDash val="dash"/>
            </a:ln>
          </c:spPr>
          <c:marker>
            <c:symbol val="none"/>
          </c:marker>
          <c:cat>
            <c:strRef>
              <c:f>Dashboard!$B$64:$B$67</c:f>
              <c:strCache>
                <c:ptCount val="4"/>
                <c:pt idx="0">
                  <c:v>Seat bracket SB-204</c:v>
                </c:pt>
                <c:pt idx="1">
                  <c:v>Hinge plate HP-118</c:v>
                </c:pt>
                <c:pt idx="2">
                  <c:v>Heat shield HS-330</c:v>
                </c:pt>
                <c:pt idx="3">
                  <c:v>Tray clip BC-77</c:v>
                </c:pt>
              </c:strCache>
            </c:strRef>
          </c:cat>
          <c:val>
            <c:numRef>
              <c:f>Dashboard!$H$64:$H$67</c:f>
              <c:numCache>
                <c:formatCode>General</c:formatCode>
                <c:ptCount val="4"/>
                <c:pt idx="0">
                  <c:v>1500</c:v>
                </c:pt>
                <c:pt idx="1">
                  <c:v>1500</c:v>
                </c:pt>
                <c:pt idx="2">
                  <c:v>1500</c:v>
                </c:pt>
                <c:pt idx="3">
                  <c:v>1500</c:v>
                </c:pt>
              </c:numCache>
            </c:numRef>
          </c:val>
        </c:ser>
        <c:marker val="1"/>
        <c:axId val="50030001"/>
        <c:axId val="5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Defects per million opportunities by week</a:t>
            </a:r>
          </a:p>
        </c:rich>
      </c:tx>
      <c:layout/>
    </c:title>
    <c:plotArea>
      <c:layout/>
      <c:barChart>
        <c:barDir val="col"/>
        <c:grouping val="clustered"/>
        <c:ser>
          <c:idx val="0"/>
          <c:order val="0"/>
          <c:tx>
            <c:v>DPMO</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Dashboard!$B$54:$B$59</c:f>
              <c:numCache>
                <c:formatCode>General</c:formatCode>
                <c:ptCount val="6"/>
                <c:pt idx="0">
                  <c:v>46265</c:v>
                </c:pt>
                <c:pt idx="1">
                  <c:v>46272</c:v>
                </c:pt>
                <c:pt idx="2">
                  <c:v>46279</c:v>
                </c:pt>
                <c:pt idx="3">
                  <c:v>46286</c:v>
                </c:pt>
                <c:pt idx="4">
                  <c:v>46293</c:v>
                </c:pt>
                <c:pt idx="5">
                  <c:v>46300</c:v>
                </c:pt>
              </c:numCache>
            </c:numRef>
          </c:cat>
          <c:val>
            <c:numRef>
              <c:f>Dashboard!$K$54:$K$59</c:f>
              <c:numCache>
                <c:formatCode>General</c:formatCode>
                <c:ptCount val="6"/>
                <c:pt idx="0">
                  <c:v>333.349917906364</c:v>
                </c:pt>
                <c:pt idx="1">
                  <c:v>315.441363520733</c:v>
                </c:pt>
                <c:pt idx="2">
                  <c:v>567.16570435849</c:v>
                </c:pt>
                <c:pt idx="3">
                  <c:v>263.277808718546</c:v>
                </c:pt>
                <c:pt idx="4">
                  <c:v>326.661827232189</c:v>
                </c:pt>
                <c:pt idx="5">
                  <c:v>285.642696066149</c:v>
                </c:pt>
              </c:numCache>
            </c:numRef>
          </c:val>
        </c:ser>
        <c:gapWidth val="60"/>
        <c:overlap val="-10"/>
        <c:axId val="50040001"/>
        <c:axId val="50040002"/>
      </c:barChart>
      <c:catAx>
        <c:axId val="5004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PPM defective for each week in view, with the PPM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defects found by defect typ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Column chart of PPM defective for each part over the dates in view, with the PPM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Column chart of DPMO, defects per million opportunities, for each week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Parts" displayName="tblParts" ref="B16:D20" totalsRowShown="0">
  <autoFilter ref="B16:D20"/>
  <tableColumns count="3">
    <tableColumn id="1" name="Part"/>
    <tableColumn id="2" name="Opportunities"/>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DefectTypes" displayName="tblDefectTypes" ref="B23:D31" totalsRowShown="0">
  <autoFilter ref="B23:D31"/>
  <tableColumns count="3">
    <tableColumn id="1" name="Defect type"/>
    <tableColumn id="2" name="Category"/>
    <tableColumn id="3" name="Definition"/>
  </tableColumns>
  <tableStyleInfo name="TableStyleLight1" showFirstColumn="0" showLastColumn="0" showRowStripes="0" showColumnStripes="0"/>
</table>
</file>

<file path=xl/tables/table3.xml><?xml version="1.0" encoding="utf-8"?>
<table xmlns="http://schemas.openxmlformats.org/spreadsheetml/2006/main" id="3" name="tblInspections" displayName="tblInspections" ref="B6:Q126" totalsRowShown="0">
  <autoFilter ref="B6:Q126"/>
  <tableColumns count="16">
    <tableColumn id="1" name="Date"/>
    <tableColumn id="2" name="Lot ID"/>
    <tableColumn id="3" name="Part"/>
    <tableColumn id="4" name="Inspected"/>
    <tableColumn id="5" name="Defective"/>
    <tableColumn id="6" name="Defects found">
      <calculatedColumnFormula>IF(tblInspections[[#This Row],[Date]]="","",SUMIFS(tblDefects[Count],tblDefects[Lot ID],tblInspections[[#This Row],[Lot ID]]))</calculatedColumnFormula>
    </tableColumn>
    <tableColumn id="7" name="Opportunities">
      <calculatedColumnFormula>IF(tblInspections[[#This Row],[Date]]="","",IFERROR(INDEX(tblParts[Opportunities],MATCH(tblInspections[[#This Row],[Part]],tblParts[Part],0)),""))</calculatedColumnFormula>
    </tableColumn>
    <tableColumn id="8" name="Opportunities checked">
      <calculatedColumnFormula>IF(tblInspections[[#This Row],[Date]]="","",IF(tblInspections[[#This Row],[Opportunities]]="","",tblInspections[[#This Row],[Inspected]]*tblInspections[[#This Row],[Opportunities]]))</calculatedColumnFormula>
    </tableColumn>
    <tableColumn id="9" name="Defect rate">
      <calculatedColumnFormula>IF(tblInspections[[#This Row],[Date]]="","",IF(tblInspections[[#This Row],[Inspected]]&gt;0,tblInspections[[#This Row],[Defective]]/tblInspections[[#This Row],[Inspected]],""))</calculatedColumnFormula>
    </tableColumn>
    <tableColumn id="10" name="PPM defective">
      <calculatedColumnFormula>IF(tblInspections[[#This Row],[Date]]="","",IF(tblInspections[[#This Row],[Inspected]]&gt;0,tblInspections[[#This Row],[Defective]]/tblInspections[[#This Row],[Inspected]]*1000000,""))</calculatedColumnFormula>
    </tableColumn>
    <tableColumn id="11" name="PPM status">
      <calculatedColumnFormula>IF(NOT(ISNUMBER(tblInspections[[#This Row],[PPM defective]])),"",IF(tblInspections[[#This Row],[PPM defective]]&lt;=TargetPPM,"On target",IF(tblInspections[[#This Row],[PPM defective]]&lt;=TargetPPM*(1+0.05),"Near target","Above target")))</calculatedColumnFormula>
    </tableColumn>
    <tableColumn id="12" name="DPU">
      <calculatedColumnFormula>IF(tblInspections[[#This Row],[Date]]="","",IF(tblInspections[[#This Row],[Inspected]]&gt;0,tblInspections[[#This Row],[Defects found]]/tblInspections[[#This Row],[Inspected]],""))</calculatedColumnFormula>
    </tableColumn>
    <tableColumn id="13" name="DPMO">
      <calculatedColumnFormula>IF(tblInspections[[#This Row],[Date]]="","",IF(N(tblInspections[[#This Row],[Opportunities checked]])&gt;0,tblInspections[[#This Row],[Defects found]]/tblInspections[[#This Row],[Opportunities checked]]*1000000,""))</calculatedColumnFormula>
    </tableColumn>
    <tableColumn id="14" name="View date">
      <calculatedColumnFormula>IF(tblInspections[[#This Row],[Date]]="","",IF(AND(tblInspections[[#This Row],[Date]]&gt;=FFrom,tblInspections[[#This Row],[Date]]&lt;=FTo,OR(DashPart="",tblInspections[[#This Row],[Part]]=DashPart)),tblInspections[[#This Row],[Date]],""))</calculatedColumnFormula>
    </tableColumn>
    <tableColumn id="15" name="Check">
      <calculatedColumnFormula>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calculatedColumnFormula>
    </tableColumn>
    <tableColumn id="16" name="Notes"/>
  </tableColumns>
  <tableStyleInfo name="TableStyleLight1" showFirstColumn="0" showLastColumn="0" showRowStripes="0" showColumnStripes="0"/>
</table>
</file>

<file path=xl/tables/table4.xml><?xml version="1.0" encoding="utf-8"?>
<table xmlns="http://schemas.openxmlformats.org/spreadsheetml/2006/main" id="4" name="tblDefects" displayName="tblDefects" ref="B6:I204" totalsRowShown="0">
  <autoFilter ref="B6:I204"/>
  <tableColumns count="8">
    <tableColumn id="1" name="Lot ID"/>
    <tableColumn id="2" name="Defect type"/>
    <tableColumn id="3" name="Count"/>
    <tableColumn id="4" name="Date">
      <calculatedColumnFormula>IF(tblDefects[[#This Row],[Lot ID]]="","",IFERROR(INDEX(tblInspections[Date],MATCH(tblDefects[[#This Row],[Lot ID]],tblInspections[Lot ID],0)),""))</calculatedColumnFormula>
    </tableColumn>
    <tableColumn id="5" name="Part">
      <calculatedColumnFormula>IF(tblDefects[[#This Row],[Lot ID]]="","",IFERROR(INDEX(tblInspections[Part],MATCH(tblDefects[[#This Row],[Lot ID]],tblInspections[Lot ID],0)),""))</calculatedColumnFormula>
    </tableColumn>
    <tableColumn id="6" name="View date">
      <calculatedColumnFormula>IF(tblDefects[[#This Row],[Lot ID]]="","",IFERROR(INDEX(tblInspections[View date],MATCH(tblDefects[[#This Row],[Lot ID]],tblInspections[Lot ID],0)),""))</calculatedColumnFormula>
    </tableColumn>
    <tableColumn id="7" name="Check">
      <calculatedColumnFormula>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calculatedColumnFormula>
    </tableColumn>
    <tableColumn id="8" name="Notes"/>
  </tableColumns>
  <tableStyleInfo name="TableStyleLight1" showFirstColumn="0" showLastColumn="0" showRowStripes="0" showColumnStripes="0"/>
</table>
</file>

<file path=xl/tables/table5.xml><?xml version="1.0" encoding="utf-8"?>
<table xmlns="http://schemas.openxmlformats.org/spreadsheetml/2006/main" id="5" name="tblVerifyDefectTypes" displayName="tblVerifyDefectTypes" ref="B35:D37" totalsRowShown="0">
  <tableColumns count="3">
    <tableColumn id="1" name="Defect type"/>
    <tableColumn id="2" name="Category"/>
    <tableColumn id="3" name="Definition"/>
  </tableColumns>
  <tableStyleInfo name="TableStyleLight1" showFirstColumn="0" showLastColumn="0" showRowStripes="0" showColumnStripes="0"/>
</table>
</file>

<file path=xl/tables/table6.xml><?xml version="1.0" encoding="utf-8"?>
<table xmlns="http://schemas.openxmlformats.org/spreadsheetml/2006/main" id="6" name="tblVerifyInspections" displayName="tblVerifyInspections" ref="B41:Q44" totalsRowShown="0">
  <tableColumns count="16">
    <tableColumn id="1" name="Date"/>
    <tableColumn id="2" name="Lot ID"/>
    <tableColumn id="3" name="Part"/>
    <tableColumn id="4" name="Inspected"/>
    <tableColumn id="5" name="Defective"/>
    <tableColumn id="6" name="Defects found">
      <calculatedColumnFormula>IF(tblVerifyInspections[[#This Row],[Date]]="","",SUMIFS(tblVerifyDefects[Count],tblVerifyDefects[Lot ID],tblVerifyInspections[[#This Row],[Lot ID]]))</calculatedColumnFormula>
    </tableColumn>
    <tableColumn id="7" name="Opportunities"/>
    <tableColumn id="8" name="Opportunities checked">
      <calculatedColumnFormula>IF(tblVerifyInspections[[#This Row],[Date]]="","",IF(tblVerifyInspections[[#This Row],[Opportunities]]="","",tblVerifyInspections[[#This Row],[Inspected]]*tblVerifyInspections[[#This Row],[Opportunities]]))</calculatedColumnFormula>
    </tableColumn>
    <tableColumn id="9" name="Defect rate">
      <calculatedColumnFormula>IF(tblVerifyInspections[[#This Row],[Date]]="","",IF(tblVerifyInspections[[#This Row],[Inspected]]&gt;0,tblVerifyInspections[[#This Row],[Defective]]/tblVerifyInspections[[#This Row],[Inspected]],""))</calculatedColumnFormula>
    </tableColumn>
    <tableColumn id="10" name="PPM defective">
      <calculatedColumnFormula>IF(tblVerifyInspections[[#This Row],[Date]]="","",IF(tblVerifyInspections[[#This Row],[Inspected]]&gt;0,tblVerifyInspections[[#This Row],[Defective]]/tblVerifyInspections[[#This Row],[Inspected]]*1000000,""))</calculatedColumnFormula>
    </tableColumn>
    <tableColumn id="11" name="PPM status">
      <calculatedColumnFormula>IF(NOT(ISNUMBER(tblVerifyInspections[[#This Row],[PPM defective]])),"",IF(tblVerifyInspections[[#This Row],[PPM defective]]&lt;=$E$32,"On target",IF(tblVerifyInspections[[#This Row],[PPM defective]]&lt;=$E$32*(1+0.05),"Near target","Above target")))</calculatedColumnFormula>
    </tableColumn>
    <tableColumn id="12" name="DPU">
      <calculatedColumnFormula>IF(tblVerifyInspections[[#This Row],[Date]]="","",IF(tblVerifyInspections[[#This Row],[Inspected]]&gt;0,tblVerifyInspections[[#This Row],[Defects found]]/tblVerifyInspections[[#This Row],[Inspected]],""))</calculatedColumnFormula>
    </tableColumn>
    <tableColumn id="13" name="DPMO">
      <calculatedColumnFormula>IF(tblVerifyInspections[[#This Row],[Date]]="","",IF(N(tblVerifyInspections[[#This Row],[Opportunities checked]])&gt;0,tblVerifyInspections[[#This Row],[Defects found]]/tblVerifyInspections[[#This Row],[Opportunities checked]]*1000000,""))</calculatedColumnFormula>
    </tableColumn>
    <tableColumn id="14" name="View date">
      <calculatedColumnFormula>IF(tblVerifyInspections[[#This Row],[Date]]="","",IF(AND(tblVerifyInspections[[#This Row],[Date]]&gt;=$E$29,tblVerifyInspections[[#This Row],[Date]]&lt;=$E$30,OR($E$31="",tblVerifyInspections[[#This Row],[Part]]=$E$31)),tblVerifyInspections[[#This Row],[Date]],""))</calculatedColumnFormula>
    </tableColumn>
    <tableColumn id="15" name="Check">
      <calculatedColumnFormula>IF(tblVerifyInspections[[#This Row],[Date]]="","",IF(tblVerifyInspections[[#This Row],[Lot ID]]="","Missing lot id",IF(tblVerifyInspections[[#This Row],[Part]]="","Missing part",IF(tblVerifyInspections[[#This Row],[Inspected]]="","Missing inspected",IF(tblVerifyInspections[[#This Row],[Defective]]="","Missing defective",IF(tblVerifyInspections[[#This Row],[Opportunities]]="","Part not on Setup list",IF(tblVerifyInspections[[#This Row],[Defective]]&gt;tblVerifyInspections[[#This Row],[Inspected]],"Defective &gt; inspected",IF(tblVerifyInspections[[#This Row],[Defects found]]&lt;tblVerifyInspections[[#This Row],[Defective]],"Fewer defects logged than defective units",IF(COUNTIF(tblVerifyInspections[Lot ID],tblVerifyInspections[[#This Row],[Lot ID]])&gt;1,"Duplicate lot ID","OK")))))))))</calculatedColumnFormula>
    </tableColumn>
    <tableColumn id="16" name="Notes"/>
  </tableColumns>
  <tableStyleInfo name="TableStyleLight1" showFirstColumn="0" showLastColumn="0" showRowStripes="0" showColumnStripes="0"/>
</table>
</file>

<file path=xl/tables/table7.xml><?xml version="1.0" encoding="utf-8"?>
<table xmlns="http://schemas.openxmlformats.org/spreadsheetml/2006/main" id="7" name="tblVerifyDefects" displayName="tblVerifyDefects" ref="B48:I53" totalsRowShown="0">
  <tableColumns count="8">
    <tableColumn id="1" name="Lot ID"/>
    <tableColumn id="2" name="Defect type"/>
    <tableColumn id="3" name="Count"/>
    <tableColumn id="4" name="Date"/>
    <tableColumn id="5" name="Part"/>
    <tableColumn id="6" name="View date"/>
    <tableColumn id="7" name="Check">
      <calculatedColumnFormula>IF(tblVerifyDefects[[#This Row],[Lot ID]]="","",IF(tblVerifyDefects[[#This Row],[Lot ID]]="","Missing lot id",IF(tblVerifyDefects[[#This Row],[Defect type]]="","Missing defect type",IF(tblVerifyDefects[[#This Row],[Count]]="","Missing count",IF(tblVerifyDefects[[#This Row],[Part]]="","Lot ID not on Inspection Log",IF(COUNTIF(tblVerifyDefectTypes[Defect type],tblVerifyDefects[[#This Row],[Defect type]])=0,"Defect type not on Setup list","OK"))))))</calculatedColumnFormula>
    </tableColumn>
    <tableColumn id="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hyperlink" Target="https://www.mfgcalcs.com/calculators/quality-inspection-metrology/defect-rate?utm_source=mfgcalcs-template&amp;utm_medium=xlsx&amp;utm_campaign=defect-rate-tracker" TargetMode="External"/><Relationship Id="rId3" Type="http://schemas.openxmlformats.org/officeDocument/2006/relationships/hyperlink" Target="https://www.mfgcalcs.com/templates/defect-rate-tracker?utm_source=mfgcalcs-template&amp;utm_medium=xlsx&amp;utm_campaign=defect-rate-tracker" TargetMode="External"/><Relationship Id="rId4" Type="http://schemas.openxmlformats.org/officeDocument/2006/relationships/hyperlink" Target="https://www.mfgcalcs.com/templates?utm_source=mfgcalcs-template&amp;utm_medium=xlsx&amp;utm_campaign=defect-rat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hyperlink" Target="https://www.mfgcalcs.com/calculators/quality-inspection-metrology/defect-rate?utm_source=mfgcalcs-template&amp;utm_medium=xlsx&amp;utm_campaign=defect-rate-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fect-rate-tracker"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13 of 13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61.8"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Inspection Log'!A1" tooltip="Go to Inspection Log" display="Inspection Log"/>
    <hyperlink ref="C23" location="'Defect Log'!A1" tooltip="Go to Defect Log" display="Defect Log"/>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Defect Rate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1"/>
  <sheetViews>
    <sheetView showGridLines="0" workbookViewId="0"/>
  </sheetViews>
  <sheetFormatPr defaultRowHeight="15"/>
  <cols>
    <col min="1" max="1" width="2.7109375" customWidth="1"/>
    <col min="2" max="2" width="26.7109375" customWidth="1"/>
    <col min="3" max="3" width="14.7109375" customWidth="1"/>
    <col min="4" max="4" width="48.7109375" customWidth="1"/>
  </cols>
  <sheetData>
    <row r="1" spans="1:5" ht="30" customHeight="1">
      <c r="A1" s="1" t="s">
        <v>0</v>
      </c>
      <c r="B1" s="1"/>
      <c r="C1" s="1"/>
      <c r="D1" s="1"/>
      <c r="E1" s="1"/>
    </row>
    <row r="2" spans="1:5" ht="21" customHeight="1">
      <c r="B2" s="2" t="s">
        <v>20</v>
      </c>
      <c r="C2" s="2"/>
      <c r="D2" s="3" t="s">
        <v>2</v>
      </c>
      <c r="E2" s="3"/>
    </row>
    <row r="3" spans="1:5" ht="6" customHeight="1"/>
    <row r="4" spans="1:5" ht="21" customHeight="1">
      <c r="B4" s="8" t="s">
        <v>70</v>
      </c>
      <c r="C4" s="8"/>
      <c r="D4" s="8"/>
    </row>
    <row r="5" spans="1:5" ht="5" customHeight="1"/>
    <row r="6" spans="1:5">
      <c r="B6" s="27" t="s">
        <v>71</v>
      </c>
      <c r="C6" s="28" t="s">
        <v>72</v>
      </c>
      <c r="D6" s="28"/>
    </row>
    <row r="7" spans="1:5">
      <c r="B7" s="27" t="s">
        <v>73</v>
      </c>
      <c r="C7" s="29">
        <v>1500</v>
      </c>
      <c r="D7" s="7" t="s">
        <v>74</v>
      </c>
    </row>
    <row r="9" spans="1:5" ht="35.4" customHeight="1">
      <c r="B9" s="25" t="s">
        <v>75</v>
      </c>
      <c r="C9" s="25"/>
      <c r="D9" s="25"/>
    </row>
    <row r="11" spans="1:5" ht="21" customHeight="1">
      <c r="B11" s="8" t="s">
        <v>76</v>
      </c>
      <c r="C11" s="8"/>
      <c r="D11" s="8"/>
    </row>
    <row r="12" spans="1:5" ht="5" customHeight="1"/>
    <row r="13" spans="1:5" ht="38.64" customHeight="1">
      <c r="B13" s="21" t="s">
        <v>77</v>
      </c>
      <c r="C13" s="21"/>
      <c r="D13" s="21"/>
    </row>
    <row r="14" spans="1:5">
      <c r="B14" s="30" t="s">
        <v>78</v>
      </c>
      <c r="C14" s="30"/>
      <c r="D14" s="30"/>
    </row>
    <row r="15" spans="1:5" ht="14" customHeight="1">
      <c r="B15" s="31"/>
      <c r="C15" s="31" t="s">
        <v>79</v>
      </c>
      <c r="D15" s="31"/>
    </row>
    <row r="16" spans="1:5" ht="32" customHeight="1">
      <c r="B16" s="32" t="s">
        <v>64</v>
      </c>
      <c r="C16" s="32" t="s">
        <v>65</v>
      </c>
      <c r="D16" s="32" t="s">
        <v>66</v>
      </c>
    </row>
    <row r="17" spans="2:4">
      <c r="B17" s="28" t="s">
        <v>80</v>
      </c>
      <c r="C17" s="29">
        <v>6</v>
      </c>
      <c r="D17" s="28" t="s">
        <v>81</v>
      </c>
    </row>
    <row r="18" spans="2:4">
      <c r="B18" s="28" t="s">
        <v>82</v>
      </c>
      <c r="C18" s="29">
        <v>8</v>
      </c>
      <c r="D18" s="28" t="s">
        <v>83</v>
      </c>
    </row>
    <row r="19" spans="2:4">
      <c r="B19" s="28" t="s">
        <v>84</v>
      </c>
      <c r="C19" s="29">
        <v>5</v>
      </c>
      <c r="D19" s="28" t="s">
        <v>85</v>
      </c>
    </row>
    <row r="20" spans="2:4">
      <c r="B20" s="28" t="s">
        <v>86</v>
      </c>
      <c r="C20" s="29">
        <v>4</v>
      </c>
      <c r="D20" s="28" t="s">
        <v>87</v>
      </c>
    </row>
    <row r="22" spans="2:4">
      <c r="B22" s="30" t="s">
        <v>88</v>
      </c>
      <c r="C22" s="30"/>
      <c r="D22" s="30"/>
    </row>
    <row r="23" spans="2:4" ht="20" customHeight="1">
      <c r="B23" s="32" t="s">
        <v>67</v>
      </c>
      <c r="C23" s="32" t="s">
        <v>68</v>
      </c>
      <c r="D23" s="32" t="s">
        <v>69</v>
      </c>
    </row>
    <row r="24" spans="2:4">
      <c r="B24" s="28" t="s">
        <v>89</v>
      </c>
      <c r="C24" s="28" t="s">
        <v>90</v>
      </c>
      <c r="D24" s="28" t="s">
        <v>91</v>
      </c>
    </row>
    <row r="25" spans="2:4">
      <c r="B25" s="28" t="s">
        <v>92</v>
      </c>
      <c r="C25" s="28" t="s">
        <v>93</v>
      </c>
      <c r="D25" s="28" t="s">
        <v>94</v>
      </c>
    </row>
    <row r="26" spans="2:4">
      <c r="B26" s="28" t="s">
        <v>95</v>
      </c>
      <c r="C26" s="28" t="s">
        <v>96</v>
      </c>
      <c r="D26" s="28" t="s">
        <v>97</v>
      </c>
    </row>
    <row r="27" spans="2:4">
      <c r="B27" s="28" t="s">
        <v>98</v>
      </c>
      <c r="C27" s="28" t="s">
        <v>99</v>
      </c>
      <c r="D27" s="28" t="s">
        <v>100</v>
      </c>
    </row>
    <row r="28" spans="2:4">
      <c r="B28" s="28" t="s">
        <v>101</v>
      </c>
      <c r="C28" s="28" t="s">
        <v>99</v>
      </c>
      <c r="D28" s="28" t="s">
        <v>102</v>
      </c>
    </row>
    <row r="29" spans="2:4">
      <c r="B29" s="28" t="s">
        <v>103</v>
      </c>
      <c r="C29" s="28" t="s">
        <v>104</v>
      </c>
      <c r="D29" s="28" t="s">
        <v>105</v>
      </c>
    </row>
    <row r="30" spans="2:4">
      <c r="B30" s="28" t="s">
        <v>106</v>
      </c>
      <c r="C30" s="28" t="s">
        <v>104</v>
      </c>
      <c r="D30" s="28" t="s">
        <v>107</v>
      </c>
    </row>
    <row r="31" spans="2:4">
      <c r="B31" s="28" t="s">
        <v>108</v>
      </c>
      <c r="C31" s="28" t="s">
        <v>108</v>
      </c>
      <c r="D31" s="28" t="s">
        <v>109</v>
      </c>
    </row>
  </sheetData>
  <mergeCells count="10">
    <mergeCell ref="A1:E1"/>
    <mergeCell ref="B2:C2"/>
    <mergeCell ref="D2:E2"/>
    <mergeCell ref="B4:D4"/>
    <mergeCell ref="C6:D6"/>
    <mergeCell ref="B9:D9"/>
    <mergeCell ref="B11:D11"/>
    <mergeCell ref="B13:D13"/>
    <mergeCell ref="B14:D14"/>
    <mergeCell ref="B22:D22"/>
  </mergeCells>
  <dataValidations count="8">
    <dataValidation type="textLength" allowBlank="1" showInputMessage="1" showErrorMessage="1" errorTitle="Check this entry" error="Text up to 80 characters." promptTitle="Plant or line name" prompt="Shown on the Dashboard header. Text up to 80 characters." sqref="C6">
      <formula1>0</formula1>
      <formula2>80</formula2>
    </dataValidation>
    <dataValidation type="whole" allowBlank="1" showInputMessage="1" showErrorMessage="1" errorTitle="Check this entry" error="Enter a whole number from 0 to 1,000,000." promptTitle="PPM defective target (at most)" prompt="Your own limit, or the one in your customer's quality agreement: defective units per million inspected. Enter a whole number from 0 to 1,000,000." sqref="C7">
      <formula1>0</formula1>
      <formula2>1000000</formula2>
    </dataValidation>
    <dataValidation type="textLength" allowBlank="1" showInputMessage="1" showErrorMessage="1" errorTitle="Check this entry" error="Text up to 40 characters." promptTitle="Part" prompt="Text up to 40 characters." sqref="B17:B120">
      <formula1>0</formula1>
      <formula2>40</formula2>
    </dataValidation>
    <dataValidation type="whole" allowBlank="1" showInputMessage="1" showErrorMessage="1" errorTitle="Check this entry" error="Enter a whole number from 1 to 100,000." promptTitle="Opportunities" prompt="Characteristics checked on one unit that could each be defective: features, dimensions, holes, finish. Keep it constant for the part. Enter a whole number from 1 to 100,000." sqref="C17:C120">
      <formula1>1</formula1>
      <formula2>100000</formula2>
    </dataValidation>
    <dataValidation type="textLength" allowBlank="1" showInputMessage="1" showErrorMessage="1" errorTitle="Check this entry" error="Text up to 120 characters." promptTitle="Description" prompt="Text up to 120 characters." sqref="D17:D120">
      <formula1>0</formula1>
      <formula2>120</formula2>
    </dataValidation>
    <dataValidation type="textLength" allowBlank="1" showInputMessage="1" showErrorMessage="1" errorTitle="Check this entry" error="Text up to 30 characters." promptTitle="Defect type" prompt="Text up to 30 characters." sqref="B24:B131">
      <formula1>0</formula1>
      <formula2>30</formula2>
    </dataValidation>
    <dataValidation type="list" allowBlank="1" showInputMessage="1" showErrorMessage="1" errorTitle="Check this entry" error="Pick one of: Edge, Hole, Dimensional, Forming, Surface, Other." promptTitle="Category" prompt="Groups similar defect types; for reading the list only. Pick one of: Edge, Hole, Dimensional, Forming, Surface, Other." sqref="C24:C131">
      <formula1>"Edge,Hole,Dimensional,Forming,Surface,Other"</formula1>
    </dataValidation>
    <dataValidation type="textLength" allowBlank="1" showInputMessage="1" showErrorMessage="1" errorTitle="Check this entry" error="Text up to 160 characters." promptTitle="Definition" prompt="Text up to 160 characters." sqref="D24:D131">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Defect Rate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Q126"/>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2.28515625" customWidth="1"/>
    <col min="3" max="3" width="12.7109375" customWidth="1"/>
    <col min="4" max="4" width="18.7109375" customWidth="1"/>
    <col min="5" max="7" width="10.28515625" customWidth="1"/>
    <col min="8" max="8" width="11.7109375" customWidth="1"/>
    <col min="9" max="9" width="12.7109375" customWidth="1"/>
    <col min="10" max="10" width="9.7109375" customWidth="1"/>
    <col min="11" max="11" width="10.28515625" customWidth="1"/>
    <col min="12" max="12" width="12.28515625" customWidth="1"/>
    <col min="13" max="14" width="10.28515625" customWidth="1"/>
    <col min="15" max="15" width="12.28515625" customWidth="1"/>
    <col min="16" max="17" width="30.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22</v>
      </c>
      <c r="C2" s="2"/>
      <c r="D2" s="2"/>
      <c r="E2" s="2"/>
      <c r="F2" s="2"/>
      <c r="G2" s="2"/>
      <c r="H2" s="2"/>
      <c r="I2" s="2"/>
      <c r="J2" s="2"/>
      <c r="K2" s="2"/>
      <c r="L2" s="2"/>
      <c r="M2" s="2"/>
      <c r="N2" s="2"/>
      <c r="O2" s="2"/>
      <c r="P2" s="2"/>
      <c r="Q2" s="3" t="s">
        <v>2</v>
      </c>
    </row>
    <row r="3" spans="1:17" ht="6" customHeight="1"/>
    <row r="4" spans="1:17" ht="18" customHeight="1">
      <c r="B4" s="33" t="s">
        <v>124</v>
      </c>
      <c r="C4" s="33"/>
      <c r="D4" s="33"/>
      <c r="E4" s="33"/>
      <c r="F4" s="33"/>
      <c r="G4" s="33"/>
      <c r="H4" s="33"/>
      <c r="I4" s="33"/>
      <c r="J4" s="33"/>
      <c r="K4" s="33"/>
      <c r="L4" s="33"/>
      <c r="M4" s="33"/>
      <c r="N4" s="33"/>
      <c r="O4" s="33"/>
      <c r="P4" s="33"/>
      <c r="Q4" s="33"/>
    </row>
    <row r="5" spans="1:17" ht="14" customHeight="1">
      <c r="B5" s="31"/>
      <c r="C5" s="31"/>
      <c r="D5" s="31"/>
      <c r="E5" s="31" t="s">
        <v>125</v>
      </c>
      <c r="F5" s="31" t="s">
        <v>125</v>
      </c>
      <c r="G5" s="31" t="s">
        <v>126</v>
      </c>
      <c r="H5" s="31" t="s">
        <v>79</v>
      </c>
      <c r="I5" s="31" t="s">
        <v>127</v>
      </c>
      <c r="J5" s="31"/>
      <c r="K5" s="31" t="s">
        <v>74</v>
      </c>
      <c r="L5" s="31"/>
      <c r="M5" s="31" t="s">
        <v>128</v>
      </c>
      <c r="N5" s="31" t="s">
        <v>129</v>
      </c>
      <c r="O5" s="31"/>
      <c r="P5" s="31"/>
      <c r="Q5" s="31"/>
    </row>
    <row r="6" spans="1:17" ht="32" customHeight="1">
      <c r="B6" s="32" t="s">
        <v>110</v>
      </c>
      <c r="C6" s="32" t="s">
        <v>111</v>
      </c>
      <c r="D6" s="32" t="s">
        <v>64</v>
      </c>
      <c r="E6" s="32" t="s">
        <v>112</v>
      </c>
      <c r="F6" s="32" t="s">
        <v>113</v>
      </c>
      <c r="G6" s="32" t="s">
        <v>114</v>
      </c>
      <c r="H6" s="32" t="s">
        <v>65</v>
      </c>
      <c r="I6" s="32" t="s">
        <v>115</v>
      </c>
      <c r="J6" s="32" t="s">
        <v>116</v>
      </c>
      <c r="K6" s="32" t="s">
        <v>117</v>
      </c>
      <c r="L6" s="32" t="s">
        <v>118</v>
      </c>
      <c r="M6" s="32" t="s">
        <v>119</v>
      </c>
      <c r="N6" s="32" t="s">
        <v>120</v>
      </c>
      <c r="O6" s="32" t="s">
        <v>121</v>
      </c>
      <c r="P6" s="32" t="s">
        <v>122</v>
      </c>
      <c r="Q6" s="32" t="s">
        <v>123</v>
      </c>
    </row>
    <row r="7" spans="1:17">
      <c r="B7" s="34">
        <v>46265</v>
      </c>
      <c r="C7" s="28" t="s">
        <v>130</v>
      </c>
      <c r="D7" s="28" t="s">
        <v>80</v>
      </c>
      <c r="E7" s="29">
        <v>1410</v>
      </c>
      <c r="F7" s="29">
        <v>3</v>
      </c>
      <c r="G7" s="35">
        <f>IF(tblInspections[[#This Row],[Date]]="","",SUMIFS(tblDefects[Count],tblDefects[Lot ID],tblInspections[[#This Row],[Lot ID]]))</f>
        <v>3</v>
      </c>
      <c r="H7" s="35">
        <f>IF(tblInspections[[#This Row],[Date]]="","",IFERROR(INDEX(tblParts[Opportunities],MATCH(tblInspections[[#This Row],[Part]],tblParts[Part],0)),""))</f>
        <v>6</v>
      </c>
      <c r="I7" s="35">
        <f>IF(tblInspections[[#This Row],[Date]]="","",IF(tblInspections[[#This Row],[Opportunities]]="","",tblInspections[[#This Row],[Inspected]]*tblInspections[[#This Row],[Opportunities]]))</f>
        <v>8460</v>
      </c>
      <c r="J7" s="36">
        <f>IF(tblInspections[[#This Row],[Date]]="","",IF(tblInspections[[#This Row],[Inspected]]&gt;0,tblInspections[[#This Row],[Defective]]/tblInspections[[#This Row],[Inspected]],""))</f>
        <v>0.00212765957446809</v>
      </c>
      <c r="K7" s="35">
        <f>IF(tblInspections[[#This Row],[Date]]="","",IF(tblInspections[[#This Row],[Inspected]]&gt;0,tblInspections[[#This Row],[Defective]]/tblInspections[[#This Row],[Inspected]]*1000000,""))</f>
        <v>2127.65957446809</v>
      </c>
      <c r="L7" s="37" t="str">
        <f>IF(NOT(ISNUMBER(tblInspections[[#This Row],[PPM defective]])),"",IF(tblInspections[[#This Row],[PPM defective]]&lt;=TargetPPM,"On target",IF(tblInspections[[#This Row],[PPM defective]]&lt;=TargetPPM*(1+0.05),"Near target","Above target")))</f>
        <v>Above target</v>
      </c>
      <c r="M7" s="38">
        <f>IF(tblInspections[[#This Row],[Date]]="","",IF(tblInspections[[#This Row],[Inspected]]&gt;0,tblInspections[[#This Row],[Defects found]]/tblInspections[[#This Row],[Inspected]],""))</f>
        <v>0.00212765957446809</v>
      </c>
      <c r="N7" s="35">
        <f>IF(tblInspections[[#This Row],[Date]]="","",IF(N(tblInspections[[#This Row],[Opportunities checked]])&gt;0,tblInspections[[#This Row],[Defects found]]/tblInspections[[#This Row],[Opportunities checked]]*1000000,""))</f>
        <v>354.609929078014</v>
      </c>
      <c r="O7" s="39">
        <f>IF(tblInspections[[#This Row],[Date]]="","",IF(AND(tblInspections[[#This Row],[Date]]&gt;=FFrom,tblInspections[[#This Row],[Date]]&lt;=FTo,OR(DashPart="",tblInspections[[#This Row],[Part]]=DashPart)),tblInspections[[#This Row],[Date]],""))</f>
        <v>46265</v>
      </c>
      <c r="P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 s="41" t="s">
        <v>131</v>
      </c>
    </row>
    <row r="8" spans="1:17">
      <c r="B8" s="34">
        <v>46265</v>
      </c>
      <c r="C8" s="28" t="s">
        <v>132</v>
      </c>
      <c r="D8" s="28" t="s">
        <v>82</v>
      </c>
      <c r="E8" s="29">
        <v>990</v>
      </c>
      <c r="F8" s="29">
        <v>3</v>
      </c>
      <c r="G8" s="35">
        <f>IF(tblInspections[[#This Row],[Date]]="","",SUMIFS(tblDefects[Count],tblDefects[Lot ID],tblInspections[[#This Row],[Lot ID]]))</f>
        <v>4</v>
      </c>
      <c r="H8" s="35">
        <f>IF(tblInspections[[#This Row],[Date]]="","",IFERROR(INDEX(tblParts[Opportunities],MATCH(tblInspections[[#This Row],[Part]],tblParts[Part],0)),""))</f>
        <v>8</v>
      </c>
      <c r="I8" s="35">
        <f>IF(tblInspections[[#This Row],[Date]]="","",IF(tblInspections[[#This Row],[Opportunities]]="","",tblInspections[[#This Row],[Inspected]]*tblInspections[[#This Row],[Opportunities]]))</f>
        <v>7920</v>
      </c>
      <c r="J8" s="36">
        <f>IF(tblInspections[[#This Row],[Date]]="","",IF(tblInspections[[#This Row],[Inspected]]&gt;0,tblInspections[[#This Row],[Defective]]/tblInspections[[#This Row],[Inspected]],""))</f>
        <v>0.00303030303030303</v>
      </c>
      <c r="K8" s="35">
        <f>IF(tblInspections[[#This Row],[Date]]="","",IF(tblInspections[[#This Row],[Inspected]]&gt;0,tblInspections[[#This Row],[Defective]]/tblInspections[[#This Row],[Inspected]]*1000000,""))</f>
        <v>3030.30303030303</v>
      </c>
      <c r="L8" s="37" t="str">
        <f>IF(NOT(ISNUMBER(tblInspections[[#This Row],[PPM defective]])),"",IF(tblInspections[[#This Row],[PPM defective]]&lt;=TargetPPM,"On target",IF(tblInspections[[#This Row],[PPM defective]]&lt;=TargetPPM*(1+0.05),"Near target","Above target")))</f>
        <v>Above target</v>
      </c>
      <c r="M8" s="38">
        <f>IF(tblInspections[[#This Row],[Date]]="","",IF(tblInspections[[#This Row],[Inspected]]&gt;0,tblInspections[[#This Row],[Defects found]]/tblInspections[[#This Row],[Inspected]],""))</f>
        <v>0.00404040404040404</v>
      </c>
      <c r="N8" s="35">
        <f>IF(tblInspections[[#This Row],[Date]]="","",IF(N(tblInspections[[#This Row],[Opportunities checked]])&gt;0,tblInspections[[#This Row],[Defects found]]/tblInspections[[#This Row],[Opportunities checked]]*1000000,""))</f>
        <v>505.050505050505</v>
      </c>
      <c r="O8" s="39">
        <f>IF(tblInspections[[#This Row],[Date]]="","",IF(AND(tblInspections[[#This Row],[Date]]&gt;=FFrom,tblInspections[[#This Row],[Date]]&lt;=FTo,OR(DashPart="",tblInspections[[#This Row],[Part]]=DashPart)),tblInspections[[#This Row],[Date]],""))</f>
        <v>46265</v>
      </c>
      <c r="P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 s="41" t="s">
        <v>131</v>
      </c>
    </row>
    <row r="9" spans="1:17">
      <c r="B9" s="34">
        <v>46265</v>
      </c>
      <c r="C9" s="28" t="s">
        <v>133</v>
      </c>
      <c r="D9" s="28" t="s">
        <v>84</v>
      </c>
      <c r="E9" s="29">
        <v>2120</v>
      </c>
      <c r="F9" s="29">
        <v>5</v>
      </c>
      <c r="G9" s="35">
        <f>IF(tblInspections[[#This Row],[Date]]="","",SUMIFS(tblDefects[Count],tblDefects[Lot ID],tblInspections[[#This Row],[Lot ID]]))</f>
        <v>6</v>
      </c>
      <c r="H9" s="35">
        <f>IF(tblInspections[[#This Row],[Date]]="","",IFERROR(INDEX(tblParts[Opportunities],MATCH(tblInspections[[#This Row],[Part]],tblParts[Part],0)),""))</f>
        <v>5</v>
      </c>
      <c r="I9" s="35">
        <f>IF(tblInspections[[#This Row],[Date]]="","",IF(tblInspections[[#This Row],[Opportunities]]="","",tblInspections[[#This Row],[Inspected]]*tblInspections[[#This Row],[Opportunities]]))</f>
        <v>10600</v>
      </c>
      <c r="J9" s="36">
        <f>IF(tblInspections[[#This Row],[Date]]="","",IF(tblInspections[[#This Row],[Inspected]]&gt;0,tblInspections[[#This Row],[Defective]]/tblInspections[[#This Row],[Inspected]],""))</f>
        <v>0.00235849056603774</v>
      </c>
      <c r="K9" s="35">
        <f>IF(tblInspections[[#This Row],[Date]]="","",IF(tblInspections[[#This Row],[Inspected]]&gt;0,tblInspections[[#This Row],[Defective]]/tblInspections[[#This Row],[Inspected]]*1000000,""))</f>
        <v>2358.49056603774</v>
      </c>
      <c r="L9" s="37" t="str">
        <f>IF(NOT(ISNUMBER(tblInspections[[#This Row],[PPM defective]])),"",IF(tblInspections[[#This Row],[PPM defective]]&lt;=TargetPPM,"On target",IF(tblInspections[[#This Row],[PPM defective]]&lt;=TargetPPM*(1+0.05),"Near target","Above target")))</f>
        <v>Above target</v>
      </c>
      <c r="M9" s="38">
        <f>IF(tblInspections[[#This Row],[Date]]="","",IF(tblInspections[[#This Row],[Inspected]]&gt;0,tblInspections[[#This Row],[Defects found]]/tblInspections[[#This Row],[Inspected]],""))</f>
        <v>0.00283018867924528</v>
      </c>
      <c r="N9" s="35">
        <f>IF(tblInspections[[#This Row],[Date]]="","",IF(N(tblInspections[[#This Row],[Opportunities checked]])&gt;0,tblInspections[[#This Row],[Defects found]]/tblInspections[[#This Row],[Opportunities checked]]*1000000,""))</f>
        <v>566.037735849057</v>
      </c>
      <c r="O9" s="39">
        <f>IF(tblInspections[[#This Row],[Date]]="","",IF(AND(tblInspections[[#This Row],[Date]]&gt;=FFrom,tblInspections[[#This Row],[Date]]&lt;=FTo,OR(DashPart="",tblInspections[[#This Row],[Part]]=DashPart)),tblInspections[[#This Row],[Date]],""))</f>
        <v>46265</v>
      </c>
      <c r="P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 s="41" t="s">
        <v>131</v>
      </c>
    </row>
    <row r="10" spans="1:17">
      <c r="B10" s="34">
        <v>46265</v>
      </c>
      <c r="C10" s="28" t="s">
        <v>134</v>
      </c>
      <c r="D10" s="28" t="s">
        <v>86</v>
      </c>
      <c r="E10" s="29">
        <v>2780</v>
      </c>
      <c r="F10" s="29">
        <v>3</v>
      </c>
      <c r="G10" s="35">
        <f>IF(tblInspections[[#This Row],[Date]]="","",SUMIFS(tblDefects[Count],tblDefects[Lot ID],tblInspections[[#This Row],[Lot ID]]))</f>
        <v>3</v>
      </c>
      <c r="H10" s="35">
        <f>IF(tblInspections[[#This Row],[Date]]="","",IFERROR(INDEX(tblParts[Opportunities],MATCH(tblInspections[[#This Row],[Part]],tblParts[Part],0)),""))</f>
        <v>4</v>
      </c>
      <c r="I10" s="35">
        <f>IF(tblInspections[[#This Row],[Date]]="","",IF(tblInspections[[#This Row],[Opportunities]]="","",tblInspections[[#This Row],[Inspected]]*tblInspections[[#This Row],[Opportunities]]))</f>
        <v>11120</v>
      </c>
      <c r="J10" s="36">
        <f>IF(tblInspections[[#This Row],[Date]]="","",IF(tblInspections[[#This Row],[Inspected]]&gt;0,tblInspections[[#This Row],[Defective]]/tblInspections[[#This Row],[Inspected]],""))</f>
        <v>0.00107913669064748</v>
      </c>
      <c r="K10" s="35">
        <f>IF(tblInspections[[#This Row],[Date]]="","",IF(tblInspections[[#This Row],[Inspected]]&gt;0,tblInspections[[#This Row],[Defective]]/tblInspections[[#This Row],[Inspected]]*1000000,""))</f>
        <v>1079.13669064748</v>
      </c>
      <c r="L10" s="37" t="str">
        <f>IF(NOT(ISNUMBER(tblInspections[[#This Row],[PPM defective]])),"",IF(tblInspections[[#This Row],[PPM defective]]&lt;=TargetPPM,"On target",IF(tblInspections[[#This Row],[PPM defective]]&lt;=TargetPPM*(1+0.05),"Near target","Above target")))</f>
        <v>On target</v>
      </c>
      <c r="M10" s="38">
        <f>IF(tblInspections[[#This Row],[Date]]="","",IF(tblInspections[[#This Row],[Inspected]]&gt;0,tblInspections[[#This Row],[Defects found]]/tblInspections[[#This Row],[Inspected]],""))</f>
        <v>0.00107913669064748</v>
      </c>
      <c r="N10" s="35">
        <f>IF(tblInspections[[#This Row],[Date]]="","",IF(N(tblInspections[[#This Row],[Opportunities checked]])&gt;0,tblInspections[[#This Row],[Defects found]]/tblInspections[[#This Row],[Opportunities checked]]*1000000,""))</f>
        <v>269.784172661871</v>
      </c>
      <c r="O10" s="39">
        <f>IF(tblInspections[[#This Row],[Date]]="","",IF(AND(tblInspections[[#This Row],[Date]]&gt;=FFrom,tblInspections[[#This Row],[Date]]&lt;=FTo,OR(DashPart="",tblInspections[[#This Row],[Part]]=DashPart)),tblInspections[[#This Row],[Date]],""))</f>
        <v>46265</v>
      </c>
      <c r="P1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 s="41" t="s">
        <v>131</v>
      </c>
    </row>
    <row r="11" spans="1:17">
      <c r="B11" s="34">
        <v>46266</v>
      </c>
      <c r="C11" s="28" t="s">
        <v>135</v>
      </c>
      <c r="D11" s="28" t="s">
        <v>80</v>
      </c>
      <c r="E11" s="29">
        <v>1290</v>
      </c>
      <c r="F11" s="29">
        <v>5</v>
      </c>
      <c r="G11" s="35">
        <f>IF(tblInspections[[#This Row],[Date]]="","",SUMIFS(tblDefects[Count],tblDefects[Lot ID],tblInspections[[#This Row],[Lot ID]]))</f>
        <v>5</v>
      </c>
      <c r="H11" s="35">
        <f>IF(tblInspections[[#This Row],[Date]]="","",IFERROR(INDEX(tblParts[Opportunities],MATCH(tblInspections[[#This Row],[Part]],tblParts[Part],0)),""))</f>
        <v>6</v>
      </c>
      <c r="I11" s="35">
        <f>IF(tblInspections[[#This Row],[Date]]="","",IF(tblInspections[[#This Row],[Opportunities]]="","",tblInspections[[#This Row],[Inspected]]*tblInspections[[#This Row],[Opportunities]]))</f>
        <v>7740</v>
      </c>
      <c r="J11" s="36">
        <f>IF(tblInspections[[#This Row],[Date]]="","",IF(tblInspections[[#This Row],[Inspected]]&gt;0,tblInspections[[#This Row],[Defective]]/tblInspections[[#This Row],[Inspected]],""))</f>
        <v>0.00387596899224806</v>
      </c>
      <c r="K11" s="35">
        <f>IF(tblInspections[[#This Row],[Date]]="","",IF(tblInspections[[#This Row],[Inspected]]&gt;0,tblInspections[[#This Row],[Defective]]/tblInspections[[#This Row],[Inspected]]*1000000,""))</f>
        <v>3875.96899224806</v>
      </c>
      <c r="L11" s="37" t="str">
        <f>IF(NOT(ISNUMBER(tblInspections[[#This Row],[PPM defective]])),"",IF(tblInspections[[#This Row],[PPM defective]]&lt;=TargetPPM,"On target",IF(tblInspections[[#This Row],[PPM defective]]&lt;=TargetPPM*(1+0.05),"Near target","Above target")))</f>
        <v>Above target</v>
      </c>
      <c r="M11" s="38">
        <f>IF(tblInspections[[#This Row],[Date]]="","",IF(tblInspections[[#This Row],[Inspected]]&gt;0,tblInspections[[#This Row],[Defects found]]/tblInspections[[#This Row],[Inspected]],""))</f>
        <v>0.00387596899224806</v>
      </c>
      <c r="N11" s="35">
        <f>IF(tblInspections[[#This Row],[Date]]="","",IF(N(tblInspections[[#This Row],[Opportunities checked]])&gt;0,tblInspections[[#This Row],[Defects found]]/tblInspections[[#This Row],[Opportunities checked]]*1000000,""))</f>
        <v>645.994832041344</v>
      </c>
      <c r="O11" s="39">
        <f>IF(tblInspections[[#This Row],[Date]]="","",IF(AND(tblInspections[[#This Row],[Date]]&gt;=FFrom,tblInspections[[#This Row],[Date]]&lt;=FTo,OR(DashPart="",tblInspections[[#This Row],[Part]]=DashPart)),tblInspections[[#This Row],[Date]],""))</f>
        <v>46266</v>
      </c>
      <c r="P1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 s="41" t="s">
        <v>131</v>
      </c>
    </row>
    <row r="12" spans="1:17">
      <c r="B12" s="34">
        <v>46266</v>
      </c>
      <c r="C12" s="28" t="s">
        <v>136</v>
      </c>
      <c r="D12" s="28" t="s">
        <v>82</v>
      </c>
      <c r="E12" s="29">
        <v>930</v>
      </c>
      <c r="F12" s="29">
        <v>4</v>
      </c>
      <c r="G12" s="35">
        <f>IF(tblInspections[[#This Row],[Date]]="","",SUMIFS(tblDefects[Count],tblDefects[Lot ID],tblInspections[[#This Row],[Lot ID]]))</f>
        <v>4</v>
      </c>
      <c r="H12" s="35">
        <f>IF(tblInspections[[#This Row],[Date]]="","",IFERROR(INDEX(tblParts[Opportunities],MATCH(tblInspections[[#This Row],[Part]],tblParts[Part],0)),""))</f>
        <v>8</v>
      </c>
      <c r="I12" s="35">
        <f>IF(tblInspections[[#This Row],[Date]]="","",IF(tblInspections[[#This Row],[Opportunities]]="","",tblInspections[[#This Row],[Inspected]]*tblInspections[[#This Row],[Opportunities]]))</f>
        <v>7440</v>
      </c>
      <c r="J12" s="36">
        <f>IF(tblInspections[[#This Row],[Date]]="","",IF(tblInspections[[#This Row],[Inspected]]&gt;0,tblInspections[[#This Row],[Defective]]/tblInspections[[#This Row],[Inspected]],""))</f>
        <v>0.0043010752688172</v>
      </c>
      <c r="K12" s="35">
        <f>IF(tblInspections[[#This Row],[Date]]="","",IF(tblInspections[[#This Row],[Inspected]]&gt;0,tblInspections[[#This Row],[Defective]]/tblInspections[[#This Row],[Inspected]]*1000000,""))</f>
        <v>4301.0752688172</v>
      </c>
      <c r="L12" s="37" t="str">
        <f>IF(NOT(ISNUMBER(tblInspections[[#This Row],[PPM defective]])),"",IF(tblInspections[[#This Row],[PPM defective]]&lt;=TargetPPM,"On target",IF(tblInspections[[#This Row],[PPM defective]]&lt;=TargetPPM*(1+0.05),"Near target","Above target")))</f>
        <v>Above target</v>
      </c>
      <c r="M12" s="38">
        <f>IF(tblInspections[[#This Row],[Date]]="","",IF(tblInspections[[#This Row],[Inspected]]&gt;0,tblInspections[[#This Row],[Defects found]]/tblInspections[[#This Row],[Inspected]],""))</f>
        <v>0.0043010752688172</v>
      </c>
      <c r="N12" s="35">
        <f>IF(tblInspections[[#This Row],[Date]]="","",IF(N(tblInspections[[#This Row],[Opportunities checked]])&gt;0,tblInspections[[#This Row],[Defects found]]/tblInspections[[#This Row],[Opportunities checked]]*1000000,""))</f>
        <v>537.634408602151</v>
      </c>
      <c r="O12" s="39">
        <f>IF(tblInspections[[#This Row],[Date]]="","",IF(AND(tblInspections[[#This Row],[Date]]&gt;=FFrom,tblInspections[[#This Row],[Date]]&lt;=FTo,OR(DashPart="",tblInspections[[#This Row],[Part]]=DashPart)),tblInspections[[#This Row],[Date]],""))</f>
        <v>46266</v>
      </c>
      <c r="P1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 s="41" t="s">
        <v>131</v>
      </c>
    </row>
    <row r="13" spans="1:17">
      <c r="B13" s="34">
        <v>46266</v>
      </c>
      <c r="C13" s="28" t="s">
        <v>137</v>
      </c>
      <c r="D13" s="28" t="s">
        <v>84</v>
      </c>
      <c r="E13" s="29">
        <v>2460</v>
      </c>
      <c r="F13" s="29">
        <v>3</v>
      </c>
      <c r="G13" s="35">
        <f>IF(tblInspections[[#This Row],[Date]]="","",SUMIFS(tblDefects[Count],tblDefects[Lot ID],tblInspections[[#This Row],[Lot ID]]))</f>
        <v>4</v>
      </c>
      <c r="H13" s="35">
        <f>IF(tblInspections[[#This Row],[Date]]="","",IFERROR(INDEX(tblParts[Opportunities],MATCH(tblInspections[[#This Row],[Part]],tblParts[Part],0)),""))</f>
        <v>5</v>
      </c>
      <c r="I13" s="35">
        <f>IF(tblInspections[[#This Row],[Date]]="","",IF(tblInspections[[#This Row],[Opportunities]]="","",tblInspections[[#This Row],[Inspected]]*tblInspections[[#This Row],[Opportunities]]))</f>
        <v>12300</v>
      </c>
      <c r="J13" s="36">
        <f>IF(tblInspections[[#This Row],[Date]]="","",IF(tblInspections[[#This Row],[Inspected]]&gt;0,tblInspections[[#This Row],[Defective]]/tblInspections[[#This Row],[Inspected]],""))</f>
        <v>0.00121951219512195</v>
      </c>
      <c r="K13" s="35">
        <f>IF(tblInspections[[#This Row],[Date]]="","",IF(tblInspections[[#This Row],[Inspected]]&gt;0,tblInspections[[#This Row],[Defective]]/tblInspections[[#This Row],[Inspected]]*1000000,""))</f>
        <v>1219.51219512195</v>
      </c>
      <c r="L13" s="37" t="str">
        <f>IF(NOT(ISNUMBER(tblInspections[[#This Row],[PPM defective]])),"",IF(tblInspections[[#This Row],[PPM defective]]&lt;=TargetPPM,"On target",IF(tblInspections[[#This Row],[PPM defective]]&lt;=TargetPPM*(1+0.05),"Near target","Above target")))</f>
        <v>On target</v>
      </c>
      <c r="M13" s="38">
        <f>IF(tblInspections[[#This Row],[Date]]="","",IF(tblInspections[[#This Row],[Inspected]]&gt;0,tblInspections[[#This Row],[Defects found]]/tblInspections[[#This Row],[Inspected]],""))</f>
        <v>0.0016260162601626</v>
      </c>
      <c r="N13" s="35">
        <f>IF(tblInspections[[#This Row],[Date]]="","",IF(N(tblInspections[[#This Row],[Opportunities checked]])&gt;0,tblInspections[[#This Row],[Defects found]]/tblInspections[[#This Row],[Opportunities checked]]*1000000,""))</f>
        <v>325.20325203252</v>
      </c>
      <c r="O13" s="39">
        <f>IF(tblInspections[[#This Row],[Date]]="","",IF(AND(tblInspections[[#This Row],[Date]]&gt;=FFrom,tblInspections[[#This Row],[Date]]&lt;=FTo,OR(DashPart="",tblInspections[[#This Row],[Part]]=DashPart)),tblInspections[[#This Row],[Date]],""))</f>
        <v>46266</v>
      </c>
      <c r="P1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3" s="41" t="s">
        <v>131</v>
      </c>
    </row>
    <row r="14" spans="1:17">
      <c r="B14" s="34">
        <v>46266</v>
      </c>
      <c r="C14" s="28" t="s">
        <v>138</v>
      </c>
      <c r="D14" s="28" t="s">
        <v>86</v>
      </c>
      <c r="E14" s="29">
        <v>3140</v>
      </c>
      <c r="F14" s="29">
        <v>8</v>
      </c>
      <c r="G14" s="35">
        <f>IF(tblInspections[[#This Row],[Date]]="","",SUMIFS(tblDefects[Count],tblDefects[Lot ID],tblInspections[[#This Row],[Lot ID]]))</f>
        <v>9</v>
      </c>
      <c r="H14" s="35">
        <f>IF(tblInspections[[#This Row],[Date]]="","",IFERROR(INDEX(tblParts[Opportunities],MATCH(tblInspections[[#This Row],[Part]],tblParts[Part],0)),""))</f>
        <v>4</v>
      </c>
      <c r="I14" s="35">
        <f>IF(tblInspections[[#This Row],[Date]]="","",IF(tblInspections[[#This Row],[Opportunities]]="","",tblInspections[[#This Row],[Inspected]]*tblInspections[[#This Row],[Opportunities]]))</f>
        <v>12560</v>
      </c>
      <c r="J14" s="36">
        <f>IF(tblInspections[[#This Row],[Date]]="","",IF(tblInspections[[#This Row],[Inspected]]&gt;0,tblInspections[[#This Row],[Defective]]/tblInspections[[#This Row],[Inspected]],""))</f>
        <v>0.00254777070063694</v>
      </c>
      <c r="K14" s="35">
        <f>IF(tblInspections[[#This Row],[Date]]="","",IF(tblInspections[[#This Row],[Inspected]]&gt;0,tblInspections[[#This Row],[Defective]]/tblInspections[[#This Row],[Inspected]]*1000000,""))</f>
        <v>2547.77070063694</v>
      </c>
      <c r="L14" s="37" t="str">
        <f>IF(NOT(ISNUMBER(tblInspections[[#This Row],[PPM defective]])),"",IF(tblInspections[[#This Row],[PPM defective]]&lt;=TargetPPM,"On target",IF(tblInspections[[#This Row],[PPM defective]]&lt;=TargetPPM*(1+0.05),"Near target","Above target")))</f>
        <v>Above target</v>
      </c>
      <c r="M14" s="38">
        <f>IF(tblInspections[[#This Row],[Date]]="","",IF(tblInspections[[#This Row],[Inspected]]&gt;0,tblInspections[[#This Row],[Defects found]]/tblInspections[[#This Row],[Inspected]],""))</f>
        <v>0.00286624203821656</v>
      </c>
      <c r="N14" s="35">
        <f>IF(tblInspections[[#This Row],[Date]]="","",IF(N(tblInspections[[#This Row],[Opportunities checked]])&gt;0,tblInspections[[#This Row],[Defects found]]/tblInspections[[#This Row],[Opportunities checked]]*1000000,""))</f>
        <v>716.56050955414</v>
      </c>
      <c r="O14" s="39">
        <f>IF(tblInspections[[#This Row],[Date]]="","",IF(AND(tblInspections[[#This Row],[Date]]&gt;=FFrom,tblInspections[[#This Row],[Date]]&lt;=FTo,OR(DashPart="",tblInspections[[#This Row],[Part]]=DashPart)),tblInspections[[#This Row],[Date]],""))</f>
        <v>46266</v>
      </c>
      <c r="P1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4" s="41" t="s">
        <v>131</v>
      </c>
    </row>
    <row r="15" spans="1:17">
      <c r="B15" s="34">
        <v>46267</v>
      </c>
      <c r="C15" s="28" t="s">
        <v>139</v>
      </c>
      <c r="D15" s="28" t="s">
        <v>80</v>
      </c>
      <c r="E15" s="29">
        <v>1590</v>
      </c>
      <c r="F15" s="29">
        <v>1</v>
      </c>
      <c r="G15" s="35">
        <f>IF(tblInspections[[#This Row],[Date]]="","",SUMIFS(tblDefects[Count],tblDefects[Lot ID],tblInspections[[#This Row],[Lot ID]]))</f>
        <v>1</v>
      </c>
      <c r="H15" s="35">
        <f>IF(tblInspections[[#This Row],[Date]]="","",IFERROR(INDEX(tblParts[Opportunities],MATCH(tblInspections[[#This Row],[Part]],tblParts[Part],0)),""))</f>
        <v>6</v>
      </c>
      <c r="I15" s="35">
        <f>IF(tblInspections[[#This Row],[Date]]="","",IF(tblInspections[[#This Row],[Opportunities]]="","",tblInspections[[#This Row],[Inspected]]*tblInspections[[#This Row],[Opportunities]]))</f>
        <v>9540</v>
      </c>
      <c r="J15" s="36">
        <f>IF(tblInspections[[#This Row],[Date]]="","",IF(tblInspections[[#This Row],[Inspected]]&gt;0,tblInspections[[#This Row],[Defective]]/tblInspections[[#This Row],[Inspected]],""))</f>
        <v>0.000628930817610063</v>
      </c>
      <c r="K15" s="35">
        <f>IF(tblInspections[[#This Row],[Date]]="","",IF(tblInspections[[#This Row],[Inspected]]&gt;0,tblInspections[[#This Row],[Defective]]/tblInspections[[#This Row],[Inspected]]*1000000,""))</f>
        <v>628.930817610063</v>
      </c>
      <c r="L15" s="37" t="str">
        <f>IF(NOT(ISNUMBER(tblInspections[[#This Row],[PPM defective]])),"",IF(tblInspections[[#This Row],[PPM defective]]&lt;=TargetPPM,"On target",IF(tblInspections[[#This Row],[PPM defective]]&lt;=TargetPPM*(1+0.05),"Near target","Above target")))</f>
        <v>On target</v>
      </c>
      <c r="M15" s="38">
        <f>IF(tblInspections[[#This Row],[Date]]="","",IF(tblInspections[[#This Row],[Inspected]]&gt;0,tblInspections[[#This Row],[Defects found]]/tblInspections[[#This Row],[Inspected]],""))</f>
        <v>0.000628930817610063</v>
      </c>
      <c r="N15" s="35">
        <f>IF(tblInspections[[#This Row],[Date]]="","",IF(N(tblInspections[[#This Row],[Opportunities checked]])&gt;0,tblInspections[[#This Row],[Defects found]]/tblInspections[[#This Row],[Opportunities checked]]*1000000,""))</f>
        <v>104.82180293501</v>
      </c>
      <c r="O15" s="39">
        <f>IF(tblInspections[[#This Row],[Date]]="","",IF(AND(tblInspections[[#This Row],[Date]]&gt;=FFrom,tblInspections[[#This Row],[Date]]&lt;=FTo,OR(DashPart="",tblInspections[[#This Row],[Part]]=DashPart)),tblInspections[[#This Row],[Date]],""))</f>
        <v>46267</v>
      </c>
      <c r="P1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5" s="41" t="s">
        <v>131</v>
      </c>
    </row>
    <row r="16" spans="1:17">
      <c r="B16" s="34">
        <v>46267</v>
      </c>
      <c r="C16" s="28" t="s">
        <v>140</v>
      </c>
      <c r="D16" s="28" t="s">
        <v>82</v>
      </c>
      <c r="E16" s="29">
        <v>970</v>
      </c>
      <c r="F16" s="29">
        <v>2</v>
      </c>
      <c r="G16" s="35">
        <f>IF(tblInspections[[#This Row],[Date]]="","",SUMIFS(tblDefects[Count],tblDefects[Lot ID],tblInspections[[#This Row],[Lot ID]]))</f>
        <v>2</v>
      </c>
      <c r="H16" s="35">
        <f>IF(tblInspections[[#This Row],[Date]]="","",IFERROR(INDEX(tblParts[Opportunities],MATCH(tblInspections[[#This Row],[Part]],tblParts[Part],0)),""))</f>
        <v>8</v>
      </c>
      <c r="I16" s="35">
        <f>IF(tblInspections[[#This Row],[Date]]="","",IF(tblInspections[[#This Row],[Opportunities]]="","",tblInspections[[#This Row],[Inspected]]*tblInspections[[#This Row],[Opportunities]]))</f>
        <v>7760</v>
      </c>
      <c r="J16" s="36">
        <f>IF(tblInspections[[#This Row],[Date]]="","",IF(tblInspections[[#This Row],[Inspected]]&gt;0,tblInspections[[#This Row],[Defective]]/tblInspections[[#This Row],[Inspected]],""))</f>
        <v>0.00206185567010309</v>
      </c>
      <c r="K16" s="35">
        <f>IF(tblInspections[[#This Row],[Date]]="","",IF(tblInspections[[#This Row],[Inspected]]&gt;0,tblInspections[[#This Row],[Defective]]/tblInspections[[#This Row],[Inspected]]*1000000,""))</f>
        <v>2061.85567010309</v>
      </c>
      <c r="L16" s="37" t="str">
        <f>IF(NOT(ISNUMBER(tblInspections[[#This Row],[PPM defective]])),"",IF(tblInspections[[#This Row],[PPM defective]]&lt;=TargetPPM,"On target",IF(tblInspections[[#This Row],[PPM defective]]&lt;=TargetPPM*(1+0.05),"Near target","Above target")))</f>
        <v>Above target</v>
      </c>
      <c r="M16" s="38">
        <f>IF(tblInspections[[#This Row],[Date]]="","",IF(tblInspections[[#This Row],[Inspected]]&gt;0,tblInspections[[#This Row],[Defects found]]/tblInspections[[#This Row],[Inspected]],""))</f>
        <v>0.00206185567010309</v>
      </c>
      <c r="N16" s="35">
        <f>IF(tblInspections[[#This Row],[Date]]="","",IF(N(tblInspections[[#This Row],[Opportunities checked]])&gt;0,tblInspections[[#This Row],[Defects found]]/tblInspections[[#This Row],[Opportunities checked]]*1000000,""))</f>
        <v>257.731958762887</v>
      </c>
      <c r="O16" s="39">
        <f>IF(tblInspections[[#This Row],[Date]]="","",IF(AND(tblInspections[[#This Row],[Date]]&gt;=FFrom,tblInspections[[#This Row],[Date]]&lt;=FTo,OR(DashPart="",tblInspections[[#This Row],[Part]]=DashPart)),tblInspections[[#This Row],[Date]],""))</f>
        <v>46267</v>
      </c>
      <c r="P1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6" s="41" t="s">
        <v>131</v>
      </c>
    </row>
    <row r="17" spans="2:17">
      <c r="B17" s="34">
        <v>46267</v>
      </c>
      <c r="C17" s="28" t="s">
        <v>141</v>
      </c>
      <c r="D17" s="28" t="s">
        <v>84</v>
      </c>
      <c r="E17" s="29">
        <v>2540</v>
      </c>
      <c r="F17" s="29">
        <v>3</v>
      </c>
      <c r="G17" s="35">
        <f>IF(tblInspections[[#This Row],[Date]]="","",SUMIFS(tblDefects[Count],tblDefects[Lot ID],tblInspections[[#This Row],[Lot ID]]))</f>
        <v>3</v>
      </c>
      <c r="H17" s="35">
        <f>IF(tblInspections[[#This Row],[Date]]="","",IFERROR(INDEX(tblParts[Opportunities],MATCH(tblInspections[[#This Row],[Part]],tblParts[Part],0)),""))</f>
        <v>5</v>
      </c>
      <c r="I17" s="35">
        <f>IF(tblInspections[[#This Row],[Date]]="","",IF(tblInspections[[#This Row],[Opportunities]]="","",tblInspections[[#This Row],[Inspected]]*tblInspections[[#This Row],[Opportunities]]))</f>
        <v>12700</v>
      </c>
      <c r="J17" s="36">
        <f>IF(tblInspections[[#This Row],[Date]]="","",IF(tblInspections[[#This Row],[Inspected]]&gt;0,tblInspections[[#This Row],[Defective]]/tblInspections[[#This Row],[Inspected]],""))</f>
        <v>0.00118110236220472</v>
      </c>
      <c r="K17" s="35">
        <f>IF(tblInspections[[#This Row],[Date]]="","",IF(tblInspections[[#This Row],[Inspected]]&gt;0,tblInspections[[#This Row],[Defective]]/tblInspections[[#This Row],[Inspected]]*1000000,""))</f>
        <v>1181.10236220472</v>
      </c>
      <c r="L17" s="37" t="str">
        <f>IF(NOT(ISNUMBER(tblInspections[[#This Row],[PPM defective]])),"",IF(tblInspections[[#This Row],[PPM defective]]&lt;=TargetPPM,"On target",IF(tblInspections[[#This Row],[PPM defective]]&lt;=TargetPPM*(1+0.05),"Near target","Above target")))</f>
        <v>On target</v>
      </c>
      <c r="M17" s="38">
        <f>IF(tblInspections[[#This Row],[Date]]="","",IF(tblInspections[[#This Row],[Inspected]]&gt;0,tblInspections[[#This Row],[Defects found]]/tblInspections[[#This Row],[Inspected]],""))</f>
        <v>0.00118110236220472</v>
      </c>
      <c r="N17" s="35">
        <f>IF(tblInspections[[#This Row],[Date]]="","",IF(N(tblInspections[[#This Row],[Opportunities checked]])&gt;0,tblInspections[[#This Row],[Defects found]]/tblInspections[[#This Row],[Opportunities checked]]*1000000,""))</f>
        <v>236.220472440945</v>
      </c>
      <c r="O17" s="39">
        <f>IF(tblInspections[[#This Row],[Date]]="","",IF(AND(tblInspections[[#This Row],[Date]]&gt;=FFrom,tblInspections[[#This Row],[Date]]&lt;=FTo,OR(DashPart="",tblInspections[[#This Row],[Part]]=DashPart)),tblInspections[[#This Row],[Date]],""))</f>
        <v>46267</v>
      </c>
      <c r="P1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7" s="41" t="s">
        <v>131</v>
      </c>
    </row>
    <row r="18" spans="2:17">
      <c r="B18" s="34">
        <v>46267</v>
      </c>
      <c r="C18" s="28" t="s">
        <v>142</v>
      </c>
      <c r="D18" s="28" t="s">
        <v>86</v>
      </c>
      <c r="E18" s="29">
        <v>3320</v>
      </c>
      <c r="F18" s="29">
        <v>0</v>
      </c>
      <c r="G18" s="35">
        <f>IF(tblInspections[[#This Row],[Date]]="","",SUMIFS(tblDefects[Count],tblDefects[Lot ID],tblInspections[[#This Row],[Lot ID]]))</f>
        <v>0</v>
      </c>
      <c r="H18" s="35">
        <f>IF(tblInspections[[#This Row],[Date]]="","",IFERROR(INDEX(tblParts[Opportunities],MATCH(tblInspections[[#This Row],[Part]],tblParts[Part],0)),""))</f>
        <v>4</v>
      </c>
      <c r="I18" s="35">
        <f>IF(tblInspections[[#This Row],[Date]]="","",IF(tblInspections[[#This Row],[Opportunities]]="","",tblInspections[[#This Row],[Inspected]]*tblInspections[[#This Row],[Opportunities]]))</f>
        <v>13280</v>
      </c>
      <c r="J18" s="36">
        <f>IF(tblInspections[[#This Row],[Date]]="","",IF(tblInspections[[#This Row],[Inspected]]&gt;0,tblInspections[[#This Row],[Defective]]/tblInspections[[#This Row],[Inspected]],""))</f>
        <v>0</v>
      </c>
      <c r="K18" s="35">
        <f>IF(tblInspections[[#This Row],[Date]]="","",IF(tblInspections[[#This Row],[Inspected]]&gt;0,tblInspections[[#This Row],[Defective]]/tblInspections[[#This Row],[Inspected]]*1000000,""))</f>
        <v>0</v>
      </c>
      <c r="L18" s="37" t="str">
        <f>IF(NOT(ISNUMBER(tblInspections[[#This Row],[PPM defective]])),"",IF(tblInspections[[#This Row],[PPM defective]]&lt;=TargetPPM,"On target",IF(tblInspections[[#This Row],[PPM defective]]&lt;=TargetPPM*(1+0.05),"Near target","Above target")))</f>
        <v>On target</v>
      </c>
      <c r="M18" s="38">
        <f>IF(tblInspections[[#This Row],[Date]]="","",IF(tblInspections[[#This Row],[Inspected]]&gt;0,tblInspections[[#This Row],[Defects found]]/tblInspections[[#This Row],[Inspected]],""))</f>
        <v>0</v>
      </c>
      <c r="N18" s="35">
        <f>IF(tblInspections[[#This Row],[Date]]="","",IF(N(tblInspections[[#This Row],[Opportunities checked]])&gt;0,tblInspections[[#This Row],[Defects found]]/tblInspections[[#This Row],[Opportunities checked]]*1000000,""))</f>
        <v>0</v>
      </c>
      <c r="O18" s="39">
        <f>IF(tblInspections[[#This Row],[Date]]="","",IF(AND(tblInspections[[#This Row],[Date]]&gt;=FFrom,tblInspections[[#This Row],[Date]]&lt;=FTo,OR(DashPart="",tblInspections[[#This Row],[Part]]=DashPart)),tblInspections[[#This Row],[Date]],""))</f>
        <v>46267</v>
      </c>
      <c r="P1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8" s="41" t="s">
        <v>131</v>
      </c>
    </row>
    <row r="19" spans="2:17">
      <c r="B19" s="34">
        <v>46268</v>
      </c>
      <c r="C19" s="28" t="s">
        <v>143</v>
      </c>
      <c r="D19" s="28" t="s">
        <v>80</v>
      </c>
      <c r="E19" s="29">
        <v>1430</v>
      </c>
      <c r="F19" s="29">
        <v>2</v>
      </c>
      <c r="G19" s="35">
        <f>IF(tblInspections[[#This Row],[Date]]="","",SUMIFS(tblDefects[Count],tblDefects[Lot ID],tblInspections[[#This Row],[Lot ID]]))</f>
        <v>2</v>
      </c>
      <c r="H19" s="35">
        <f>IF(tblInspections[[#This Row],[Date]]="","",IFERROR(INDEX(tblParts[Opportunities],MATCH(tblInspections[[#This Row],[Part]],tblParts[Part],0)),""))</f>
        <v>6</v>
      </c>
      <c r="I19" s="35">
        <f>IF(tblInspections[[#This Row],[Date]]="","",IF(tblInspections[[#This Row],[Opportunities]]="","",tblInspections[[#This Row],[Inspected]]*tblInspections[[#This Row],[Opportunities]]))</f>
        <v>8580</v>
      </c>
      <c r="J19" s="36">
        <f>IF(tblInspections[[#This Row],[Date]]="","",IF(tblInspections[[#This Row],[Inspected]]&gt;0,tblInspections[[#This Row],[Defective]]/tblInspections[[#This Row],[Inspected]],""))</f>
        <v>0.0013986013986014</v>
      </c>
      <c r="K19" s="35">
        <f>IF(tblInspections[[#This Row],[Date]]="","",IF(tblInspections[[#This Row],[Inspected]]&gt;0,tblInspections[[#This Row],[Defective]]/tblInspections[[#This Row],[Inspected]]*1000000,""))</f>
        <v>1398.6013986014</v>
      </c>
      <c r="L19" s="37" t="str">
        <f>IF(NOT(ISNUMBER(tblInspections[[#This Row],[PPM defective]])),"",IF(tblInspections[[#This Row],[PPM defective]]&lt;=TargetPPM,"On target",IF(tblInspections[[#This Row],[PPM defective]]&lt;=TargetPPM*(1+0.05),"Near target","Above target")))</f>
        <v>On target</v>
      </c>
      <c r="M19" s="38">
        <f>IF(tblInspections[[#This Row],[Date]]="","",IF(tblInspections[[#This Row],[Inspected]]&gt;0,tblInspections[[#This Row],[Defects found]]/tblInspections[[#This Row],[Inspected]],""))</f>
        <v>0.0013986013986014</v>
      </c>
      <c r="N19" s="35">
        <f>IF(tblInspections[[#This Row],[Date]]="","",IF(N(tblInspections[[#This Row],[Opportunities checked]])&gt;0,tblInspections[[#This Row],[Defects found]]/tblInspections[[#This Row],[Opportunities checked]]*1000000,""))</f>
        <v>233.100233100233</v>
      </c>
      <c r="O19" s="39">
        <f>IF(tblInspections[[#This Row],[Date]]="","",IF(AND(tblInspections[[#This Row],[Date]]&gt;=FFrom,tblInspections[[#This Row],[Date]]&lt;=FTo,OR(DashPart="",tblInspections[[#This Row],[Part]]=DashPart)),tblInspections[[#This Row],[Date]],""))</f>
        <v>46268</v>
      </c>
      <c r="P1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9" s="41" t="s">
        <v>131</v>
      </c>
    </row>
    <row r="20" spans="2:17">
      <c r="B20" s="34">
        <v>46268</v>
      </c>
      <c r="C20" s="28" t="s">
        <v>144</v>
      </c>
      <c r="D20" s="28" t="s">
        <v>82</v>
      </c>
      <c r="E20" s="29">
        <v>810</v>
      </c>
      <c r="F20" s="29">
        <v>3</v>
      </c>
      <c r="G20" s="35">
        <f>IF(tblInspections[[#This Row],[Date]]="","",SUMIFS(tblDefects[Count],tblDefects[Lot ID],tblInspections[[#This Row],[Lot ID]]))</f>
        <v>3</v>
      </c>
      <c r="H20" s="35">
        <f>IF(tblInspections[[#This Row],[Date]]="","",IFERROR(INDEX(tblParts[Opportunities],MATCH(tblInspections[[#This Row],[Part]],tblParts[Part],0)),""))</f>
        <v>8</v>
      </c>
      <c r="I20" s="35">
        <f>IF(tblInspections[[#This Row],[Date]]="","",IF(tblInspections[[#This Row],[Opportunities]]="","",tblInspections[[#This Row],[Inspected]]*tblInspections[[#This Row],[Opportunities]]))</f>
        <v>6480</v>
      </c>
      <c r="J20" s="36">
        <f>IF(tblInspections[[#This Row],[Date]]="","",IF(tblInspections[[#This Row],[Inspected]]&gt;0,tblInspections[[#This Row],[Defective]]/tblInspections[[#This Row],[Inspected]],""))</f>
        <v>0.0037037037037037</v>
      </c>
      <c r="K20" s="35">
        <f>IF(tblInspections[[#This Row],[Date]]="","",IF(tblInspections[[#This Row],[Inspected]]&gt;0,tblInspections[[#This Row],[Defective]]/tblInspections[[#This Row],[Inspected]]*1000000,""))</f>
        <v>3703.7037037037</v>
      </c>
      <c r="L20" s="37" t="str">
        <f>IF(NOT(ISNUMBER(tblInspections[[#This Row],[PPM defective]])),"",IF(tblInspections[[#This Row],[PPM defective]]&lt;=TargetPPM,"On target",IF(tblInspections[[#This Row],[PPM defective]]&lt;=TargetPPM*(1+0.05),"Near target","Above target")))</f>
        <v>Above target</v>
      </c>
      <c r="M20" s="38">
        <f>IF(tblInspections[[#This Row],[Date]]="","",IF(tblInspections[[#This Row],[Inspected]]&gt;0,tblInspections[[#This Row],[Defects found]]/tblInspections[[#This Row],[Inspected]],""))</f>
        <v>0.0037037037037037</v>
      </c>
      <c r="N20" s="35">
        <f>IF(tblInspections[[#This Row],[Date]]="","",IF(N(tblInspections[[#This Row],[Opportunities checked]])&gt;0,tblInspections[[#This Row],[Defects found]]/tblInspections[[#This Row],[Opportunities checked]]*1000000,""))</f>
        <v>462.962962962963</v>
      </c>
      <c r="O20" s="39">
        <f>IF(tblInspections[[#This Row],[Date]]="","",IF(AND(tblInspections[[#This Row],[Date]]&gt;=FFrom,tblInspections[[#This Row],[Date]]&lt;=FTo,OR(DashPart="",tblInspections[[#This Row],[Part]]=DashPart)),tblInspections[[#This Row],[Date]],""))</f>
        <v>46268</v>
      </c>
      <c r="P2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0" s="41" t="s">
        <v>131</v>
      </c>
    </row>
    <row r="21" spans="2:17">
      <c r="B21" s="34">
        <v>46268</v>
      </c>
      <c r="C21" s="28" t="s">
        <v>145</v>
      </c>
      <c r="D21" s="28" t="s">
        <v>84</v>
      </c>
      <c r="E21" s="29">
        <v>2400</v>
      </c>
      <c r="F21" s="29">
        <v>0</v>
      </c>
      <c r="G21" s="35">
        <f>IF(tblInspections[[#This Row],[Date]]="","",SUMIFS(tblDefects[Count],tblDefects[Lot ID],tblInspections[[#This Row],[Lot ID]]))</f>
        <v>0</v>
      </c>
      <c r="H21" s="35">
        <f>IF(tblInspections[[#This Row],[Date]]="","",IFERROR(INDEX(tblParts[Opportunities],MATCH(tblInspections[[#This Row],[Part]],tblParts[Part],0)),""))</f>
        <v>5</v>
      </c>
      <c r="I21" s="35">
        <f>IF(tblInspections[[#This Row],[Date]]="","",IF(tblInspections[[#This Row],[Opportunities]]="","",tblInspections[[#This Row],[Inspected]]*tblInspections[[#This Row],[Opportunities]]))</f>
        <v>12000</v>
      </c>
      <c r="J21" s="36">
        <f>IF(tblInspections[[#This Row],[Date]]="","",IF(tblInspections[[#This Row],[Inspected]]&gt;0,tblInspections[[#This Row],[Defective]]/tblInspections[[#This Row],[Inspected]],""))</f>
        <v>0</v>
      </c>
      <c r="K21" s="35">
        <f>IF(tblInspections[[#This Row],[Date]]="","",IF(tblInspections[[#This Row],[Inspected]]&gt;0,tblInspections[[#This Row],[Defective]]/tblInspections[[#This Row],[Inspected]]*1000000,""))</f>
        <v>0</v>
      </c>
      <c r="L21" s="37" t="str">
        <f>IF(NOT(ISNUMBER(tblInspections[[#This Row],[PPM defective]])),"",IF(tblInspections[[#This Row],[PPM defective]]&lt;=TargetPPM,"On target",IF(tblInspections[[#This Row],[PPM defective]]&lt;=TargetPPM*(1+0.05),"Near target","Above target")))</f>
        <v>On target</v>
      </c>
      <c r="M21" s="38">
        <f>IF(tblInspections[[#This Row],[Date]]="","",IF(tblInspections[[#This Row],[Inspected]]&gt;0,tblInspections[[#This Row],[Defects found]]/tblInspections[[#This Row],[Inspected]],""))</f>
        <v>0</v>
      </c>
      <c r="N21" s="35">
        <f>IF(tblInspections[[#This Row],[Date]]="","",IF(N(tblInspections[[#This Row],[Opportunities checked]])&gt;0,tblInspections[[#This Row],[Defects found]]/tblInspections[[#This Row],[Opportunities checked]]*1000000,""))</f>
        <v>0</v>
      </c>
      <c r="O21" s="39">
        <f>IF(tblInspections[[#This Row],[Date]]="","",IF(AND(tblInspections[[#This Row],[Date]]&gt;=FFrom,tblInspections[[#This Row],[Date]]&lt;=FTo,OR(DashPart="",tblInspections[[#This Row],[Part]]=DashPart)),tblInspections[[#This Row],[Date]],""))</f>
        <v>46268</v>
      </c>
      <c r="P2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1" s="41" t="s">
        <v>131</v>
      </c>
    </row>
    <row r="22" spans="2:17">
      <c r="B22" s="34">
        <v>46268</v>
      </c>
      <c r="C22" s="28" t="s">
        <v>146</v>
      </c>
      <c r="D22" s="28" t="s">
        <v>86</v>
      </c>
      <c r="E22" s="29">
        <v>3300</v>
      </c>
      <c r="F22" s="29">
        <v>4</v>
      </c>
      <c r="G22" s="35">
        <f>IF(tblInspections[[#This Row],[Date]]="","",SUMIFS(tblDefects[Count],tblDefects[Lot ID],tblInspections[[#This Row],[Lot ID]]))</f>
        <v>4</v>
      </c>
      <c r="H22" s="35">
        <f>IF(tblInspections[[#This Row],[Date]]="","",IFERROR(INDEX(tblParts[Opportunities],MATCH(tblInspections[[#This Row],[Part]],tblParts[Part],0)),""))</f>
        <v>4</v>
      </c>
      <c r="I22" s="35">
        <f>IF(tblInspections[[#This Row],[Date]]="","",IF(tblInspections[[#This Row],[Opportunities]]="","",tblInspections[[#This Row],[Inspected]]*tblInspections[[#This Row],[Opportunities]]))</f>
        <v>13200</v>
      </c>
      <c r="J22" s="36">
        <f>IF(tblInspections[[#This Row],[Date]]="","",IF(tblInspections[[#This Row],[Inspected]]&gt;0,tblInspections[[#This Row],[Defective]]/tblInspections[[#This Row],[Inspected]],""))</f>
        <v>0.00121212121212121</v>
      </c>
      <c r="K22" s="35">
        <f>IF(tblInspections[[#This Row],[Date]]="","",IF(tblInspections[[#This Row],[Inspected]]&gt;0,tblInspections[[#This Row],[Defective]]/tblInspections[[#This Row],[Inspected]]*1000000,""))</f>
        <v>1212.12121212121</v>
      </c>
      <c r="L22" s="37" t="str">
        <f>IF(NOT(ISNUMBER(tblInspections[[#This Row],[PPM defective]])),"",IF(tblInspections[[#This Row],[PPM defective]]&lt;=TargetPPM,"On target",IF(tblInspections[[#This Row],[PPM defective]]&lt;=TargetPPM*(1+0.05),"Near target","Above target")))</f>
        <v>On target</v>
      </c>
      <c r="M22" s="38">
        <f>IF(tblInspections[[#This Row],[Date]]="","",IF(tblInspections[[#This Row],[Inspected]]&gt;0,tblInspections[[#This Row],[Defects found]]/tblInspections[[#This Row],[Inspected]],""))</f>
        <v>0.00121212121212121</v>
      </c>
      <c r="N22" s="35">
        <f>IF(tblInspections[[#This Row],[Date]]="","",IF(N(tblInspections[[#This Row],[Opportunities checked]])&gt;0,tblInspections[[#This Row],[Defects found]]/tblInspections[[#This Row],[Opportunities checked]]*1000000,""))</f>
        <v>303.030303030303</v>
      </c>
      <c r="O22" s="39">
        <f>IF(tblInspections[[#This Row],[Date]]="","",IF(AND(tblInspections[[#This Row],[Date]]&gt;=FFrom,tblInspections[[#This Row],[Date]]&lt;=FTo,OR(DashPart="",tblInspections[[#This Row],[Part]]=DashPart)),tblInspections[[#This Row],[Date]],""))</f>
        <v>46268</v>
      </c>
      <c r="P2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2" s="41" t="s">
        <v>131</v>
      </c>
    </row>
    <row r="23" spans="2:17">
      <c r="B23" s="34">
        <v>46269</v>
      </c>
      <c r="C23" s="28" t="s">
        <v>147</v>
      </c>
      <c r="D23" s="28" t="s">
        <v>80</v>
      </c>
      <c r="E23" s="29">
        <v>1380</v>
      </c>
      <c r="F23" s="29">
        <v>0</v>
      </c>
      <c r="G23" s="35">
        <f>IF(tblInspections[[#This Row],[Date]]="","",SUMIFS(tblDefects[Count],tblDefects[Lot ID],tblInspections[[#This Row],[Lot ID]]))</f>
        <v>0</v>
      </c>
      <c r="H23" s="35">
        <f>IF(tblInspections[[#This Row],[Date]]="","",IFERROR(INDEX(tblParts[Opportunities],MATCH(tblInspections[[#This Row],[Part]],tblParts[Part],0)),""))</f>
        <v>6</v>
      </c>
      <c r="I23" s="35">
        <f>IF(tblInspections[[#This Row],[Date]]="","",IF(tblInspections[[#This Row],[Opportunities]]="","",tblInspections[[#This Row],[Inspected]]*tblInspections[[#This Row],[Opportunities]]))</f>
        <v>8280</v>
      </c>
      <c r="J23" s="36">
        <f>IF(tblInspections[[#This Row],[Date]]="","",IF(tblInspections[[#This Row],[Inspected]]&gt;0,tblInspections[[#This Row],[Defective]]/tblInspections[[#This Row],[Inspected]],""))</f>
        <v>0</v>
      </c>
      <c r="K23" s="35">
        <f>IF(tblInspections[[#This Row],[Date]]="","",IF(tblInspections[[#This Row],[Inspected]]&gt;0,tblInspections[[#This Row],[Defective]]/tblInspections[[#This Row],[Inspected]]*1000000,""))</f>
        <v>0</v>
      </c>
      <c r="L23" s="37" t="str">
        <f>IF(NOT(ISNUMBER(tblInspections[[#This Row],[PPM defective]])),"",IF(tblInspections[[#This Row],[PPM defective]]&lt;=TargetPPM,"On target",IF(tblInspections[[#This Row],[PPM defective]]&lt;=TargetPPM*(1+0.05),"Near target","Above target")))</f>
        <v>On target</v>
      </c>
      <c r="M23" s="38">
        <f>IF(tblInspections[[#This Row],[Date]]="","",IF(tblInspections[[#This Row],[Inspected]]&gt;0,tblInspections[[#This Row],[Defects found]]/tblInspections[[#This Row],[Inspected]],""))</f>
        <v>0</v>
      </c>
      <c r="N23" s="35">
        <f>IF(tblInspections[[#This Row],[Date]]="","",IF(N(tblInspections[[#This Row],[Opportunities checked]])&gt;0,tblInspections[[#This Row],[Defects found]]/tblInspections[[#This Row],[Opportunities checked]]*1000000,""))</f>
        <v>0</v>
      </c>
      <c r="O23" s="39">
        <f>IF(tblInspections[[#This Row],[Date]]="","",IF(AND(tblInspections[[#This Row],[Date]]&gt;=FFrom,tblInspections[[#This Row],[Date]]&lt;=FTo,OR(DashPart="",tblInspections[[#This Row],[Part]]=DashPart)),tblInspections[[#This Row],[Date]],""))</f>
        <v>46269</v>
      </c>
      <c r="P2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3" s="41" t="s">
        <v>131</v>
      </c>
    </row>
    <row r="24" spans="2:17">
      <c r="B24" s="34">
        <v>46269</v>
      </c>
      <c r="C24" s="28" t="s">
        <v>148</v>
      </c>
      <c r="D24" s="28" t="s">
        <v>82</v>
      </c>
      <c r="E24" s="29">
        <v>820</v>
      </c>
      <c r="F24" s="29">
        <v>1</v>
      </c>
      <c r="G24" s="35">
        <f>IF(tblInspections[[#This Row],[Date]]="","",SUMIFS(tblDefects[Count],tblDefects[Lot ID],tblInspections[[#This Row],[Lot ID]]))</f>
        <v>1</v>
      </c>
      <c r="H24" s="35">
        <f>IF(tblInspections[[#This Row],[Date]]="","",IFERROR(INDEX(tblParts[Opportunities],MATCH(tblInspections[[#This Row],[Part]],tblParts[Part],0)),""))</f>
        <v>8</v>
      </c>
      <c r="I24" s="35">
        <f>IF(tblInspections[[#This Row],[Date]]="","",IF(tblInspections[[#This Row],[Opportunities]]="","",tblInspections[[#This Row],[Inspected]]*tblInspections[[#This Row],[Opportunities]]))</f>
        <v>6560</v>
      </c>
      <c r="J24" s="36">
        <f>IF(tblInspections[[#This Row],[Date]]="","",IF(tblInspections[[#This Row],[Inspected]]&gt;0,tblInspections[[#This Row],[Defective]]/tblInspections[[#This Row],[Inspected]],""))</f>
        <v>0.00121951219512195</v>
      </c>
      <c r="K24" s="35">
        <f>IF(tblInspections[[#This Row],[Date]]="","",IF(tblInspections[[#This Row],[Inspected]]&gt;0,tblInspections[[#This Row],[Defective]]/tblInspections[[#This Row],[Inspected]]*1000000,""))</f>
        <v>1219.51219512195</v>
      </c>
      <c r="L24" s="37" t="str">
        <f>IF(NOT(ISNUMBER(tblInspections[[#This Row],[PPM defective]])),"",IF(tblInspections[[#This Row],[PPM defective]]&lt;=TargetPPM,"On target",IF(tblInspections[[#This Row],[PPM defective]]&lt;=TargetPPM*(1+0.05),"Near target","Above target")))</f>
        <v>On target</v>
      </c>
      <c r="M24" s="38">
        <f>IF(tblInspections[[#This Row],[Date]]="","",IF(tblInspections[[#This Row],[Inspected]]&gt;0,tblInspections[[#This Row],[Defects found]]/tblInspections[[#This Row],[Inspected]],""))</f>
        <v>0.00121951219512195</v>
      </c>
      <c r="N24" s="35">
        <f>IF(tblInspections[[#This Row],[Date]]="","",IF(N(tblInspections[[#This Row],[Opportunities checked]])&gt;0,tblInspections[[#This Row],[Defects found]]/tblInspections[[#This Row],[Opportunities checked]]*1000000,""))</f>
        <v>152.439024390244</v>
      </c>
      <c r="O24" s="39">
        <f>IF(tblInspections[[#This Row],[Date]]="","",IF(AND(tblInspections[[#This Row],[Date]]&gt;=FFrom,tblInspections[[#This Row],[Date]]&lt;=FTo,OR(DashPart="",tblInspections[[#This Row],[Part]]=DashPart)),tblInspections[[#This Row],[Date]],""))</f>
        <v>46269</v>
      </c>
      <c r="P2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4" s="41" t="s">
        <v>131</v>
      </c>
    </row>
    <row r="25" spans="2:17">
      <c r="B25" s="34">
        <v>46269</v>
      </c>
      <c r="C25" s="28" t="s">
        <v>149</v>
      </c>
      <c r="D25" s="28" t="s">
        <v>84</v>
      </c>
      <c r="E25" s="29">
        <v>2590</v>
      </c>
      <c r="F25" s="29">
        <v>5</v>
      </c>
      <c r="G25" s="35">
        <f>IF(tblInspections[[#This Row],[Date]]="","",SUMIFS(tblDefects[Count],tblDefects[Lot ID],tblInspections[[#This Row],[Lot ID]]))</f>
        <v>5</v>
      </c>
      <c r="H25" s="35">
        <f>IF(tblInspections[[#This Row],[Date]]="","",IFERROR(INDEX(tblParts[Opportunities],MATCH(tblInspections[[#This Row],[Part]],tblParts[Part],0)),""))</f>
        <v>5</v>
      </c>
      <c r="I25" s="35">
        <f>IF(tblInspections[[#This Row],[Date]]="","",IF(tblInspections[[#This Row],[Opportunities]]="","",tblInspections[[#This Row],[Inspected]]*tblInspections[[#This Row],[Opportunities]]))</f>
        <v>12950</v>
      </c>
      <c r="J25" s="36">
        <f>IF(tblInspections[[#This Row],[Date]]="","",IF(tblInspections[[#This Row],[Inspected]]&gt;0,tblInspections[[#This Row],[Defective]]/tblInspections[[#This Row],[Inspected]],""))</f>
        <v>0.00193050193050193</v>
      </c>
      <c r="K25" s="35">
        <f>IF(tblInspections[[#This Row],[Date]]="","",IF(tblInspections[[#This Row],[Inspected]]&gt;0,tblInspections[[#This Row],[Defective]]/tblInspections[[#This Row],[Inspected]]*1000000,""))</f>
        <v>1930.50193050193</v>
      </c>
      <c r="L25" s="37" t="str">
        <f>IF(NOT(ISNUMBER(tblInspections[[#This Row],[PPM defective]])),"",IF(tblInspections[[#This Row],[PPM defective]]&lt;=TargetPPM,"On target",IF(tblInspections[[#This Row],[PPM defective]]&lt;=TargetPPM*(1+0.05),"Near target","Above target")))</f>
        <v>Above target</v>
      </c>
      <c r="M25" s="38">
        <f>IF(tblInspections[[#This Row],[Date]]="","",IF(tblInspections[[#This Row],[Inspected]]&gt;0,tblInspections[[#This Row],[Defects found]]/tblInspections[[#This Row],[Inspected]],""))</f>
        <v>0.00193050193050193</v>
      </c>
      <c r="N25" s="35">
        <f>IF(tblInspections[[#This Row],[Date]]="","",IF(N(tblInspections[[#This Row],[Opportunities checked]])&gt;0,tblInspections[[#This Row],[Defects found]]/tblInspections[[#This Row],[Opportunities checked]]*1000000,""))</f>
        <v>386.100386100386</v>
      </c>
      <c r="O25" s="39">
        <f>IF(tblInspections[[#This Row],[Date]]="","",IF(AND(tblInspections[[#This Row],[Date]]&gt;=FFrom,tblInspections[[#This Row],[Date]]&lt;=FTo,OR(DashPart="",tblInspections[[#This Row],[Part]]=DashPart)),tblInspections[[#This Row],[Date]],""))</f>
        <v>46269</v>
      </c>
      <c r="P2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5" s="41" t="s">
        <v>131</v>
      </c>
    </row>
    <row r="26" spans="2:17">
      <c r="B26" s="34">
        <v>46269</v>
      </c>
      <c r="C26" s="28" t="s">
        <v>150</v>
      </c>
      <c r="D26" s="28" t="s">
        <v>86</v>
      </c>
      <c r="E26" s="29">
        <v>2880</v>
      </c>
      <c r="F26" s="29">
        <v>6</v>
      </c>
      <c r="G26" s="35">
        <f>IF(tblInspections[[#This Row],[Date]]="","",SUMIFS(tblDefects[Count],tblDefects[Lot ID],tblInspections[[#This Row],[Lot ID]]))</f>
        <v>8</v>
      </c>
      <c r="H26" s="35">
        <f>IF(tblInspections[[#This Row],[Date]]="","",IFERROR(INDEX(tblParts[Opportunities],MATCH(tblInspections[[#This Row],[Part]],tblParts[Part],0)),""))</f>
        <v>4</v>
      </c>
      <c r="I26" s="35">
        <f>IF(tblInspections[[#This Row],[Date]]="","",IF(tblInspections[[#This Row],[Opportunities]]="","",tblInspections[[#This Row],[Inspected]]*tblInspections[[#This Row],[Opportunities]]))</f>
        <v>11520</v>
      </c>
      <c r="J26" s="36">
        <f>IF(tblInspections[[#This Row],[Date]]="","",IF(tblInspections[[#This Row],[Inspected]]&gt;0,tblInspections[[#This Row],[Defective]]/tblInspections[[#This Row],[Inspected]],""))</f>
        <v>0.00208333333333333</v>
      </c>
      <c r="K26" s="35">
        <f>IF(tblInspections[[#This Row],[Date]]="","",IF(tblInspections[[#This Row],[Inspected]]&gt;0,tblInspections[[#This Row],[Defective]]/tblInspections[[#This Row],[Inspected]]*1000000,""))</f>
        <v>2083.33333333333</v>
      </c>
      <c r="L26" s="37" t="str">
        <f>IF(NOT(ISNUMBER(tblInspections[[#This Row],[PPM defective]])),"",IF(tblInspections[[#This Row],[PPM defective]]&lt;=TargetPPM,"On target",IF(tblInspections[[#This Row],[PPM defective]]&lt;=TargetPPM*(1+0.05),"Near target","Above target")))</f>
        <v>Above target</v>
      </c>
      <c r="M26" s="38">
        <f>IF(tblInspections[[#This Row],[Date]]="","",IF(tblInspections[[#This Row],[Inspected]]&gt;0,tblInspections[[#This Row],[Defects found]]/tblInspections[[#This Row],[Inspected]],""))</f>
        <v>0.00277777777777778</v>
      </c>
      <c r="N26" s="35">
        <f>IF(tblInspections[[#This Row],[Date]]="","",IF(N(tblInspections[[#This Row],[Opportunities checked]])&gt;0,tblInspections[[#This Row],[Defects found]]/tblInspections[[#This Row],[Opportunities checked]]*1000000,""))</f>
        <v>694.444444444445</v>
      </c>
      <c r="O26" s="39">
        <f>IF(tblInspections[[#This Row],[Date]]="","",IF(AND(tblInspections[[#This Row],[Date]]&gt;=FFrom,tblInspections[[#This Row],[Date]]&lt;=FTo,OR(DashPart="",tblInspections[[#This Row],[Part]]=DashPart)),tblInspections[[#This Row],[Date]],""))</f>
        <v>46269</v>
      </c>
      <c r="P2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6" s="41" t="s">
        <v>131</v>
      </c>
    </row>
    <row r="27" spans="2:17">
      <c r="B27" s="34">
        <v>46272</v>
      </c>
      <c r="C27" s="28" t="s">
        <v>151</v>
      </c>
      <c r="D27" s="28" t="s">
        <v>80</v>
      </c>
      <c r="E27" s="29">
        <v>1540</v>
      </c>
      <c r="F27" s="29">
        <v>1</v>
      </c>
      <c r="G27" s="35">
        <f>IF(tblInspections[[#This Row],[Date]]="","",SUMIFS(tblDefects[Count],tblDefects[Lot ID],tblInspections[[#This Row],[Lot ID]]))</f>
        <v>1</v>
      </c>
      <c r="H27" s="35">
        <f>IF(tblInspections[[#This Row],[Date]]="","",IFERROR(INDEX(tblParts[Opportunities],MATCH(tblInspections[[#This Row],[Part]],tblParts[Part],0)),""))</f>
        <v>6</v>
      </c>
      <c r="I27" s="35">
        <f>IF(tblInspections[[#This Row],[Date]]="","",IF(tblInspections[[#This Row],[Opportunities]]="","",tblInspections[[#This Row],[Inspected]]*tblInspections[[#This Row],[Opportunities]]))</f>
        <v>9240</v>
      </c>
      <c r="J27" s="36">
        <f>IF(tblInspections[[#This Row],[Date]]="","",IF(tblInspections[[#This Row],[Inspected]]&gt;0,tblInspections[[#This Row],[Defective]]/tblInspections[[#This Row],[Inspected]],""))</f>
        <v>0.000649350649350649</v>
      </c>
      <c r="K27" s="35">
        <f>IF(tblInspections[[#This Row],[Date]]="","",IF(tblInspections[[#This Row],[Inspected]]&gt;0,tblInspections[[#This Row],[Defective]]/tblInspections[[#This Row],[Inspected]]*1000000,""))</f>
        <v>649.350649350649</v>
      </c>
      <c r="L27" s="37" t="str">
        <f>IF(NOT(ISNUMBER(tblInspections[[#This Row],[PPM defective]])),"",IF(tblInspections[[#This Row],[PPM defective]]&lt;=TargetPPM,"On target",IF(tblInspections[[#This Row],[PPM defective]]&lt;=TargetPPM*(1+0.05),"Near target","Above target")))</f>
        <v>On target</v>
      </c>
      <c r="M27" s="38">
        <f>IF(tblInspections[[#This Row],[Date]]="","",IF(tblInspections[[#This Row],[Inspected]]&gt;0,tblInspections[[#This Row],[Defects found]]/tblInspections[[#This Row],[Inspected]],""))</f>
        <v>0.000649350649350649</v>
      </c>
      <c r="N27" s="35">
        <f>IF(tblInspections[[#This Row],[Date]]="","",IF(N(tblInspections[[#This Row],[Opportunities checked]])&gt;0,tblInspections[[#This Row],[Defects found]]/tblInspections[[#This Row],[Opportunities checked]]*1000000,""))</f>
        <v>108.225108225108</v>
      </c>
      <c r="O27" s="39">
        <f>IF(tblInspections[[#This Row],[Date]]="","",IF(AND(tblInspections[[#This Row],[Date]]&gt;=FFrom,tblInspections[[#This Row],[Date]]&lt;=FTo,OR(DashPart="",tblInspections[[#This Row],[Part]]=DashPart)),tblInspections[[#This Row],[Date]],""))</f>
        <v>46272</v>
      </c>
      <c r="P2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7" s="41" t="s">
        <v>131</v>
      </c>
    </row>
    <row r="28" spans="2:17">
      <c r="B28" s="34">
        <v>46272</v>
      </c>
      <c r="C28" s="28" t="s">
        <v>152</v>
      </c>
      <c r="D28" s="28" t="s">
        <v>82</v>
      </c>
      <c r="E28" s="29">
        <v>890</v>
      </c>
      <c r="F28" s="29">
        <v>2</v>
      </c>
      <c r="G28" s="35">
        <f>IF(tblInspections[[#This Row],[Date]]="","",SUMIFS(tblDefects[Count],tblDefects[Lot ID],tblInspections[[#This Row],[Lot ID]]))</f>
        <v>2</v>
      </c>
      <c r="H28" s="35">
        <f>IF(tblInspections[[#This Row],[Date]]="","",IFERROR(INDEX(tblParts[Opportunities],MATCH(tblInspections[[#This Row],[Part]],tblParts[Part],0)),""))</f>
        <v>8</v>
      </c>
      <c r="I28" s="35">
        <f>IF(tblInspections[[#This Row],[Date]]="","",IF(tblInspections[[#This Row],[Opportunities]]="","",tblInspections[[#This Row],[Inspected]]*tblInspections[[#This Row],[Opportunities]]))</f>
        <v>7120</v>
      </c>
      <c r="J28" s="36">
        <f>IF(tblInspections[[#This Row],[Date]]="","",IF(tblInspections[[#This Row],[Inspected]]&gt;0,tblInspections[[#This Row],[Defective]]/tblInspections[[#This Row],[Inspected]],""))</f>
        <v>0.00224719101123596</v>
      </c>
      <c r="K28" s="35">
        <f>IF(tblInspections[[#This Row],[Date]]="","",IF(tblInspections[[#This Row],[Inspected]]&gt;0,tblInspections[[#This Row],[Defective]]/tblInspections[[#This Row],[Inspected]]*1000000,""))</f>
        <v>2247.19101123596</v>
      </c>
      <c r="L28" s="37" t="str">
        <f>IF(NOT(ISNUMBER(tblInspections[[#This Row],[PPM defective]])),"",IF(tblInspections[[#This Row],[PPM defective]]&lt;=TargetPPM,"On target",IF(tblInspections[[#This Row],[PPM defective]]&lt;=TargetPPM*(1+0.05),"Near target","Above target")))</f>
        <v>Above target</v>
      </c>
      <c r="M28" s="38">
        <f>IF(tblInspections[[#This Row],[Date]]="","",IF(tblInspections[[#This Row],[Inspected]]&gt;0,tblInspections[[#This Row],[Defects found]]/tblInspections[[#This Row],[Inspected]],""))</f>
        <v>0.00224719101123596</v>
      </c>
      <c r="N28" s="35">
        <f>IF(tblInspections[[#This Row],[Date]]="","",IF(N(tblInspections[[#This Row],[Opportunities checked]])&gt;0,tblInspections[[#This Row],[Defects found]]/tblInspections[[#This Row],[Opportunities checked]]*1000000,""))</f>
        <v>280.898876404494</v>
      </c>
      <c r="O28" s="39">
        <f>IF(tblInspections[[#This Row],[Date]]="","",IF(AND(tblInspections[[#This Row],[Date]]&gt;=FFrom,tblInspections[[#This Row],[Date]]&lt;=FTo,OR(DashPart="",tblInspections[[#This Row],[Part]]=DashPart)),tblInspections[[#This Row],[Date]],""))</f>
        <v>46272</v>
      </c>
      <c r="P2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8" s="41" t="s">
        <v>131</v>
      </c>
    </row>
    <row r="29" spans="2:17">
      <c r="B29" s="34">
        <v>46272</v>
      </c>
      <c r="C29" s="28" t="s">
        <v>153</v>
      </c>
      <c r="D29" s="28" t="s">
        <v>84</v>
      </c>
      <c r="E29" s="29">
        <v>2160</v>
      </c>
      <c r="F29" s="29">
        <v>3</v>
      </c>
      <c r="G29" s="35">
        <f>IF(tblInspections[[#This Row],[Date]]="","",SUMIFS(tblDefects[Count],tblDefects[Lot ID],tblInspections[[#This Row],[Lot ID]]))</f>
        <v>3</v>
      </c>
      <c r="H29" s="35">
        <f>IF(tblInspections[[#This Row],[Date]]="","",IFERROR(INDEX(tblParts[Opportunities],MATCH(tblInspections[[#This Row],[Part]],tblParts[Part],0)),""))</f>
        <v>5</v>
      </c>
      <c r="I29" s="35">
        <f>IF(tblInspections[[#This Row],[Date]]="","",IF(tblInspections[[#This Row],[Opportunities]]="","",tblInspections[[#This Row],[Inspected]]*tblInspections[[#This Row],[Opportunities]]))</f>
        <v>10800</v>
      </c>
      <c r="J29" s="36">
        <f>IF(tblInspections[[#This Row],[Date]]="","",IF(tblInspections[[#This Row],[Inspected]]&gt;0,tblInspections[[#This Row],[Defective]]/tblInspections[[#This Row],[Inspected]],""))</f>
        <v>0.00138888888888889</v>
      </c>
      <c r="K29" s="35">
        <f>IF(tblInspections[[#This Row],[Date]]="","",IF(tblInspections[[#This Row],[Inspected]]&gt;0,tblInspections[[#This Row],[Defective]]/tblInspections[[#This Row],[Inspected]]*1000000,""))</f>
        <v>1388.88888888889</v>
      </c>
      <c r="L29" s="37" t="str">
        <f>IF(NOT(ISNUMBER(tblInspections[[#This Row],[PPM defective]])),"",IF(tblInspections[[#This Row],[PPM defective]]&lt;=TargetPPM,"On target",IF(tblInspections[[#This Row],[PPM defective]]&lt;=TargetPPM*(1+0.05),"Near target","Above target")))</f>
        <v>On target</v>
      </c>
      <c r="M29" s="38">
        <f>IF(tblInspections[[#This Row],[Date]]="","",IF(tblInspections[[#This Row],[Inspected]]&gt;0,tblInspections[[#This Row],[Defects found]]/tblInspections[[#This Row],[Inspected]],""))</f>
        <v>0.00138888888888889</v>
      </c>
      <c r="N29" s="35">
        <f>IF(tblInspections[[#This Row],[Date]]="","",IF(N(tblInspections[[#This Row],[Opportunities checked]])&gt;0,tblInspections[[#This Row],[Defects found]]/tblInspections[[#This Row],[Opportunities checked]]*1000000,""))</f>
        <v>277.777777777778</v>
      </c>
      <c r="O29" s="39">
        <f>IF(tblInspections[[#This Row],[Date]]="","",IF(AND(tblInspections[[#This Row],[Date]]&gt;=FFrom,tblInspections[[#This Row],[Date]]&lt;=FTo,OR(DashPart="",tblInspections[[#This Row],[Part]]=DashPart)),tblInspections[[#This Row],[Date]],""))</f>
        <v>46272</v>
      </c>
      <c r="P2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29" s="41" t="s">
        <v>131</v>
      </c>
    </row>
    <row r="30" spans="2:17">
      <c r="B30" s="34">
        <v>46272</v>
      </c>
      <c r="C30" s="28" t="s">
        <v>154</v>
      </c>
      <c r="D30" s="28" t="s">
        <v>86</v>
      </c>
      <c r="E30" s="29">
        <v>2780</v>
      </c>
      <c r="F30" s="29">
        <v>4</v>
      </c>
      <c r="G30" s="35">
        <f>IF(tblInspections[[#This Row],[Date]]="","",SUMIFS(tblDefects[Count],tblDefects[Lot ID],tblInspections[[#This Row],[Lot ID]]))</f>
        <v>5</v>
      </c>
      <c r="H30" s="35">
        <f>IF(tblInspections[[#This Row],[Date]]="","",IFERROR(INDEX(tblParts[Opportunities],MATCH(tblInspections[[#This Row],[Part]],tblParts[Part],0)),""))</f>
        <v>4</v>
      </c>
      <c r="I30" s="35">
        <f>IF(tblInspections[[#This Row],[Date]]="","",IF(tblInspections[[#This Row],[Opportunities]]="","",tblInspections[[#This Row],[Inspected]]*tblInspections[[#This Row],[Opportunities]]))</f>
        <v>11120</v>
      </c>
      <c r="J30" s="36">
        <f>IF(tblInspections[[#This Row],[Date]]="","",IF(tblInspections[[#This Row],[Inspected]]&gt;0,tblInspections[[#This Row],[Defective]]/tblInspections[[#This Row],[Inspected]],""))</f>
        <v>0.00143884892086331</v>
      </c>
      <c r="K30" s="35">
        <f>IF(tblInspections[[#This Row],[Date]]="","",IF(tblInspections[[#This Row],[Inspected]]&gt;0,tblInspections[[#This Row],[Defective]]/tblInspections[[#This Row],[Inspected]]*1000000,""))</f>
        <v>1438.84892086331</v>
      </c>
      <c r="L30" s="37" t="str">
        <f>IF(NOT(ISNUMBER(tblInspections[[#This Row],[PPM defective]])),"",IF(tblInspections[[#This Row],[PPM defective]]&lt;=TargetPPM,"On target",IF(tblInspections[[#This Row],[PPM defective]]&lt;=TargetPPM*(1+0.05),"Near target","Above target")))</f>
        <v>On target</v>
      </c>
      <c r="M30" s="38">
        <f>IF(tblInspections[[#This Row],[Date]]="","",IF(tblInspections[[#This Row],[Inspected]]&gt;0,tblInspections[[#This Row],[Defects found]]/tblInspections[[#This Row],[Inspected]],""))</f>
        <v>0.00179856115107914</v>
      </c>
      <c r="N30" s="35">
        <f>IF(tblInspections[[#This Row],[Date]]="","",IF(N(tblInspections[[#This Row],[Opportunities checked]])&gt;0,tblInspections[[#This Row],[Defects found]]/tblInspections[[#This Row],[Opportunities checked]]*1000000,""))</f>
        <v>449.640287769784</v>
      </c>
      <c r="O30" s="39">
        <f>IF(tblInspections[[#This Row],[Date]]="","",IF(AND(tblInspections[[#This Row],[Date]]&gt;=FFrom,tblInspections[[#This Row],[Date]]&lt;=FTo,OR(DashPart="",tblInspections[[#This Row],[Part]]=DashPart)),tblInspections[[#This Row],[Date]],""))</f>
        <v>46272</v>
      </c>
      <c r="P3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0" s="41" t="s">
        <v>131</v>
      </c>
    </row>
    <row r="31" spans="2:17">
      <c r="B31" s="34">
        <v>46273</v>
      </c>
      <c r="C31" s="28" t="s">
        <v>155</v>
      </c>
      <c r="D31" s="28" t="s">
        <v>80</v>
      </c>
      <c r="E31" s="29">
        <v>1270</v>
      </c>
      <c r="F31" s="29">
        <v>0</v>
      </c>
      <c r="G31" s="35">
        <f>IF(tblInspections[[#This Row],[Date]]="","",SUMIFS(tblDefects[Count],tblDefects[Lot ID],tblInspections[[#This Row],[Lot ID]]))</f>
        <v>0</v>
      </c>
      <c r="H31" s="35">
        <f>IF(tblInspections[[#This Row],[Date]]="","",IFERROR(INDEX(tblParts[Opportunities],MATCH(tblInspections[[#This Row],[Part]],tblParts[Part],0)),""))</f>
        <v>6</v>
      </c>
      <c r="I31" s="35">
        <f>IF(tblInspections[[#This Row],[Date]]="","",IF(tblInspections[[#This Row],[Opportunities]]="","",tblInspections[[#This Row],[Inspected]]*tblInspections[[#This Row],[Opportunities]]))</f>
        <v>7620</v>
      </c>
      <c r="J31" s="36">
        <f>IF(tblInspections[[#This Row],[Date]]="","",IF(tblInspections[[#This Row],[Inspected]]&gt;0,tblInspections[[#This Row],[Defective]]/tblInspections[[#This Row],[Inspected]],""))</f>
        <v>0</v>
      </c>
      <c r="K31" s="35">
        <f>IF(tblInspections[[#This Row],[Date]]="","",IF(tblInspections[[#This Row],[Inspected]]&gt;0,tblInspections[[#This Row],[Defective]]/tblInspections[[#This Row],[Inspected]]*1000000,""))</f>
        <v>0</v>
      </c>
      <c r="L31" s="37" t="str">
        <f>IF(NOT(ISNUMBER(tblInspections[[#This Row],[PPM defective]])),"",IF(tblInspections[[#This Row],[PPM defective]]&lt;=TargetPPM,"On target",IF(tblInspections[[#This Row],[PPM defective]]&lt;=TargetPPM*(1+0.05),"Near target","Above target")))</f>
        <v>On target</v>
      </c>
      <c r="M31" s="38">
        <f>IF(tblInspections[[#This Row],[Date]]="","",IF(tblInspections[[#This Row],[Inspected]]&gt;0,tblInspections[[#This Row],[Defects found]]/tblInspections[[#This Row],[Inspected]],""))</f>
        <v>0</v>
      </c>
      <c r="N31" s="35">
        <f>IF(tblInspections[[#This Row],[Date]]="","",IF(N(tblInspections[[#This Row],[Opportunities checked]])&gt;0,tblInspections[[#This Row],[Defects found]]/tblInspections[[#This Row],[Opportunities checked]]*1000000,""))</f>
        <v>0</v>
      </c>
      <c r="O31" s="39">
        <f>IF(tblInspections[[#This Row],[Date]]="","",IF(AND(tblInspections[[#This Row],[Date]]&gt;=FFrom,tblInspections[[#This Row],[Date]]&lt;=FTo,OR(DashPart="",tblInspections[[#This Row],[Part]]=DashPart)),tblInspections[[#This Row],[Date]],""))</f>
        <v>46273</v>
      </c>
      <c r="P3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1" s="41" t="s">
        <v>131</v>
      </c>
    </row>
    <row r="32" spans="2:17">
      <c r="B32" s="34">
        <v>46273</v>
      </c>
      <c r="C32" s="28" t="s">
        <v>156</v>
      </c>
      <c r="D32" s="28" t="s">
        <v>82</v>
      </c>
      <c r="E32" s="29">
        <v>950</v>
      </c>
      <c r="F32" s="29">
        <v>1</v>
      </c>
      <c r="G32" s="35">
        <f>IF(tblInspections[[#This Row],[Date]]="","",SUMIFS(tblDefects[Count],tblDefects[Lot ID],tblInspections[[#This Row],[Lot ID]]))</f>
        <v>2</v>
      </c>
      <c r="H32" s="35">
        <f>IF(tblInspections[[#This Row],[Date]]="","",IFERROR(INDEX(tblParts[Opportunities],MATCH(tblInspections[[#This Row],[Part]],tblParts[Part],0)),""))</f>
        <v>8</v>
      </c>
      <c r="I32" s="35">
        <f>IF(tblInspections[[#This Row],[Date]]="","",IF(tblInspections[[#This Row],[Opportunities]]="","",tblInspections[[#This Row],[Inspected]]*tblInspections[[#This Row],[Opportunities]]))</f>
        <v>7600</v>
      </c>
      <c r="J32" s="36">
        <f>IF(tblInspections[[#This Row],[Date]]="","",IF(tblInspections[[#This Row],[Inspected]]&gt;0,tblInspections[[#This Row],[Defective]]/tblInspections[[#This Row],[Inspected]],""))</f>
        <v>0.00105263157894737</v>
      </c>
      <c r="K32" s="35">
        <f>IF(tblInspections[[#This Row],[Date]]="","",IF(tblInspections[[#This Row],[Inspected]]&gt;0,tblInspections[[#This Row],[Defective]]/tblInspections[[#This Row],[Inspected]]*1000000,""))</f>
        <v>1052.63157894737</v>
      </c>
      <c r="L32" s="37" t="str">
        <f>IF(NOT(ISNUMBER(tblInspections[[#This Row],[PPM defective]])),"",IF(tblInspections[[#This Row],[PPM defective]]&lt;=TargetPPM,"On target",IF(tblInspections[[#This Row],[PPM defective]]&lt;=TargetPPM*(1+0.05),"Near target","Above target")))</f>
        <v>On target</v>
      </c>
      <c r="M32" s="38">
        <f>IF(tblInspections[[#This Row],[Date]]="","",IF(tblInspections[[#This Row],[Inspected]]&gt;0,tblInspections[[#This Row],[Defects found]]/tblInspections[[#This Row],[Inspected]],""))</f>
        <v>0.00210526315789474</v>
      </c>
      <c r="N32" s="35">
        <f>IF(tblInspections[[#This Row],[Date]]="","",IF(N(tblInspections[[#This Row],[Opportunities checked]])&gt;0,tblInspections[[#This Row],[Defects found]]/tblInspections[[#This Row],[Opportunities checked]]*1000000,""))</f>
        <v>263.157894736842</v>
      </c>
      <c r="O32" s="39">
        <f>IF(tblInspections[[#This Row],[Date]]="","",IF(AND(tblInspections[[#This Row],[Date]]&gt;=FFrom,tblInspections[[#This Row],[Date]]&lt;=FTo,OR(DashPart="",tblInspections[[#This Row],[Part]]=DashPart)),tblInspections[[#This Row],[Date]],""))</f>
        <v>46273</v>
      </c>
      <c r="P3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2" s="41" t="s">
        <v>131</v>
      </c>
    </row>
    <row r="33" spans="2:17">
      <c r="B33" s="34">
        <v>46273</v>
      </c>
      <c r="C33" s="28" t="s">
        <v>157</v>
      </c>
      <c r="D33" s="28" t="s">
        <v>84</v>
      </c>
      <c r="E33" s="29">
        <v>2130</v>
      </c>
      <c r="F33" s="29">
        <v>2</v>
      </c>
      <c r="G33" s="35">
        <f>IF(tblInspections[[#This Row],[Date]]="","",SUMIFS(tblDefects[Count],tblDefects[Lot ID],tblInspections[[#This Row],[Lot ID]]))</f>
        <v>3</v>
      </c>
      <c r="H33" s="35">
        <f>IF(tblInspections[[#This Row],[Date]]="","",IFERROR(INDEX(tblParts[Opportunities],MATCH(tblInspections[[#This Row],[Part]],tblParts[Part],0)),""))</f>
        <v>5</v>
      </c>
      <c r="I33" s="35">
        <f>IF(tblInspections[[#This Row],[Date]]="","",IF(tblInspections[[#This Row],[Opportunities]]="","",tblInspections[[#This Row],[Inspected]]*tblInspections[[#This Row],[Opportunities]]))</f>
        <v>10650</v>
      </c>
      <c r="J33" s="36">
        <f>IF(tblInspections[[#This Row],[Date]]="","",IF(tblInspections[[#This Row],[Inspected]]&gt;0,tblInspections[[#This Row],[Defective]]/tblInspections[[#This Row],[Inspected]],""))</f>
        <v>0.000938967136150235</v>
      </c>
      <c r="K33" s="35">
        <f>IF(tblInspections[[#This Row],[Date]]="","",IF(tblInspections[[#This Row],[Inspected]]&gt;0,tblInspections[[#This Row],[Defective]]/tblInspections[[#This Row],[Inspected]]*1000000,""))</f>
        <v>938.967136150235</v>
      </c>
      <c r="L33" s="37" t="str">
        <f>IF(NOT(ISNUMBER(tblInspections[[#This Row],[PPM defective]])),"",IF(tblInspections[[#This Row],[PPM defective]]&lt;=TargetPPM,"On target",IF(tblInspections[[#This Row],[PPM defective]]&lt;=TargetPPM*(1+0.05),"Near target","Above target")))</f>
        <v>On target</v>
      </c>
      <c r="M33" s="38">
        <f>IF(tblInspections[[#This Row],[Date]]="","",IF(tblInspections[[#This Row],[Inspected]]&gt;0,tblInspections[[#This Row],[Defects found]]/tblInspections[[#This Row],[Inspected]],""))</f>
        <v>0.00140845070422535</v>
      </c>
      <c r="N33" s="35">
        <f>IF(tblInspections[[#This Row],[Date]]="","",IF(N(tblInspections[[#This Row],[Opportunities checked]])&gt;0,tblInspections[[#This Row],[Defects found]]/tblInspections[[#This Row],[Opportunities checked]]*1000000,""))</f>
        <v>281.69014084507</v>
      </c>
      <c r="O33" s="39">
        <f>IF(tblInspections[[#This Row],[Date]]="","",IF(AND(tblInspections[[#This Row],[Date]]&gt;=FFrom,tblInspections[[#This Row],[Date]]&lt;=FTo,OR(DashPart="",tblInspections[[#This Row],[Part]]=DashPart)),tblInspections[[#This Row],[Date]],""))</f>
        <v>46273</v>
      </c>
      <c r="P3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3" s="41" t="s">
        <v>131</v>
      </c>
    </row>
    <row r="34" spans="2:17">
      <c r="B34" s="34">
        <v>46273</v>
      </c>
      <c r="C34" s="28" t="s">
        <v>158</v>
      </c>
      <c r="D34" s="28" t="s">
        <v>86</v>
      </c>
      <c r="E34" s="29">
        <v>3220</v>
      </c>
      <c r="F34" s="29">
        <v>7</v>
      </c>
      <c r="G34" s="35">
        <f>IF(tblInspections[[#This Row],[Date]]="","",SUMIFS(tblDefects[Count],tblDefects[Lot ID],tblInspections[[#This Row],[Lot ID]]))</f>
        <v>8</v>
      </c>
      <c r="H34" s="35">
        <f>IF(tblInspections[[#This Row],[Date]]="","",IFERROR(INDEX(tblParts[Opportunities],MATCH(tblInspections[[#This Row],[Part]],tblParts[Part],0)),""))</f>
        <v>4</v>
      </c>
      <c r="I34" s="35">
        <f>IF(tblInspections[[#This Row],[Date]]="","",IF(tblInspections[[#This Row],[Opportunities]]="","",tblInspections[[#This Row],[Inspected]]*tblInspections[[#This Row],[Opportunities]]))</f>
        <v>12880</v>
      </c>
      <c r="J34" s="36">
        <f>IF(tblInspections[[#This Row],[Date]]="","",IF(tblInspections[[#This Row],[Inspected]]&gt;0,tblInspections[[#This Row],[Defective]]/tblInspections[[#This Row],[Inspected]],""))</f>
        <v>0.00217391304347826</v>
      </c>
      <c r="K34" s="35">
        <f>IF(tblInspections[[#This Row],[Date]]="","",IF(tblInspections[[#This Row],[Inspected]]&gt;0,tblInspections[[#This Row],[Defective]]/tblInspections[[#This Row],[Inspected]]*1000000,""))</f>
        <v>2173.91304347826</v>
      </c>
      <c r="L34" s="37" t="str">
        <f>IF(NOT(ISNUMBER(tblInspections[[#This Row],[PPM defective]])),"",IF(tblInspections[[#This Row],[PPM defective]]&lt;=TargetPPM,"On target",IF(tblInspections[[#This Row],[PPM defective]]&lt;=TargetPPM*(1+0.05),"Near target","Above target")))</f>
        <v>Above target</v>
      </c>
      <c r="M34" s="38">
        <f>IF(tblInspections[[#This Row],[Date]]="","",IF(tblInspections[[#This Row],[Inspected]]&gt;0,tblInspections[[#This Row],[Defects found]]/tblInspections[[#This Row],[Inspected]],""))</f>
        <v>0.00248447204968944</v>
      </c>
      <c r="N34" s="35">
        <f>IF(tblInspections[[#This Row],[Date]]="","",IF(N(tblInspections[[#This Row],[Opportunities checked]])&gt;0,tblInspections[[#This Row],[Defects found]]/tblInspections[[#This Row],[Opportunities checked]]*1000000,""))</f>
        <v>621.11801242236</v>
      </c>
      <c r="O34" s="39">
        <f>IF(tblInspections[[#This Row],[Date]]="","",IF(AND(tblInspections[[#This Row],[Date]]&gt;=FFrom,tblInspections[[#This Row],[Date]]&lt;=FTo,OR(DashPart="",tblInspections[[#This Row],[Part]]=DashPart)),tblInspections[[#This Row],[Date]],""))</f>
        <v>46273</v>
      </c>
      <c r="P3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4" s="41" t="s">
        <v>131</v>
      </c>
    </row>
    <row r="35" spans="2:17">
      <c r="B35" s="34">
        <v>46274</v>
      </c>
      <c r="C35" s="28" t="s">
        <v>159</v>
      </c>
      <c r="D35" s="28" t="s">
        <v>80</v>
      </c>
      <c r="E35" s="29">
        <v>1580</v>
      </c>
      <c r="F35" s="29">
        <v>5</v>
      </c>
      <c r="G35" s="35">
        <f>IF(tblInspections[[#This Row],[Date]]="","",SUMIFS(tblDefects[Count],tblDefects[Lot ID],tblInspections[[#This Row],[Lot ID]]))</f>
        <v>5</v>
      </c>
      <c r="H35" s="35">
        <f>IF(tblInspections[[#This Row],[Date]]="","",IFERROR(INDEX(tblParts[Opportunities],MATCH(tblInspections[[#This Row],[Part]],tblParts[Part],0)),""))</f>
        <v>6</v>
      </c>
      <c r="I35" s="35">
        <f>IF(tblInspections[[#This Row],[Date]]="","",IF(tblInspections[[#This Row],[Opportunities]]="","",tblInspections[[#This Row],[Inspected]]*tblInspections[[#This Row],[Opportunities]]))</f>
        <v>9480</v>
      </c>
      <c r="J35" s="36">
        <f>IF(tblInspections[[#This Row],[Date]]="","",IF(tblInspections[[#This Row],[Inspected]]&gt;0,tblInspections[[#This Row],[Defective]]/tblInspections[[#This Row],[Inspected]],""))</f>
        <v>0.00316455696202532</v>
      </c>
      <c r="K35" s="35">
        <f>IF(tblInspections[[#This Row],[Date]]="","",IF(tblInspections[[#This Row],[Inspected]]&gt;0,tblInspections[[#This Row],[Defective]]/tblInspections[[#This Row],[Inspected]]*1000000,""))</f>
        <v>3164.55696202532</v>
      </c>
      <c r="L35" s="37" t="str">
        <f>IF(NOT(ISNUMBER(tblInspections[[#This Row],[PPM defective]])),"",IF(tblInspections[[#This Row],[PPM defective]]&lt;=TargetPPM,"On target",IF(tblInspections[[#This Row],[PPM defective]]&lt;=TargetPPM*(1+0.05),"Near target","Above target")))</f>
        <v>Above target</v>
      </c>
      <c r="M35" s="38">
        <f>IF(tblInspections[[#This Row],[Date]]="","",IF(tblInspections[[#This Row],[Inspected]]&gt;0,tblInspections[[#This Row],[Defects found]]/tblInspections[[#This Row],[Inspected]],""))</f>
        <v>0.00316455696202532</v>
      </c>
      <c r="N35" s="35">
        <f>IF(tblInspections[[#This Row],[Date]]="","",IF(N(tblInspections[[#This Row],[Opportunities checked]])&gt;0,tblInspections[[#This Row],[Defects found]]/tblInspections[[#This Row],[Opportunities checked]]*1000000,""))</f>
        <v>527.426160337553</v>
      </c>
      <c r="O35" s="39">
        <f>IF(tblInspections[[#This Row],[Date]]="","",IF(AND(tblInspections[[#This Row],[Date]]&gt;=FFrom,tblInspections[[#This Row],[Date]]&lt;=FTo,OR(DashPart="",tblInspections[[#This Row],[Part]]=DashPart)),tblInspections[[#This Row],[Date]],""))</f>
        <v>46274</v>
      </c>
      <c r="P3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5" s="41" t="s">
        <v>131</v>
      </c>
    </row>
    <row r="36" spans="2:17">
      <c r="B36" s="34">
        <v>46274</v>
      </c>
      <c r="C36" s="28" t="s">
        <v>160</v>
      </c>
      <c r="D36" s="28" t="s">
        <v>82</v>
      </c>
      <c r="E36" s="29">
        <v>990</v>
      </c>
      <c r="F36" s="29">
        <v>2</v>
      </c>
      <c r="G36" s="35">
        <f>IF(tblInspections[[#This Row],[Date]]="","",SUMIFS(tblDefects[Count],tblDefects[Lot ID],tblInspections[[#This Row],[Lot ID]]))</f>
        <v>3</v>
      </c>
      <c r="H36" s="35">
        <f>IF(tblInspections[[#This Row],[Date]]="","",IFERROR(INDEX(tblParts[Opportunities],MATCH(tblInspections[[#This Row],[Part]],tblParts[Part],0)),""))</f>
        <v>8</v>
      </c>
      <c r="I36" s="35">
        <f>IF(tblInspections[[#This Row],[Date]]="","",IF(tblInspections[[#This Row],[Opportunities]]="","",tblInspections[[#This Row],[Inspected]]*tblInspections[[#This Row],[Opportunities]]))</f>
        <v>7920</v>
      </c>
      <c r="J36" s="36">
        <f>IF(tblInspections[[#This Row],[Date]]="","",IF(tblInspections[[#This Row],[Inspected]]&gt;0,tblInspections[[#This Row],[Defective]]/tblInspections[[#This Row],[Inspected]],""))</f>
        <v>0.00202020202020202</v>
      </c>
      <c r="K36" s="35">
        <f>IF(tblInspections[[#This Row],[Date]]="","",IF(tblInspections[[#This Row],[Inspected]]&gt;0,tblInspections[[#This Row],[Defective]]/tblInspections[[#This Row],[Inspected]]*1000000,""))</f>
        <v>2020.20202020202</v>
      </c>
      <c r="L36" s="37" t="str">
        <f>IF(NOT(ISNUMBER(tblInspections[[#This Row],[PPM defective]])),"",IF(tblInspections[[#This Row],[PPM defective]]&lt;=TargetPPM,"On target",IF(tblInspections[[#This Row],[PPM defective]]&lt;=TargetPPM*(1+0.05),"Near target","Above target")))</f>
        <v>Above target</v>
      </c>
      <c r="M36" s="38">
        <f>IF(tblInspections[[#This Row],[Date]]="","",IF(tblInspections[[#This Row],[Inspected]]&gt;0,tblInspections[[#This Row],[Defects found]]/tblInspections[[#This Row],[Inspected]],""))</f>
        <v>0.00303030303030303</v>
      </c>
      <c r="N36" s="35">
        <f>IF(tblInspections[[#This Row],[Date]]="","",IF(N(tblInspections[[#This Row],[Opportunities checked]])&gt;0,tblInspections[[#This Row],[Defects found]]/tblInspections[[#This Row],[Opportunities checked]]*1000000,""))</f>
        <v>378.787878787879</v>
      </c>
      <c r="O36" s="39">
        <f>IF(tblInspections[[#This Row],[Date]]="","",IF(AND(tblInspections[[#This Row],[Date]]&gt;=FFrom,tblInspections[[#This Row],[Date]]&lt;=FTo,OR(DashPart="",tblInspections[[#This Row],[Part]]=DashPart)),tblInspections[[#This Row],[Date]],""))</f>
        <v>46274</v>
      </c>
      <c r="P3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6" s="41" t="s">
        <v>131</v>
      </c>
    </row>
    <row r="37" spans="2:17">
      <c r="B37" s="34">
        <v>46274</v>
      </c>
      <c r="C37" s="28" t="s">
        <v>161</v>
      </c>
      <c r="D37" s="28" t="s">
        <v>84</v>
      </c>
      <c r="E37" s="29">
        <v>2340</v>
      </c>
      <c r="F37" s="29">
        <v>3</v>
      </c>
      <c r="G37" s="35">
        <f>IF(tblInspections[[#This Row],[Date]]="","",SUMIFS(tblDefects[Count],tblDefects[Lot ID],tblInspections[[#This Row],[Lot ID]]))</f>
        <v>3</v>
      </c>
      <c r="H37" s="35">
        <f>IF(tblInspections[[#This Row],[Date]]="","",IFERROR(INDEX(tblParts[Opportunities],MATCH(tblInspections[[#This Row],[Part]],tblParts[Part],0)),""))</f>
        <v>5</v>
      </c>
      <c r="I37" s="35">
        <f>IF(tblInspections[[#This Row],[Date]]="","",IF(tblInspections[[#This Row],[Opportunities]]="","",tblInspections[[#This Row],[Inspected]]*tblInspections[[#This Row],[Opportunities]]))</f>
        <v>11700</v>
      </c>
      <c r="J37" s="36">
        <f>IF(tblInspections[[#This Row],[Date]]="","",IF(tblInspections[[#This Row],[Inspected]]&gt;0,tblInspections[[#This Row],[Defective]]/tblInspections[[#This Row],[Inspected]],""))</f>
        <v>0.00128205128205128</v>
      </c>
      <c r="K37" s="35">
        <f>IF(tblInspections[[#This Row],[Date]]="","",IF(tblInspections[[#This Row],[Inspected]]&gt;0,tblInspections[[#This Row],[Defective]]/tblInspections[[#This Row],[Inspected]]*1000000,""))</f>
        <v>1282.05128205128</v>
      </c>
      <c r="L37" s="37" t="str">
        <f>IF(NOT(ISNUMBER(tblInspections[[#This Row],[PPM defective]])),"",IF(tblInspections[[#This Row],[PPM defective]]&lt;=TargetPPM,"On target",IF(tblInspections[[#This Row],[PPM defective]]&lt;=TargetPPM*(1+0.05),"Near target","Above target")))</f>
        <v>On target</v>
      </c>
      <c r="M37" s="38">
        <f>IF(tblInspections[[#This Row],[Date]]="","",IF(tblInspections[[#This Row],[Inspected]]&gt;0,tblInspections[[#This Row],[Defects found]]/tblInspections[[#This Row],[Inspected]],""))</f>
        <v>0.00128205128205128</v>
      </c>
      <c r="N37" s="35">
        <f>IF(tblInspections[[#This Row],[Date]]="","",IF(N(tblInspections[[#This Row],[Opportunities checked]])&gt;0,tblInspections[[#This Row],[Defects found]]/tblInspections[[#This Row],[Opportunities checked]]*1000000,""))</f>
        <v>256.410256410256</v>
      </c>
      <c r="O37" s="39">
        <f>IF(tblInspections[[#This Row],[Date]]="","",IF(AND(tblInspections[[#This Row],[Date]]&gt;=FFrom,tblInspections[[#This Row],[Date]]&lt;=FTo,OR(DashPart="",tblInspections[[#This Row],[Part]]=DashPart)),tblInspections[[#This Row],[Date]],""))</f>
        <v>46274</v>
      </c>
      <c r="P3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7" s="41" t="s">
        <v>131</v>
      </c>
    </row>
    <row r="38" spans="2:17">
      <c r="B38" s="34">
        <v>46274</v>
      </c>
      <c r="C38" s="28" t="s">
        <v>162</v>
      </c>
      <c r="D38" s="28" t="s">
        <v>86</v>
      </c>
      <c r="E38" s="29">
        <v>3050</v>
      </c>
      <c r="F38" s="29">
        <v>5</v>
      </c>
      <c r="G38" s="35">
        <f>IF(tblInspections[[#This Row],[Date]]="","",SUMIFS(tblDefects[Count],tblDefects[Lot ID],tblInspections[[#This Row],[Lot ID]]))</f>
        <v>6</v>
      </c>
      <c r="H38" s="35">
        <f>IF(tblInspections[[#This Row],[Date]]="","",IFERROR(INDEX(tblParts[Opportunities],MATCH(tblInspections[[#This Row],[Part]],tblParts[Part],0)),""))</f>
        <v>4</v>
      </c>
      <c r="I38" s="35">
        <f>IF(tblInspections[[#This Row],[Date]]="","",IF(tblInspections[[#This Row],[Opportunities]]="","",tblInspections[[#This Row],[Inspected]]*tblInspections[[#This Row],[Opportunities]]))</f>
        <v>12200</v>
      </c>
      <c r="J38" s="36">
        <f>IF(tblInspections[[#This Row],[Date]]="","",IF(tblInspections[[#This Row],[Inspected]]&gt;0,tblInspections[[#This Row],[Defective]]/tblInspections[[#This Row],[Inspected]],""))</f>
        <v>0.00163934426229508</v>
      </c>
      <c r="K38" s="35">
        <f>IF(tblInspections[[#This Row],[Date]]="","",IF(tblInspections[[#This Row],[Inspected]]&gt;0,tblInspections[[#This Row],[Defective]]/tblInspections[[#This Row],[Inspected]]*1000000,""))</f>
        <v>1639.34426229508</v>
      </c>
      <c r="L38" s="37" t="str">
        <f>IF(NOT(ISNUMBER(tblInspections[[#This Row],[PPM defective]])),"",IF(tblInspections[[#This Row],[PPM defective]]&lt;=TargetPPM,"On target",IF(tblInspections[[#This Row],[PPM defective]]&lt;=TargetPPM*(1+0.05),"Near target","Above target")))</f>
        <v>Above target</v>
      </c>
      <c r="M38" s="38">
        <f>IF(tblInspections[[#This Row],[Date]]="","",IF(tblInspections[[#This Row],[Inspected]]&gt;0,tblInspections[[#This Row],[Defects found]]/tblInspections[[#This Row],[Inspected]],""))</f>
        <v>0.0019672131147541</v>
      </c>
      <c r="N38" s="35">
        <f>IF(tblInspections[[#This Row],[Date]]="","",IF(N(tblInspections[[#This Row],[Opportunities checked]])&gt;0,tblInspections[[#This Row],[Defects found]]/tblInspections[[#This Row],[Opportunities checked]]*1000000,""))</f>
        <v>491.803278688525</v>
      </c>
      <c r="O38" s="39">
        <f>IF(tblInspections[[#This Row],[Date]]="","",IF(AND(tblInspections[[#This Row],[Date]]&gt;=FFrom,tblInspections[[#This Row],[Date]]&lt;=FTo,OR(DashPart="",tblInspections[[#This Row],[Part]]=DashPart)),tblInspections[[#This Row],[Date]],""))</f>
        <v>46274</v>
      </c>
      <c r="P3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8" s="41" t="s">
        <v>131</v>
      </c>
    </row>
    <row r="39" spans="2:17">
      <c r="B39" s="34">
        <v>46275</v>
      </c>
      <c r="C39" s="28" t="s">
        <v>163</v>
      </c>
      <c r="D39" s="28" t="s">
        <v>80</v>
      </c>
      <c r="E39" s="29">
        <v>1300</v>
      </c>
      <c r="F39" s="29">
        <v>2</v>
      </c>
      <c r="G39" s="35">
        <f>IF(tblInspections[[#This Row],[Date]]="","",SUMIFS(tblDefects[Count],tblDefects[Lot ID],tblInspections[[#This Row],[Lot ID]]))</f>
        <v>2</v>
      </c>
      <c r="H39" s="35">
        <f>IF(tblInspections[[#This Row],[Date]]="","",IFERROR(INDEX(tblParts[Opportunities],MATCH(tblInspections[[#This Row],[Part]],tblParts[Part],0)),""))</f>
        <v>6</v>
      </c>
      <c r="I39" s="35">
        <f>IF(tblInspections[[#This Row],[Date]]="","",IF(tblInspections[[#This Row],[Opportunities]]="","",tblInspections[[#This Row],[Inspected]]*tblInspections[[#This Row],[Opportunities]]))</f>
        <v>7800</v>
      </c>
      <c r="J39" s="36">
        <f>IF(tblInspections[[#This Row],[Date]]="","",IF(tblInspections[[#This Row],[Inspected]]&gt;0,tblInspections[[#This Row],[Defective]]/tblInspections[[#This Row],[Inspected]],""))</f>
        <v>0.00153846153846154</v>
      </c>
      <c r="K39" s="35">
        <f>IF(tblInspections[[#This Row],[Date]]="","",IF(tblInspections[[#This Row],[Inspected]]&gt;0,tblInspections[[#This Row],[Defective]]/tblInspections[[#This Row],[Inspected]]*1000000,""))</f>
        <v>1538.46153846154</v>
      </c>
      <c r="L39" s="37" t="str">
        <f>IF(NOT(ISNUMBER(tblInspections[[#This Row],[PPM defective]])),"",IF(tblInspections[[#This Row],[PPM defective]]&lt;=TargetPPM,"On target",IF(tblInspections[[#This Row],[PPM defective]]&lt;=TargetPPM*(1+0.05),"Near target","Above target")))</f>
        <v>Near target</v>
      </c>
      <c r="M39" s="38">
        <f>IF(tblInspections[[#This Row],[Date]]="","",IF(tblInspections[[#This Row],[Inspected]]&gt;0,tblInspections[[#This Row],[Defects found]]/tblInspections[[#This Row],[Inspected]],""))</f>
        <v>0.00153846153846154</v>
      </c>
      <c r="N39" s="35">
        <f>IF(tblInspections[[#This Row],[Date]]="","",IF(N(tblInspections[[#This Row],[Opportunities checked]])&gt;0,tblInspections[[#This Row],[Defects found]]/tblInspections[[#This Row],[Opportunities checked]]*1000000,""))</f>
        <v>256.410256410256</v>
      </c>
      <c r="O39" s="39">
        <f>IF(tblInspections[[#This Row],[Date]]="","",IF(AND(tblInspections[[#This Row],[Date]]&gt;=FFrom,tblInspections[[#This Row],[Date]]&lt;=FTo,OR(DashPart="",tblInspections[[#This Row],[Part]]=DashPart)),tblInspections[[#This Row],[Date]],""))</f>
        <v>46275</v>
      </c>
      <c r="P3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39" s="41" t="s">
        <v>131</v>
      </c>
    </row>
    <row r="40" spans="2:17">
      <c r="B40" s="34">
        <v>46275</v>
      </c>
      <c r="C40" s="28" t="s">
        <v>164</v>
      </c>
      <c r="D40" s="28" t="s">
        <v>82</v>
      </c>
      <c r="E40" s="29">
        <v>960</v>
      </c>
      <c r="F40" s="29">
        <v>0</v>
      </c>
      <c r="G40" s="35">
        <f>IF(tblInspections[[#This Row],[Date]]="","",SUMIFS(tblDefects[Count],tblDefects[Lot ID],tblInspections[[#This Row],[Lot ID]]))</f>
        <v>0</v>
      </c>
      <c r="H40" s="35">
        <f>IF(tblInspections[[#This Row],[Date]]="","",IFERROR(INDEX(tblParts[Opportunities],MATCH(tblInspections[[#This Row],[Part]],tblParts[Part],0)),""))</f>
        <v>8</v>
      </c>
      <c r="I40" s="35">
        <f>IF(tblInspections[[#This Row],[Date]]="","",IF(tblInspections[[#This Row],[Opportunities]]="","",tblInspections[[#This Row],[Inspected]]*tblInspections[[#This Row],[Opportunities]]))</f>
        <v>7680</v>
      </c>
      <c r="J40" s="36">
        <f>IF(tblInspections[[#This Row],[Date]]="","",IF(tblInspections[[#This Row],[Inspected]]&gt;0,tblInspections[[#This Row],[Defective]]/tblInspections[[#This Row],[Inspected]],""))</f>
        <v>0</v>
      </c>
      <c r="K40" s="35">
        <f>IF(tblInspections[[#This Row],[Date]]="","",IF(tblInspections[[#This Row],[Inspected]]&gt;0,tblInspections[[#This Row],[Defective]]/tblInspections[[#This Row],[Inspected]]*1000000,""))</f>
        <v>0</v>
      </c>
      <c r="L40" s="37" t="str">
        <f>IF(NOT(ISNUMBER(tblInspections[[#This Row],[PPM defective]])),"",IF(tblInspections[[#This Row],[PPM defective]]&lt;=TargetPPM,"On target",IF(tblInspections[[#This Row],[PPM defective]]&lt;=TargetPPM*(1+0.05),"Near target","Above target")))</f>
        <v>On target</v>
      </c>
      <c r="M40" s="38">
        <f>IF(tblInspections[[#This Row],[Date]]="","",IF(tblInspections[[#This Row],[Inspected]]&gt;0,tblInspections[[#This Row],[Defects found]]/tblInspections[[#This Row],[Inspected]],""))</f>
        <v>0</v>
      </c>
      <c r="N40" s="35">
        <f>IF(tblInspections[[#This Row],[Date]]="","",IF(N(tblInspections[[#This Row],[Opportunities checked]])&gt;0,tblInspections[[#This Row],[Defects found]]/tblInspections[[#This Row],[Opportunities checked]]*1000000,""))</f>
        <v>0</v>
      </c>
      <c r="O40" s="39">
        <f>IF(tblInspections[[#This Row],[Date]]="","",IF(AND(tblInspections[[#This Row],[Date]]&gt;=FFrom,tblInspections[[#This Row],[Date]]&lt;=FTo,OR(DashPart="",tblInspections[[#This Row],[Part]]=DashPart)),tblInspections[[#This Row],[Date]],""))</f>
        <v>46275</v>
      </c>
      <c r="P4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0" s="41" t="s">
        <v>131</v>
      </c>
    </row>
    <row r="41" spans="2:17">
      <c r="B41" s="34">
        <v>46275</v>
      </c>
      <c r="C41" s="28" t="s">
        <v>165</v>
      </c>
      <c r="D41" s="28" t="s">
        <v>84</v>
      </c>
      <c r="E41" s="29">
        <v>2280</v>
      </c>
      <c r="F41" s="29">
        <v>2</v>
      </c>
      <c r="G41" s="35">
        <f>IF(tblInspections[[#This Row],[Date]]="","",SUMIFS(tblDefects[Count],tblDefects[Lot ID],tblInspections[[#This Row],[Lot ID]]))</f>
        <v>2</v>
      </c>
      <c r="H41" s="35">
        <f>IF(tblInspections[[#This Row],[Date]]="","",IFERROR(INDEX(tblParts[Opportunities],MATCH(tblInspections[[#This Row],[Part]],tblParts[Part],0)),""))</f>
        <v>5</v>
      </c>
      <c r="I41" s="35">
        <f>IF(tblInspections[[#This Row],[Date]]="","",IF(tblInspections[[#This Row],[Opportunities]]="","",tblInspections[[#This Row],[Inspected]]*tblInspections[[#This Row],[Opportunities]]))</f>
        <v>11400</v>
      </c>
      <c r="J41" s="36">
        <f>IF(tblInspections[[#This Row],[Date]]="","",IF(tblInspections[[#This Row],[Inspected]]&gt;0,tblInspections[[#This Row],[Defective]]/tblInspections[[#This Row],[Inspected]],""))</f>
        <v>0.00087719298245614</v>
      </c>
      <c r="K41" s="35">
        <f>IF(tblInspections[[#This Row],[Date]]="","",IF(tblInspections[[#This Row],[Inspected]]&gt;0,tblInspections[[#This Row],[Defective]]/tblInspections[[#This Row],[Inspected]]*1000000,""))</f>
        <v>877.19298245614</v>
      </c>
      <c r="L41" s="37" t="str">
        <f>IF(NOT(ISNUMBER(tblInspections[[#This Row],[PPM defective]])),"",IF(tblInspections[[#This Row],[PPM defective]]&lt;=TargetPPM,"On target",IF(tblInspections[[#This Row],[PPM defective]]&lt;=TargetPPM*(1+0.05),"Near target","Above target")))</f>
        <v>On target</v>
      </c>
      <c r="M41" s="38">
        <f>IF(tblInspections[[#This Row],[Date]]="","",IF(tblInspections[[#This Row],[Inspected]]&gt;0,tblInspections[[#This Row],[Defects found]]/tblInspections[[#This Row],[Inspected]],""))</f>
        <v>0.00087719298245614</v>
      </c>
      <c r="N41" s="35">
        <f>IF(tblInspections[[#This Row],[Date]]="","",IF(N(tblInspections[[#This Row],[Opportunities checked]])&gt;0,tblInspections[[#This Row],[Defects found]]/tblInspections[[#This Row],[Opportunities checked]]*1000000,""))</f>
        <v>175.438596491228</v>
      </c>
      <c r="O41" s="39">
        <f>IF(tblInspections[[#This Row],[Date]]="","",IF(AND(tblInspections[[#This Row],[Date]]&gt;=FFrom,tblInspections[[#This Row],[Date]]&lt;=FTo,OR(DashPart="",tblInspections[[#This Row],[Part]]=DashPart)),tblInspections[[#This Row],[Date]],""))</f>
        <v>46275</v>
      </c>
      <c r="P4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1" s="41" t="s">
        <v>131</v>
      </c>
    </row>
    <row r="42" spans="2:17">
      <c r="B42" s="34">
        <v>46275</v>
      </c>
      <c r="C42" s="28" t="s">
        <v>166</v>
      </c>
      <c r="D42" s="28" t="s">
        <v>86</v>
      </c>
      <c r="E42" s="29">
        <v>3150</v>
      </c>
      <c r="F42" s="29">
        <v>7</v>
      </c>
      <c r="G42" s="35">
        <f>IF(tblInspections[[#This Row],[Date]]="","",SUMIFS(tblDefects[Count],tblDefects[Lot ID],tblInspections[[#This Row],[Lot ID]]))</f>
        <v>9</v>
      </c>
      <c r="H42" s="35">
        <f>IF(tblInspections[[#This Row],[Date]]="","",IFERROR(INDEX(tblParts[Opportunities],MATCH(tblInspections[[#This Row],[Part]],tblParts[Part],0)),""))</f>
        <v>4</v>
      </c>
      <c r="I42" s="35">
        <f>IF(tblInspections[[#This Row],[Date]]="","",IF(tblInspections[[#This Row],[Opportunities]]="","",tblInspections[[#This Row],[Inspected]]*tblInspections[[#This Row],[Opportunities]]))</f>
        <v>12600</v>
      </c>
      <c r="J42" s="36">
        <f>IF(tblInspections[[#This Row],[Date]]="","",IF(tblInspections[[#This Row],[Inspected]]&gt;0,tblInspections[[#This Row],[Defective]]/tblInspections[[#This Row],[Inspected]],""))</f>
        <v>0.00222222222222222</v>
      </c>
      <c r="K42" s="35">
        <f>IF(tblInspections[[#This Row],[Date]]="","",IF(tblInspections[[#This Row],[Inspected]]&gt;0,tblInspections[[#This Row],[Defective]]/tblInspections[[#This Row],[Inspected]]*1000000,""))</f>
        <v>2222.22222222222</v>
      </c>
      <c r="L42" s="37" t="str">
        <f>IF(NOT(ISNUMBER(tblInspections[[#This Row],[PPM defective]])),"",IF(tblInspections[[#This Row],[PPM defective]]&lt;=TargetPPM,"On target",IF(tblInspections[[#This Row],[PPM defective]]&lt;=TargetPPM*(1+0.05),"Near target","Above target")))</f>
        <v>Above target</v>
      </c>
      <c r="M42" s="38">
        <f>IF(tblInspections[[#This Row],[Date]]="","",IF(tblInspections[[#This Row],[Inspected]]&gt;0,tblInspections[[#This Row],[Defects found]]/tblInspections[[#This Row],[Inspected]],""))</f>
        <v>0.00285714285714286</v>
      </c>
      <c r="N42" s="35">
        <f>IF(tblInspections[[#This Row],[Date]]="","",IF(N(tblInspections[[#This Row],[Opportunities checked]])&gt;0,tblInspections[[#This Row],[Defects found]]/tblInspections[[#This Row],[Opportunities checked]]*1000000,""))</f>
        <v>714.285714285714</v>
      </c>
      <c r="O42" s="39">
        <f>IF(tblInspections[[#This Row],[Date]]="","",IF(AND(tblInspections[[#This Row],[Date]]&gt;=FFrom,tblInspections[[#This Row],[Date]]&lt;=FTo,OR(DashPart="",tblInspections[[#This Row],[Part]]=DashPart)),tblInspections[[#This Row],[Date]],""))</f>
        <v>46275</v>
      </c>
      <c r="P4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2" s="41" t="s">
        <v>131</v>
      </c>
    </row>
    <row r="43" spans="2:17">
      <c r="B43" s="34">
        <v>46276</v>
      </c>
      <c r="C43" s="28" t="s">
        <v>167</v>
      </c>
      <c r="D43" s="28" t="s">
        <v>80</v>
      </c>
      <c r="E43" s="29">
        <v>1540</v>
      </c>
      <c r="F43" s="29">
        <v>2</v>
      </c>
      <c r="G43" s="35">
        <f>IF(tblInspections[[#This Row],[Date]]="","",SUMIFS(tblDefects[Count],tblDefects[Lot ID],tblInspections[[#This Row],[Lot ID]]))</f>
        <v>3</v>
      </c>
      <c r="H43" s="35">
        <f>IF(tblInspections[[#This Row],[Date]]="","",IFERROR(INDEX(tblParts[Opportunities],MATCH(tblInspections[[#This Row],[Part]],tblParts[Part],0)),""))</f>
        <v>6</v>
      </c>
      <c r="I43" s="35">
        <f>IF(tblInspections[[#This Row],[Date]]="","",IF(tblInspections[[#This Row],[Opportunities]]="","",tblInspections[[#This Row],[Inspected]]*tblInspections[[#This Row],[Opportunities]]))</f>
        <v>9240</v>
      </c>
      <c r="J43" s="36">
        <f>IF(tblInspections[[#This Row],[Date]]="","",IF(tblInspections[[#This Row],[Inspected]]&gt;0,tblInspections[[#This Row],[Defective]]/tblInspections[[#This Row],[Inspected]],""))</f>
        <v>0.0012987012987013</v>
      </c>
      <c r="K43" s="35">
        <f>IF(tblInspections[[#This Row],[Date]]="","",IF(tblInspections[[#This Row],[Inspected]]&gt;0,tblInspections[[#This Row],[Defective]]/tblInspections[[#This Row],[Inspected]]*1000000,""))</f>
        <v>1298.7012987013</v>
      </c>
      <c r="L43" s="37" t="str">
        <f>IF(NOT(ISNUMBER(tblInspections[[#This Row],[PPM defective]])),"",IF(tblInspections[[#This Row],[PPM defective]]&lt;=TargetPPM,"On target",IF(tblInspections[[#This Row],[PPM defective]]&lt;=TargetPPM*(1+0.05),"Near target","Above target")))</f>
        <v>On target</v>
      </c>
      <c r="M43" s="38">
        <f>IF(tblInspections[[#This Row],[Date]]="","",IF(tblInspections[[#This Row],[Inspected]]&gt;0,tblInspections[[#This Row],[Defects found]]/tblInspections[[#This Row],[Inspected]],""))</f>
        <v>0.00194805194805195</v>
      </c>
      <c r="N43" s="35">
        <f>IF(tblInspections[[#This Row],[Date]]="","",IF(N(tblInspections[[#This Row],[Opportunities checked]])&gt;0,tblInspections[[#This Row],[Defects found]]/tblInspections[[#This Row],[Opportunities checked]]*1000000,""))</f>
        <v>324.675324675325</v>
      </c>
      <c r="O43" s="39">
        <f>IF(tblInspections[[#This Row],[Date]]="","",IF(AND(tblInspections[[#This Row],[Date]]&gt;=FFrom,tblInspections[[#This Row],[Date]]&lt;=FTo,OR(DashPart="",tblInspections[[#This Row],[Part]]=DashPart)),tblInspections[[#This Row],[Date]],""))</f>
        <v>46276</v>
      </c>
      <c r="P4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3" s="41" t="s">
        <v>131</v>
      </c>
    </row>
    <row r="44" spans="2:17">
      <c r="B44" s="34">
        <v>46276</v>
      </c>
      <c r="C44" s="28" t="s">
        <v>168</v>
      </c>
      <c r="D44" s="28" t="s">
        <v>82</v>
      </c>
      <c r="E44" s="29">
        <v>850</v>
      </c>
      <c r="F44" s="29">
        <v>0</v>
      </c>
      <c r="G44" s="35">
        <f>IF(tblInspections[[#This Row],[Date]]="","",SUMIFS(tblDefects[Count],tblDefects[Lot ID],tblInspections[[#This Row],[Lot ID]]))</f>
        <v>0</v>
      </c>
      <c r="H44" s="35">
        <f>IF(tblInspections[[#This Row],[Date]]="","",IFERROR(INDEX(tblParts[Opportunities],MATCH(tblInspections[[#This Row],[Part]],tblParts[Part],0)),""))</f>
        <v>8</v>
      </c>
      <c r="I44" s="35">
        <f>IF(tblInspections[[#This Row],[Date]]="","",IF(tblInspections[[#This Row],[Opportunities]]="","",tblInspections[[#This Row],[Inspected]]*tblInspections[[#This Row],[Opportunities]]))</f>
        <v>6800</v>
      </c>
      <c r="J44" s="36">
        <f>IF(tblInspections[[#This Row],[Date]]="","",IF(tblInspections[[#This Row],[Inspected]]&gt;0,tblInspections[[#This Row],[Defective]]/tblInspections[[#This Row],[Inspected]],""))</f>
        <v>0</v>
      </c>
      <c r="K44" s="35">
        <f>IF(tblInspections[[#This Row],[Date]]="","",IF(tblInspections[[#This Row],[Inspected]]&gt;0,tblInspections[[#This Row],[Defective]]/tblInspections[[#This Row],[Inspected]]*1000000,""))</f>
        <v>0</v>
      </c>
      <c r="L44" s="37" t="str">
        <f>IF(NOT(ISNUMBER(tblInspections[[#This Row],[PPM defective]])),"",IF(tblInspections[[#This Row],[PPM defective]]&lt;=TargetPPM,"On target",IF(tblInspections[[#This Row],[PPM defective]]&lt;=TargetPPM*(1+0.05),"Near target","Above target")))</f>
        <v>On target</v>
      </c>
      <c r="M44" s="38">
        <f>IF(tblInspections[[#This Row],[Date]]="","",IF(tblInspections[[#This Row],[Inspected]]&gt;0,tblInspections[[#This Row],[Defects found]]/tblInspections[[#This Row],[Inspected]],""))</f>
        <v>0</v>
      </c>
      <c r="N44" s="35">
        <f>IF(tblInspections[[#This Row],[Date]]="","",IF(N(tblInspections[[#This Row],[Opportunities checked]])&gt;0,tblInspections[[#This Row],[Defects found]]/tblInspections[[#This Row],[Opportunities checked]]*1000000,""))</f>
        <v>0</v>
      </c>
      <c r="O44" s="39">
        <f>IF(tblInspections[[#This Row],[Date]]="","",IF(AND(tblInspections[[#This Row],[Date]]&gt;=FFrom,tblInspections[[#This Row],[Date]]&lt;=FTo,OR(DashPart="",tblInspections[[#This Row],[Part]]=DashPart)),tblInspections[[#This Row],[Date]],""))</f>
        <v>46276</v>
      </c>
      <c r="P4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4" s="41" t="s">
        <v>131</v>
      </c>
    </row>
    <row r="45" spans="2:17">
      <c r="B45" s="34">
        <v>46276</v>
      </c>
      <c r="C45" s="28" t="s">
        <v>169</v>
      </c>
      <c r="D45" s="28" t="s">
        <v>84</v>
      </c>
      <c r="E45" s="29">
        <v>2420</v>
      </c>
      <c r="F45" s="29">
        <v>3</v>
      </c>
      <c r="G45" s="35">
        <f>IF(tblInspections[[#This Row],[Date]]="","",SUMIFS(tblDefects[Count],tblDefects[Lot ID],tblInspections[[#This Row],[Lot ID]]))</f>
        <v>3</v>
      </c>
      <c r="H45" s="35">
        <f>IF(tblInspections[[#This Row],[Date]]="","",IFERROR(INDEX(tblParts[Opportunities],MATCH(tblInspections[[#This Row],[Part]],tblParts[Part],0)),""))</f>
        <v>5</v>
      </c>
      <c r="I45" s="35">
        <f>IF(tblInspections[[#This Row],[Date]]="","",IF(tblInspections[[#This Row],[Opportunities]]="","",tblInspections[[#This Row],[Inspected]]*tblInspections[[#This Row],[Opportunities]]))</f>
        <v>12100</v>
      </c>
      <c r="J45" s="36">
        <f>IF(tblInspections[[#This Row],[Date]]="","",IF(tblInspections[[#This Row],[Inspected]]&gt;0,tblInspections[[#This Row],[Defective]]/tblInspections[[#This Row],[Inspected]],""))</f>
        <v>0.0012396694214876</v>
      </c>
      <c r="K45" s="35">
        <f>IF(tblInspections[[#This Row],[Date]]="","",IF(tblInspections[[#This Row],[Inspected]]&gt;0,tblInspections[[#This Row],[Defective]]/tblInspections[[#This Row],[Inspected]]*1000000,""))</f>
        <v>1239.6694214876</v>
      </c>
      <c r="L45" s="37" t="str">
        <f>IF(NOT(ISNUMBER(tblInspections[[#This Row],[PPM defective]])),"",IF(tblInspections[[#This Row],[PPM defective]]&lt;=TargetPPM,"On target",IF(tblInspections[[#This Row],[PPM defective]]&lt;=TargetPPM*(1+0.05),"Near target","Above target")))</f>
        <v>On target</v>
      </c>
      <c r="M45" s="38">
        <f>IF(tblInspections[[#This Row],[Date]]="","",IF(tblInspections[[#This Row],[Inspected]]&gt;0,tblInspections[[#This Row],[Defects found]]/tblInspections[[#This Row],[Inspected]],""))</f>
        <v>0.0012396694214876</v>
      </c>
      <c r="N45" s="35">
        <f>IF(tblInspections[[#This Row],[Date]]="","",IF(N(tblInspections[[#This Row],[Opportunities checked]])&gt;0,tblInspections[[#This Row],[Defects found]]/tblInspections[[#This Row],[Opportunities checked]]*1000000,""))</f>
        <v>247.933884297521</v>
      </c>
      <c r="O45" s="39">
        <f>IF(tblInspections[[#This Row],[Date]]="","",IF(AND(tblInspections[[#This Row],[Date]]&gt;=FFrom,tblInspections[[#This Row],[Date]]&lt;=FTo,OR(DashPart="",tblInspections[[#This Row],[Part]]=DashPart)),tblInspections[[#This Row],[Date]],""))</f>
        <v>46276</v>
      </c>
      <c r="P4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5" s="41" t="s">
        <v>131</v>
      </c>
    </row>
    <row r="46" spans="2:17">
      <c r="B46" s="34">
        <v>46276</v>
      </c>
      <c r="C46" s="28" t="s">
        <v>170</v>
      </c>
      <c r="D46" s="28" t="s">
        <v>86</v>
      </c>
      <c r="E46" s="29">
        <v>2650</v>
      </c>
      <c r="F46" s="29">
        <v>1</v>
      </c>
      <c r="G46" s="35">
        <f>IF(tblInspections[[#This Row],[Date]]="","",SUMIFS(tblDefects[Count],tblDefects[Lot ID],tblInspections[[#This Row],[Lot ID]]))</f>
        <v>2</v>
      </c>
      <c r="H46" s="35">
        <f>IF(tblInspections[[#This Row],[Date]]="","",IFERROR(INDEX(tblParts[Opportunities],MATCH(tblInspections[[#This Row],[Part]],tblParts[Part],0)),""))</f>
        <v>4</v>
      </c>
      <c r="I46" s="35">
        <f>IF(tblInspections[[#This Row],[Date]]="","",IF(tblInspections[[#This Row],[Opportunities]]="","",tblInspections[[#This Row],[Inspected]]*tblInspections[[#This Row],[Opportunities]]))</f>
        <v>10600</v>
      </c>
      <c r="J46" s="36">
        <f>IF(tblInspections[[#This Row],[Date]]="","",IF(tblInspections[[#This Row],[Inspected]]&gt;0,tblInspections[[#This Row],[Defective]]/tblInspections[[#This Row],[Inspected]],""))</f>
        <v>0.000377358490566038</v>
      </c>
      <c r="K46" s="35">
        <f>IF(tblInspections[[#This Row],[Date]]="","",IF(tblInspections[[#This Row],[Inspected]]&gt;0,tblInspections[[#This Row],[Defective]]/tblInspections[[#This Row],[Inspected]]*1000000,""))</f>
        <v>377.358490566038</v>
      </c>
      <c r="L46" s="37" t="str">
        <f>IF(NOT(ISNUMBER(tblInspections[[#This Row],[PPM defective]])),"",IF(tblInspections[[#This Row],[PPM defective]]&lt;=TargetPPM,"On target",IF(tblInspections[[#This Row],[PPM defective]]&lt;=TargetPPM*(1+0.05),"Near target","Above target")))</f>
        <v>On target</v>
      </c>
      <c r="M46" s="38">
        <f>IF(tblInspections[[#This Row],[Date]]="","",IF(tblInspections[[#This Row],[Inspected]]&gt;0,tblInspections[[#This Row],[Defects found]]/tblInspections[[#This Row],[Inspected]],""))</f>
        <v>0.000754716981132075</v>
      </c>
      <c r="N46" s="35">
        <f>IF(tblInspections[[#This Row],[Date]]="","",IF(N(tblInspections[[#This Row],[Opportunities checked]])&gt;0,tblInspections[[#This Row],[Defects found]]/tblInspections[[#This Row],[Opportunities checked]]*1000000,""))</f>
        <v>188.679245283019</v>
      </c>
      <c r="O46" s="39">
        <f>IF(tblInspections[[#This Row],[Date]]="","",IF(AND(tblInspections[[#This Row],[Date]]&gt;=FFrom,tblInspections[[#This Row],[Date]]&lt;=FTo,OR(DashPart="",tblInspections[[#This Row],[Part]]=DashPart)),tblInspections[[#This Row],[Date]],""))</f>
        <v>46276</v>
      </c>
      <c r="P4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6" s="41" t="s">
        <v>131</v>
      </c>
    </row>
    <row r="47" spans="2:17">
      <c r="B47" s="34">
        <v>46279</v>
      </c>
      <c r="C47" s="28" t="s">
        <v>171</v>
      </c>
      <c r="D47" s="28" t="s">
        <v>80</v>
      </c>
      <c r="E47" s="29">
        <v>1600</v>
      </c>
      <c r="F47" s="29">
        <v>1</v>
      </c>
      <c r="G47" s="35">
        <f>IF(tblInspections[[#This Row],[Date]]="","",SUMIFS(tblDefects[Count],tblDefects[Lot ID],tblInspections[[#This Row],[Lot ID]]))</f>
        <v>1</v>
      </c>
      <c r="H47" s="35">
        <f>IF(tblInspections[[#This Row],[Date]]="","",IFERROR(INDEX(tblParts[Opportunities],MATCH(tblInspections[[#This Row],[Part]],tblParts[Part],0)),""))</f>
        <v>6</v>
      </c>
      <c r="I47" s="35">
        <f>IF(tblInspections[[#This Row],[Date]]="","",IF(tblInspections[[#This Row],[Opportunities]]="","",tblInspections[[#This Row],[Inspected]]*tblInspections[[#This Row],[Opportunities]]))</f>
        <v>9600</v>
      </c>
      <c r="J47" s="36">
        <f>IF(tblInspections[[#This Row],[Date]]="","",IF(tblInspections[[#This Row],[Inspected]]&gt;0,tblInspections[[#This Row],[Defective]]/tblInspections[[#This Row],[Inspected]],""))</f>
        <v>0.000625</v>
      </c>
      <c r="K47" s="35">
        <f>IF(tblInspections[[#This Row],[Date]]="","",IF(tblInspections[[#This Row],[Inspected]]&gt;0,tblInspections[[#This Row],[Defective]]/tblInspections[[#This Row],[Inspected]]*1000000,""))</f>
        <v>625</v>
      </c>
      <c r="L47" s="37" t="str">
        <f>IF(NOT(ISNUMBER(tblInspections[[#This Row],[PPM defective]])),"",IF(tblInspections[[#This Row],[PPM defective]]&lt;=TargetPPM,"On target",IF(tblInspections[[#This Row],[PPM defective]]&lt;=TargetPPM*(1+0.05),"Near target","Above target")))</f>
        <v>On target</v>
      </c>
      <c r="M47" s="38">
        <f>IF(tblInspections[[#This Row],[Date]]="","",IF(tblInspections[[#This Row],[Inspected]]&gt;0,tblInspections[[#This Row],[Defects found]]/tblInspections[[#This Row],[Inspected]],""))</f>
        <v>0.000625</v>
      </c>
      <c r="N47" s="35">
        <f>IF(tblInspections[[#This Row],[Date]]="","",IF(N(tblInspections[[#This Row],[Opportunities checked]])&gt;0,tblInspections[[#This Row],[Defects found]]/tblInspections[[#This Row],[Opportunities checked]]*1000000,""))</f>
        <v>104.166666666667</v>
      </c>
      <c r="O47" s="39">
        <f>IF(tblInspections[[#This Row],[Date]]="","",IF(AND(tblInspections[[#This Row],[Date]]&gt;=FFrom,tblInspections[[#This Row],[Date]]&lt;=FTo,OR(DashPart="",tblInspections[[#This Row],[Part]]=DashPart)),tblInspections[[#This Row],[Date]],""))</f>
        <v>46279</v>
      </c>
      <c r="P4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7" s="41" t="s">
        <v>131</v>
      </c>
    </row>
    <row r="48" spans="2:17">
      <c r="B48" s="34">
        <v>46279</v>
      </c>
      <c r="C48" s="28" t="s">
        <v>172</v>
      </c>
      <c r="D48" s="28" t="s">
        <v>82</v>
      </c>
      <c r="E48" s="29">
        <v>870</v>
      </c>
      <c r="F48" s="29">
        <v>11</v>
      </c>
      <c r="G48" s="35">
        <f>IF(tblInspections[[#This Row],[Date]]="","",SUMIFS(tblDefects[Count],tblDefects[Lot ID],tblInspections[[#This Row],[Lot ID]]))</f>
        <v>15</v>
      </c>
      <c r="H48" s="35">
        <f>IF(tblInspections[[#This Row],[Date]]="","",IFERROR(INDEX(tblParts[Opportunities],MATCH(tblInspections[[#This Row],[Part]],tblParts[Part],0)),""))</f>
        <v>8</v>
      </c>
      <c r="I48" s="35">
        <f>IF(tblInspections[[#This Row],[Date]]="","",IF(tblInspections[[#This Row],[Opportunities]]="","",tblInspections[[#This Row],[Inspected]]*tblInspections[[#This Row],[Opportunities]]))</f>
        <v>6960</v>
      </c>
      <c r="J48" s="36">
        <f>IF(tblInspections[[#This Row],[Date]]="","",IF(tblInspections[[#This Row],[Inspected]]&gt;0,tblInspections[[#This Row],[Defective]]/tblInspections[[#This Row],[Inspected]],""))</f>
        <v>0.0126436781609195</v>
      </c>
      <c r="K48" s="35">
        <f>IF(tblInspections[[#This Row],[Date]]="","",IF(tblInspections[[#This Row],[Inspected]]&gt;0,tblInspections[[#This Row],[Defective]]/tblInspections[[#This Row],[Inspected]]*1000000,""))</f>
        <v>12643.6781609195</v>
      </c>
      <c r="L48" s="37" t="str">
        <f>IF(NOT(ISNUMBER(tblInspections[[#This Row],[PPM defective]])),"",IF(tblInspections[[#This Row],[PPM defective]]&lt;=TargetPPM,"On target",IF(tblInspections[[#This Row],[PPM defective]]&lt;=TargetPPM*(1+0.05),"Near target","Above target")))</f>
        <v>Above target</v>
      </c>
      <c r="M48" s="38">
        <f>IF(tblInspections[[#This Row],[Date]]="","",IF(tblInspections[[#This Row],[Inspected]]&gt;0,tblInspections[[#This Row],[Defects found]]/tblInspections[[#This Row],[Inspected]],""))</f>
        <v>0.0172413793103448</v>
      </c>
      <c r="N48" s="35">
        <f>IF(tblInspections[[#This Row],[Date]]="","",IF(N(tblInspections[[#This Row],[Opportunities checked]])&gt;0,tblInspections[[#This Row],[Defects found]]/tblInspections[[#This Row],[Opportunities checked]]*1000000,""))</f>
        <v>2155.1724137931</v>
      </c>
      <c r="O48" s="39">
        <f>IF(tblInspections[[#This Row],[Date]]="","",IF(AND(tblInspections[[#This Row],[Date]]&gt;=FFrom,tblInspections[[#This Row],[Date]]&lt;=FTo,OR(DashPart="",tblInspections[[#This Row],[Part]]=DashPart)),tblInspections[[#This Row],[Date]],""))</f>
        <v>46279</v>
      </c>
      <c r="P4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8" s="41" t="s">
        <v>173</v>
      </c>
    </row>
    <row r="49" spans="2:17">
      <c r="B49" s="34">
        <v>46279</v>
      </c>
      <c r="C49" s="28" t="s">
        <v>174</v>
      </c>
      <c r="D49" s="28" t="s">
        <v>84</v>
      </c>
      <c r="E49" s="29">
        <v>2050</v>
      </c>
      <c r="F49" s="29">
        <v>3</v>
      </c>
      <c r="G49" s="35">
        <f>IF(tblInspections[[#This Row],[Date]]="","",SUMIFS(tblDefects[Count],tblDefects[Lot ID],tblInspections[[#This Row],[Lot ID]]))</f>
        <v>3</v>
      </c>
      <c r="H49" s="35">
        <f>IF(tblInspections[[#This Row],[Date]]="","",IFERROR(INDEX(tblParts[Opportunities],MATCH(tblInspections[[#This Row],[Part]],tblParts[Part],0)),""))</f>
        <v>5</v>
      </c>
      <c r="I49" s="35">
        <f>IF(tblInspections[[#This Row],[Date]]="","",IF(tblInspections[[#This Row],[Opportunities]]="","",tblInspections[[#This Row],[Inspected]]*tblInspections[[#This Row],[Opportunities]]))</f>
        <v>10250</v>
      </c>
      <c r="J49" s="36">
        <f>IF(tblInspections[[#This Row],[Date]]="","",IF(tblInspections[[#This Row],[Inspected]]&gt;0,tblInspections[[#This Row],[Defective]]/tblInspections[[#This Row],[Inspected]],""))</f>
        <v>0.00146341463414634</v>
      </c>
      <c r="K49" s="35">
        <f>IF(tblInspections[[#This Row],[Date]]="","",IF(tblInspections[[#This Row],[Inspected]]&gt;0,tblInspections[[#This Row],[Defective]]/tblInspections[[#This Row],[Inspected]]*1000000,""))</f>
        <v>1463.41463414634</v>
      </c>
      <c r="L49" s="37" t="str">
        <f>IF(NOT(ISNUMBER(tblInspections[[#This Row],[PPM defective]])),"",IF(tblInspections[[#This Row],[PPM defective]]&lt;=TargetPPM,"On target",IF(tblInspections[[#This Row],[PPM defective]]&lt;=TargetPPM*(1+0.05),"Near target","Above target")))</f>
        <v>On target</v>
      </c>
      <c r="M49" s="38">
        <f>IF(tblInspections[[#This Row],[Date]]="","",IF(tblInspections[[#This Row],[Inspected]]&gt;0,tblInspections[[#This Row],[Defects found]]/tblInspections[[#This Row],[Inspected]],""))</f>
        <v>0.00146341463414634</v>
      </c>
      <c r="N49" s="35">
        <f>IF(tblInspections[[#This Row],[Date]]="","",IF(N(tblInspections[[#This Row],[Opportunities checked]])&gt;0,tblInspections[[#This Row],[Defects found]]/tblInspections[[#This Row],[Opportunities checked]]*1000000,""))</f>
        <v>292.682926829268</v>
      </c>
      <c r="O49" s="39">
        <f>IF(tblInspections[[#This Row],[Date]]="","",IF(AND(tblInspections[[#This Row],[Date]]&gt;=FFrom,tblInspections[[#This Row],[Date]]&lt;=FTo,OR(DashPart="",tblInspections[[#This Row],[Part]]=DashPart)),tblInspections[[#This Row],[Date]],""))</f>
        <v>46279</v>
      </c>
      <c r="P4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49" s="41" t="s">
        <v>131</v>
      </c>
    </row>
    <row r="50" spans="2:17">
      <c r="B50" s="34">
        <v>46279</v>
      </c>
      <c r="C50" s="28" t="s">
        <v>175</v>
      </c>
      <c r="D50" s="28" t="s">
        <v>86</v>
      </c>
      <c r="E50" s="29">
        <v>2970</v>
      </c>
      <c r="F50" s="29">
        <v>4</v>
      </c>
      <c r="G50" s="35">
        <f>IF(tblInspections[[#This Row],[Date]]="","",SUMIFS(tblDefects[Count],tblDefects[Lot ID],tblInspections[[#This Row],[Lot ID]]))</f>
        <v>4</v>
      </c>
      <c r="H50" s="35">
        <f>IF(tblInspections[[#This Row],[Date]]="","",IFERROR(INDEX(tblParts[Opportunities],MATCH(tblInspections[[#This Row],[Part]],tblParts[Part],0)),""))</f>
        <v>4</v>
      </c>
      <c r="I50" s="35">
        <f>IF(tblInspections[[#This Row],[Date]]="","",IF(tblInspections[[#This Row],[Opportunities]]="","",tblInspections[[#This Row],[Inspected]]*tblInspections[[#This Row],[Opportunities]]))</f>
        <v>11880</v>
      </c>
      <c r="J50" s="36">
        <f>IF(tblInspections[[#This Row],[Date]]="","",IF(tblInspections[[#This Row],[Inspected]]&gt;0,tblInspections[[#This Row],[Defective]]/tblInspections[[#This Row],[Inspected]],""))</f>
        <v>0.00134680134680135</v>
      </c>
      <c r="K50" s="35">
        <f>IF(tblInspections[[#This Row],[Date]]="","",IF(tblInspections[[#This Row],[Inspected]]&gt;0,tblInspections[[#This Row],[Defective]]/tblInspections[[#This Row],[Inspected]]*1000000,""))</f>
        <v>1346.80134680135</v>
      </c>
      <c r="L50" s="37" t="str">
        <f>IF(NOT(ISNUMBER(tblInspections[[#This Row],[PPM defective]])),"",IF(tblInspections[[#This Row],[PPM defective]]&lt;=TargetPPM,"On target",IF(tblInspections[[#This Row],[PPM defective]]&lt;=TargetPPM*(1+0.05),"Near target","Above target")))</f>
        <v>On target</v>
      </c>
      <c r="M50" s="38">
        <f>IF(tblInspections[[#This Row],[Date]]="","",IF(tblInspections[[#This Row],[Inspected]]&gt;0,tblInspections[[#This Row],[Defects found]]/tblInspections[[#This Row],[Inspected]],""))</f>
        <v>0.00134680134680135</v>
      </c>
      <c r="N50" s="35">
        <f>IF(tblInspections[[#This Row],[Date]]="","",IF(N(tblInspections[[#This Row],[Opportunities checked]])&gt;0,tblInspections[[#This Row],[Defects found]]/tblInspections[[#This Row],[Opportunities checked]]*1000000,""))</f>
        <v>336.700336700337</v>
      </c>
      <c r="O50" s="39">
        <f>IF(tblInspections[[#This Row],[Date]]="","",IF(AND(tblInspections[[#This Row],[Date]]&gt;=FFrom,tblInspections[[#This Row],[Date]]&lt;=FTo,OR(DashPart="",tblInspections[[#This Row],[Part]]=DashPart)),tblInspections[[#This Row],[Date]],""))</f>
        <v>46279</v>
      </c>
      <c r="P5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0" s="41" t="s">
        <v>131</v>
      </c>
    </row>
    <row r="51" spans="2:17">
      <c r="B51" s="34">
        <v>46280</v>
      </c>
      <c r="C51" s="28" t="s">
        <v>176</v>
      </c>
      <c r="D51" s="28" t="s">
        <v>80</v>
      </c>
      <c r="E51" s="29">
        <v>1560</v>
      </c>
      <c r="F51" s="29">
        <v>1</v>
      </c>
      <c r="G51" s="35">
        <f>IF(tblInspections[[#This Row],[Date]]="","",SUMIFS(tblDefects[Count],tblDefects[Lot ID],tblInspections[[#This Row],[Lot ID]]))</f>
        <v>1</v>
      </c>
      <c r="H51" s="35">
        <f>IF(tblInspections[[#This Row],[Date]]="","",IFERROR(INDEX(tblParts[Opportunities],MATCH(tblInspections[[#This Row],[Part]],tblParts[Part],0)),""))</f>
        <v>6</v>
      </c>
      <c r="I51" s="35">
        <f>IF(tblInspections[[#This Row],[Date]]="","",IF(tblInspections[[#This Row],[Opportunities]]="","",tblInspections[[#This Row],[Inspected]]*tblInspections[[#This Row],[Opportunities]]))</f>
        <v>9360</v>
      </c>
      <c r="J51" s="36">
        <f>IF(tblInspections[[#This Row],[Date]]="","",IF(tblInspections[[#This Row],[Inspected]]&gt;0,tblInspections[[#This Row],[Defective]]/tblInspections[[#This Row],[Inspected]],""))</f>
        <v>0.000641025641025641</v>
      </c>
      <c r="K51" s="35">
        <f>IF(tblInspections[[#This Row],[Date]]="","",IF(tblInspections[[#This Row],[Inspected]]&gt;0,tblInspections[[#This Row],[Defective]]/tblInspections[[#This Row],[Inspected]]*1000000,""))</f>
        <v>641.025641025641</v>
      </c>
      <c r="L51" s="37" t="str">
        <f>IF(NOT(ISNUMBER(tblInspections[[#This Row],[PPM defective]])),"",IF(tblInspections[[#This Row],[PPM defective]]&lt;=TargetPPM,"On target",IF(tblInspections[[#This Row],[PPM defective]]&lt;=TargetPPM*(1+0.05),"Near target","Above target")))</f>
        <v>On target</v>
      </c>
      <c r="M51" s="38">
        <f>IF(tblInspections[[#This Row],[Date]]="","",IF(tblInspections[[#This Row],[Inspected]]&gt;0,tblInspections[[#This Row],[Defects found]]/tblInspections[[#This Row],[Inspected]],""))</f>
        <v>0.000641025641025641</v>
      </c>
      <c r="N51" s="35">
        <f>IF(tblInspections[[#This Row],[Date]]="","",IF(N(tblInspections[[#This Row],[Opportunities checked]])&gt;0,tblInspections[[#This Row],[Defects found]]/tblInspections[[#This Row],[Opportunities checked]]*1000000,""))</f>
        <v>106.837606837607</v>
      </c>
      <c r="O51" s="39">
        <f>IF(tblInspections[[#This Row],[Date]]="","",IF(AND(tblInspections[[#This Row],[Date]]&gt;=FFrom,tblInspections[[#This Row],[Date]]&lt;=FTo,OR(DashPart="",tblInspections[[#This Row],[Part]]=DashPart)),tblInspections[[#This Row],[Date]],""))</f>
        <v>46280</v>
      </c>
      <c r="P5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1" s="41" t="s">
        <v>131</v>
      </c>
    </row>
    <row r="52" spans="2:17">
      <c r="B52" s="34">
        <v>46280</v>
      </c>
      <c r="C52" s="28" t="s">
        <v>177</v>
      </c>
      <c r="D52" s="28" t="s">
        <v>82</v>
      </c>
      <c r="E52" s="29">
        <v>870</v>
      </c>
      <c r="F52" s="29">
        <v>16</v>
      </c>
      <c r="G52" s="35">
        <f>IF(tblInspections[[#This Row],[Date]]="","",SUMIFS(tblDefects[Count],tblDefects[Lot ID],tblInspections[[#This Row],[Lot ID]]))</f>
        <v>17</v>
      </c>
      <c r="H52" s="35">
        <f>IF(tblInspections[[#This Row],[Date]]="","",IFERROR(INDEX(tblParts[Opportunities],MATCH(tblInspections[[#This Row],[Part]],tblParts[Part],0)),""))</f>
        <v>8</v>
      </c>
      <c r="I52" s="35">
        <f>IF(tblInspections[[#This Row],[Date]]="","",IF(tblInspections[[#This Row],[Opportunities]]="","",tblInspections[[#This Row],[Inspected]]*tblInspections[[#This Row],[Opportunities]]))</f>
        <v>6960</v>
      </c>
      <c r="J52" s="36">
        <f>IF(tblInspections[[#This Row],[Date]]="","",IF(tblInspections[[#This Row],[Inspected]]&gt;0,tblInspections[[#This Row],[Defective]]/tblInspections[[#This Row],[Inspected]],""))</f>
        <v>0.0183908045977012</v>
      </c>
      <c r="K52" s="35">
        <f>IF(tblInspections[[#This Row],[Date]]="","",IF(tblInspections[[#This Row],[Inspected]]&gt;0,tblInspections[[#This Row],[Defective]]/tblInspections[[#This Row],[Inspected]]*1000000,""))</f>
        <v>18390.8045977012</v>
      </c>
      <c r="L52" s="37" t="str">
        <f>IF(NOT(ISNUMBER(tblInspections[[#This Row],[PPM defective]])),"",IF(tblInspections[[#This Row],[PPM defective]]&lt;=TargetPPM,"On target",IF(tblInspections[[#This Row],[PPM defective]]&lt;=TargetPPM*(1+0.05),"Near target","Above target")))</f>
        <v>Above target</v>
      </c>
      <c r="M52" s="38">
        <f>IF(tblInspections[[#This Row],[Date]]="","",IF(tblInspections[[#This Row],[Inspected]]&gt;0,tblInspections[[#This Row],[Defects found]]/tblInspections[[#This Row],[Inspected]],""))</f>
        <v>0.0195402298850575</v>
      </c>
      <c r="N52" s="35">
        <f>IF(tblInspections[[#This Row],[Date]]="","",IF(N(tblInspections[[#This Row],[Opportunities checked]])&gt;0,tblInspections[[#This Row],[Defects found]]/tblInspections[[#This Row],[Opportunities checked]]*1000000,""))</f>
        <v>2442.52873563218</v>
      </c>
      <c r="O52" s="39">
        <f>IF(tblInspections[[#This Row],[Date]]="","",IF(AND(tblInspections[[#This Row],[Date]]&gt;=FFrom,tblInspections[[#This Row],[Date]]&lt;=FTo,OR(DashPart="",tblInspections[[#This Row],[Part]]=DashPart)),tblInspections[[#This Row],[Date]],""))</f>
        <v>46280</v>
      </c>
      <c r="P5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2" s="41" t="s">
        <v>131</v>
      </c>
    </row>
    <row r="53" spans="2:17">
      <c r="B53" s="34">
        <v>46280</v>
      </c>
      <c r="C53" s="28" t="s">
        <v>178</v>
      </c>
      <c r="D53" s="28" t="s">
        <v>84</v>
      </c>
      <c r="E53" s="29">
        <v>2120</v>
      </c>
      <c r="F53" s="29">
        <v>0</v>
      </c>
      <c r="G53" s="35">
        <f>IF(tblInspections[[#This Row],[Date]]="","",SUMIFS(tblDefects[Count],tblDefects[Lot ID],tblInspections[[#This Row],[Lot ID]]))</f>
        <v>0</v>
      </c>
      <c r="H53" s="35">
        <f>IF(tblInspections[[#This Row],[Date]]="","",IFERROR(INDEX(tblParts[Opportunities],MATCH(tblInspections[[#This Row],[Part]],tblParts[Part],0)),""))</f>
        <v>5</v>
      </c>
      <c r="I53" s="35">
        <f>IF(tblInspections[[#This Row],[Date]]="","",IF(tblInspections[[#This Row],[Opportunities]]="","",tblInspections[[#This Row],[Inspected]]*tblInspections[[#This Row],[Opportunities]]))</f>
        <v>10600</v>
      </c>
      <c r="J53" s="36">
        <f>IF(tblInspections[[#This Row],[Date]]="","",IF(tblInspections[[#This Row],[Inspected]]&gt;0,tblInspections[[#This Row],[Defective]]/tblInspections[[#This Row],[Inspected]],""))</f>
        <v>0</v>
      </c>
      <c r="K53" s="35">
        <f>IF(tblInspections[[#This Row],[Date]]="","",IF(tblInspections[[#This Row],[Inspected]]&gt;0,tblInspections[[#This Row],[Defective]]/tblInspections[[#This Row],[Inspected]]*1000000,""))</f>
        <v>0</v>
      </c>
      <c r="L53" s="37" t="str">
        <f>IF(NOT(ISNUMBER(tblInspections[[#This Row],[PPM defective]])),"",IF(tblInspections[[#This Row],[PPM defective]]&lt;=TargetPPM,"On target",IF(tblInspections[[#This Row],[PPM defective]]&lt;=TargetPPM*(1+0.05),"Near target","Above target")))</f>
        <v>On target</v>
      </c>
      <c r="M53" s="38">
        <f>IF(tblInspections[[#This Row],[Date]]="","",IF(tblInspections[[#This Row],[Inspected]]&gt;0,tblInspections[[#This Row],[Defects found]]/tblInspections[[#This Row],[Inspected]],""))</f>
        <v>0</v>
      </c>
      <c r="N53" s="35">
        <f>IF(tblInspections[[#This Row],[Date]]="","",IF(N(tblInspections[[#This Row],[Opportunities checked]])&gt;0,tblInspections[[#This Row],[Defects found]]/tblInspections[[#This Row],[Opportunities checked]]*1000000,""))</f>
        <v>0</v>
      </c>
      <c r="O53" s="39">
        <f>IF(tblInspections[[#This Row],[Date]]="","",IF(AND(tblInspections[[#This Row],[Date]]&gt;=FFrom,tblInspections[[#This Row],[Date]]&lt;=FTo,OR(DashPart="",tblInspections[[#This Row],[Part]]=DashPart)),tblInspections[[#This Row],[Date]],""))</f>
        <v>46280</v>
      </c>
      <c r="P5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3" s="41" t="s">
        <v>131</v>
      </c>
    </row>
    <row r="54" spans="2:17">
      <c r="B54" s="34">
        <v>46280</v>
      </c>
      <c r="C54" s="28" t="s">
        <v>179</v>
      </c>
      <c r="D54" s="28" t="s">
        <v>86</v>
      </c>
      <c r="E54" s="29">
        <v>3320</v>
      </c>
      <c r="F54" s="29">
        <v>6</v>
      </c>
      <c r="G54" s="35">
        <f>IF(tblInspections[[#This Row],[Date]]="","",SUMIFS(tblDefects[Count],tblDefects[Lot ID],tblInspections[[#This Row],[Lot ID]]))</f>
        <v>8</v>
      </c>
      <c r="H54" s="35">
        <f>IF(tblInspections[[#This Row],[Date]]="","",IFERROR(INDEX(tblParts[Opportunities],MATCH(tblInspections[[#This Row],[Part]],tblParts[Part],0)),""))</f>
        <v>4</v>
      </c>
      <c r="I54" s="35">
        <f>IF(tblInspections[[#This Row],[Date]]="","",IF(tblInspections[[#This Row],[Opportunities]]="","",tblInspections[[#This Row],[Inspected]]*tblInspections[[#This Row],[Opportunities]]))</f>
        <v>13280</v>
      </c>
      <c r="J54" s="36">
        <f>IF(tblInspections[[#This Row],[Date]]="","",IF(tblInspections[[#This Row],[Inspected]]&gt;0,tblInspections[[#This Row],[Defective]]/tblInspections[[#This Row],[Inspected]],""))</f>
        <v>0.00180722891566265</v>
      </c>
      <c r="K54" s="35">
        <f>IF(tblInspections[[#This Row],[Date]]="","",IF(tblInspections[[#This Row],[Inspected]]&gt;0,tblInspections[[#This Row],[Defective]]/tblInspections[[#This Row],[Inspected]]*1000000,""))</f>
        <v>1807.22891566265</v>
      </c>
      <c r="L54" s="37" t="str">
        <f>IF(NOT(ISNUMBER(tblInspections[[#This Row],[PPM defective]])),"",IF(tblInspections[[#This Row],[PPM defective]]&lt;=TargetPPM,"On target",IF(tblInspections[[#This Row],[PPM defective]]&lt;=TargetPPM*(1+0.05),"Near target","Above target")))</f>
        <v>Above target</v>
      </c>
      <c r="M54" s="38">
        <f>IF(tblInspections[[#This Row],[Date]]="","",IF(tblInspections[[#This Row],[Inspected]]&gt;0,tblInspections[[#This Row],[Defects found]]/tblInspections[[#This Row],[Inspected]],""))</f>
        <v>0.00240963855421687</v>
      </c>
      <c r="N54" s="35">
        <f>IF(tblInspections[[#This Row],[Date]]="","",IF(N(tblInspections[[#This Row],[Opportunities checked]])&gt;0,tblInspections[[#This Row],[Defects found]]/tblInspections[[#This Row],[Opportunities checked]]*1000000,""))</f>
        <v>602.409638554217</v>
      </c>
      <c r="O54" s="39">
        <f>IF(tblInspections[[#This Row],[Date]]="","",IF(AND(tblInspections[[#This Row],[Date]]&gt;=FFrom,tblInspections[[#This Row],[Date]]&lt;=FTo,OR(DashPart="",tblInspections[[#This Row],[Part]]=DashPart)),tblInspections[[#This Row],[Date]],""))</f>
        <v>46280</v>
      </c>
      <c r="P5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4" s="41" t="s">
        <v>131</v>
      </c>
    </row>
    <row r="55" spans="2:17">
      <c r="B55" s="34">
        <v>46281</v>
      </c>
      <c r="C55" s="28" t="s">
        <v>180</v>
      </c>
      <c r="D55" s="28" t="s">
        <v>80</v>
      </c>
      <c r="E55" s="29">
        <v>1570</v>
      </c>
      <c r="F55" s="29">
        <v>5</v>
      </c>
      <c r="G55" s="35">
        <f>IF(tblInspections[[#This Row],[Date]]="","",SUMIFS(tblDefects[Count],tblDefects[Lot ID],tblInspections[[#This Row],[Lot ID]]))</f>
        <v>5</v>
      </c>
      <c r="H55" s="35">
        <f>IF(tblInspections[[#This Row],[Date]]="","",IFERROR(INDEX(tblParts[Opportunities],MATCH(tblInspections[[#This Row],[Part]],tblParts[Part],0)),""))</f>
        <v>6</v>
      </c>
      <c r="I55" s="35">
        <f>IF(tblInspections[[#This Row],[Date]]="","",IF(tblInspections[[#This Row],[Opportunities]]="","",tblInspections[[#This Row],[Inspected]]*tblInspections[[#This Row],[Opportunities]]))</f>
        <v>9420</v>
      </c>
      <c r="J55" s="36">
        <f>IF(tblInspections[[#This Row],[Date]]="","",IF(tblInspections[[#This Row],[Inspected]]&gt;0,tblInspections[[#This Row],[Defective]]/tblInspections[[#This Row],[Inspected]],""))</f>
        <v>0.00318471337579618</v>
      </c>
      <c r="K55" s="35">
        <f>IF(tblInspections[[#This Row],[Date]]="","",IF(tblInspections[[#This Row],[Inspected]]&gt;0,tblInspections[[#This Row],[Defective]]/tblInspections[[#This Row],[Inspected]]*1000000,""))</f>
        <v>3184.71337579618</v>
      </c>
      <c r="L55" s="37" t="str">
        <f>IF(NOT(ISNUMBER(tblInspections[[#This Row],[PPM defective]])),"",IF(tblInspections[[#This Row],[PPM defective]]&lt;=TargetPPM,"On target",IF(tblInspections[[#This Row],[PPM defective]]&lt;=TargetPPM*(1+0.05),"Near target","Above target")))</f>
        <v>Above target</v>
      </c>
      <c r="M55" s="38">
        <f>IF(tblInspections[[#This Row],[Date]]="","",IF(tblInspections[[#This Row],[Inspected]]&gt;0,tblInspections[[#This Row],[Defects found]]/tblInspections[[#This Row],[Inspected]],""))</f>
        <v>0.00318471337579618</v>
      </c>
      <c r="N55" s="35">
        <f>IF(tblInspections[[#This Row],[Date]]="","",IF(N(tblInspections[[#This Row],[Opportunities checked]])&gt;0,tblInspections[[#This Row],[Defects found]]/tblInspections[[#This Row],[Opportunities checked]]*1000000,""))</f>
        <v>530.785562632696</v>
      </c>
      <c r="O55" s="39">
        <f>IF(tblInspections[[#This Row],[Date]]="","",IF(AND(tblInspections[[#This Row],[Date]]&gt;=FFrom,tblInspections[[#This Row],[Date]]&lt;=FTo,OR(DashPart="",tblInspections[[#This Row],[Part]]=DashPart)),tblInspections[[#This Row],[Date]],""))</f>
        <v>46281</v>
      </c>
      <c r="P5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5" s="41" t="s">
        <v>131</v>
      </c>
    </row>
    <row r="56" spans="2:17">
      <c r="B56" s="34">
        <v>46281</v>
      </c>
      <c r="C56" s="28" t="s">
        <v>181</v>
      </c>
      <c r="D56" s="28" t="s">
        <v>82</v>
      </c>
      <c r="E56" s="29">
        <v>860</v>
      </c>
      <c r="F56" s="29">
        <v>9</v>
      </c>
      <c r="G56" s="35">
        <f>IF(tblInspections[[#This Row],[Date]]="","",SUMIFS(tblDefects[Count],tblDefects[Lot ID],tblInspections[[#This Row],[Lot ID]]))</f>
        <v>11</v>
      </c>
      <c r="H56" s="35">
        <f>IF(tblInspections[[#This Row],[Date]]="","",IFERROR(INDEX(tblParts[Opportunities],MATCH(tblInspections[[#This Row],[Part]],tblParts[Part],0)),""))</f>
        <v>8</v>
      </c>
      <c r="I56" s="35">
        <f>IF(tblInspections[[#This Row],[Date]]="","",IF(tblInspections[[#This Row],[Opportunities]]="","",tblInspections[[#This Row],[Inspected]]*tblInspections[[#This Row],[Opportunities]]))</f>
        <v>6880</v>
      </c>
      <c r="J56" s="36">
        <f>IF(tblInspections[[#This Row],[Date]]="","",IF(tblInspections[[#This Row],[Inspected]]&gt;0,tblInspections[[#This Row],[Defective]]/tblInspections[[#This Row],[Inspected]],""))</f>
        <v>0.0104651162790698</v>
      </c>
      <c r="K56" s="35">
        <f>IF(tblInspections[[#This Row],[Date]]="","",IF(tblInspections[[#This Row],[Inspected]]&gt;0,tblInspections[[#This Row],[Defective]]/tblInspections[[#This Row],[Inspected]]*1000000,""))</f>
        <v>10465.1162790698</v>
      </c>
      <c r="L56" s="37" t="str">
        <f>IF(NOT(ISNUMBER(tblInspections[[#This Row],[PPM defective]])),"",IF(tblInspections[[#This Row],[PPM defective]]&lt;=TargetPPM,"On target",IF(tblInspections[[#This Row],[PPM defective]]&lt;=TargetPPM*(1+0.05),"Near target","Above target")))</f>
        <v>Above target</v>
      </c>
      <c r="M56" s="38">
        <f>IF(tblInspections[[#This Row],[Date]]="","",IF(tblInspections[[#This Row],[Inspected]]&gt;0,tblInspections[[#This Row],[Defects found]]/tblInspections[[#This Row],[Inspected]],""))</f>
        <v>0.0127906976744186</v>
      </c>
      <c r="N56" s="35">
        <f>IF(tblInspections[[#This Row],[Date]]="","",IF(N(tblInspections[[#This Row],[Opportunities checked]])&gt;0,tblInspections[[#This Row],[Defects found]]/tblInspections[[#This Row],[Opportunities checked]]*1000000,""))</f>
        <v>1598.83720930233</v>
      </c>
      <c r="O56" s="39">
        <f>IF(tblInspections[[#This Row],[Date]]="","",IF(AND(tblInspections[[#This Row],[Date]]&gt;=FFrom,tblInspections[[#This Row],[Date]]&lt;=FTo,OR(DashPart="",tblInspections[[#This Row],[Part]]=DashPart)),tblInspections[[#This Row],[Date]],""))</f>
        <v>46281</v>
      </c>
      <c r="P5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6" s="41" t="s">
        <v>131</v>
      </c>
    </row>
    <row r="57" spans="2:17">
      <c r="B57" s="34">
        <v>46281</v>
      </c>
      <c r="C57" s="28" t="s">
        <v>182</v>
      </c>
      <c r="D57" s="28" t="s">
        <v>84</v>
      </c>
      <c r="E57" s="29">
        <v>2510</v>
      </c>
      <c r="F57" s="29">
        <v>2</v>
      </c>
      <c r="G57" s="35">
        <f>IF(tblInspections[[#This Row],[Date]]="","",SUMIFS(tblDefects[Count],tblDefects[Lot ID],tblInspections[[#This Row],[Lot ID]]))</f>
        <v>2</v>
      </c>
      <c r="H57" s="35">
        <f>IF(tblInspections[[#This Row],[Date]]="","",IFERROR(INDEX(tblParts[Opportunities],MATCH(tblInspections[[#This Row],[Part]],tblParts[Part],0)),""))</f>
        <v>5</v>
      </c>
      <c r="I57" s="35">
        <f>IF(tblInspections[[#This Row],[Date]]="","",IF(tblInspections[[#This Row],[Opportunities]]="","",tblInspections[[#This Row],[Inspected]]*tblInspections[[#This Row],[Opportunities]]))</f>
        <v>12550</v>
      </c>
      <c r="J57" s="36">
        <f>IF(tblInspections[[#This Row],[Date]]="","",IF(tblInspections[[#This Row],[Inspected]]&gt;0,tblInspections[[#This Row],[Defective]]/tblInspections[[#This Row],[Inspected]],""))</f>
        <v>0.000796812749003984</v>
      </c>
      <c r="K57" s="35">
        <f>IF(tblInspections[[#This Row],[Date]]="","",IF(tblInspections[[#This Row],[Inspected]]&gt;0,tblInspections[[#This Row],[Defective]]/tblInspections[[#This Row],[Inspected]]*1000000,""))</f>
        <v>796.812749003984</v>
      </c>
      <c r="L57" s="37" t="str">
        <f>IF(NOT(ISNUMBER(tblInspections[[#This Row],[PPM defective]])),"",IF(tblInspections[[#This Row],[PPM defective]]&lt;=TargetPPM,"On target",IF(tblInspections[[#This Row],[PPM defective]]&lt;=TargetPPM*(1+0.05),"Near target","Above target")))</f>
        <v>On target</v>
      </c>
      <c r="M57" s="38">
        <f>IF(tblInspections[[#This Row],[Date]]="","",IF(tblInspections[[#This Row],[Inspected]]&gt;0,tblInspections[[#This Row],[Defects found]]/tblInspections[[#This Row],[Inspected]],""))</f>
        <v>0.000796812749003984</v>
      </c>
      <c r="N57" s="35">
        <f>IF(tblInspections[[#This Row],[Date]]="","",IF(N(tblInspections[[#This Row],[Opportunities checked]])&gt;0,tblInspections[[#This Row],[Defects found]]/tblInspections[[#This Row],[Opportunities checked]]*1000000,""))</f>
        <v>159.362549800797</v>
      </c>
      <c r="O57" s="39">
        <f>IF(tblInspections[[#This Row],[Date]]="","",IF(AND(tblInspections[[#This Row],[Date]]&gt;=FFrom,tblInspections[[#This Row],[Date]]&lt;=FTo,OR(DashPart="",tblInspections[[#This Row],[Part]]=DashPart)),tblInspections[[#This Row],[Date]],""))</f>
        <v>46281</v>
      </c>
      <c r="P5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7" s="41" t="s">
        <v>131</v>
      </c>
    </row>
    <row r="58" spans="2:17">
      <c r="B58" s="34">
        <v>46281</v>
      </c>
      <c r="C58" s="28" t="s">
        <v>183</v>
      </c>
      <c r="D58" s="28" t="s">
        <v>86</v>
      </c>
      <c r="E58" s="29">
        <v>2780</v>
      </c>
      <c r="F58" s="29">
        <v>1</v>
      </c>
      <c r="G58" s="35">
        <f>IF(tblInspections[[#This Row],[Date]]="","",SUMIFS(tblDefects[Count],tblDefects[Lot ID],tblInspections[[#This Row],[Lot ID]]))</f>
        <v>1</v>
      </c>
      <c r="H58" s="35">
        <f>IF(tblInspections[[#This Row],[Date]]="","",IFERROR(INDEX(tblParts[Opportunities],MATCH(tblInspections[[#This Row],[Part]],tblParts[Part],0)),""))</f>
        <v>4</v>
      </c>
      <c r="I58" s="35">
        <f>IF(tblInspections[[#This Row],[Date]]="","",IF(tblInspections[[#This Row],[Opportunities]]="","",tblInspections[[#This Row],[Inspected]]*tblInspections[[#This Row],[Opportunities]]))</f>
        <v>11120</v>
      </c>
      <c r="J58" s="36">
        <f>IF(tblInspections[[#This Row],[Date]]="","",IF(tblInspections[[#This Row],[Inspected]]&gt;0,tblInspections[[#This Row],[Defective]]/tblInspections[[#This Row],[Inspected]],""))</f>
        <v>0.000359712230215827</v>
      </c>
      <c r="K58" s="35">
        <f>IF(tblInspections[[#This Row],[Date]]="","",IF(tblInspections[[#This Row],[Inspected]]&gt;0,tblInspections[[#This Row],[Defective]]/tblInspections[[#This Row],[Inspected]]*1000000,""))</f>
        <v>359.712230215827</v>
      </c>
      <c r="L58" s="37" t="str">
        <f>IF(NOT(ISNUMBER(tblInspections[[#This Row],[PPM defective]])),"",IF(tblInspections[[#This Row],[PPM defective]]&lt;=TargetPPM,"On target",IF(tblInspections[[#This Row],[PPM defective]]&lt;=TargetPPM*(1+0.05),"Near target","Above target")))</f>
        <v>On target</v>
      </c>
      <c r="M58" s="38">
        <f>IF(tblInspections[[#This Row],[Date]]="","",IF(tblInspections[[#This Row],[Inspected]]&gt;0,tblInspections[[#This Row],[Defects found]]/tblInspections[[#This Row],[Inspected]],""))</f>
        <v>0.000359712230215827</v>
      </c>
      <c r="N58" s="35">
        <f>IF(tblInspections[[#This Row],[Date]]="","",IF(N(tblInspections[[#This Row],[Opportunities checked]])&gt;0,tblInspections[[#This Row],[Defects found]]/tblInspections[[#This Row],[Opportunities checked]]*1000000,""))</f>
        <v>89.9280575539568</v>
      </c>
      <c r="O58" s="39">
        <f>IF(tblInspections[[#This Row],[Date]]="","",IF(AND(tblInspections[[#This Row],[Date]]&gt;=FFrom,tblInspections[[#This Row],[Date]]&lt;=FTo,OR(DashPart="",tblInspections[[#This Row],[Part]]=DashPart)),tblInspections[[#This Row],[Date]],""))</f>
        <v>46281</v>
      </c>
      <c r="P5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8" s="41" t="s">
        <v>131</v>
      </c>
    </row>
    <row r="59" spans="2:17">
      <c r="B59" s="34">
        <v>46282</v>
      </c>
      <c r="C59" s="28" t="s">
        <v>184</v>
      </c>
      <c r="D59" s="28" t="s">
        <v>80</v>
      </c>
      <c r="E59" s="29">
        <v>1540</v>
      </c>
      <c r="F59" s="29">
        <v>0</v>
      </c>
      <c r="G59" s="35">
        <f>IF(tblInspections[[#This Row],[Date]]="","",SUMIFS(tblDefects[Count],tblDefects[Lot ID],tblInspections[[#This Row],[Lot ID]]))</f>
        <v>0</v>
      </c>
      <c r="H59" s="35">
        <f>IF(tblInspections[[#This Row],[Date]]="","",IFERROR(INDEX(tblParts[Opportunities],MATCH(tblInspections[[#This Row],[Part]],tblParts[Part],0)),""))</f>
        <v>6</v>
      </c>
      <c r="I59" s="35">
        <f>IF(tblInspections[[#This Row],[Date]]="","",IF(tblInspections[[#This Row],[Opportunities]]="","",tblInspections[[#This Row],[Inspected]]*tblInspections[[#This Row],[Opportunities]]))</f>
        <v>9240</v>
      </c>
      <c r="J59" s="36">
        <f>IF(tblInspections[[#This Row],[Date]]="","",IF(tblInspections[[#This Row],[Inspected]]&gt;0,tblInspections[[#This Row],[Defective]]/tblInspections[[#This Row],[Inspected]],""))</f>
        <v>0</v>
      </c>
      <c r="K59" s="35">
        <f>IF(tblInspections[[#This Row],[Date]]="","",IF(tblInspections[[#This Row],[Inspected]]&gt;0,tblInspections[[#This Row],[Defective]]/tblInspections[[#This Row],[Inspected]]*1000000,""))</f>
        <v>0</v>
      </c>
      <c r="L59" s="37" t="str">
        <f>IF(NOT(ISNUMBER(tblInspections[[#This Row],[PPM defective]])),"",IF(tblInspections[[#This Row],[PPM defective]]&lt;=TargetPPM,"On target",IF(tblInspections[[#This Row],[PPM defective]]&lt;=TargetPPM*(1+0.05),"Near target","Above target")))</f>
        <v>On target</v>
      </c>
      <c r="M59" s="38">
        <f>IF(tblInspections[[#This Row],[Date]]="","",IF(tblInspections[[#This Row],[Inspected]]&gt;0,tblInspections[[#This Row],[Defects found]]/tblInspections[[#This Row],[Inspected]],""))</f>
        <v>0</v>
      </c>
      <c r="N59" s="35">
        <f>IF(tblInspections[[#This Row],[Date]]="","",IF(N(tblInspections[[#This Row],[Opportunities checked]])&gt;0,tblInspections[[#This Row],[Defects found]]/tblInspections[[#This Row],[Opportunities checked]]*1000000,""))</f>
        <v>0</v>
      </c>
      <c r="O59" s="39">
        <f>IF(tblInspections[[#This Row],[Date]]="","",IF(AND(tblInspections[[#This Row],[Date]]&gt;=FFrom,tblInspections[[#This Row],[Date]]&lt;=FTo,OR(DashPart="",tblInspections[[#This Row],[Part]]=DashPart)),tblInspections[[#This Row],[Date]],""))</f>
        <v>46282</v>
      </c>
      <c r="P5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59" s="41" t="s">
        <v>131</v>
      </c>
    </row>
    <row r="60" spans="2:17">
      <c r="B60" s="34">
        <v>46282</v>
      </c>
      <c r="C60" s="28" t="s">
        <v>185</v>
      </c>
      <c r="D60" s="28" t="s">
        <v>82</v>
      </c>
      <c r="E60" s="29">
        <v>920</v>
      </c>
      <c r="F60" s="29">
        <v>11</v>
      </c>
      <c r="G60" s="35">
        <f>IF(tblInspections[[#This Row],[Date]]="","",SUMIFS(tblDefects[Count],tblDefects[Lot ID],tblInspections[[#This Row],[Lot ID]]))</f>
        <v>12</v>
      </c>
      <c r="H60" s="35">
        <f>IF(tblInspections[[#This Row],[Date]]="","",IFERROR(INDEX(tblParts[Opportunities],MATCH(tblInspections[[#This Row],[Part]],tblParts[Part],0)),""))</f>
        <v>8</v>
      </c>
      <c r="I60" s="35">
        <f>IF(tblInspections[[#This Row],[Date]]="","",IF(tblInspections[[#This Row],[Opportunities]]="","",tblInspections[[#This Row],[Inspected]]*tblInspections[[#This Row],[Opportunities]]))</f>
        <v>7360</v>
      </c>
      <c r="J60" s="36">
        <f>IF(tblInspections[[#This Row],[Date]]="","",IF(tblInspections[[#This Row],[Inspected]]&gt;0,tblInspections[[#This Row],[Defective]]/tblInspections[[#This Row],[Inspected]],""))</f>
        <v>0.0119565217391304</v>
      </c>
      <c r="K60" s="35">
        <f>IF(tblInspections[[#This Row],[Date]]="","",IF(tblInspections[[#This Row],[Inspected]]&gt;0,tblInspections[[#This Row],[Defective]]/tblInspections[[#This Row],[Inspected]]*1000000,""))</f>
        <v>11956.5217391304</v>
      </c>
      <c r="L60" s="37" t="str">
        <f>IF(NOT(ISNUMBER(tblInspections[[#This Row],[PPM defective]])),"",IF(tblInspections[[#This Row],[PPM defective]]&lt;=TargetPPM,"On target",IF(tblInspections[[#This Row],[PPM defective]]&lt;=TargetPPM*(1+0.05),"Near target","Above target")))</f>
        <v>Above target</v>
      </c>
      <c r="M60" s="38">
        <f>IF(tblInspections[[#This Row],[Date]]="","",IF(tblInspections[[#This Row],[Inspected]]&gt;0,tblInspections[[#This Row],[Defects found]]/tblInspections[[#This Row],[Inspected]],""))</f>
        <v>0.0130434782608696</v>
      </c>
      <c r="N60" s="35">
        <f>IF(tblInspections[[#This Row],[Date]]="","",IF(N(tblInspections[[#This Row],[Opportunities checked]])&gt;0,tblInspections[[#This Row],[Defects found]]/tblInspections[[#This Row],[Opportunities checked]]*1000000,""))</f>
        <v>1630.4347826087</v>
      </c>
      <c r="O60" s="39">
        <f>IF(tblInspections[[#This Row],[Date]]="","",IF(AND(tblInspections[[#This Row],[Date]]&gt;=FFrom,tblInspections[[#This Row],[Date]]&lt;=FTo,OR(DashPart="",tblInspections[[#This Row],[Part]]=DashPart)),tblInspections[[#This Row],[Date]],""))</f>
        <v>46282</v>
      </c>
      <c r="P6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0" s="41" t="s">
        <v>131</v>
      </c>
    </row>
    <row r="61" spans="2:17">
      <c r="B61" s="34">
        <v>46282</v>
      </c>
      <c r="C61" s="28" t="s">
        <v>186</v>
      </c>
      <c r="D61" s="28" t="s">
        <v>84</v>
      </c>
      <c r="E61" s="29">
        <v>2170</v>
      </c>
      <c r="F61" s="29">
        <v>4</v>
      </c>
      <c r="G61" s="35">
        <f>IF(tblInspections[[#This Row],[Date]]="","",SUMIFS(tblDefects[Count],tblDefects[Lot ID],tblInspections[[#This Row],[Lot ID]]))</f>
        <v>5</v>
      </c>
      <c r="H61" s="35">
        <f>IF(tblInspections[[#This Row],[Date]]="","",IFERROR(INDEX(tblParts[Opportunities],MATCH(tblInspections[[#This Row],[Part]],tblParts[Part],0)),""))</f>
        <v>5</v>
      </c>
      <c r="I61" s="35">
        <f>IF(tblInspections[[#This Row],[Date]]="","",IF(tblInspections[[#This Row],[Opportunities]]="","",tblInspections[[#This Row],[Inspected]]*tblInspections[[#This Row],[Opportunities]]))</f>
        <v>10850</v>
      </c>
      <c r="J61" s="36">
        <f>IF(tblInspections[[#This Row],[Date]]="","",IF(tblInspections[[#This Row],[Inspected]]&gt;0,tblInspections[[#This Row],[Defective]]/tblInspections[[#This Row],[Inspected]],""))</f>
        <v>0.00184331797235023</v>
      </c>
      <c r="K61" s="35">
        <f>IF(tblInspections[[#This Row],[Date]]="","",IF(tblInspections[[#This Row],[Inspected]]&gt;0,tblInspections[[#This Row],[Defective]]/tblInspections[[#This Row],[Inspected]]*1000000,""))</f>
        <v>1843.31797235023</v>
      </c>
      <c r="L61" s="37" t="str">
        <f>IF(NOT(ISNUMBER(tblInspections[[#This Row],[PPM defective]])),"",IF(tblInspections[[#This Row],[PPM defective]]&lt;=TargetPPM,"On target",IF(tblInspections[[#This Row],[PPM defective]]&lt;=TargetPPM*(1+0.05),"Near target","Above target")))</f>
        <v>Above target</v>
      </c>
      <c r="M61" s="38">
        <f>IF(tblInspections[[#This Row],[Date]]="","",IF(tblInspections[[#This Row],[Inspected]]&gt;0,tblInspections[[#This Row],[Defects found]]/tblInspections[[#This Row],[Inspected]],""))</f>
        <v>0.00230414746543779</v>
      </c>
      <c r="N61" s="35">
        <f>IF(tblInspections[[#This Row],[Date]]="","",IF(N(tblInspections[[#This Row],[Opportunities checked]])&gt;0,tblInspections[[#This Row],[Defects found]]/tblInspections[[#This Row],[Opportunities checked]]*1000000,""))</f>
        <v>460.829493087558</v>
      </c>
      <c r="O61" s="39">
        <f>IF(tblInspections[[#This Row],[Date]]="","",IF(AND(tblInspections[[#This Row],[Date]]&gt;=FFrom,tblInspections[[#This Row],[Date]]&lt;=FTo,OR(DashPart="",tblInspections[[#This Row],[Part]]=DashPart)),tblInspections[[#This Row],[Date]],""))</f>
        <v>46282</v>
      </c>
      <c r="P6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1" s="41" t="s">
        <v>131</v>
      </c>
    </row>
    <row r="62" spans="2:17">
      <c r="B62" s="34">
        <v>46282</v>
      </c>
      <c r="C62" s="28" t="s">
        <v>187</v>
      </c>
      <c r="D62" s="28" t="s">
        <v>86</v>
      </c>
      <c r="E62" s="29">
        <v>2600</v>
      </c>
      <c r="F62" s="29">
        <v>8</v>
      </c>
      <c r="G62" s="35">
        <f>IF(tblInspections[[#This Row],[Date]]="","",SUMIFS(tblDefects[Count],tblDefects[Lot ID],tblInspections[[#This Row],[Lot ID]]))</f>
        <v>9</v>
      </c>
      <c r="H62" s="35">
        <f>IF(tblInspections[[#This Row],[Date]]="","",IFERROR(INDEX(tblParts[Opportunities],MATCH(tblInspections[[#This Row],[Part]],tblParts[Part],0)),""))</f>
        <v>4</v>
      </c>
      <c r="I62" s="35">
        <f>IF(tblInspections[[#This Row],[Date]]="","",IF(tblInspections[[#This Row],[Opportunities]]="","",tblInspections[[#This Row],[Inspected]]*tblInspections[[#This Row],[Opportunities]]))</f>
        <v>10400</v>
      </c>
      <c r="J62" s="36">
        <f>IF(tblInspections[[#This Row],[Date]]="","",IF(tblInspections[[#This Row],[Inspected]]&gt;0,tblInspections[[#This Row],[Defective]]/tblInspections[[#This Row],[Inspected]],""))</f>
        <v>0.00307692307692308</v>
      </c>
      <c r="K62" s="35">
        <f>IF(tblInspections[[#This Row],[Date]]="","",IF(tblInspections[[#This Row],[Inspected]]&gt;0,tblInspections[[#This Row],[Defective]]/tblInspections[[#This Row],[Inspected]]*1000000,""))</f>
        <v>3076.92307692308</v>
      </c>
      <c r="L62" s="37" t="str">
        <f>IF(NOT(ISNUMBER(tblInspections[[#This Row],[PPM defective]])),"",IF(tblInspections[[#This Row],[PPM defective]]&lt;=TargetPPM,"On target",IF(tblInspections[[#This Row],[PPM defective]]&lt;=TargetPPM*(1+0.05),"Near target","Above target")))</f>
        <v>Above target</v>
      </c>
      <c r="M62" s="38">
        <f>IF(tblInspections[[#This Row],[Date]]="","",IF(tblInspections[[#This Row],[Inspected]]&gt;0,tblInspections[[#This Row],[Defects found]]/tblInspections[[#This Row],[Inspected]],""))</f>
        <v>0.00346153846153846</v>
      </c>
      <c r="N62" s="35">
        <f>IF(tblInspections[[#This Row],[Date]]="","",IF(N(tblInspections[[#This Row],[Opportunities checked]])&gt;0,tblInspections[[#This Row],[Defects found]]/tblInspections[[#This Row],[Opportunities checked]]*1000000,""))</f>
        <v>865.384615384615</v>
      </c>
      <c r="O62" s="39">
        <f>IF(tblInspections[[#This Row],[Date]]="","",IF(AND(tblInspections[[#This Row],[Date]]&gt;=FFrom,tblInspections[[#This Row],[Date]]&lt;=FTo,OR(DashPart="",tblInspections[[#This Row],[Part]]=DashPart)),tblInspections[[#This Row],[Date]],""))</f>
        <v>46282</v>
      </c>
      <c r="P6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2" s="41" t="s">
        <v>131</v>
      </c>
    </row>
    <row r="63" spans="2:17">
      <c r="B63" s="34">
        <v>46283</v>
      </c>
      <c r="C63" s="28" t="s">
        <v>188</v>
      </c>
      <c r="D63" s="28" t="s">
        <v>80</v>
      </c>
      <c r="E63" s="29">
        <v>1260</v>
      </c>
      <c r="F63" s="29">
        <v>3</v>
      </c>
      <c r="G63" s="35">
        <f>IF(tblInspections[[#This Row],[Date]]="","",SUMIFS(tblDefects[Count],tblDefects[Lot ID],tblInspections[[#This Row],[Lot ID]]))</f>
        <v>3</v>
      </c>
      <c r="H63" s="35">
        <f>IF(tblInspections[[#This Row],[Date]]="","",IFERROR(INDEX(tblParts[Opportunities],MATCH(tblInspections[[#This Row],[Part]],tblParts[Part],0)),""))</f>
        <v>6</v>
      </c>
      <c r="I63" s="35">
        <f>IF(tblInspections[[#This Row],[Date]]="","",IF(tblInspections[[#This Row],[Opportunities]]="","",tblInspections[[#This Row],[Inspected]]*tblInspections[[#This Row],[Opportunities]]))</f>
        <v>7560</v>
      </c>
      <c r="J63" s="36">
        <f>IF(tblInspections[[#This Row],[Date]]="","",IF(tblInspections[[#This Row],[Inspected]]&gt;0,tblInspections[[#This Row],[Defective]]/tblInspections[[#This Row],[Inspected]],""))</f>
        <v>0.00238095238095238</v>
      </c>
      <c r="K63" s="35">
        <f>IF(tblInspections[[#This Row],[Date]]="","",IF(tblInspections[[#This Row],[Inspected]]&gt;0,tblInspections[[#This Row],[Defective]]/tblInspections[[#This Row],[Inspected]]*1000000,""))</f>
        <v>2380.95238095238</v>
      </c>
      <c r="L63" s="37" t="str">
        <f>IF(NOT(ISNUMBER(tblInspections[[#This Row],[PPM defective]])),"",IF(tblInspections[[#This Row],[PPM defective]]&lt;=TargetPPM,"On target",IF(tblInspections[[#This Row],[PPM defective]]&lt;=TargetPPM*(1+0.05),"Near target","Above target")))</f>
        <v>Above target</v>
      </c>
      <c r="M63" s="38">
        <f>IF(tblInspections[[#This Row],[Date]]="","",IF(tblInspections[[#This Row],[Inspected]]&gt;0,tblInspections[[#This Row],[Defects found]]/tblInspections[[#This Row],[Inspected]],""))</f>
        <v>0.00238095238095238</v>
      </c>
      <c r="N63" s="35">
        <f>IF(tblInspections[[#This Row],[Date]]="","",IF(N(tblInspections[[#This Row],[Opportunities checked]])&gt;0,tblInspections[[#This Row],[Defects found]]/tblInspections[[#This Row],[Opportunities checked]]*1000000,""))</f>
        <v>396.825396825397</v>
      </c>
      <c r="O63" s="39">
        <f>IF(tblInspections[[#This Row],[Date]]="","",IF(AND(tblInspections[[#This Row],[Date]]&gt;=FFrom,tblInspections[[#This Row],[Date]]&lt;=FTo,OR(DashPart="",tblInspections[[#This Row],[Part]]=DashPart)),tblInspections[[#This Row],[Date]],""))</f>
        <v>46283</v>
      </c>
      <c r="P6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3" s="41" t="s">
        <v>131</v>
      </c>
    </row>
    <row r="64" spans="2:17">
      <c r="B64" s="34">
        <v>46283</v>
      </c>
      <c r="C64" s="28" t="s">
        <v>189</v>
      </c>
      <c r="D64" s="28" t="s">
        <v>82</v>
      </c>
      <c r="E64" s="29">
        <v>830</v>
      </c>
      <c r="F64" s="29">
        <v>9</v>
      </c>
      <c r="G64" s="35">
        <f>IF(tblInspections[[#This Row],[Date]]="","",SUMIFS(tblDefects[Count],tblDefects[Lot ID],tblInspections[[#This Row],[Lot ID]]))</f>
        <v>9</v>
      </c>
      <c r="H64" s="35">
        <f>IF(tblInspections[[#This Row],[Date]]="","",IFERROR(INDEX(tblParts[Opportunities],MATCH(tblInspections[[#This Row],[Part]],tblParts[Part],0)),""))</f>
        <v>8</v>
      </c>
      <c r="I64" s="35">
        <f>IF(tblInspections[[#This Row],[Date]]="","",IF(tblInspections[[#This Row],[Opportunities]]="","",tblInspections[[#This Row],[Inspected]]*tblInspections[[#This Row],[Opportunities]]))</f>
        <v>6640</v>
      </c>
      <c r="J64" s="36">
        <f>IF(tblInspections[[#This Row],[Date]]="","",IF(tblInspections[[#This Row],[Inspected]]&gt;0,tblInspections[[#This Row],[Defective]]/tblInspections[[#This Row],[Inspected]],""))</f>
        <v>0.0108433734939759</v>
      </c>
      <c r="K64" s="35">
        <f>IF(tblInspections[[#This Row],[Date]]="","",IF(tblInspections[[#This Row],[Inspected]]&gt;0,tblInspections[[#This Row],[Defective]]/tblInspections[[#This Row],[Inspected]]*1000000,""))</f>
        <v>10843.3734939759</v>
      </c>
      <c r="L64" s="37" t="str">
        <f>IF(NOT(ISNUMBER(tblInspections[[#This Row],[PPM defective]])),"",IF(tblInspections[[#This Row],[PPM defective]]&lt;=TargetPPM,"On target",IF(tblInspections[[#This Row],[PPM defective]]&lt;=TargetPPM*(1+0.05),"Near target","Above target")))</f>
        <v>Above target</v>
      </c>
      <c r="M64" s="38">
        <f>IF(tblInspections[[#This Row],[Date]]="","",IF(tblInspections[[#This Row],[Inspected]]&gt;0,tblInspections[[#This Row],[Defects found]]/tblInspections[[#This Row],[Inspected]],""))</f>
        <v>0.0108433734939759</v>
      </c>
      <c r="N64" s="35">
        <f>IF(tblInspections[[#This Row],[Date]]="","",IF(N(tblInspections[[#This Row],[Opportunities checked]])&gt;0,tblInspections[[#This Row],[Defects found]]/tblInspections[[#This Row],[Opportunities checked]]*1000000,""))</f>
        <v>1355.42168674699</v>
      </c>
      <c r="O64" s="39">
        <f>IF(tblInspections[[#This Row],[Date]]="","",IF(AND(tblInspections[[#This Row],[Date]]&gt;=FFrom,tblInspections[[#This Row],[Date]]&lt;=FTo,OR(DashPart="",tblInspections[[#This Row],[Part]]=DashPart)),tblInspections[[#This Row],[Date]],""))</f>
        <v>46283</v>
      </c>
      <c r="P6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4" s="41" t="s">
        <v>131</v>
      </c>
    </row>
    <row r="65" spans="2:17">
      <c r="B65" s="34">
        <v>46283</v>
      </c>
      <c r="C65" s="28" t="s">
        <v>190</v>
      </c>
      <c r="D65" s="28" t="s">
        <v>84</v>
      </c>
      <c r="E65" s="29">
        <v>2440</v>
      </c>
      <c r="F65" s="29">
        <v>0</v>
      </c>
      <c r="G65" s="35">
        <f>IF(tblInspections[[#This Row],[Date]]="","",SUMIFS(tblDefects[Count],tblDefects[Lot ID],tblInspections[[#This Row],[Lot ID]]))</f>
        <v>0</v>
      </c>
      <c r="H65" s="35">
        <f>IF(tblInspections[[#This Row],[Date]]="","",IFERROR(INDEX(tblParts[Opportunities],MATCH(tblInspections[[#This Row],[Part]],tblParts[Part],0)),""))</f>
        <v>5</v>
      </c>
      <c r="I65" s="35">
        <f>IF(tblInspections[[#This Row],[Date]]="","",IF(tblInspections[[#This Row],[Opportunities]]="","",tblInspections[[#This Row],[Inspected]]*tblInspections[[#This Row],[Opportunities]]))</f>
        <v>12200</v>
      </c>
      <c r="J65" s="36">
        <f>IF(tblInspections[[#This Row],[Date]]="","",IF(tblInspections[[#This Row],[Inspected]]&gt;0,tblInspections[[#This Row],[Defective]]/tblInspections[[#This Row],[Inspected]],""))</f>
        <v>0</v>
      </c>
      <c r="K65" s="35">
        <f>IF(tblInspections[[#This Row],[Date]]="","",IF(tblInspections[[#This Row],[Inspected]]&gt;0,tblInspections[[#This Row],[Defective]]/tblInspections[[#This Row],[Inspected]]*1000000,""))</f>
        <v>0</v>
      </c>
      <c r="L65" s="37" t="str">
        <f>IF(NOT(ISNUMBER(tblInspections[[#This Row],[PPM defective]])),"",IF(tblInspections[[#This Row],[PPM defective]]&lt;=TargetPPM,"On target",IF(tblInspections[[#This Row],[PPM defective]]&lt;=TargetPPM*(1+0.05),"Near target","Above target")))</f>
        <v>On target</v>
      </c>
      <c r="M65" s="38">
        <f>IF(tblInspections[[#This Row],[Date]]="","",IF(tblInspections[[#This Row],[Inspected]]&gt;0,tblInspections[[#This Row],[Defects found]]/tblInspections[[#This Row],[Inspected]],""))</f>
        <v>0</v>
      </c>
      <c r="N65" s="35">
        <f>IF(tblInspections[[#This Row],[Date]]="","",IF(N(tblInspections[[#This Row],[Opportunities checked]])&gt;0,tblInspections[[#This Row],[Defects found]]/tblInspections[[#This Row],[Opportunities checked]]*1000000,""))</f>
        <v>0</v>
      </c>
      <c r="O65" s="39">
        <f>IF(tblInspections[[#This Row],[Date]]="","",IF(AND(tblInspections[[#This Row],[Date]]&gt;=FFrom,tblInspections[[#This Row],[Date]]&lt;=FTo,OR(DashPart="",tblInspections[[#This Row],[Part]]=DashPart)),tblInspections[[#This Row],[Date]],""))</f>
        <v>46283</v>
      </c>
      <c r="P6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5" s="41" t="s">
        <v>131</v>
      </c>
    </row>
    <row r="66" spans="2:17">
      <c r="B66" s="34">
        <v>46283</v>
      </c>
      <c r="C66" s="28" t="s">
        <v>191</v>
      </c>
      <c r="D66" s="28" t="s">
        <v>86</v>
      </c>
      <c r="E66" s="29">
        <v>3150</v>
      </c>
      <c r="F66" s="29">
        <v>4</v>
      </c>
      <c r="G66" s="35">
        <f>IF(tblInspections[[#This Row],[Date]]="","",SUMIFS(tblDefects[Count],tblDefects[Lot ID],tblInspections[[#This Row],[Lot ID]]))</f>
        <v>5</v>
      </c>
      <c r="H66" s="35">
        <f>IF(tblInspections[[#This Row],[Date]]="","",IFERROR(INDEX(tblParts[Opportunities],MATCH(tblInspections[[#This Row],[Part]],tblParts[Part],0)),""))</f>
        <v>4</v>
      </c>
      <c r="I66" s="35">
        <f>IF(tblInspections[[#This Row],[Date]]="","",IF(tblInspections[[#This Row],[Opportunities]]="","",tblInspections[[#This Row],[Inspected]]*tblInspections[[#This Row],[Opportunities]]))</f>
        <v>12600</v>
      </c>
      <c r="J66" s="36">
        <f>IF(tblInspections[[#This Row],[Date]]="","",IF(tblInspections[[#This Row],[Inspected]]&gt;0,tblInspections[[#This Row],[Defective]]/tblInspections[[#This Row],[Inspected]],""))</f>
        <v>0.00126984126984127</v>
      </c>
      <c r="K66" s="35">
        <f>IF(tblInspections[[#This Row],[Date]]="","",IF(tblInspections[[#This Row],[Inspected]]&gt;0,tblInspections[[#This Row],[Defective]]/tblInspections[[#This Row],[Inspected]]*1000000,""))</f>
        <v>1269.84126984127</v>
      </c>
      <c r="L66" s="37" t="str">
        <f>IF(NOT(ISNUMBER(tblInspections[[#This Row],[PPM defective]])),"",IF(tblInspections[[#This Row],[PPM defective]]&lt;=TargetPPM,"On target",IF(tblInspections[[#This Row],[PPM defective]]&lt;=TargetPPM*(1+0.05),"Near target","Above target")))</f>
        <v>On target</v>
      </c>
      <c r="M66" s="38">
        <f>IF(tblInspections[[#This Row],[Date]]="","",IF(tblInspections[[#This Row],[Inspected]]&gt;0,tblInspections[[#This Row],[Defects found]]/tblInspections[[#This Row],[Inspected]],""))</f>
        <v>0.00158730158730159</v>
      </c>
      <c r="N66" s="35">
        <f>IF(tblInspections[[#This Row],[Date]]="","",IF(N(tblInspections[[#This Row],[Opportunities checked]])&gt;0,tblInspections[[#This Row],[Defects found]]/tblInspections[[#This Row],[Opportunities checked]]*1000000,""))</f>
        <v>396.825396825397</v>
      </c>
      <c r="O66" s="39">
        <f>IF(tblInspections[[#This Row],[Date]]="","",IF(AND(tblInspections[[#This Row],[Date]]&gt;=FFrom,tblInspections[[#This Row],[Date]]&lt;=FTo,OR(DashPart="",tblInspections[[#This Row],[Part]]=DashPart)),tblInspections[[#This Row],[Date]],""))</f>
        <v>46283</v>
      </c>
      <c r="P6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6" s="41" t="s">
        <v>131</v>
      </c>
    </row>
    <row r="67" spans="2:17">
      <c r="B67" s="34">
        <v>46286</v>
      </c>
      <c r="C67" s="28" t="s">
        <v>192</v>
      </c>
      <c r="D67" s="28" t="s">
        <v>80</v>
      </c>
      <c r="E67" s="29">
        <v>1320</v>
      </c>
      <c r="F67" s="29">
        <v>1</v>
      </c>
      <c r="G67" s="35">
        <f>IF(tblInspections[[#This Row],[Date]]="","",SUMIFS(tblDefects[Count],tblDefects[Lot ID],tblInspections[[#This Row],[Lot ID]]))</f>
        <v>2</v>
      </c>
      <c r="H67" s="35">
        <f>IF(tblInspections[[#This Row],[Date]]="","",IFERROR(INDEX(tblParts[Opportunities],MATCH(tblInspections[[#This Row],[Part]],tblParts[Part],0)),""))</f>
        <v>6</v>
      </c>
      <c r="I67" s="35">
        <f>IF(tblInspections[[#This Row],[Date]]="","",IF(tblInspections[[#This Row],[Opportunities]]="","",tblInspections[[#This Row],[Inspected]]*tblInspections[[#This Row],[Opportunities]]))</f>
        <v>7920</v>
      </c>
      <c r="J67" s="36">
        <f>IF(tblInspections[[#This Row],[Date]]="","",IF(tblInspections[[#This Row],[Inspected]]&gt;0,tblInspections[[#This Row],[Defective]]/tblInspections[[#This Row],[Inspected]],""))</f>
        <v>0.000757575757575758</v>
      </c>
      <c r="K67" s="35">
        <f>IF(tblInspections[[#This Row],[Date]]="","",IF(tblInspections[[#This Row],[Inspected]]&gt;0,tblInspections[[#This Row],[Defective]]/tblInspections[[#This Row],[Inspected]]*1000000,""))</f>
        <v>757.575757575758</v>
      </c>
      <c r="L67" s="37" t="str">
        <f>IF(NOT(ISNUMBER(tblInspections[[#This Row],[PPM defective]])),"",IF(tblInspections[[#This Row],[PPM defective]]&lt;=TargetPPM,"On target",IF(tblInspections[[#This Row],[PPM defective]]&lt;=TargetPPM*(1+0.05),"Near target","Above target")))</f>
        <v>On target</v>
      </c>
      <c r="M67" s="38">
        <f>IF(tblInspections[[#This Row],[Date]]="","",IF(tblInspections[[#This Row],[Inspected]]&gt;0,tblInspections[[#This Row],[Defects found]]/tblInspections[[#This Row],[Inspected]],""))</f>
        <v>0.00151515151515152</v>
      </c>
      <c r="N67" s="35">
        <f>IF(tblInspections[[#This Row],[Date]]="","",IF(N(tblInspections[[#This Row],[Opportunities checked]])&gt;0,tblInspections[[#This Row],[Defects found]]/tblInspections[[#This Row],[Opportunities checked]]*1000000,""))</f>
        <v>252.525252525253</v>
      </c>
      <c r="O67" s="39">
        <f>IF(tblInspections[[#This Row],[Date]]="","",IF(AND(tblInspections[[#This Row],[Date]]&gt;=FFrom,tblInspections[[#This Row],[Date]]&lt;=FTo,OR(DashPart="",tblInspections[[#This Row],[Part]]=DashPart)),tblInspections[[#This Row],[Date]],""))</f>
        <v>46286</v>
      </c>
      <c r="P6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7" s="41" t="s">
        <v>131</v>
      </c>
    </row>
    <row r="68" spans="2:17">
      <c r="B68" s="34">
        <v>46286</v>
      </c>
      <c r="C68" s="28" t="s">
        <v>193</v>
      </c>
      <c r="D68" s="28" t="s">
        <v>82</v>
      </c>
      <c r="E68" s="29">
        <v>880</v>
      </c>
      <c r="F68" s="29">
        <v>0</v>
      </c>
      <c r="G68" s="35">
        <f>IF(tblInspections[[#This Row],[Date]]="","",SUMIFS(tblDefects[Count],tblDefects[Lot ID],tblInspections[[#This Row],[Lot ID]]))</f>
        <v>0</v>
      </c>
      <c r="H68" s="35">
        <f>IF(tblInspections[[#This Row],[Date]]="","",IFERROR(INDEX(tblParts[Opportunities],MATCH(tblInspections[[#This Row],[Part]],tblParts[Part],0)),""))</f>
        <v>8</v>
      </c>
      <c r="I68" s="35">
        <f>IF(tblInspections[[#This Row],[Date]]="","",IF(tblInspections[[#This Row],[Opportunities]]="","",tblInspections[[#This Row],[Inspected]]*tblInspections[[#This Row],[Opportunities]]))</f>
        <v>7040</v>
      </c>
      <c r="J68" s="36">
        <f>IF(tblInspections[[#This Row],[Date]]="","",IF(tblInspections[[#This Row],[Inspected]]&gt;0,tblInspections[[#This Row],[Defective]]/tblInspections[[#This Row],[Inspected]],""))</f>
        <v>0</v>
      </c>
      <c r="K68" s="35">
        <f>IF(tblInspections[[#This Row],[Date]]="","",IF(tblInspections[[#This Row],[Inspected]]&gt;0,tblInspections[[#This Row],[Defective]]/tblInspections[[#This Row],[Inspected]]*1000000,""))</f>
        <v>0</v>
      </c>
      <c r="L68" s="37" t="str">
        <f>IF(NOT(ISNUMBER(tblInspections[[#This Row],[PPM defective]])),"",IF(tblInspections[[#This Row],[PPM defective]]&lt;=TargetPPM,"On target",IF(tblInspections[[#This Row],[PPM defective]]&lt;=TargetPPM*(1+0.05),"Near target","Above target")))</f>
        <v>On target</v>
      </c>
      <c r="M68" s="38">
        <f>IF(tblInspections[[#This Row],[Date]]="","",IF(tblInspections[[#This Row],[Inspected]]&gt;0,tblInspections[[#This Row],[Defects found]]/tblInspections[[#This Row],[Inspected]],""))</f>
        <v>0</v>
      </c>
      <c r="N68" s="35">
        <f>IF(tblInspections[[#This Row],[Date]]="","",IF(N(tblInspections[[#This Row],[Opportunities checked]])&gt;0,tblInspections[[#This Row],[Defects found]]/tblInspections[[#This Row],[Opportunities checked]]*1000000,""))</f>
        <v>0</v>
      </c>
      <c r="O68" s="39">
        <f>IF(tblInspections[[#This Row],[Date]]="","",IF(AND(tblInspections[[#This Row],[Date]]&gt;=FFrom,tblInspections[[#This Row],[Date]]&lt;=FTo,OR(DashPart="",tblInspections[[#This Row],[Part]]=DashPart)),tblInspections[[#This Row],[Date]],""))</f>
        <v>46286</v>
      </c>
      <c r="P6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8" s="41" t="s">
        <v>194</v>
      </c>
    </row>
    <row r="69" spans="2:17">
      <c r="B69" s="34">
        <v>46286</v>
      </c>
      <c r="C69" s="28" t="s">
        <v>195</v>
      </c>
      <c r="D69" s="28" t="s">
        <v>84</v>
      </c>
      <c r="E69" s="29">
        <v>2080</v>
      </c>
      <c r="F69" s="29">
        <v>1</v>
      </c>
      <c r="G69" s="35">
        <f>IF(tblInspections[[#This Row],[Date]]="","",SUMIFS(tblDefects[Count],tblDefects[Lot ID],tblInspections[[#This Row],[Lot ID]]))</f>
        <v>1</v>
      </c>
      <c r="H69" s="35">
        <f>IF(tblInspections[[#This Row],[Date]]="","",IFERROR(INDEX(tblParts[Opportunities],MATCH(tblInspections[[#This Row],[Part]],tblParts[Part],0)),""))</f>
        <v>5</v>
      </c>
      <c r="I69" s="35">
        <f>IF(tblInspections[[#This Row],[Date]]="","",IF(tblInspections[[#This Row],[Opportunities]]="","",tblInspections[[#This Row],[Inspected]]*tblInspections[[#This Row],[Opportunities]]))</f>
        <v>10400</v>
      </c>
      <c r="J69" s="36">
        <f>IF(tblInspections[[#This Row],[Date]]="","",IF(tblInspections[[#This Row],[Inspected]]&gt;0,tblInspections[[#This Row],[Defective]]/tblInspections[[#This Row],[Inspected]],""))</f>
        <v>0.000480769230769231</v>
      </c>
      <c r="K69" s="35">
        <f>IF(tblInspections[[#This Row],[Date]]="","",IF(tblInspections[[#This Row],[Inspected]]&gt;0,tblInspections[[#This Row],[Defective]]/tblInspections[[#This Row],[Inspected]]*1000000,""))</f>
        <v>480.769230769231</v>
      </c>
      <c r="L69" s="37" t="str">
        <f>IF(NOT(ISNUMBER(tblInspections[[#This Row],[PPM defective]])),"",IF(tblInspections[[#This Row],[PPM defective]]&lt;=TargetPPM,"On target",IF(tblInspections[[#This Row],[PPM defective]]&lt;=TargetPPM*(1+0.05),"Near target","Above target")))</f>
        <v>On target</v>
      </c>
      <c r="M69" s="38">
        <f>IF(tblInspections[[#This Row],[Date]]="","",IF(tblInspections[[#This Row],[Inspected]]&gt;0,tblInspections[[#This Row],[Defects found]]/tblInspections[[#This Row],[Inspected]],""))</f>
        <v>0.000480769230769231</v>
      </c>
      <c r="N69" s="35">
        <f>IF(tblInspections[[#This Row],[Date]]="","",IF(N(tblInspections[[#This Row],[Opportunities checked]])&gt;0,tblInspections[[#This Row],[Defects found]]/tblInspections[[#This Row],[Opportunities checked]]*1000000,""))</f>
        <v>96.1538461538462</v>
      </c>
      <c r="O69" s="39">
        <f>IF(tblInspections[[#This Row],[Date]]="","",IF(AND(tblInspections[[#This Row],[Date]]&gt;=FFrom,tblInspections[[#This Row],[Date]]&lt;=FTo,OR(DashPart="",tblInspections[[#This Row],[Part]]=DashPart)),tblInspections[[#This Row],[Date]],""))</f>
        <v>46286</v>
      </c>
      <c r="P6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69" s="41" t="s">
        <v>131</v>
      </c>
    </row>
    <row r="70" spans="2:17">
      <c r="B70" s="34">
        <v>46286</v>
      </c>
      <c r="C70" s="28" t="s">
        <v>196</v>
      </c>
      <c r="D70" s="28" t="s">
        <v>86</v>
      </c>
      <c r="E70" s="29">
        <v>3160</v>
      </c>
      <c r="F70" s="29">
        <v>4</v>
      </c>
      <c r="G70" s="35">
        <f>IF(tblInspections[[#This Row],[Date]]="","",SUMIFS(tblDefects[Count],tblDefects[Lot ID],tblInspections[[#This Row],[Lot ID]]))</f>
        <v>4</v>
      </c>
      <c r="H70" s="35">
        <f>IF(tblInspections[[#This Row],[Date]]="","",IFERROR(INDEX(tblParts[Opportunities],MATCH(tblInspections[[#This Row],[Part]],tblParts[Part],0)),""))</f>
        <v>4</v>
      </c>
      <c r="I70" s="35">
        <f>IF(tblInspections[[#This Row],[Date]]="","",IF(tblInspections[[#This Row],[Opportunities]]="","",tblInspections[[#This Row],[Inspected]]*tblInspections[[#This Row],[Opportunities]]))</f>
        <v>12640</v>
      </c>
      <c r="J70" s="36">
        <f>IF(tblInspections[[#This Row],[Date]]="","",IF(tblInspections[[#This Row],[Inspected]]&gt;0,tblInspections[[#This Row],[Defective]]/tblInspections[[#This Row],[Inspected]],""))</f>
        <v>0.00126582278481013</v>
      </c>
      <c r="K70" s="35">
        <f>IF(tblInspections[[#This Row],[Date]]="","",IF(tblInspections[[#This Row],[Inspected]]&gt;0,tblInspections[[#This Row],[Defective]]/tblInspections[[#This Row],[Inspected]]*1000000,""))</f>
        <v>1265.82278481013</v>
      </c>
      <c r="L70" s="37" t="str">
        <f>IF(NOT(ISNUMBER(tblInspections[[#This Row],[PPM defective]])),"",IF(tblInspections[[#This Row],[PPM defective]]&lt;=TargetPPM,"On target",IF(tblInspections[[#This Row],[PPM defective]]&lt;=TargetPPM*(1+0.05),"Near target","Above target")))</f>
        <v>On target</v>
      </c>
      <c r="M70" s="38">
        <f>IF(tblInspections[[#This Row],[Date]]="","",IF(tblInspections[[#This Row],[Inspected]]&gt;0,tblInspections[[#This Row],[Defects found]]/tblInspections[[#This Row],[Inspected]],""))</f>
        <v>0.00126582278481013</v>
      </c>
      <c r="N70" s="35">
        <f>IF(tblInspections[[#This Row],[Date]]="","",IF(N(tblInspections[[#This Row],[Opportunities checked]])&gt;0,tblInspections[[#This Row],[Defects found]]/tblInspections[[#This Row],[Opportunities checked]]*1000000,""))</f>
        <v>316.455696202532</v>
      </c>
      <c r="O70" s="39">
        <f>IF(tblInspections[[#This Row],[Date]]="","",IF(AND(tblInspections[[#This Row],[Date]]&gt;=FFrom,tblInspections[[#This Row],[Date]]&lt;=FTo,OR(DashPart="",tblInspections[[#This Row],[Part]]=DashPart)),tblInspections[[#This Row],[Date]],""))</f>
        <v>46286</v>
      </c>
      <c r="P7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0" s="41" t="s">
        <v>131</v>
      </c>
    </row>
    <row r="71" spans="2:17">
      <c r="B71" s="34">
        <v>46287</v>
      </c>
      <c r="C71" s="28" t="s">
        <v>197</v>
      </c>
      <c r="D71" s="28" t="s">
        <v>80</v>
      </c>
      <c r="E71" s="29">
        <v>1250</v>
      </c>
      <c r="F71" s="29">
        <v>4</v>
      </c>
      <c r="G71" s="35">
        <f>IF(tblInspections[[#This Row],[Date]]="","",SUMIFS(tblDefects[Count],tblDefects[Lot ID],tblInspections[[#This Row],[Lot ID]]))</f>
        <v>5</v>
      </c>
      <c r="H71" s="35">
        <f>IF(tblInspections[[#This Row],[Date]]="","",IFERROR(INDEX(tblParts[Opportunities],MATCH(tblInspections[[#This Row],[Part]],tblParts[Part],0)),""))</f>
        <v>6</v>
      </c>
      <c r="I71" s="35">
        <f>IF(tblInspections[[#This Row],[Date]]="","",IF(tblInspections[[#This Row],[Opportunities]]="","",tblInspections[[#This Row],[Inspected]]*tblInspections[[#This Row],[Opportunities]]))</f>
        <v>7500</v>
      </c>
      <c r="J71" s="36">
        <f>IF(tblInspections[[#This Row],[Date]]="","",IF(tblInspections[[#This Row],[Inspected]]&gt;0,tblInspections[[#This Row],[Defective]]/tblInspections[[#This Row],[Inspected]],""))</f>
        <v>0.0032</v>
      </c>
      <c r="K71" s="35">
        <f>IF(tblInspections[[#This Row],[Date]]="","",IF(tblInspections[[#This Row],[Inspected]]&gt;0,tblInspections[[#This Row],[Defective]]/tblInspections[[#This Row],[Inspected]]*1000000,""))</f>
        <v>3200</v>
      </c>
      <c r="L71" s="37" t="str">
        <f>IF(NOT(ISNUMBER(tblInspections[[#This Row],[PPM defective]])),"",IF(tblInspections[[#This Row],[PPM defective]]&lt;=TargetPPM,"On target",IF(tblInspections[[#This Row],[PPM defective]]&lt;=TargetPPM*(1+0.05),"Near target","Above target")))</f>
        <v>Above target</v>
      </c>
      <c r="M71" s="38">
        <f>IF(tblInspections[[#This Row],[Date]]="","",IF(tblInspections[[#This Row],[Inspected]]&gt;0,tblInspections[[#This Row],[Defects found]]/tblInspections[[#This Row],[Inspected]],""))</f>
        <v>0.004</v>
      </c>
      <c r="N71" s="35">
        <f>IF(tblInspections[[#This Row],[Date]]="","",IF(N(tblInspections[[#This Row],[Opportunities checked]])&gt;0,tblInspections[[#This Row],[Defects found]]/tblInspections[[#This Row],[Opportunities checked]]*1000000,""))</f>
        <v>666.666666666667</v>
      </c>
      <c r="O71" s="39">
        <f>IF(tblInspections[[#This Row],[Date]]="","",IF(AND(tblInspections[[#This Row],[Date]]&gt;=FFrom,tblInspections[[#This Row],[Date]]&lt;=FTo,OR(DashPart="",tblInspections[[#This Row],[Part]]=DashPart)),tblInspections[[#This Row],[Date]],""))</f>
        <v>46287</v>
      </c>
      <c r="P7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1" s="41" t="s">
        <v>131</v>
      </c>
    </row>
    <row r="72" spans="2:17">
      <c r="B72" s="34">
        <v>46287</v>
      </c>
      <c r="C72" s="28" t="s">
        <v>198</v>
      </c>
      <c r="D72" s="28" t="s">
        <v>82</v>
      </c>
      <c r="E72" s="29">
        <v>900</v>
      </c>
      <c r="F72" s="29">
        <v>3</v>
      </c>
      <c r="G72" s="35">
        <f>IF(tblInspections[[#This Row],[Date]]="","",SUMIFS(tblDefects[Count],tblDefects[Lot ID],tblInspections[[#This Row],[Lot ID]]))</f>
        <v>3</v>
      </c>
      <c r="H72" s="35">
        <f>IF(tblInspections[[#This Row],[Date]]="","",IFERROR(INDEX(tblParts[Opportunities],MATCH(tblInspections[[#This Row],[Part]],tblParts[Part],0)),""))</f>
        <v>8</v>
      </c>
      <c r="I72" s="35">
        <f>IF(tblInspections[[#This Row],[Date]]="","",IF(tblInspections[[#This Row],[Opportunities]]="","",tblInspections[[#This Row],[Inspected]]*tblInspections[[#This Row],[Opportunities]]))</f>
        <v>7200</v>
      </c>
      <c r="J72" s="36">
        <f>IF(tblInspections[[#This Row],[Date]]="","",IF(tblInspections[[#This Row],[Inspected]]&gt;0,tblInspections[[#This Row],[Defective]]/tblInspections[[#This Row],[Inspected]],""))</f>
        <v>0.00333333333333333</v>
      </c>
      <c r="K72" s="35">
        <f>IF(tblInspections[[#This Row],[Date]]="","",IF(tblInspections[[#This Row],[Inspected]]&gt;0,tblInspections[[#This Row],[Defective]]/tblInspections[[#This Row],[Inspected]]*1000000,""))</f>
        <v>3333.33333333333</v>
      </c>
      <c r="L72" s="37" t="str">
        <f>IF(NOT(ISNUMBER(tblInspections[[#This Row],[PPM defective]])),"",IF(tblInspections[[#This Row],[PPM defective]]&lt;=TargetPPM,"On target",IF(tblInspections[[#This Row],[PPM defective]]&lt;=TargetPPM*(1+0.05),"Near target","Above target")))</f>
        <v>Above target</v>
      </c>
      <c r="M72" s="38">
        <f>IF(tblInspections[[#This Row],[Date]]="","",IF(tblInspections[[#This Row],[Inspected]]&gt;0,tblInspections[[#This Row],[Defects found]]/tblInspections[[#This Row],[Inspected]],""))</f>
        <v>0.00333333333333333</v>
      </c>
      <c r="N72" s="35">
        <f>IF(tblInspections[[#This Row],[Date]]="","",IF(N(tblInspections[[#This Row],[Opportunities checked]])&gt;0,tblInspections[[#This Row],[Defects found]]/tblInspections[[#This Row],[Opportunities checked]]*1000000,""))</f>
        <v>416.666666666667</v>
      </c>
      <c r="O72" s="39">
        <f>IF(tblInspections[[#This Row],[Date]]="","",IF(AND(tblInspections[[#This Row],[Date]]&gt;=FFrom,tblInspections[[#This Row],[Date]]&lt;=FTo,OR(DashPart="",tblInspections[[#This Row],[Part]]=DashPart)),tblInspections[[#This Row],[Date]],""))</f>
        <v>46287</v>
      </c>
      <c r="P7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2" s="41" t="s">
        <v>131</v>
      </c>
    </row>
    <row r="73" spans="2:17">
      <c r="B73" s="34">
        <v>46287</v>
      </c>
      <c r="C73" s="28" t="s">
        <v>199</v>
      </c>
      <c r="D73" s="28" t="s">
        <v>84</v>
      </c>
      <c r="E73" s="29">
        <v>2080</v>
      </c>
      <c r="F73" s="29">
        <v>0</v>
      </c>
      <c r="G73" s="35">
        <f>IF(tblInspections[[#This Row],[Date]]="","",SUMIFS(tblDefects[Count],tblDefects[Lot ID],tblInspections[[#This Row],[Lot ID]]))</f>
        <v>0</v>
      </c>
      <c r="H73" s="35">
        <f>IF(tblInspections[[#This Row],[Date]]="","",IFERROR(INDEX(tblParts[Opportunities],MATCH(tblInspections[[#This Row],[Part]],tblParts[Part],0)),""))</f>
        <v>5</v>
      </c>
      <c r="I73" s="35">
        <f>IF(tblInspections[[#This Row],[Date]]="","",IF(tblInspections[[#This Row],[Opportunities]]="","",tblInspections[[#This Row],[Inspected]]*tblInspections[[#This Row],[Opportunities]]))</f>
        <v>10400</v>
      </c>
      <c r="J73" s="36">
        <f>IF(tblInspections[[#This Row],[Date]]="","",IF(tblInspections[[#This Row],[Inspected]]&gt;0,tblInspections[[#This Row],[Defective]]/tblInspections[[#This Row],[Inspected]],""))</f>
        <v>0</v>
      </c>
      <c r="K73" s="35">
        <f>IF(tblInspections[[#This Row],[Date]]="","",IF(tblInspections[[#This Row],[Inspected]]&gt;0,tblInspections[[#This Row],[Defective]]/tblInspections[[#This Row],[Inspected]]*1000000,""))</f>
        <v>0</v>
      </c>
      <c r="L73" s="37" t="str">
        <f>IF(NOT(ISNUMBER(tblInspections[[#This Row],[PPM defective]])),"",IF(tblInspections[[#This Row],[PPM defective]]&lt;=TargetPPM,"On target",IF(tblInspections[[#This Row],[PPM defective]]&lt;=TargetPPM*(1+0.05),"Near target","Above target")))</f>
        <v>On target</v>
      </c>
      <c r="M73" s="38">
        <f>IF(tblInspections[[#This Row],[Date]]="","",IF(tblInspections[[#This Row],[Inspected]]&gt;0,tblInspections[[#This Row],[Defects found]]/tblInspections[[#This Row],[Inspected]],""))</f>
        <v>0</v>
      </c>
      <c r="N73" s="35">
        <f>IF(tblInspections[[#This Row],[Date]]="","",IF(N(tblInspections[[#This Row],[Opportunities checked]])&gt;0,tblInspections[[#This Row],[Defects found]]/tblInspections[[#This Row],[Opportunities checked]]*1000000,""))</f>
        <v>0</v>
      </c>
      <c r="O73" s="39">
        <f>IF(tblInspections[[#This Row],[Date]]="","",IF(AND(tblInspections[[#This Row],[Date]]&gt;=FFrom,tblInspections[[#This Row],[Date]]&lt;=FTo,OR(DashPart="",tblInspections[[#This Row],[Part]]=DashPart)),tblInspections[[#This Row],[Date]],""))</f>
        <v>46287</v>
      </c>
      <c r="P7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3" s="41" t="s">
        <v>131</v>
      </c>
    </row>
    <row r="74" spans="2:17">
      <c r="B74" s="34">
        <v>46287</v>
      </c>
      <c r="C74" s="28" t="s">
        <v>200</v>
      </c>
      <c r="D74" s="28" t="s">
        <v>86</v>
      </c>
      <c r="E74" s="29">
        <v>3110</v>
      </c>
      <c r="F74" s="29">
        <v>8</v>
      </c>
      <c r="G74" s="35">
        <f>IF(tblInspections[[#This Row],[Date]]="","",SUMIFS(tblDefects[Count],tblDefects[Lot ID],tblInspections[[#This Row],[Lot ID]]))</f>
        <v>8</v>
      </c>
      <c r="H74" s="35">
        <f>IF(tblInspections[[#This Row],[Date]]="","",IFERROR(INDEX(tblParts[Opportunities],MATCH(tblInspections[[#This Row],[Part]],tblParts[Part],0)),""))</f>
        <v>4</v>
      </c>
      <c r="I74" s="35">
        <f>IF(tblInspections[[#This Row],[Date]]="","",IF(tblInspections[[#This Row],[Opportunities]]="","",tblInspections[[#This Row],[Inspected]]*tblInspections[[#This Row],[Opportunities]]))</f>
        <v>12440</v>
      </c>
      <c r="J74" s="36">
        <f>IF(tblInspections[[#This Row],[Date]]="","",IF(tblInspections[[#This Row],[Inspected]]&gt;0,tblInspections[[#This Row],[Defective]]/tblInspections[[#This Row],[Inspected]],""))</f>
        <v>0.00257234726688103</v>
      </c>
      <c r="K74" s="35">
        <f>IF(tblInspections[[#This Row],[Date]]="","",IF(tblInspections[[#This Row],[Inspected]]&gt;0,tblInspections[[#This Row],[Defective]]/tblInspections[[#This Row],[Inspected]]*1000000,""))</f>
        <v>2572.34726688103</v>
      </c>
      <c r="L74" s="37" t="str">
        <f>IF(NOT(ISNUMBER(tblInspections[[#This Row],[PPM defective]])),"",IF(tblInspections[[#This Row],[PPM defective]]&lt;=TargetPPM,"On target",IF(tblInspections[[#This Row],[PPM defective]]&lt;=TargetPPM*(1+0.05),"Near target","Above target")))</f>
        <v>Above target</v>
      </c>
      <c r="M74" s="38">
        <f>IF(tblInspections[[#This Row],[Date]]="","",IF(tblInspections[[#This Row],[Inspected]]&gt;0,tblInspections[[#This Row],[Defects found]]/tblInspections[[#This Row],[Inspected]],""))</f>
        <v>0.00257234726688103</v>
      </c>
      <c r="N74" s="35">
        <f>IF(tblInspections[[#This Row],[Date]]="","",IF(N(tblInspections[[#This Row],[Opportunities checked]])&gt;0,tblInspections[[#This Row],[Defects found]]/tblInspections[[#This Row],[Opportunities checked]]*1000000,""))</f>
        <v>643.086816720257</v>
      </c>
      <c r="O74" s="39">
        <f>IF(tblInspections[[#This Row],[Date]]="","",IF(AND(tblInspections[[#This Row],[Date]]&gt;=FFrom,tblInspections[[#This Row],[Date]]&lt;=FTo,OR(DashPart="",tblInspections[[#This Row],[Part]]=DashPart)),tblInspections[[#This Row],[Date]],""))</f>
        <v>46287</v>
      </c>
      <c r="P7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4" s="41" t="s">
        <v>131</v>
      </c>
    </row>
    <row r="75" spans="2:17">
      <c r="B75" s="34">
        <v>46288</v>
      </c>
      <c r="C75" s="28" t="s">
        <v>201</v>
      </c>
      <c r="D75" s="28" t="s">
        <v>80</v>
      </c>
      <c r="E75" s="29">
        <v>1560</v>
      </c>
      <c r="F75" s="29">
        <v>0</v>
      </c>
      <c r="G75" s="35">
        <f>IF(tblInspections[[#This Row],[Date]]="","",SUMIFS(tblDefects[Count],tblDefects[Lot ID],tblInspections[[#This Row],[Lot ID]]))</f>
        <v>0</v>
      </c>
      <c r="H75" s="35">
        <f>IF(tblInspections[[#This Row],[Date]]="","",IFERROR(INDEX(tblParts[Opportunities],MATCH(tblInspections[[#This Row],[Part]],tblParts[Part],0)),""))</f>
        <v>6</v>
      </c>
      <c r="I75" s="35">
        <f>IF(tblInspections[[#This Row],[Date]]="","",IF(tblInspections[[#This Row],[Opportunities]]="","",tblInspections[[#This Row],[Inspected]]*tblInspections[[#This Row],[Opportunities]]))</f>
        <v>9360</v>
      </c>
      <c r="J75" s="36">
        <f>IF(tblInspections[[#This Row],[Date]]="","",IF(tblInspections[[#This Row],[Inspected]]&gt;0,tblInspections[[#This Row],[Defective]]/tblInspections[[#This Row],[Inspected]],""))</f>
        <v>0</v>
      </c>
      <c r="K75" s="35">
        <f>IF(tblInspections[[#This Row],[Date]]="","",IF(tblInspections[[#This Row],[Inspected]]&gt;0,tblInspections[[#This Row],[Defective]]/tblInspections[[#This Row],[Inspected]]*1000000,""))</f>
        <v>0</v>
      </c>
      <c r="L75" s="37" t="str">
        <f>IF(NOT(ISNUMBER(tblInspections[[#This Row],[PPM defective]])),"",IF(tblInspections[[#This Row],[PPM defective]]&lt;=TargetPPM,"On target",IF(tblInspections[[#This Row],[PPM defective]]&lt;=TargetPPM*(1+0.05),"Near target","Above target")))</f>
        <v>On target</v>
      </c>
      <c r="M75" s="38">
        <f>IF(tblInspections[[#This Row],[Date]]="","",IF(tblInspections[[#This Row],[Inspected]]&gt;0,tblInspections[[#This Row],[Defects found]]/tblInspections[[#This Row],[Inspected]],""))</f>
        <v>0</v>
      </c>
      <c r="N75" s="35">
        <f>IF(tblInspections[[#This Row],[Date]]="","",IF(N(tblInspections[[#This Row],[Opportunities checked]])&gt;0,tblInspections[[#This Row],[Defects found]]/tblInspections[[#This Row],[Opportunities checked]]*1000000,""))</f>
        <v>0</v>
      </c>
      <c r="O75" s="39">
        <f>IF(tblInspections[[#This Row],[Date]]="","",IF(AND(tblInspections[[#This Row],[Date]]&gt;=FFrom,tblInspections[[#This Row],[Date]]&lt;=FTo,OR(DashPart="",tblInspections[[#This Row],[Part]]=DashPart)),tblInspections[[#This Row],[Date]],""))</f>
        <v>46288</v>
      </c>
      <c r="P7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5" s="41" t="s">
        <v>131</v>
      </c>
    </row>
    <row r="76" spans="2:17">
      <c r="B76" s="34">
        <v>46288</v>
      </c>
      <c r="C76" s="28" t="s">
        <v>202</v>
      </c>
      <c r="D76" s="28" t="s">
        <v>82</v>
      </c>
      <c r="E76" s="29">
        <v>880</v>
      </c>
      <c r="F76" s="29">
        <v>2</v>
      </c>
      <c r="G76" s="35">
        <f>IF(tblInspections[[#This Row],[Date]]="","",SUMIFS(tblDefects[Count],tblDefects[Lot ID],tblInspections[[#This Row],[Lot ID]]))</f>
        <v>3</v>
      </c>
      <c r="H76" s="35">
        <f>IF(tblInspections[[#This Row],[Date]]="","",IFERROR(INDEX(tblParts[Opportunities],MATCH(tblInspections[[#This Row],[Part]],tblParts[Part],0)),""))</f>
        <v>8</v>
      </c>
      <c r="I76" s="35">
        <f>IF(tblInspections[[#This Row],[Date]]="","",IF(tblInspections[[#This Row],[Opportunities]]="","",tblInspections[[#This Row],[Inspected]]*tblInspections[[#This Row],[Opportunities]]))</f>
        <v>7040</v>
      </c>
      <c r="J76" s="36">
        <f>IF(tblInspections[[#This Row],[Date]]="","",IF(tblInspections[[#This Row],[Inspected]]&gt;0,tblInspections[[#This Row],[Defective]]/tblInspections[[#This Row],[Inspected]],""))</f>
        <v>0.00227272727272727</v>
      </c>
      <c r="K76" s="35">
        <f>IF(tblInspections[[#This Row],[Date]]="","",IF(tblInspections[[#This Row],[Inspected]]&gt;0,tblInspections[[#This Row],[Defective]]/tblInspections[[#This Row],[Inspected]]*1000000,""))</f>
        <v>2272.72727272727</v>
      </c>
      <c r="L76" s="37" t="str">
        <f>IF(NOT(ISNUMBER(tblInspections[[#This Row],[PPM defective]])),"",IF(tblInspections[[#This Row],[PPM defective]]&lt;=TargetPPM,"On target",IF(tblInspections[[#This Row],[PPM defective]]&lt;=TargetPPM*(1+0.05),"Near target","Above target")))</f>
        <v>Above target</v>
      </c>
      <c r="M76" s="38">
        <f>IF(tblInspections[[#This Row],[Date]]="","",IF(tblInspections[[#This Row],[Inspected]]&gt;0,tblInspections[[#This Row],[Defects found]]/tblInspections[[#This Row],[Inspected]],""))</f>
        <v>0.00340909090909091</v>
      </c>
      <c r="N76" s="35">
        <f>IF(tblInspections[[#This Row],[Date]]="","",IF(N(tblInspections[[#This Row],[Opportunities checked]])&gt;0,tblInspections[[#This Row],[Defects found]]/tblInspections[[#This Row],[Opportunities checked]]*1000000,""))</f>
        <v>426.136363636364</v>
      </c>
      <c r="O76" s="39">
        <f>IF(tblInspections[[#This Row],[Date]]="","",IF(AND(tblInspections[[#This Row],[Date]]&gt;=FFrom,tblInspections[[#This Row],[Date]]&lt;=FTo,OR(DashPart="",tblInspections[[#This Row],[Part]]=DashPart)),tblInspections[[#This Row],[Date]],""))</f>
        <v>46288</v>
      </c>
      <c r="P7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6" s="41" t="s">
        <v>131</v>
      </c>
    </row>
    <row r="77" spans="2:17">
      <c r="B77" s="34">
        <v>46288</v>
      </c>
      <c r="C77" s="28" t="s">
        <v>203</v>
      </c>
      <c r="D77" s="28" t="s">
        <v>84</v>
      </c>
      <c r="E77" s="29">
        <v>2260</v>
      </c>
      <c r="F77" s="29">
        <v>1</v>
      </c>
      <c r="G77" s="35">
        <f>IF(tblInspections[[#This Row],[Date]]="","",SUMIFS(tblDefects[Count],tblDefects[Lot ID],tblInspections[[#This Row],[Lot ID]]))</f>
        <v>1</v>
      </c>
      <c r="H77" s="35">
        <f>IF(tblInspections[[#This Row],[Date]]="","",IFERROR(INDEX(tblParts[Opportunities],MATCH(tblInspections[[#This Row],[Part]],tblParts[Part],0)),""))</f>
        <v>5</v>
      </c>
      <c r="I77" s="35">
        <f>IF(tblInspections[[#This Row],[Date]]="","",IF(tblInspections[[#This Row],[Opportunities]]="","",tblInspections[[#This Row],[Inspected]]*tblInspections[[#This Row],[Opportunities]]))</f>
        <v>11300</v>
      </c>
      <c r="J77" s="36">
        <f>IF(tblInspections[[#This Row],[Date]]="","",IF(tblInspections[[#This Row],[Inspected]]&gt;0,tblInspections[[#This Row],[Defective]]/tblInspections[[#This Row],[Inspected]],""))</f>
        <v>0.000442477876106195</v>
      </c>
      <c r="K77" s="35">
        <f>IF(tblInspections[[#This Row],[Date]]="","",IF(tblInspections[[#This Row],[Inspected]]&gt;0,tblInspections[[#This Row],[Defective]]/tblInspections[[#This Row],[Inspected]]*1000000,""))</f>
        <v>442.477876106195</v>
      </c>
      <c r="L77" s="37" t="str">
        <f>IF(NOT(ISNUMBER(tblInspections[[#This Row],[PPM defective]])),"",IF(tblInspections[[#This Row],[PPM defective]]&lt;=TargetPPM,"On target",IF(tblInspections[[#This Row],[PPM defective]]&lt;=TargetPPM*(1+0.05),"Near target","Above target")))</f>
        <v>On target</v>
      </c>
      <c r="M77" s="38">
        <f>IF(tblInspections[[#This Row],[Date]]="","",IF(tblInspections[[#This Row],[Inspected]]&gt;0,tblInspections[[#This Row],[Defects found]]/tblInspections[[#This Row],[Inspected]],""))</f>
        <v>0.000442477876106195</v>
      </c>
      <c r="N77" s="35">
        <f>IF(tblInspections[[#This Row],[Date]]="","",IF(N(tblInspections[[#This Row],[Opportunities checked]])&gt;0,tblInspections[[#This Row],[Defects found]]/tblInspections[[#This Row],[Opportunities checked]]*1000000,""))</f>
        <v>88.4955752212389</v>
      </c>
      <c r="O77" s="39">
        <f>IF(tblInspections[[#This Row],[Date]]="","",IF(AND(tblInspections[[#This Row],[Date]]&gt;=FFrom,tblInspections[[#This Row],[Date]]&lt;=FTo,OR(DashPart="",tblInspections[[#This Row],[Part]]=DashPart)),tblInspections[[#This Row],[Date]],""))</f>
        <v>46288</v>
      </c>
      <c r="P7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7" s="41" t="s">
        <v>131</v>
      </c>
    </row>
    <row r="78" spans="2:17">
      <c r="B78" s="34">
        <v>46288</v>
      </c>
      <c r="C78" s="28" t="s">
        <v>204</v>
      </c>
      <c r="D78" s="28" t="s">
        <v>86</v>
      </c>
      <c r="E78" s="29">
        <v>3210</v>
      </c>
      <c r="F78" s="29">
        <v>7</v>
      </c>
      <c r="G78" s="35">
        <f>IF(tblInspections[[#This Row],[Date]]="","",SUMIFS(tblDefects[Count],tblDefects[Lot ID],tblInspections[[#This Row],[Lot ID]]))</f>
        <v>7</v>
      </c>
      <c r="H78" s="35">
        <f>IF(tblInspections[[#This Row],[Date]]="","",IFERROR(INDEX(tblParts[Opportunities],MATCH(tblInspections[[#This Row],[Part]],tblParts[Part],0)),""))</f>
        <v>4</v>
      </c>
      <c r="I78" s="35">
        <f>IF(tblInspections[[#This Row],[Date]]="","",IF(tblInspections[[#This Row],[Opportunities]]="","",tblInspections[[#This Row],[Inspected]]*tblInspections[[#This Row],[Opportunities]]))</f>
        <v>12840</v>
      </c>
      <c r="J78" s="36">
        <f>IF(tblInspections[[#This Row],[Date]]="","",IF(tblInspections[[#This Row],[Inspected]]&gt;0,tblInspections[[#This Row],[Defective]]/tblInspections[[#This Row],[Inspected]],""))</f>
        <v>0.00218068535825545</v>
      </c>
      <c r="K78" s="35">
        <f>IF(tblInspections[[#This Row],[Date]]="","",IF(tblInspections[[#This Row],[Inspected]]&gt;0,tblInspections[[#This Row],[Defective]]/tblInspections[[#This Row],[Inspected]]*1000000,""))</f>
        <v>2180.68535825545</v>
      </c>
      <c r="L78" s="37" t="str">
        <f>IF(NOT(ISNUMBER(tblInspections[[#This Row],[PPM defective]])),"",IF(tblInspections[[#This Row],[PPM defective]]&lt;=TargetPPM,"On target",IF(tblInspections[[#This Row],[PPM defective]]&lt;=TargetPPM*(1+0.05),"Near target","Above target")))</f>
        <v>Above target</v>
      </c>
      <c r="M78" s="38">
        <f>IF(tblInspections[[#This Row],[Date]]="","",IF(tblInspections[[#This Row],[Inspected]]&gt;0,tblInspections[[#This Row],[Defects found]]/tblInspections[[#This Row],[Inspected]],""))</f>
        <v>0.00218068535825545</v>
      </c>
      <c r="N78" s="35">
        <f>IF(tblInspections[[#This Row],[Date]]="","",IF(N(tblInspections[[#This Row],[Opportunities checked]])&gt;0,tblInspections[[#This Row],[Defects found]]/tblInspections[[#This Row],[Opportunities checked]]*1000000,""))</f>
        <v>545.171339563863</v>
      </c>
      <c r="O78" s="39">
        <f>IF(tblInspections[[#This Row],[Date]]="","",IF(AND(tblInspections[[#This Row],[Date]]&gt;=FFrom,tblInspections[[#This Row],[Date]]&lt;=FTo,OR(DashPart="",tblInspections[[#This Row],[Part]]=DashPart)),tblInspections[[#This Row],[Date]],""))</f>
        <v>46288</v>
      </c>
      <c r="P7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8" s="41" t="s">
        <v>131</v>
      </c>
    </row>
    <row r="79" spans="2:17">
      <c r="B79" s="34">
        <v>46289</v>
      </c>
      <c r="C79" s="28" t="s">
        <v>205</v>
      </c>
      <c r="D79" s="28" t="s">
        <v>80</v>
      </c>
      <c r="E79" s="29">
        <v>1410</v>
      </c>
      <c r="F79" s="29">
        <v>2</v>
      </c>
      <c r="G79" s="35">
        <f>IF(tblInspections[[#This Row],[Date]]="","",SUMIFS(tblDefects[Count],tblDefects[Lot ID],tblInspections[[#This Row],[Lot ID]]))</f>
        <v>2</v>
      </c>
      <c r="H79" s="35">
        <f>IF(tblInspections[[#This Row],[Date]]="","",IFERROR(INDEX(tblParts[Opportunities],MATCH(tblInspections[[#This Row],[Part]],tblParts[Part],0)),""))</f>
        <v>6</v>
      </c>
      <c r="I79" s="35">
        <f>IF(tblInspections[[#This Row],[Date]]="","",IF(tblInspections[[#This Row],[Opportunities]]="","",tblInspections[[#This Row],[Inspected]]*tblInspections[[#This Row],[Opportunities]]))</f>
        <v>8460</v>
      </c>
      <c r="J79" s="36">
        <f>IF(tblInspections[[#This Row],[Date]]="","",IF(tblInspections[[#This Row],[Inspected]]&gt;0,tblInspections[[#This Row],[Defective]]/tblInspections[[#This Row],[Inspected]],""))</f>
        <v>0.00141843971631206</v>
      </c>
      <c r="K79" s="35">
        <f>IF(tblInspections[[#This Row],[Date]]="","",IF(tblInspections[[#This Row],[Inspected]]&gt;0,tblInspections[[#This Row],[Defective]]/tblInspections[[#This Row],[Inspected]]*1000000,""))</f>
        <v>1418.43971631206</v>
      </c>
      <c r="L79" s="37" t="str">
        <f>IF(NOT(ISNUMBER(tblInspections[[#This Row],[PPM defective]])),"",IF(tblInspections[[#This Row],[PPM defective]]&lt;=TargetPPM,"On target",IF(tblInspections[[#This Row],[PPM defective]]&lt;=TargetPPM*(1+0.05),"Near target","Above target")))</f>
        <v>On target</v>
      </c>
      <c r="M79" s="38">
        <f>IF(tblInspections[[#This Row],[Date]]="","",IF(tblInspections[[#This Row],[Inspected]]&gt;0,tblInspections[[#This Row],[Defects found]]/tblInspections[[#This Row],[Inspected]],""))</f>
        <v>0.00141843971631206</v>
      </c>
      <c r="N79" s="35">
        <f>IF(tblInspections[[#This Row],[Date]]="","",IF(N(tblInspections[[#This Row],[Opportunities checked]])&gt;0,tblInspections[[#This Row],[Defects found]]/tblInspections[[#This Row],[Opportunities checked]]*1000000,""))</f>
        <v>236.406619385343</v>
      </c>
      <c r="O79" s="39">
        <f>IF(tblInspections[[#This Row],[Date]]="","",IF(AND(tblInspections[[#This Row],[Date]]&gt;=FFrom,tblInspections[[#This Row],[Date]]&lt;=FTo,OR(DashPart="",tblInspections[[#This Row],[Part]]=DashPart)),tblInspections[[#This Row],[Date]],""))</f>
        <v>46289</v>
      </c>
      <c r="P7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79" s="41" t="s">
        <v>131</v>
      </c>
    </row>
    <row r="80" spans="2:17">
      <c r="B80" s="34">
        <v>46289</v>
      </c>
      <c r="C80" s="28" t="s">
        <v>206</v>
      </c>
      <c r="D80" s="28" t="s">
        <v>82</v>
      </c>
      <c r="E80" s="29">
        <v>870</v>
      </c>
      <c r="F80" s="29">
        <v>1</v>
      </c>
      <c r="G80" s="35">
        <f>IF(tblInspections[[#This Row],[Date]]="","",SUMIFS(tblDefects[Count],tblDefects[Lot ID],tblInspections[[#This Row],[Lot ID]]))</f>
        <v>2</v>
      </c>
      <c r="H80" s="35">
        <f>IF(tblInspections[[#This Row],[Date]]="","",IFERROR(INDEX(tblParts[Opportunities],MATCH(tblInspections[[#This Row],[Part]],tblParts[Part],0)),""))</f>
        <v>8</v>
      </c>
      <c r="I80" s="35">
        <f>IF(tblInspections[[#This Row],[Date]]="","",IF(tblInspections[[#This Row],[Opportunities]]="","",tblInspections[[#This Row],[Inspected]]*tblInspections[[#This Row],[Opportunities]]))</f>
        <v>6960</v>
      </c>
      <c r="J80" s="36">
        <f>IF(tblInspections[[#This Row],[Date]]="","",IF(tblInspections[[#This Row],[Inspected]]&gt;0,tblInspections[[#This Row],[Defective]]/tblInspections[[#This Row],[Inspected]],""))</f>
        <v>0.00114942528735632</v>
      </c>
      <c r="K80" s="35">
        <f>IF(tblInspections[[#This Row],[Date]]="","",IF(tblInspections[[#This Row],[Inspected]]&gt;0,tblInspections[[#This Row],[Defective]]/tblInspections[[#This Row],[Inspected]]*1000000,""))</f>
        <v>1149.42528735632</v>
      </c>
      <c r="L80" s="37" t="str">
        <f>IF(NOT(ISNUMBER(tblInspections[[#This Row],[PPM defective]])),"",IF(tblInspections[[#This Row],[PPM defective]]&lt;=TargetPPM,"On target",IF(tblInspections[[#This Row],[PPM defective]]&lt;=TargetPPM*(1+0.05),"Near target","Above target")))</f>
        <v>On target</v>
      </c>
      <c r="M80" s="38">
        <f>IF(tblInspections[[#This Row],[Date]]="","",IF(tblInspections[[#This Row],[Inspected]]&gt;0,tblInspections[[#This Row],[Defects found]]/tblInspections[[#This Row],[Inspected]],""))</f>
        <v>0.00229885057471264</v>
      </c>
      <c r="N80" s="35">
        <f>IF(tblInspections[[#This Row],[Date]]="","",IF(N(tblInspections[[#This Row],[Opportunities checked]])&gt;0,tblInspections[[#This Row],[Defects found]]/tblInspections[[#This Row],[Opportunities checked]]*1000000,""))</f>
        <v>287.35632183908</v>
      </c>
      <c r="O80" s="39">
        <f>IF(tblInspections[[#This Row],[Date]]="","",IF(AND(tblInspections[[#This Row],[Date]]&gt;=FFrom,tblInspections[[#This Row],[Date]]&lt;=FTo,OR(DashPart="",tblInspections[[#This Row],[Part]]=DashPart)),tblInspections[[#This Row],[Date]],""))</f>
        <v>46289</v>
      </c>
      <c r="P8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0" s="41" t="s">
        <v>131</v>
      </c>
    </row>
    <row r="81" spans="2:17">
      <c r="B81" s="34">
        <v>46289</v>
      </c>
      <c r="C81" s="28" t="s">
        <v>207</v>
      </c>
      <c r="D81" s="28" t="s">
        <v>84</v>
      </c>
      <c r="E81" s="29">
        <v>2520</v>
      </c>
      <c r="F81" s="29">
        <v>1</v>
      </c>
      <c r="G81" s="35">
        <f>IF(tblInspections[[#This Row],[Date]]="","",SUMIFS(tblDefects[Count],tblDefects[Lot ID],tblInspections[[#This Row],[Lot ID]]))</f>
        <v>1</v>
      </c>
      <c r="H81" s="35">
        <f>IF(tblInspections[[#This Row],[Date]]="","",IFERROR(INDEX(tblParts[Opportunities],MATCH(tblInspections[[#This Row],[Part]],tblParts[Part],0)),""))</f>
        <v>5</v>
      </c>
      <c r="I81" s="35">
        <f>IF(tblInspections[[#This Row],[Date]]="","",IF(tblInspections[[#This Row],[Opportunities]]="","",tblInspections[[#This Row],[Inspected]]*tblInspections[[#This Row],[Opportunities]]))</f>
        <v>12600</v>
      </c>
      <c r="J81" s="36">
        <f>IF(tblInspections[[#This Row],[Date]]="","",IF(tblInspections[[#This Row],[Inspected]]&gt;0,tblInspections[[#This Row],[Defective]]/tblInspections[[#This Row],[Inspected]],""))</f>
        <v>0.000396825396825397</v>
      </c>
      <c r="K81" s="35">
        <f>IF(tblInspections[[#This Row],[Date]]="","",IF(tblInspections[[#This Row],[Inspected]]&gt;0,tblInspections[[#This Row],[Defective]]/tblInspections[[#This Row],[Inspected]]*1000000,""))</f>
        <v>396.825396825397</v>
      </c>
      <c r="L81" s="37" t="str">
        <f>IF(NOT(ISNUMBER(tblInspections[[#This Row],[PPM defective]])),"",IF(tblInspections[[#This Row],[PPM defective]]&lt;=TargetPPM,"On target",IF(tblInspections[[#This Row],[PPM defective]]&lt;=TargetPPM*(1+0.05),"Near target","Above target")))</f>
        <v>On target</v>
      </c>
      <c r="M81" s="38">
        <f>IF(tblInspections[[#This Row],[Date]]="","",IF(tblInspections[[#This Row],[Inspected]]&gt;0,tblInspections[[#This Row],[Defects found]]/tblInspections[[#This Row],[Inspected]],""))</f>
        <v>0.000396825396825397</v>
      </c>
      <c r="N81" s="35">
        <f>IF(tblInspections[[#This Row],[Date]]="","",IF(N(tblInspections[[#This Row],[Opportunities checked]])&gt;0,tblInspections[[#This Row],[Defects found]]/tblInspections[[#This Row],[Opportunities checked]]*1000000,""))</f>
        <v>79.3650793650794</v>
      </c>
      <c r="O81" s="39">
        <f>IF(tblInspections[[#This Row],[Date]]="","",IF(AND(tblInspections[[#This Row],[Date]]&gt;=FFrom,tblInspections[[#This Row],[Date]]&lt;=FTo,OR(DashPart="",tblInspections[[#This Row],[Part]]=DashPart)),tblInspections[[#This Row],[Date]],""))</f>
        <v>46289</v>
      </c>
      <c r="P8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1" s="41" t="s">
        <v>131</v>
      </c>
    </row>
    <row r="82" spans="2:17">
      <c r="B82" s="34">
        <v>46289</v>
      </c>
      <c r="C82" s="28" t="s">
        <v>208</v>
      </c>
      <c r="D82" s="28" t="s">
        <v>86</v>
      </c>
      <c r="E82" s="29">
        <v>2920</v>
      </c>
      <c r="F82" s="29">
        <v>3</v>
      </c>
      <c r="G82" s="35">
        <f>IF(tblInspections[[#This Row],[Date]]="","",SUMIFS(tblDefects[Count],tblDefects[Lot ID],tblInspections[[#This Row],[Lot ID]]))</f>
        <v>5</v>
      </c>
      <c r="H82" s="35">
        <f>IF(tblInspections[[#This Row],[Date]]="","",IFERROR(INDEX(tblParts[Opportunities],MATCH(tblInspections[[#This Row],[Part]],tblParts[Part],0)),""))</f>
        <v>4</v>
      </c>
      <c r="I82" s="35">
        <f>IF(tblInspections[[#This Row],[Date]]="","",IF(tblInspections[[#This Row],[Opportunities]]="","",tblInspections[[#This Row],[Inspected]]*tblInspections[[#This Row],[Opportunities]]))</f>
        <v>11680</v>
      </c>
      <c r="J82" s="36">
        <f>IF(tblInspections[[#This Row],[Date]]="","",IF(tblInspections[[#This Row],[Inspected]]&gt;0,tblInspections[[#This Row],[Defective]]/tblInspections[[#This Row],[Inspected]],""))</f>
        <v>0.00102739726027397</v>
      </c>
      <c r="K82" s="35">
        <f>IF(tblInspections[[#This Row],[Date]]="","",IF(tblInspections[[#This Row],[Inspected]]&gt;0,tblInspections[[#This Row],[Defective]]/tblInspections[[#This Row],[Inspected]]*1000000,""))</f>
        <v>1027.39726027397</v>
      </c>
      <c r="L82" s="37" t="str">
        <f>IF(NOT(ISNUMBER(tblInspections[[#This Row],[PPM defective]])),"",IF(tblInspections[[#This Row],[PPM defective]]&lt;=TargetPPM,"On target",IF(tblInspections[[#This Row],[PPM defective]]&lt;=TargetPPM*(1+0.05),"Near target","Above target")))</f>
        <v>On target</v>
      </c>
      <c r="M82" s="38">
        <f>IF(tblInspections[[#This Row],[Date]]="","",IF(tblInspections[[#This Row],[Inspected]]&gt;0,tblInspections[[#This Row],[Defects found]]/tblInspections[[#This Row],[Inspected]],""))</f>
        <v>0.00171232876712329</v>
      </c>
      <c r="N82" s="35">
        <f>IF(tblInspections[[#This Row],[Date]]="","",IF(N(tblInspections[[#This Row],[Opportunities checked]])&gt;0,tblInspections[[#This Row],[Defects found]]/tblInspections[[#This Row],[Opportunities checked]]*1000000,""))</f>
        <v>428.082191780822</v>
      </c>
      <c r="O82" s="39">
        <f>IF(tblInspections[[#This Row],[Date]]="","",IF(AND(tblInspections[[#This Row],[Date]]&gt;=FFrom,tblInspections[[#This Row],[Date]]&lt;=FTo,OR(DashPart="",tblInspections[[#This Row],[Part]]=DashPart)),tblInspections[[#This Row],[Date]],""))</f>
        <v>46289</v>
      </c>
      <c r="P8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2" s="41" t="s">
        <v>131</v>
      </c>
    </row>
    <row r="83" spans="2:17">
      <c r="B83" s="34">
        <v>46290</v>
      </c>
      <c r="C83" s="28" t="s">
        <v>209</v>
      </c>
      <c r="D83" s="28" t="s">
        <v>80</v>
      </c>
      <c r="E83" s="29">
        <v>1380</v>
      </c>
      <c r="F83" s="29">
        <v>1</v>
      </c>
      <c r="G83" s="35">
        <f>IF(tblInspections[[#This Row],[Date]]="","",SUMIFS(tblDefects[Count],tblDefects[Lot ID],tblInspections[[#This Row],[Lot ID]]))</f>
        <v>2</v>
      </c>
      <c r="H83" s="35">
        <f>IF(tblInspections[[#This Row],[Date]]="","",IFERROR(INDEX(tblParts[Opportunities],MATCH(tblInspections[[#This Row],[Part]],tblParts[Part],0)),""))</f>
        <v>6</v>
      </c>
      <c r="I83" s="35">
        <f>IF(tblInspections[[#This Row],[Date]]="","",IF(tblInspections[[#This Row],[Opportunities]]="","",tblInspections[[#This Row],[Inspected]]*tblInspections[[#This Row],[Opportunities]]))</f>
        <v>8280</v>
      </c>
      <c r="J83" s="36">
        <f>IF(tblInspections[[#This Row],[Date]]="","",IF(tblInspections[[#This Row],[Inspected]]&gt;0,tblInspections[[#This Row],[Defective]]/tblInspections[[#This Row],[Inspected]],""))</f>
        <v>0.00072463768115942</v>
      </c>
      <c r="K83" s="35">
        <f>IF(tblInspections[[#This Row],[Date]]="","",IF(tblInspections[[#This Row],[Inspected]]&gt;0,tblInspections[[#This Row],[Defective]]/tblInspections[[#This Row],[Inspected]]*1000000,""))</f>
        <v>724.63768115942</v>
      </c>
      <c r="L83" s="37" t="str">
        <f>IF(NOT(ISNUMBER(tblInspections[[#This Row],[PPM defective]])),"",IF(tblInspections[[#This Row],[PPM defective]]&lt;=TargetPPM,"On target",IF(tblInspections[[#This Row],[PPM defective]]&lt;=TargetPPM*(1+0.05),"Near target","Above target")))</f>
        <v>On target</v>
      </c>
      <c r="M83" s="38">
        <f>IF(tblInspections[[#This Row],[Date]]="","",IF(tblInspections[[#This Row],[Inspected]]&gt;0,tblInspections[[#This Row],[Defects found]]/tblInspections[[#This Row],[Inspected]],""))</f>
        <v>0.00144927536231884</v>
      </c>
      <c r="N83" s="35">
        <f>IF(tblInspections[[#This Row],[Date]]="","",IF(N(tblInspections[[#This Row],[Opportunities checked]])&gt;0,tblInspections[[#This Row],[Defects found]]/tblInspections[[#This Row],[Opportunities checked]]*1000000,""))</f>
        <v>241.545893719807</v>
      </c>
      <c r="O83" s="39">
        <f>IF(tblInspections[[#This Row],[Date]]="","",IF(AND(tblInspections[[#This Row],[Date]]&gt;=FFrom,tblInspections[[#This Row],[Date]]&lt;=FTo,OR(DashPart="",tblInspections[[#This Row],[Part]]=DashPart)),tblInspections[[#This Row],[Date]],""))</f>
        <v>46290</v>
      </c>
      <c r="P8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3" s="41" t="s">
        <v>131</v>
      </c>
    </row>
    <row r="84" spans="2:17">
      <c r="B84" s="34">
        <v>46290</v>
      </c>
      <c r="C84" s="28" t="s">
        <v>210</v>
      </c>
      <c r="D84" s="28" t="s">
        <v>82</v>
      </c>
      <c r="E84" s="29">
        <v>940</v>
      </c>
      <c r="F84" s="29">
        <v>2</v>
      </c>
      <c r="G84" s="35">
        <f>IF(tblInspections[[#This Row],[Date]]="","",SUMIFS(tblDefects[Count],tblDefects[Lot ID],tblInspections[[#This Row],[Lot ID]]))</f>
        <v>2</v>
      </c>
      <c r="H84" s="35">
        <f>IF(tblInspections[[#This Row],[Date]]="","",IFERROR(INDEX(tblParts[Opportunities],MATCH(tblInspections[[#This Row],[Part]],tblParts[Part],0)),""))</f>
        <v>8</v>
      </c>
      <c r="I84" s="35">
        <f>IF(tblInspections[[#This Row],[Date]]="","",IF(tblInspections[[#This Row],[Opportunities]]="","",tblInspections[[#This Row],[Inspected]]*tblInspections[[#This Row],[Opportunities]]))</f>
        <v>7520</v>
      </c>
      <c r="J84" s="36">
        <f>IF(tblInspections[[#This Row],[Date]]="","",IF(tblInspections[[#This Row],[Inspected]]&gt;0,tblInspections[[#This Row],[Defective]]/tblInspections[[#This Row],[Inspected]],""))</f>
        <v>0.00212765957446809</v>
      </c>
      <c r="K84" s="35">
        <f>IF(tblInspections[[#This Row],[Date]]="","",IF(tblInspections[[#This Row],[Inspected]]&gt;0,tblInspections[[#This Row],[Defective]]/tblInspections[[#This Row],[Inspected]]*1000000,""))</f>
        <v>2127.65957446809</v>
      </c>
      <c r="L84" s="37" t="str">
        <f>IF(NOT(ISNUMBER(tblInspections[[#This Row],[PPM defective]])),"",IF(tblInspections[[#This Row],[PPM defective]]&lt;=TargetPPM,"On target",IF(tblInspections[[#This Row],[PPM defective]]&lt;=TargetPPM*(1+0.05),"Near target","Above target")))</f>
        <v>Above target</v>
      </c>
      <c r="M84" s="38">
        <f>IF(tblInspections[[#This Row],[Date]]="","",IF(tblInspections[[#This Row],[Inspected]]&gt;0,tblInspections[[#This Row],[Defects found]]/tblInspections[[#This Row],[Inspected]],""))</f>
        <v>0.00212765957446809</v>
      </c>
      <c r="N84" s="35">
        <f>IF(tblInspections[[#This Row],[Date]]="","",IF(N(tblInspections[[#This Row],[Opportunities checked]])&gt;0,tblInspections[[#This Row],[Defects found]]/tblInspections[[#This Row],[Opportunities checked]]*1000000,""))</f>
        <v>265.957446808511</v>
      </c>
      <c r="O84" s="39">
        <f>IF(tblInspections[[#This Row],[Date]]="","",IF(AND(tblInspections[[#This Row],[Date]]&gt;=FFrom,tblInspections[[#This Row],[Date]]&lt;=FTo,OR(DashPart="",tblInspections[[#This Row],[Part]]=DashPart)),tblInspections[[#This Row],[Date]],""))</f>
        <v>46290</v>
      </c>
      <c r="P8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4" s="41" t="s">
        <v>131</v>
      </c>
    </row>
    <row r="85" spans="2:17">
      <c r="B85" s="34">
        <v>46290</v>
      </c>
      <c r="C85" s="28" t="s">
        <v>211</v>
      </c>
      <c r="D85" s="28" t="s">
        <v>84</v>
      </c>
      <c r="E85" s="29">
        <v>2570</v>
      </c>
      <c r="F85" s="29">
        <v>1</v>
      </c>
      <c r="G85" s="35">
        <f>IF(tblInspections[[#This Row],[Date]]="","",SUMIFS(tblDefects[Count],tblDefects[Lot ID],tblInspections[[#This Row],[Lot ID]]))</f>
        <v>1</v>
      </c>
      <c r="H85" s="35">
        <f>IF(tblInspections[[#This Row],[Date]]="","",IFERROR(INDEX(tblParts[Opportunities],MATCH(tblInspections[[#This Row],[Part]],tblParts[Part],0)),""))</f>
        <v>5</v>
      </c>
      <c r="I85" s="35">
        <f>IF(tblInspections[[#This Row],[Date]]="","",IF(tblInspections[[#This Row],[Opportunities]]="","",tblInspections[[#This Row],[Inspected]]*tblInspections[[#This Row],[Opportunities]]))</f>
        <v>12850</v>
      </c>
      <c r="J85" s="36">
        <f>IF(tblInspections[[#This Row],[Date]]="","",IF(tblInspections[[#This Row],[Inspected]]&gt;0,tblInspections[[#This Row],[Defective]]/tblInspections[[#This Row],[Inspected]],""))</f>
        <v>0.000389105058365759</v>
      </c>
      <c r="K85" s="35">
        <f>IF(tblInspections[[#This Row],[Date]]="","",IF(tblInspections[[#This Row],[Inspected]]&gt;0,tblInspections[[#This Row],[Defective]]/tblInspections[[#This Row],[Inspected]]*1000000,""))</f>
        <v>389.105058365759</v>
      </c>
      <c r="L85" s="37" t="str">
        <f>IF(NOT(ISNUMBER(tblInspections[[#This Row],[PPM defective]])),"",IF(tblInspections[[#This Row],[PPM defective]]&lt;=TargetPPM,"On target",IF(tblInspections[[#This Row],[PPM defective]]&lt;=TargetPPM*(1+0.05),"Near target","Above target")))</f>
        <v>On target</v>
      </c>
      <c r="M85" s="38">
        <f>IF(tblInspections[[#This Row],[Date]]="","",IF(tblInspections[[#This Row],[Inspected]]&gt;0,tblInspections[[#This Row],[Defects found]]/tblInspections[[#This Row],[Inspected]],""))</f>
        <v>0.000389105058365759</v>
      </c>
      <c r="N85" s="35">
        <f>IF(tblInspections[[#This Row],[Date]]="","",IF(N(tblInspections[[#This Row],[Opportunities checked]])&gt;0,tblInspections[[#This Row],[Defects found]]/tblInspections[[#This Row],[Opportunities checked]]*1000000,""))</f>
        <v>77.8210116731518</v>
      </c>
      <c r="O85" s="39">
        <f>IF(tblInspections[[#This Row],[Date]]="","",IF(AND(tblInspections[[#This Row],[Date]]&gt;=FFrom,tblInspections[[#This Row],[Date]]&lt;=FTo,OR(DashPart="",tblInspections[[#This Row],[Part]]=DashPart)),tblInspections[[#This Row],[Date]],""))</f>
        <v>46290</v>
      </c>
      <c r="P8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5" s="41" t="s">
        <v>131</v>
      </c>
    </row>
    <row r="86" spans="2:17">
      <c r="B86" s="34">
        <v>46290</v>
      </c>
      <c r="C86" s="28" t="s">
        <v>212</v>
      </c>
      <c r="D86" s="28" t="s">
        <v>86</v>
      </c>
      <c r="E86" s="29">
        <v>3270</v>
      </c>
      <c r="F86" s="29">
        <v>3</v>
      </c>
      <c r="G86" s="35">
        <f>IF(tblInspections[[#This Row],[Date]]="","",SUMIFS(tblDefects[Count],tblDefects[Lot ID],tblInspections[[#This Row],[Lot ID]]))</f>
        <v>3</v>
      </c>
      <c r="H86" s="35">
        <f>IF(tblInspections[[#This Row],[Date]]="","",IFERROR(INDEX(tblParts[Opportunities],MATCH(tblInspections[[#This Row],[Part]],tblParts[Part],0)),""))</f>
        <v>4</v>
      </c>
      <c r="I86" s="35">
        <f>IF(tblInspections[[#This Row],[Date]]="","",IF(tblInspections[[#This Row],[Opportunities]]="","",tblInspections[[#This Row],[Inspected]]*tblInspections[[#This Row],[Opportunities]]))</f>
        <v>13080</v>
      </c>
      <c r="J86" s="36">
        <f>IF(tblInspections[[#This Row],[Date]]="","",IF(tblInspections[[#This Row],[Inspected]]&gt;0,tblInspections[[#This Row],[Defective]]/tblInspections[[#This Row],[Inspected]],""))</f>
        <v>0.000917431192660551</v>
      </c>
      <c r="K86" s="35">
        <f>IF(tblInspections[[#This Row],[Date]]="","",IF(tblInspections[[#This Row],[Inspected]]&gt;0,tblInspections[[#This Row],[Defective]]/tblInspections[[#This Row],[Inspected]]*1000000,""))</f>
        <v>917.431192660551</v>
      </c>
      <c r="L86" s="37" t="str">
        <f>IF(NOT(ISNUMBER(tblInspections[[#This Row],[PPM defective]])),"",IF(tblInspections[[#This Row],[PPM defective]]&lt;=TargetPPM,"On target",IF(tblInspections[[#This Row],[PPM defective]]&lt;=TargetPPM*(1+0.05),"Near target","Above target")))</f>
        <v>On target</v>
      </c>
      <c r="M86" s="38">
        <f>IF(tblInspections[[#This Row],[Date]]="","",IF(tblInspections[[#This Row],[Inspected]]&gt;0,tblInspections[[#This Row],[Defects found]]/tblInspections[[#This Row],[Inspected]],""))</f>
        <v>0.000917431192660551</v>
      </c>
      <c r="N86" s="35">
        <f>IF(tblInspections[[#This Row],[Date]]="","",IF(N(tblInspections[[#This Row],[Opportunities checked]])&gt;0,tblInspections[[#This Row],[Defects found]]/tblInspections[[#This Row],[Opportunities checked]]*1000000,""))</f>
        <v>229.357798165138</v>
      </c>
      <c r="O86" s="39">
        <f>IF(tblInspections[[#This Row],[Date]]="","",IF(AND(tblInspections[[#This Row],[Date]]&gt;=FFrom,tblInspections[[#This Row],[Date]]&lt;=FTo,OR(DashPart="",tblInspections[[#This Row],[Part]]=DashPart)),tblInspections[[#This Row],[Date]],""))</f>
        <v>46290</v>
      </c>
      <c r="P8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6" s="41" t="s">
        <v>131</v>
      </c>
    </row>
    <row r="87" spans="2:17">
      <c r="B87" s="34">
        <v>46293</v>
      </c>
      <c r="C87" s="28" t="s">
        <v>213</v>
      </c>
      <c r="D87" s="28" t="s">
        <v>80</v>
      </c>
      <c r="E87" s="29">
        <v>1550</v>
      </c>
      <c r="F87" s="29">
        <v>3</v>
      </c>
      <c r="G87" s="35">
        <f>IF(tblInspections[[#This Row],[Date]]="","",SUMIFS(tblDefects[Count],tblDefects[Lot ID],tblInspections[[#This Row],[Lot ID]]))</f>
        <v>4</v>
      </c>
      <c r="H87" s="35">
        <f>IF(tblInspections[[#This Row],[Date]]="","",IFERROR(INDEX(tblParts[Opportunities],MATCH(tblInspections[[#This Row],[Part]],tblParts[Part],0)),""))</f>
        <v>6</v>
      </c>
      <c r="I87" s="35">
        <f>IF(tblInspections[[#This Row],[Date]]="","",IF(tblInspections[[#This Row],[Opportunities]]="","",tblInspections[[#This Row],[Inspected]]*tblInspections[[#This Row],[Opportunities]]))</f>
        <v>9300</v>
      </c>
      <c r="J87" s="36">
        <f>IF(tblInspections[[#This Row],[Date]]="","",IF(tblInspections[[#This Row],[Inspected]]&gt;0,tblInspections[[#This Row],[Defective]]/tblInspections[[#This Row],[Inspected]],""))</f>
        <v>0.00193548387096774</v>
      </c>
      <c r="K87" s="35">
        <f>IF(tblInspections[[#This Row],[Date]]="","",IF(tblInspections[[#This Row],[Inspected]]&gt;0,tblInspections[[#This Row],[Defective]]/tblInspections[[#This Row],[Inspected]]*1000000,""))</f>
        <v>1935.48387096774</v>
      </c>
      <c r="L87" s="37" t="str">
        <f>IF(NOT(ISNUMBER(tblInspections[[#This Row],[PPM defective]])),"",IF(tblInspections[[#This Row],[PPM defective]]&lt;=TargetPPM,"On target",IF(tblInspections[[#This Row],[PPM defective]]&lt;=TargetPPM*(1+0.05),"Near target","Above target")))</f>
        <v>Above target</v>
      </c>
      <c r="M87" s="38">
        <f>IF(tblInspections[[#This Row],[Date]]="","",IF(tblInspections[[#This Row],[Inspected]]&gt;0,tblInspections[[#This Row],[Defects found]]/tblInspections[[#This Row],[Inspected]],""))</f>
        <v>0.00258064516129032</v>
      </c>
      <c r="N87" s="35">
        <f>IF(tblInspections[[#This Row],[Date]]="","",IF(N(tblInspections[[#This Row],[Opportunities checked]])&gt;0,tblInspections[[#This Row],[Defects found]]/tblInspections[[#This Row],[Opportunities checked]]*1000000,""))</f>
        <v>430.10752688172</v>
      </c>
      <c r="O87" s="39">
        <f>IF(tblInspections[[#This Row],[Date]]="","",IF(AND(tblInspections[[#This Row],[Date]]&gt;=FFrom,tblInspections[[#This Row],[Date]]&lt;=FTo,OR(DashPart="",tblInspections[[#This Row],[Part]]=DashPart)),tblInspections[[#This Row],[Date]],""))</f>
        <v>46293</v>
      </c>
      <c r="P8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7" s="41" t="s">
        <v>131</v>
      </c>
    </row>
    <row r="88" spans="2:17">
      <c r="B88" s="34">
        <v>46293</v>
      </c>
      <c r="C88" s="28" t="s">
        <v>214</v>
      </c>
      <c r="D88" s="28" t="s">
        <v>82</v>
      </c>
      <c r="E88" s="29">
        <v>930</v>
      </c>
      <c r="F88" s="29">
        <v>0</v>
      </c>
      <c r="G88" s="35">
        <f>IF(tblInspections[[#This Row],[Date]]="","",SUMIFS(tblDefects[Count],tblDefects[Lot ID],tblInspections[[#This Row],[Lot ID]]))</f>
        <v>0</v>
      </c>
      <c r="H88" s="35">
        <f>IF(tblInspections[[#This Row],[Date]]="","",IFERROR(INDEX(tblParts[Opportunities],MATCH(tblInspections[[#This Row],[Part]],tblParts[Part],0)),""))</f>
        <v>8</v>
      </c>
      <c r="I88" s="35">
        <f>IF(tblInspections[[#This Row],[Date]]="","",IF(tblInspections[[#This Row],[Opportunities]]="","",tblInspections[[#This Row],[Inspected]]*tblInspections[[#This Row],[Opportunities]]))</f>
        <v>7440</v>
      </c>
      <c r="J88" s="36">
        <f>IF(tblInspections[[#This Row],[Date]]="","",IF(tblInspections[[#This Row],[Inspected]]&gt;0,tblInspections[[#This Row],[Defective]]/tblInspections[[#This Row],[Inspected]],""))</f>
        <v>0</v>
      </c>
      <c r="K88" s="35">
        <f>IF(tblInspections[[#This Row],[Date]]="","",IF(tblInspections[[#This Row],[Inspected]]&gt;0,tblInspections[[#This Row],[Defective]]/tblInspections[[#This Row],[Inspected]]*1000000,""))</f>
        <v>0</v>
      </c>
      <c r="L88" s="37" t="str">
        <f>IF(NOT(ISNUMBER(tblInspections[[#This Row],[PPM defective]])),"",IF(tblInspections[[#This Row],[PPM defective]]&lt;=TargetPPM,"On target",IF(tblInspections[[#This Row],[PPM defective]]&lt;=TargetPPM*(1+0.05),"Near target","Above target")))</f>
        <v>On target</v>
      </c>
      <c r="M88" s="38">
        <f>IF(tblInspections[[#This Row],[Date]]="","",IF(tblInspections[[#This Row],[Inspected]]&gt;0,tblInspections[[#This Row],[Defects found]]/tblInspections[[#This Row],[Inspected]],""))</f>
        <v>0</v>
      </c>
      <c r="N88" s="35">
        <f>IF(tblInspections[[#This Row],[Date]]="","",IF(N(tblInspections[[#This Row],[Opportunities checked]])&gt;0,tblInspections[[#This Row],[Defects found]]/tblInspections[[#This Row],[Opportunities checked]]*1000000,""))</f>
        <v>0</v>
      </c>
      <c r="O88" s="39">
        <f>IF(tblInspections[[#This Row],[Date]]="","",IF(AND(tblInspections[[#This Row],[Date]]&gt;=FFrom,tblInspections[[#This Row],[Date]]&lt;=FTo,OR(DashPart="",tblInspections[[#This Row],[Part]]=DashPart)),tblInspections[[#This Row],[Date]],""))</f>
        <v>46293</v>
      </c>
      <c r="P8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8" s="41" t="s">
        <v>131</v>
      </c>
    </row>
    <row r="89" spans="2:17">
      <c r="B89" s="34">
        <v>46293</v>
      </c>
      <c r="C89" s="28" t="s">
        <v>215</v>
      </c>
      <c r="D89" s="28" t="s">
        <v>84</v>
      </c>
      <c r="E89" s="29">
        <v>2380</v>
      </c>
      <c r="F89" s="29">
        <v>1</v>
      </c>
      <c r="G89" s="35">
        <f>IF(tblInspections[[#This Row],[Date]]="","",SUMIFS(tblDefects[Count],tblDefects[Lot ID],tblInspections[[#This Row],[Lot ID]]))</f>
        <v>1</v>
      </c>
      <c r="H89" s="35">
        <f>IF(tblInspections[[#This Row],[Date]]="","",IFERROR(INDEX(tblParts[Opportunities],MATCH(tblInspections[[#This Row],[Part]],tblParts[Part],0)),""))</f>
        <v>5</v>
      </c>
      <c r="I89" s="35">
        <f>IF(tblInspections[[#This Row],[Date]]="","",IF(tblInspections[[#This Row],[Opportunities]]="","",tblInspections[[#This Row],[Inspected]]*tblInspections[[#This Row],[Opportunities]]))</f>
        <v>11900</v>
      </c>
      <c r="J89" s="36">
        <f>IF(tblInspections[[#This Row],[Date]]="","",IF(tblInspections[[#This Row],[Inspected]]&gt;0,tblInspections[[#This Row],[Defective]]/tblInspections[[#This Row],[Inspected]],""))</f>
        <v>0.000420168067226891</v>
      </c>
      <c r="K89" s="35">
        <f>IF(tblInspections[[#This Row],[Date]]="","",IF(tblInspections[[#This Row],[Inspected]]&gt;0,tblInspections[[#This Row],[Defective]]/tblInspections[[#This Row],[Inspected]]*1000000,""))</f>
        <v>420.168067226891</v>
      </c>
      <c r="L89" s="37" t="str">
        <f>IF(NOT(ISNUMBER(tblInspections[[#This Row],[PPM defective]])),"",IF(tblInspections[[#This Row],[PPM defective]]&lt;=TargetPPM,"On target",IF(tblInspections[[#This Row],[PPM defective]]&lt;=TargetPPM*(1+0.05),"Near target","Above target")))</f>
        <v>On target</v>
      </c>
      <c r="M89" s="38">
        <f>IF(tblInspections[[#This Row],[Date]]="","",IF(tblInspections[[#This Row],[Inspected]]&gt;0,tblInspections[[#This Row],[Defects found]]/tblInspections[[#This Row],[Inspected]],""))</f>
        <v>0.000420168067226891</v>
      </c>
      <c r="N89" s="35">
        <f>IF(tblInspections[[#This Row],[Date]]="","",IF(N(tblInspections[[#This Row],[Opportunities checked]])&gt;0,tblInspections[[#This Row],[Defects found]]/tblInspections[[#This Row],[Opportunities checked]]*1000000,""))</f>
        <v>84.0336134453782</v>
      </c>
      <c r="O89" s="39">
        <f>IF(tblInspections[[#This Row],[Date]]="","",IF(AND(tblInspections[[#This Row],[Date]]&gt;=FFrom,tblInspections[[#This Row],[Date]]&lt;=FTo,OR(DashPart="",tblInspections[[#This Row],[Part]]=DashPart)),tblInspections[[#This Row],[Date]],""))</f>
        <v>46293</v>
      </c>
      <c r="P8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89" s="41" t="s">
        <v>131</v>
      </c>
    </row>
    <row r="90" spans="2:17">
      <c r="B90" s="34">
        <v>46293</v>
      </c>
      <c r="C90" s="28" t="s">
        <v>216</v>
      </c>
      <c r="D90" s="28" t="s">
        <v>86</v>
      </c>
      <c r="E90" s="29">
        <v>2650</v>
      </c>
      <c r="F90" s="29">
        <v>10</v>
      </c>
      <c r="G90" s="35">
        <f>IF(tblInspections[[#This Row],[Date]]="","",SUMIFS(tblDefects[Count],tblDefects[Lot ID],tblInspections[[#This Row],[Lot ID]]))</f>
        <v>12</v>
      </c>
      <c r="H90" s="35">
        <f>IF(tblInspections[[#This Row],[Date]]="","",IFERROR(INDEX(tblParts[Opportunities],MATCH(tblInspections[[#This Row],[Part]],tblParts[Part],0)),""))</f>
        <v>4</v>
      </c>
      <c r="I90" s="35">
        <f>IF(tblInspections[[#This Row],[Date]]="","",IF(tblInspections[[#This Row],[Opportunities]]="","",tblInspections[[#This Row],[Inspected]]*tblInspections[[#This Row],[Opportunities]]))</f>
        <v>10600</v>
      </c>
      <c r="J90" s="36">
        <f>IF(tblInspections[[#This Row],[Date]]="","",IF(tblInspections[[#This Row],[Inspected]]&gt;0,tblInspections[[#This Row],[Defective]]/tblInspections[[#This Row],[Inspected]],""))</f>
        <v>0.00377358490566038</v>
      </c>
      <c r="K90" s="35">
        <f>IF(tblInspections[[#This Row],[Date]]="","",IF(tblInspections[[#This Row],[Inspected]]&gt;0,tblInspections[[#This Row],[Defective]]/tblInspections[[#This Row],[Inspected]]*1000000,""))</f>
        <v>3773.58490566038</v>
      </c>
      <c r="L90" s="37" t="str">
        <f>IF(NOT(ISNUMBER(tblInspections[[#This Row],[PPM defective]])),"",IF(tblInspections[[#This Row],[PPM defective]]&lt;=TargetPPM,"On target",IF(tblInspections[[#This Row],[PPM defective]]&lt;=TargetPPM*(1+0.05),"Near target","Above target")))</f>
        <v>Above target</v>
      </c>
      <c r="M90" s="38">
        <f>IF(tblInspections[[#This Row],[Date]]="","",IF(tblInspections[[#This Row],[Inspected]]&gt;0,tblInspections[[#This Row],[Defects found]]/tblInspections[[#This Row],[Inspected]],""))</f>
        <v>0.00452830188679245</v>
      </c>
      <c r="N90" s="35">
        <f>IF(tblInspections[[#This Row],[Date]]="","",IF(N(tblInspections[[#This Row],[Opportunities checked]])&gt;0,tblInspections[[#This Row],[Defects found]]/tblInspections[[#This Row],[Opportunities checked]]*1000000,""))</f>
        <v>1132.07547169811</v>
      </c>
      <c r="O90" s="39">
        <f>IF(tblInspections[[#This Row],[Date]]="","",IF(AND(tblInspections[[#This Row],[Date]]&gt;=FFrom,tblInspections[[#This Row],[Date]]&lt;=FTo,OR(DashPart="",tblInspections[[#This Row],[Part]]=DashPart)),tblInspections[[#This Row],[Date]],""))</f>
        <v>46293</v>
      </c>
      <c r="P9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0" s="41" t="s">
        <v>131</v>
      </c>
    </row>
    <row r="91" spans="2:17">
      <c r="B91" s="34">
        <v>46294</v>
      </c>
      <c r="C91" s="28" t="s">
        <v>217</v>
      </c>
      <c r="D91" s="28" t="s">
        <v>80</v>
      </c>
      <c r="E91" s="29">
        <v>1520</v>
      </c>
      <c r="F91" s="29">
        <v>1</v>
      </c>
      <c r="G91" s="35">
        <f>IF(tblInspections[[#This Row],[Date]]="","",SUMIFS(tblDefects[Count],tblDefects[Lot ID],tblInspections[[#This Row],[Lot ID]]))</f>
        <v>1</v>
      </c>
      <c r="H91" s="35">
        <f>IF(tblInspections[[#This Row],[Date]]="","",IFERROR(INDEX(tblParts[Opportunities],MATCH(tblInspections[[#This Row],[Part]],tblParts[Part],0)),""))</f>
        <v>6</v>
      </c>
      <c r="I91" s="35">
        <f>IF(tblInspections[[#This Row],[Date]]="","",IF(tblInspections[[#This Row],[Opportunities]]="","",tblInspections[[#This Row],[Inspected]]*tblInspections[[#This Row],[Opportunities]]))</f>
        <v>9120</v>
      </c>
      <c r="J91" s="36">
        <f>IF(tblInspections[[#This Row],[Date]]="","",IF(tblInspections[[#This Row],[Inspected]]&gt;0,tblInspections[[#This Row],[Defective]]/tblInspections[[#This Row],[Inspected]],""))</f>
        <v>0.000657894736842105</v>
      </c>
      <c r="K91" s="35">
        <f>IF(tblInspections[[#This Row],[Date]]="","",IF(tblInspections[[#This Row],[Inspected]]&gt;0,tblInspections[[#This Row],[Defective]]/tblInspections[[#This Row],[Inspected]]*1000000,""))</f>
        <v>657.894736842105</v>
      </c>
      <c r="L91" s="37" t="str">
        <f>IF(NOT(ISNUMBER(tblInspections[[#This Row],[PPM defective]])),"",IF(tblInspections[[#This Row],[PPM defective]]&lt;=TargetPPM,"On target",IF(tblInspections[[#This Row],[PPM defective]]&lt;=TargetPPM*(1+0.05),"Near target","Above target")))</f>
        <v>On target</v>
      </c>
      <c r="M91" s="38">
        <f>IF(tblInspections[[#This Row],[Date]]="","",IF(tblInspections[[#This Row],[Inspected]]&gt;0,tblInspections[[#This Row],[Defects found]]/tblInspections[[#This Row],[Inspected]],""))</f>
        <v>0.000657894736842105</v>
      </c>
      <c r="N91" s="35">
        <f>IF(tblInspections[[#This Row],[Date]]="","",IF(N(tblInspections[[#This Row],[Opportunities checked]])&gt;0,tblInspections[[#This Row],[Defects found]]/tblInspections[[#This Row],[Opportunities checked]]*1000000,""))</f>
        <v>109.649122807018</v>
      </c>
      <c r="O91" s="39">
        <f>IF(tblInspections[[#This Row],[Date]]="","",IF(AND(tblInspections[[#This Row],[Date]]&gt;=FFrom,tblInspections[[#This Row],[Date]]&lt;=FTo,OR(DashPart="",tblInspections[[#This Row],[Part]]=DashPart)),tblInspections[[#This Row],[Date]],""))</f>
        <v>46294</v>
      </c>
      <c r="P9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1" s="41" t="s">
        <v>131</v>
      </c>
    </row>
    <row r="92" spans="2:17">
      <c r="B92" s="34">
        <v>46294</v>
      </c>
      <c r="C92" s="28" t="s">
        <v>218</v>
      </c>
      <c r="D92" s="28" t="s">
        <v>82</v>
      </c>
      <c r="E92" s="29">
        <v>920</v>
      </c>
      <c r="F92" s="29">
        <v>1</v>
      </c>
      <c r="G92" s="35">
        <f>IF(tblInspections[[#This Row],[Date]]="","",SUMIFS(tblDefects[Count],tblDefects[Lot ID],tblInspections[[#This Row],[Lot ID]]))</f>
        <v>1</v>
      </c>
      <c r="H92" s="35">
        <f>IF(tblInspections[[#This Row],[Date]]="","",IFERROR(INDEX(tblParts[Opportunities],MATCH(tblInspections[[#This Row],[Part]],tblParts[Part],0)),""))</f>
        <v>8</v>
      </c>
      <c r="I92" s="35">
        <f>IF(tblInspections[[#This Row],[Date]]="","",IF(tblInspections[[#This Row],[Opportunities]]="","",tblInspections[[#This Row],[Inspected]]*tblInspections[[#This Row],[Opportunities]]))</f>
        <v>7360</v>
      </c>
      <c r="J92" s="36">
        <f>IF(tblInspections[[#This Row],[Date]]="","",IF(tblInspections[[#This Row],[Inspected]]&gt;0,tblInspections[[#This Row],[Defective]]/tblInspections[[#This Row],[Inspected]],""))</f>
        <v>0.00108695652173913</v>
      </c>
      <c r="K92" s="35">
        <f>IF(tblInspections[[#This Row],[Date]]="","",IF(tblInspections[[#This Row],[Inspected]]&gt;0,tblInspections[[#This Row],[Defective]]/tblInspections[[#This Row],[Inspected]]*1000000,""))</f>
        <v>1086.95652173913</v>
      </c>
      <c r="L92" s="37" t="str">
        <f>IF(NOT(ISNUMBER(tblInspections[[#This Row],[PPM defective]])),"",IF(tblInspections[[#This Row],[PPM defective]]&lt;=TargetPPM,"On target",IF(tblInspections[[#This Row],[PPM defective]]&lt;=TargetPPM*(1+0.05),"Near target","Above target")))</f>
        <v>On target</v>
      </c>
      <c r="M92" s="38">
        <f>IF(tblInspections[[#This Row],[Date]]="","",IF(tblInspections[[#This Row],[Inspected]]&gt;0,tblInspections[[#This Row],[Defects found]]/tblInspections[[#This Row],[Inspected]],""))</f>
        <v>0.00108695652173913</v>
      </c>
      <c r="N92" s="35">
        <f>IF(tblInspections[[#This Row],[Date]]="","",IF(N(tblInspections[[#This Row],[Opportunities checked]])&gt;0,tblInspections[[#This Row],[Defects found]]/tblInspections[[#This Row],[Opportunities checked]]*1000000,""))</f>
        <v>135.869565217391</v>
      </c>
      <c r="O92" s="39">
        <f>IF(tblInspections[[#This Row],[Date]]="","",IF(AND(tblInspections[[#This Row],[Date]]&gt;=FFrom,tblInspections[[#This Row],[Date]]&lt;=FTo,OR(DashPart="",tblInspections[[#This Row],[Part]]=DashPart)),tblInspections[[#This Row],[Date]],""))</f>
        <v>46294</v>
      </c>
      <c r="P9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2" s="41" t="s">
        <v>131</v>
      </c>
    </row>
    <row r="93" spans="2:17">
      <c r="B93" s="34">
        <v>46294</v>
      </c>
      <c r="C93" s="28" t="s">
        <v>219</v>
      </c>
      <c r="D93" s="28" t="s">
        <v>84</v>
      </c>
      <c r="E93" s="29">
        <v>2400</v>
      </c>
      <c r="F93" s="29">
        <v>0</v>
      </c>
      <c r="G93" s="35">
        <f>IF(tblInspections[[#This Row],[Date]]="","",SUMIFS(tblDefects[Count],tblDefects[Lot ID],tblInspections[[#This Row],[Lot ID]]))</f>
        <v>0</v>
      </c>
      <c r="H93" s="35">
        <f>IF(tblInspections[[#This Row],[Date]]="","",IFERROR(INDEX(tblParts[Opportunities],MATCH(tblInspections[[#This Row],[Part]],tblParts[Part],0)),""))</f>
        <v>5</v>
      </c>
      <c r="I93" s="35">
        <f>IF(tblInspections[[#This Row],[Date]]="","",IF(tblInspections[[#This Row],[Opportunities]]="","",tblInspections[[#This Row],[Inspected]]*tblInspections[[#This Row],[Opportunities]]))</f>
        <v>12000</v>
      </c>
      <c r="J93" s="36">
        <f>IF(tblInspections[[#This Row],[Date]]="","",IF(tblInspections[[#This Row],[Inspected]]&gt;0,tblInspections[[#This Row],[Defective]]/tblInspections[[#This Row],[Inspected]],""))</f>
        <v>0</v>
      </c>
      <c r="K93" s="35">
        <f>IF(tblInspections[[#This Row],[Date]]="","",IF(tblInspections[[#This Row],[Inspected]]&gt;0,tblInspections[[#This Row],[Defective]]/tblInspections[[#This Row],[Inspected]]*1000000,""))</f>
        <v>0</v>
      </c>
      <c r="L93" s="37" t="str">
        <f>IF(NOT(ISNUMBER(tblInspections[[#This Row],[PPM defective]])),"",IF(tblInspections[[#This Row],[PPM defective]]&lt;=TargetPPM,"On target",IF(tblInspections[[#This Row],[PPM defective]]&lt;=TargetPPM*(1+0.05),"Near target","Above target")))</f>
        <v>On target</v>
      </c>
      <c r="M93" s="38">
        <f>IF(tblInspections[[#This Row],[Date]]="","",IF(tblInspections[[#This Row],[Inspected]]&gt;0,tblInspections[[#This Row],[Defects found]]/tblInspections[[#This Row],[Inspected]],""))</f>
        <v>0</v>
      </c>
      <c r="N93" s="35">
        <f>IF(tblInspections[[#This Row],[Date]]="","",IF(N(tblInspections[[#This Row],[Opportunities checked]])&gt;0,tblInspections[[#This Row],[Defects found]]/tblInspections[[#This Row],[Opportunities checked]]*1000000,""))</f>
        <v>0</v>
      </c>
      <c r="O93" s="39">
        <f>IF(tblInspections[[#This Row],[Date]]="","",IF(AND(tblInspections[[#This Row],[Date]]&gt;=FFrom,tblInspections[[#This Row],[Date]]&lt;=FTo,OR(DashPart="",tblInspections[[#This Row],[Part]]=DashPart)),tblInspections[[#This Row],[Date]],""))</f>
        <v>46294</v>
      </c>
      <c r="P9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3" s="41" t="s">
        <v>131</v>
      </c>
    </row>
    <row r="94" spans="2:17">
      <c r="B94" s="34">
        <v>46294</v>
      </c>
      <c r="C94" s="28" t="s">
        <v>220</v>
      </c>
      <c r="D94" s="28" t="s">
        <v>86</v>
      </c>
      <c r="E94" s="29">
        <v>3350</v>
      </c>
      <c r="F94" s="29">
        <v>1</v>
      </c>
      <c r="G94" s="35">
        <f>IF(tblInspections[[#This Row],[Date]]="","",SUMIFS(tblDefects[Count],tblDefects[Lot ID],tblInspections[[#This Row],[Lot ID]]))</f>
        <v>1</v>
      </c>
      <c r="H94" s="35">
        <f>IF(tblInspections[[#This Row],[Date]]="","",IFERROR(INDEX(tblParts[Opportunities],MATCH(tblInspections[[#This Row],[Part]],tblParts[Part],0)),""))</f>
        <v>4</v>
      </c>
      <c r="I94" s="35">
        <f>IF(tblInspections[[#This Row],[Date]]="","",IF(tblInspections[[#This Row],[Opportunities]]="","",tblInspections[[#This Row],[Inspected]]*tblInspections[[#This Row],[Opportunities]]))</f>
        <v>13400</v>
      </c>
      <c r="J94" s="36">
        <f>IF(tblInspections[[#This Row],[Date]]="","",IF(tblInspections[[#This Row],[Inspected]]&gt;0,tblInspections[[#This Row],[Defective]]/tblInspections[[#This Row],[Inspected]],""))</f>
        <v>0.000298507462686567</v>
      </c>
      <c r="K94" s="35">
        <f>IF(tblInspections[[#This Row],[Date]]="","",IF(tblInspections[[#This Row],[Inspected]]&gt;0,tblInspections[[#This Row],[Defective]]/tblInspections[[#This Row],[Inspected]]*1000000,""))</f>
        <v>298.507462686567</v>
      </c>
      <c r="L94" s="37" t="str">
        <f>IF(NOT(ISNUMBER(tblInspections[[#This Row],[PPM defective]])),"",IF(tblInspections[[#This Row],[PPM defective]]&lt;=TargetPPM,"On target",IF(tblInspections[[#This Row],[PPM defective]]&lt;=TargetPPM*(1+0.05),"Near target","Above target")))</f>
        <v>On target</v>
      </c>
      <c r="M94" s="38">
        <f>IF(tblInspections[[#This Row],[Date]]="","",IF(tblInspections[[#This Row],[Inspected]]&gt;0,tblInspections[[#This Row],[Defects found]]/tblInspections[[#This Row],[Inspected]],""))</f>
        <v>0.000298507462686567</v>
      </c>
      <c r="N94" s="35">
        <f>IF(tblInspections[[#This Row],[Date]]="","",IF(N(tblInspections[[#This Row],[Opportunities checked]])&gt;0,tblInspections[[#This Row],[Defects found]]/tblInspections[[#This Row],[Opportunities checked]]*1000000,""))</f>
        <v>74.6268656716418</v>
      </c>
      <c r="O94" s="39">
        <f>IF(tblInspections[[#This Row],[Date]]="","",IF(AND(tblInspections[[#This Row],[Date]]&gt;=FFrom,tblInspections[[#This Row],[Date]]&lt;=FTo,OR(DashPart="",tblInspections[[#This Row],[Part]]=DashPart)),tblInspections[[#This Row],[Date]],""))</f>
        <v>46294</v>
      </c>
      <c r="P9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4" s="41" t="s">
        <v>131</v>
      </c>
    </row>
    <row r="95" spans="2:17">
      <c r="B95" s="34">
        <v>46295</v>
      </c>
      <c r="C95" s="28" t="s">
        <v>221</v>
      </c>
      <c r="D95" s="28" t="s">
        <v>80</v>
      </c>
      <c r="E95" s="29">
        <v>1430</v>
      </c>
      <c r="F95" s="29">
        <v>2</v>
      </c>
      <c r="G95" s="35">
        <f>IF(tblInspections[[#This Row],[Date]]="","",SUMIFS(tblDefects[Count],tblDefects[Lot ID],tblInspections[[#This Row],[Lot ID]]))</f>
        <v>2</v>
      </c>
      <c r="H95" s="35">
        <f>IF(tblInspections[[#This Row],[Date]]="","",IFERROR(INDEX(tblParts[Opportunities],MATCH(tblInspections[[#This Row],[Part]],tblParts[Part],0)),""))</f>
        <v>6</v>
      </c>
      <c r="I95" s="35">
        <f>IF(tblInspections[[#This Row],[Date]]="","",IF(tblInspections[[#This Row],[Opportunities]]="","",tblInspections[[#This Row],[Inspected]]*tblInspections[[#This Row],[Opportunities]]))</f>
        <v>8580</v>
      </c>
      <c r="J95" s="36">
        <f>IF(tblInspections[[#This Row],[Date]]="","",IF(tblInspections[[#This Row],[Inspected]]&gt;0,tblInspections[[#This Row],[Defective]]/tblInspections[[#This Row],[Inspected]],""))</f>
        <v>0.0013986013986014</v>
      </c>
      <c r="K95" s="35">
        <f>IF(tblInspections[[#This Row],[Date]]="","",IF(tblInspections[[#This Row],[Inspected]]&gt;0,tblInspections[[#This Row],[Defective]]/tblInspections[[#This Row],[Inspected]]*1000000,""))</f>
        <v>1398.6013986014</v>
      </c>
      <c r="L95" s="37" t="str">
        <f>IF(NOT(ISNUMBER(tblInspections[[#This Row],[PPM defective]])),"",IF(tblInspections[[#This Row],[PPM defective]]&lt;=TargetPPM,"On target",IF(tblInspections[[#This Row],[PPM defective]]&lt;=TargetPPM*(1+0.05),"Near target","Above target")))</f>
        <v>On target</v>
      </c>
      <c r="M95" s="38">
        <f>IF(tblInspections[[#This Row],[Date]]="","",IF(tblInspections[[#This Row],[Inspected]]&gt;0,tblInspections[[#This Row],[Defects found]]/tblInspections[[#This Row],[Inspected]],""))</f>
        <v>0.0013986013986014</v>
      </c>
      <c r="N95" s="35">
        <f>IF(tblInspections[[#This Row],[Date]]="","",IF(N(tblInspections[[#This Row],[Opportunities checked]])&gt;0,tblInspections[[#This Row],[Defects found]]/tblInspections[[#This Row],[Opportunities checked]]*1000000,""))</f>
        <v>233.100233100233</v>
      </c>
      <c r="O95" s="39">
        <f>IF(tblInspections[[#This Row],[Date]]="","",IF(AND(tblInspections[[#This Row],[Date]]&gt;=FFrom,tblInspections[[#This Row],[Date]]&lt;=FTo,OR(DashPart="",tblInspections[[#This Row],[Part]]=DashPart)),tblInspections[[#This Row],[Date]],""))</f>
        <v>46295</v>
      </c>
      <c r="P9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5" s="41" t="s">
        <v>131</v>
      </c>
    </row>
    <row r="96" spans="2:17">
      <c r="B96" s="34">
        <v>46295</v>
      </c>
      <c r="C96" s="28" t="s">
        <v>222</v>
      </c>
      <c r="D96" s="28" t="s">
        <v>82</v>
      </c>
      <c r="E96" s="29">
        <v>870</v>
      </c>
      <c r="F96" s="29">
        <v>0</v>
      </c>
      <c r="G96" s="35">
        <f>IF(tblInspections[[#This Row],[Date]]="","",SUMIFS(tblDefects[Count],tblDefects[Lot ID],tblInspections[[#This Row],[Lot ID]]))</f>
        <v>0</v>
      </c>
      <c r="H96" s="35">
        <f>IF(tblInspections[[#This Row],[Date]]="","",IFERROR(INDEX(tblParts[Opportunities],MATCH(tblInspections[[#This Row],[Part]],tblParts[Part],0)),""))</f>
        <v>8</v>
      </c>
      <c r="I96" s="35">
        <f>IF(tblInspections[[#This Row],[Date]]="","",IF(tblInspections[[#This Row],[Opportunities]]="","",tblInspections[[#This Row],[Inspected]]*tblInspections[[#This Row],[Opportunities]]))</f>
        <v>6960</v>
      </c>
      <c r="J96" s="36">
        <f>IF(tblInspections[[#This Row],[Date]]="","",IF(tblInspections[[#This Row],[Inspected]]&gt;0,tblInspections[[#This Row],[Defective]]/tblInspections[[#This Row],[Inspected]],""))</f>
        <v>0</v>
      </c>
      <c r="K96" s="35">
        <f>IF(tblInspections[[#This Row],[Date]]="","",IF(tblInspections[[#This Row],[Inspected]]&gt;0,tblInspections[[#This Row],[Defective]]/tblInspections[[#This Row],[Inspected]]*1000000,""))</f>
        <v>0</v>
      </c>
      <c r="L96" s="37" t="str">
        <f>IF(NOT(ISNUMBER(tblInspections[[#This Row],[PPM defective]])),"",IF(tblInspections[[#This Row],[PPM defective]]&lt;=TargetPPM,"On target",IF(tblInspections[[#This Row],[PPM defective]]&lt;=TargetPPM*(1+0.05),"Near target","Above target")))</f>
        <v>On target</v>
      </c>
      <c r="M96" s="38">
        <f>IF(tblInspections[[#This Row],[Date]]="","",IF(tblInspections[[#This Row],[Inspected]]&gt;0,tblInspections[[#This Row],[Defects found]]/tblInspections[[#This Row],[Inspected]],""))</f>
        <v>0</v>
      </c>
      <c r="N96" s="35">
        <f>IF(tblInspections[[#This Row],[Date]]="","",IF(N(tblInspections[[#This Row],[Opportunities checked]])&gt;0,tblInspections[[#This Row],[Defects found]]/tblInspections[[#This Row],[Opportunities checked]]*1000000,""))</f>
        <v>0</v>
      </c>
      <c r="O96" s="39">
        <f>IF(tblInspections[[#This Row],[Date]]="","",IF(AND(tblInspections[[#This Row],[Date]]&gt;=FFrom,tblInspections[[#This Row],[Date]]&lt;=FTo,OR(DashPart="",tblInspections[[#This Row],[Part]]=DashPart)),tblInspections[[#This Row],[Date]],""))</f>
        <v>46295</v>
      </c>
      <c r="P9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6" s="41" t="s">
        <v>131</v>
      </c>
    </row>
    <row r="97" spans="2:17">
      <c r="B97" s="34">
        <v>46295</v>
      </c>
      <c r="C97" s="28" t="s">
        <v>223</v>
      </c>
      <c r="D97" s="28" t="s">
        <v>84</v>
      </c>
      <c r="E97" s="29">
        <v>2500</v>
      </c>
      <c r="F97" s="29">
        <v>5</v>
      </c>
      <c r="G97" s="35">
        <f>IF(tblInspections[[#This Row],[Date]]="","",SUMIFS(tblDefects[Count],tblDefects[Lot ID],tblInspections[[#This Row],[Lot ID]]))</f>
        <v>6</v>
      </c>
      <c r="H97" s="35">
        <f>IF(tblInspections[[#This Row],[Date]]="","",IFERROR(INDEX(tblParts[Opportunities],MATCH(tblInspections[[#This Row],[Part]],tblParts[Part],0)),""))</f>
        <v>5</v>
      </c>
      <c r="I97" s="35">
        <f>IF(tblInspections[[#This Row],[Date]]="","",IF(tblInspections[[#This Row],[Opportunities]]="","",tblInspections[[#This Row],[Inspected]]*tblInspections[[#This Row],[Opportunities]]))</f>
        <v>12500</v>
      </c>
      <c r="J97" s="36">
        <f>IF(tblInspections[[#This Row],[Date]]="","",IF(tblInspections[[#This Row],[Inspected]]&gt;0,tblInspections[[#This Row],[Defective]]/tblInspections[[#This Row],[Inspected]],""))</f>
        <v>0.002</v>
      </c>
      <c r="K97" s="35">
        <f>IF(tblInspections[[#This Row],[Date]]="","",IF(tblInspections[[#This Row],[Inspected]]&gt;0,tblInspections[[#This Row],[Defective]]/tblInspections[[#This Row],[Inspected]]*1000000,""))</f>
        <v>2000</v>
      </c>
      <c r="L97" s="37" t="str">
        <f>IF(NOT(ISNUMBER(tblInspections[[#This Row],[PPM defective]])),"",IF(tblInspections[[#This Row],[PPM defective]]&lt;=TargetPPM,"On target",IF(tblInspections[[#This Row],[PPM defective]]&lt;=TargetPPM*(1+0.05),"Near target","Above target")))</f>
        <v>Above target</v>
      </c>
      <c r="M97" s="38">
        <f>IF(tblInspections[[#This Row],[Date]]="","",IF(tblInspections[[#This Row],[Inspected]]&gt;0,tblInspections[[#This Row],[Defects found]]/tblInspections[[#This Row],[Inspected]],""))</f>
        <v>0.0024</v>
      </c>
      <c r="N97" s="35">
        <f>IF(tblInspections[[#This Row],[Date]]="","",IF(N(tblInspections[[#This Row],[Opportunities checked]])&gt;0,tblInspections[[#This Row],[Defects found]]/tblInspections[[#This Row],[Opportunities checked]]*1000000,""))</f>
        <v>480</v>
      </c>
      <c r="O97" s="39">
        <f>IF(tblInspections[[#This Row],[Date]]="","",IF(AND(tblInspections[[#This Row],[Date]]&gt;=FFrom,tblInspections[[#This Row],[Date]]&lt;=FTo,OR(DashPart="",tblInspections[[#This Row],[Part]]=DashPart)),tblInspections[[#This Row],[Date]],""))</f>
        <v>46295</v>
      </c>
      <c r="P9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7" s="41" t="s">
        <v>131</v>
      </c>
    </row>
    <row r="98" spans="2:17">
      <c r="B98" s="34">
        <v>46295</v>
      </c>
      <c r="C98" s="28" t="s">
        <v>224</v>
      </c>
      <c r="D98" s="28" t="s">
        <v>86</v>
      </c>
      <c r="E98" s="29">
        <v>2920</v>
      </c>
      <c r="F98" s="29">
        <v>10</v>
      </c>
      <c r="G98" s="35">
        <f>IF(tblInspections[[#This Row],[Date]]="","",SUMIFS(tblDefects[Count],tblDefects[Lot ID],tblInspections[[#This Row],[Lot ID]]))</f>
        <v>13</v>
      </c>
      <c r="H98" s="35">
        <f>IF(tblInspections[[#This Row],[Date]]="","",IFERROR(INDEX(tblParts[Opportunities],MATCH(tblInspections[[#This Row],[Part]],tblParts[Part],0)),""))</f>
        <v>4</v>
      </c>
      <c r="I98" s="35">
        <f>IF(tblInspections[[#This Row],[Date]]="","",IF(tblInspections[[#This Row],[Opportunities]]="","",tblInspections[[#This Row],[Inspected]]*tblInspections[[#This Row],[Opportunities]]))</f>
        <v>11680</v>
      </c>
      <c r="J98" s="36">
        <f>IF(tblInspections[[#This Row],[Date]]="","",IF(tblInspections[[#This Row],[Inspected]]&gt;0,tblInspections[[#This Row],[Defective]]/tblInspections[[#This Row],[Inspected]],""))</f>
        <v>0.00342465753424658</v>
      </c>
      <c r="K98" s="35">
        <f>IF(tblInspections[[#This Row],[Date]]="","",IF(tblInspections[[#This Row],[Inspected]]&gt;0,tblInspections[[#This Row],[Defective]]/tblInspections[[#This Row],[Inspected]]*1000000,""))</f>
        <v>3424.65753424658</v>
      </c>
      <c r="L98" s="37" t="str">
        <f>IF(NOT(ISNUMBER(tblInspections[[#This Row],[PPM defective]])),"",IF(tblInspections[[#This Row],[PPM defective]]&lt;=TargetPPM,"On target",IF(tblInspections[[#This Row],[PPM defective]]&lt;=TargetPPM*(1+0.05),"Near target","Above target")))</f>
        <v>Above target</v>
      </c>
      <c r="M98" s="38">
        <f>IF(tblInspections[[#This Row],[Date]]="","",IF(tblInspections[[#This Row],[Inspected]]&gt;0,tblInspections[[#This Row],[Defects found]]/tblInspections[[#This Row],[Inspected]],""))</f>
        <v>0.00445205479452055</v>
      </c>
      <c r="N98" s="35">
        <f>IF(tblInspections[[#This Row],[Date]]="","",IF(N(tblInspections[[#This Row],[Opportunities checked]])&gt;0,tblInspections[[#This Row],[Defects found]]/tblInspections[[#This Row],[Opportunities checked]]*1000000,""))</f>
        <v>1113.01369863014</v>
      </c>
      <c r="O98" s="39">
        <f>IF(tblInspections[[#This Row],[Date]]="","",IF(AND(tblInspections[[#This Row],[Date]]&gt;=FFrom,tblInspections[[#This Row],[Date]]&lt;=FTo,OR(DashPart="",tblInspections[[#This Row],[Part]]=DashPart)),tblInspections[[#This Row],[Date]],""))</f>
        <v>46295</v>
      </c>
      <c r="P9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8" s="41" t="s">
        <v>131</v>
      </c>
    </row>
    <row r="99" spans="2:17">
      <c r="B99" s="34">
        <v>46296</v>
      </c>
      <c r="C99" s="28" t="s">
        <v>225</v>
      </c>
      <c r="D99" s="28" t="s">
        <v>80</v>
      </c>
      <c r="E99" s="29">
        <v>1210</v>
      </c>
      <c r="F99" s="29">
        <v>2</v>
      </c>
      <c r="G99" s="35">
        <f>IF(tblInspections[[#This Row],[Date]]="","",SUMIFS(tblDefects[Count],tblDefects[Lot ID],tblInspections[[#This Row],[Lot ID]]))</f>
        <v>2</v>
      </c>
      <c r="H99" s="35">
        <f>IF(tblInspections[[#This Row],[Date]]="","",IFERROR(INDEX(tblParts[Opportunities],MATCH(tblInspections[[#This Row],[Part]],tblParts[Part],0)),""))</f>
        <v>6</v>
      </c>
      <c r="I99" s="35">
        <f>IF(tblInspections[[#This Row],[Date]]="","",IF(tblInspections[[#This Row],[Opportunities]]="","",tblInspections[[#This Row],[Inspected]]*tblInspections[[#This Row],[Opportunities]]))</f>
        <v>7260</v>
      </c>
      <c r="J99" s="36">
        <f>IF(tblInspections[[#This Row],[Date]]="","",IF(tblInspections[[#This Row],[Inspected]]&gt;0,tblInspections[[#This Row],[Defective]]/tblInspections[[#This Row],[Inspected]],""))</f>
        <v>0.00165289256198347</v>
      </c>
      <c r="K99" s="35">
        <f>IF(tblInspections[[#This Row],[Date]]="","",IF(tblInspections[[#This Row],[Inspected]]&gt;0,tblInspections[[#This Row],[Defective]]/tblInspections[[#This Row],[Inspected]]*1000000,""))</f>
        <v>1652.89256198347</v>
      </c>
      <c r="L99" s="37" t="str">
        <f>IF(NOT(ISNUMBER(tblInspections[[#This Row],[PPM defective]])),"",IF(tblInspections[[#This Row],[PPM defective]]&lt;=TargetPPM,"On target",IF(tblInspections[[#This Row],[PPM defective]]&lt;=TargetPPM*(1+0.05),"Near target","Above target")))</f>
        <v>Above target</v>
      </c>
      <c r="M99" s="38">
        <f>IF(tblInspections[[#This Row],[Date]]="","",IF(tblInspections[[#This Row],[Inspected]]&gt;0,tblInspections[[#This Row],[Defects found]]/tblInspections[[#This Row],[Inspected]],""))</f>
        <v>0.00165289256198347</v>
      </c>
      <c r="N99" s="35">
        <f>IF(tblInspections[[#This Row],[Date]]="","",IF(N(tblInspections[[#This Row],[Opportunities checked]])&gt;0,tblInspections[[#This Row],[Defects found]]/tblInspections[[#This Row],[Opportunities checked]]*1000000,""))</f>
        <v>275.482093663912</v>
      </c>
      <c r="O99" s="39">
        <f>IF(tblInspections[[#This Row],[Date]]="","",IF(AND(tblInspections[[#This Row],[Date]]&gt;=FFrom,tblInspections[[#This Row],[Date]]&lt;=FTo,OR(DashPart="",tblInspections[[#This Row],[Part]]=DashPart)),tblInspections[[#This Row],[Date]],""))</f>
        <v>46296</v>
      </c>
      <c r="P9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99" s="41" t="s">
        <v>131</v>
      </c>
    </row>
    <row r="100" spans="2:17">
      <c r="B100" s="34">
        <v>46296</v>
      </c>
      <c r="C100" s="28" t="s">
        <v>226</v>
      </c>
      <c r="D100" s="28" t="s">
        <v>82</v>
      </c>
      <c r="E100" s="29">
        <v>820</v>
      </c>
      <c r="F100" s="29">
        <v>0</v>
      </c>
      <c r="G100" s="35">
        <f>IF(tblInspections[[#This Row],[Date]]="","",SUMIFS(tblDefects[Count],tblDefects[Lot ID],tblInspections[[#This Row],[Lot ID]]))</f>
        <v>0</v>
      </c>
      <c r="H100" s="35">
        <f>IF(tblInspections[[#This Row],[Date]]="","",IFERROR(INDEX(tblParts[Opportunities],MATCH(tblInspections[[#This Row],[Part]],tblParts[Part],0)),""))</f>
        <v>8</v>
      </c>
      <c r="I100" s="35">
        <f>IF(tblInspections[[#This Row],[Date]]="","",IF(tblInspections[[#This Row],[Opportunities]]="","",tblInspections[[#This Row],[Inspected]]*tblInspections[[#This Row],[Opportunities]]))</f>
        <v>6560</v>
      </c>
      <c r="J100" s="36">
        <f>IF(tblInspections[[#This Row],[Date]]="","",IF(tblInspections[[#This Row],[Inspected]]&gt;0,tblInspections[[#This Row],[Defective]]/tblInspections[[#This Row],[Inspected]],""))</f>
        <v>0</v>
      </c>
      <c r="K100" s="35">
        <f>IF(tblInspections[[#This Row],[Date]]="","",IF(tblInspections[[#This Row],[Inspected]]&gt;0,tblInspections[[#This Row],[Defective]]/tblInspections[[#This Row],[Inspected]]*1000000,""))</f>
        <v>0</v>
      </c>
      <c r="L100" s="37" t="str">
        <f>IF(NOT(ISNUMBER(tblInspections[[#This Row],[PPM defective]])),"",IF(tblInspections[[#This Row],[PPM defective]]&lt;=TargetPPM,"On target",IF(tblInspections[[#This Row],[PPM defective]]&lt;=TargetPPM*(1+0.05),"Near target","Above target")))</f>
        <v>On target</v>
      </c>
      <c r="M100" s="38">
        <f>IF(tblInspections[[#This Row],[Date]]="","",IF(tblInspections[[#This Row],[Inspected]]&gt;0,tblInspections[[#This Row],[Defects found]]/tblInspections[[#This Row],[Inspected]],""))</f>
        <v>0</v>
      </c>
      <c r="N100" s="35">
        <f>IF(tblInspections[[#This Row],[Date]]="","",IF(N(tblInspections[[#This Row],[Opportunities checked]])&gt;0,tblInspections[[#This Row],[Defects found]]/tblInspections[[#This Row],[Opportunities checked]]*1000000,""))</f>
        <v>0</v>
      </c>
      <c r="O100" s="39">
        <f>IF(tblInspections[[#This Row],[Date]]="","",IF(AND(tblInspections[[#This Row],[Date]]&gt;=FFrom,tblInspections[[#This Row],[Date]]&lt;=FTo,OR(DashPart="",tblInspections[[#This Row],[Part]]=DashPart)),tblInspections[[#This Row],[Date]],""))</f>
        <v>46296</v>
      </c>
      <c r="P10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0" s="41" t="s">
        <v>131</v>
      </c>
    </row>
    <row r="101" spans="2:17">
      <c r="B101" s="34">
        <v>46296</v>
      </c>
      <c r="C101" s="28" t="s">
        <v>227</v>
      </c>
      <c r="D101" s="28" t="s">
        <v>84</v>
      </c>
      <c r="E101" s="29">
        <v>2380</v>
      </c>
      <c r="F101" s="29">
        <v>2</v>
      </c>
      <c r="G101" s="35">
        <f>IF(tblInspections[[#This Row],[Date]]="","",SUMIFS(tblDefects[Count],tblDefects[Lot ID],tblInspections[[#This Row],[Lot ID]]))</f>
        <v>2</v>
      </c>
      <c r="H101" s="35">
        <f>IF(tblInspections[[#This Row],[Date]]="","",IFERROR(INDEX(tblParts[Opportunities],MATCH(tblInspections[[#This Row],[Part]],tblParts[Part],0)),""))</f>
        <v>5</v>
      </c>
      <c r="I101" s="35">
        <f>IF(tblInspections[[#This Row],[Date]]="","",IF(tblInspections[[#This Row],[Opportunities]]="","",tblInspections[[#This Row],[Inspected]]*tblInspections[[#This Row],[Opportunities]]))</f>
        <v>11900</v>
      </c>
      <c r="J101" s="36">
        <f>IF(tblInspections[[#This Row],[Date]]="","",IF(tblInspections[[#This Row],[Inspected]]&gt;0,tblInspections[[#This Row],[Defective]]/tblInspections[[#This Row],[Inspected]],""))</f>
        <v>0.000840336134453782</v>
      </c>
      <c r="K101" s="35">
        <f>IF(tblInspections[[#This Row],[Date]]="","",IF(tblInspections[[#This Row],[Inspected]]&gt;0,tblInspections[[#This Row],[Defective]]/tblInspections[[#This Row],[Inspected]]*1000000,""))</f>
        <v>840.336134453782</v>
      </c>
      <c r="L101" s="37" t="str">
        <f>IF(NOT(ISNUMBER(tblInspections[[#This Row],[PPM defective]])),"",IF(tblInspections[[#This Row],[PPM defective]]&lt;=TargetPPM,"On target",IF(tblInspections[[#This Row],[PPM defective]]&lt;=TargetPPM*(1+0.05),"Near target","Above target")))</f>
        <v>On target</v>
      </c>
      <c r="M101" s="38">
        <f>IF(tblInspections[[#This Row],[Date]]="","",IF(tblInspections[[#This Row],[Inspected]]&gt;0,tblInspections[[#This Row],[Defects found]]/tblInspections[[#This Row],[Inspected]],""))</f>
        <v>0.000840336134453782</v>
      </c>
      <c r="N101" s="35">
        <f>IF(tblInspections[[#This Row],[Date]]="","",IF(N(tblInspections[[#This Row],[Opportunities checked]])&gt;0,tblInspections[[#This Row],[Defects found]]/tblInspections[[#This Row],[Opportunities checked]]*1000000,""))</f>
        <v>168.067226890756</v>
      </c>
      <c r="O101" s="39">
        <f>IF(tblInspections[[#This Row],[Date]]="","",IF(AND(tblInspections[[#This Row],[Date]]&gt;=FFrom,tblInspections[[#This Row],[Date]]&lt;=FTo,OR(DashPart="",tblInspections[[#This Row],[Part]]=DashPart)),tblInspections[[#This Row],[Date]],""))</f>
        <v>46296</v>
      </c>
      <c r="P10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1" s="41" t="s">
        <v>131</v>
      </c>
    </row>
    <row r="102" spans="2:17">
      <c r="B102" s="34">
        <v>46296</v>
      </c>
      <c r="C102" s="28" t="s">
        <v>228</v>
      </c>
      <c r="D102" s="28" t="s">
        <v>86</v>
      </c>
      <c r="E102" s="29">
        <v>2640</v>
      </c>
      <c r="F102" s="29">
        <v>3</v>
      </c>
      <c r="G102" s="35">
        <f>IF(tblInspections[[#This Row],[Date]]="","",SUMIFS(tblDefects[Count],tblDefects[Lot ID],tblInspections[[#This Row],[Lot ID]]))</f>
        <v>3</v>
      </c>
      <c r="H102" s="35">
        <f>IF(tblInspections[[#This Row],[Date]]="","",IFERROR(INDEX(tblParts[Opportunities],MATCH(tblInspections[[#This Row],[Part]],tblParts[Part],0)),""))</f>
        <v>4</v>
      </c>
      <c r="I102" s="35">
        <f>IF(tblInspections[[#This Row],[Date]]="","",IF(tblInspections[[#This Row],[Opportunities]]="","",tblInspections[[#This Row],[Inspected]]*tblInspections[[#This Row],[Opportunities]]))</f>
        <v>10560</v>
      </c>
      <c r="J102" s="36">
        <f>IF(tblInspections[[#This Row],[Date]]="","",IF(tblInspections[[#This Row],[Inspected]]&gt;0,tblInspections[[#This Row],[Defective]]/tblInspections[[#This Row],[Inspected]],""))</f>
        <v>0.00113636363636364</v>
      </c>
      <c r="K102" s="35">
        <f>IF(tblInspections[[#This Row],[Date]]="","",IF(tblInspections[[#This Row],[Inspected]]&gt;0,tblInspections[[#This Row],[Defective]]/tblInspections[[#This Row],[Inspected]]*1000000,""))</f>
        <v>1136.36363636364</v>
      </c>
      <c r="L102" s="37" t="str">
        <f>IF(NOT(ISNUMBER(tblInspections[[#This Row],[PPM defective]])),"",IF(tblInspections[[#This Row],[PPM defective]]&lt;=TargetPPM,"On target",IF(tblInspections[[#This Row],[PPM defective]]&lt;=TargetPPM*(1+0.05),"Near target","Above target")))</f>
        <v>On target</v>
      </c>
      <c r="M102" s="38">
        <f>IF(tblInspections[[#This Row],[Date]]="","",IF(tblInspections[[#This Row],[Inspected]]&gt;0,tblInspections[[#This Row],[Defects found]]/tblInspections[[#This Row],[Inspected]],""))</f>
        <v>0.00113636363636364</v>
      </c>
      <c r="N102" s="35">
        <f>IF(tblInspections[[#This Row],[Date]]="","",IF(N(tblInspections[[#This Row],[Opportunities checked]])&gt;0,tblInspections[[#This Row],[Defects found]]/tblInspections[[#This Row],[Opportunities checked]]*1000000,""))</f>
        <v>284.090909090909</v>
      </c>
      <c r="O102" s="39">
        <f>IF(tblInspections[[#This Row],[Date]]="","",IF(AND(tblInspections[[#This Row],[Date]]&gt;=FFrom,tblInspections[[#This Row],[Date]]&lt;=FTo,OR(DashPart="",tblInspections[[#This Row],[Part]]=DashPart)),tblInspections[[#This Row],[Date]],""))</f>
        <v>46296</v>
      </c>
      <c r="P10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2" s="41" t="s">
        <v>131</v>
      </c>
    </row>
    <row r="103" spans="2:17">
      <c r="B103" s="34">
        <v>46297</v>
      </c>
      <c r="C103" s="28" t="s">
        <v>229</v>
      </c>
      <c r="D103" s="28" t="s">
        <v>80</v>
      </c>
      <c r="E103" s="29">
        <v>1200</v>
      </c>
      <c r="F103" s="29">
        <v>1</v>
      </c>
      <c r="G103" s="35">
        <f>IF(tblInspections[[#This Row],[Date]]="","",SUMIFS(tblDefects[Count],tblDefects[Lot ID],tblInspections[[#This Row],[Lot ID]]))</f>
        <v>1</v>
      </c>
      <c r="H103" s="35">
        <f>IF(tblInspections[[#This Row],[Date]]="","",IFERROR(INDEX(tblParts[Opportunities],MATCH(tblInspections[[#This Row],[Part]],tblParts[Part],0)),""))</f>
        <v>6</v>
      </c>
      <c r="I103" s="35">
        <f>IF(tblInspections[[#This Row],[Date]]="","",IF(tblInspections[[#This Row],[Opportunities]]="","",tblInspections[[#This Row],[Inspected]]*tblInspections[[#This Row],[Opportunities]]))</f>
        <v>7200</v>
      </c>
      <c r="J103" s="36">
        <f>IF(tblInspections[[#This Row],[Date]]="","",IF(tblInspections[[#This Row],[Inspected]]&gt;0,tblInspections[[#This Row],[Defective]]/tblInspections[[#This Row],[Inspected]],""))</f>
        <v>0.000833333333333333</v>
      </c>
      <c r="K103" s="35">
        <f>IF(tblInspections[[#This Row],[Date]]="","",IF(tblInspections[[#This Row],[Inspected]]&gt;0,tblInspections[[#This Row],[Defective]]/tblInspections[[#This Row],[Inspected]]*1000000,""))</f>
        <v>833.333333333333</v>
      </c>
      <c r="L103" s="37" t="str">
        <f>IF(NOT(ISNUMBER(tblInspections[[#This Row],[PPM defective]])),"",IF(tblInspections[[#This Row],[PPM defective]]&lt;=TargetPPM,"On target",IF(tblInspections[[#This Row],[PPM defective]]&lt;=TargetPPM*(1+0.05),"Near target","Above target")))</f>
        <v>On target</v>
      </c>
      <c r="M103" s="38">
        <f>IF(tblInspections[[#This Row],[Date]]="","",IF(tblInspections[[#This Row],[Inspected]]&gt;0,tblInspections[[#This Row],[Defects found]]/tblInspections[[#This Row],[Inspected]],""))</f>
        <v>0.000833333333333333</v>
      </c>
      <c r="N103" s="35">
        <f>IF(tblInspections[[#This Row],[Date]]="","",IF(N(tblInspections[[#This Row],[Opportunities checked]])&gt;0,tblInspections[[#This Row],[Defects found]]/tblInspections[[#This Row],[Opportunities checked]]*1000000,""))</f>
        <v>138.888888888889</v>
      </c>
      <c r="O103" s="39">
        <f>IF(tblInspections[[#This Row],[Date]]="","",IF(AND(tblInspections[[#This Row],[Date]]&gt;=FFrom,tblInspections[[#This Row],[Date]]&lt;=FTo,OR(DashPart="",tblInspections[[#This Row],[Part]]=DashPart)),tblInspections[[#This Row],[Date]],""))</f>
        <v>46297</v>
      </c>
      <c r="P10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3" s="41" t="s">
        <v>131</v>
      </c>
    </row>
    <row r="104" spans="2:17">
      <c r="B104" s="34">
        <v>46297</v>
      </c>
      <c r="C104" s="28" t="s">
        <v>230</v>
      </c>
      <c r="D104" s="28" t="s">
        <v>82</v>
      </c>
      <c r="E104" s="29">
        <v>930</v>
      </c>
      <c r="F104" s="29">
        <v>5</v>
      </c>
      <c r="G104" s="35">
        <f>IF(tblInspections[[#This Row],[Date]]="","",SUMIFS(tblDefects[Count],tblDefects[Lot ID],tblInspections[[#This Row],[Lot ID]]))</f>
        <v>6</v>
      </c>
      <c r="H104" s="35">
        <f>IF(tblInspections[[#This Row],[Date]]="","",IFERROR(INDEX(tblParts[Opportunities],MATCH(tblInspections[[#This Row],[Part]],tblParts[Part],0)),""))</f>
        <v>8</v>
      </c>
      <c r="I104" s="35">
        <f>IF(tblInspections[[#This Row],[Date]]="","",IF(tblInspections[[#This Row],[Opportunities]]="","",tblInspections[[#This Row],[Inspected]]*tblInspections[[#This Row],[Opportunities]]))</f>
        <v>7440</v>
      </c>
      <c r="J104" s="36">
        <f>IF(tblInspections[[#This Row],[Date]]="","",IF(tblInspections[[#This Row],[Inspected]]&gt;0,tblInspections[[#This Row],[Defective]]/tblInspections[[#This Row],[Inspected]],""))</f>
        <v>0.00537634408602151</v>
      </c>
      <c r="K104" s="35">
        <f>IF(tblInspections[[#This Row],[Date]]="","",IF(tblInspections[[#This Row],[Inspected]]&gt;0,tblInspections[[#This Row],[Defective]]/tblInspections[[#This Row],[Inspected]]*1000000,""))</f>
        <v>5376.34408602151</v>
      </c>
      <c r="L104" s="37" t="str">
        <f>IF(NOT(ISNUMBER(tblInspections[[#This Row],[PPM defective]])),"",IF(tblInspections[[#This Row],[PPM defective]]&lt;=TargetPPM,"On target",IF(tblInspections[[#This Row],[PPM defective]]&lt;=TargetPPM*(1+0.05),"Near target","Above target")))</f>
        <v>Above target</v>
      </c>
      <c r="M104" s="38">
        <f>IF(tblInspections[[#This Row],[Date]]="","",IF(tblInspections[[#This Row],[Inspected]]&gt;0,tblInspections[[#This Row],[Defects found]]/tblInspections[[#This Row],[Inspected]],""))</f>
        <v>0.00645161290322581</v>
      </c>
      <c r="N104" s="35">
        <f>IF(tblInspections[[#This Row],[Date]]="","",IF(N(tblInspections[[#This Row],[Opportunities checked]])&gt;0,tblInspections[[#This Row],[Defects found]]/tblInspections[[#This Row],[Opportunities checked]]*1000000,""))</f>
        <v>806.451612903226</v>
      </c>
      <c r="O104" s="39">
        <f>IF(tblInspections[[#This Row],[Date]]="","",IF(AND(tblInspections[[#This Row],[Date]]&gt;=FFrom,tblInspections[[#This Row],[Date]]&lt;=FTo,OR(DashPart="",tblInspections[[#This Row],[Part]]=DashPart)),tblInspections[[#This Row],[Date]],""))</f>
        <v>46297</v>
      </c>
      <c r="P10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4" s="41" t="s">
        <v>131</v>
      </c>
    </row>
    <row r="105" spans="2:17">
      <c r="B105" s="34">
        <v>46297</v>
      </c>
      <c r="C105" s="28" t="s">
        <v>231</v>
      </c>
      <c r="D105" s="28" t="s">
        <v>84</v>
      </c>
      <c r="E105" s="29">
        <v>2020</v>
      </c>
      <c r="F105" s="29">
        <v>1</v>
      </c>
      <c r="G105" s="35">
        <f>IF(tblInspections[[#This Row],[Date]]="","",SUMIFS(tblDefects[Count],tblDefects[Lot ID],tblInspections[[#This Row],[Lot ID]]))</f>
        <v>2</v>
      </c>
      <c r="H105" s="35">
        <f>IF(tblInspections[[#This Row],[Date]]="","",IFERROR(INDEX(tblParts[Opportunities],MATCH(tblInspections[[#This Row],[Part]],tblParts[Part],0)),""))</f>
        <v>5</v>
      </c>
      <c r="I105" s="35">
        <f>IF(tblInspections[[#This Row],[Date]]="","",IF(tblInspections[[#This Row],[Opportunities]]="","",tblInspections[[#This Row],[Inspected]]*tblInspections[[#This Row],[Opportunities]]))</f>
        <v>10100</v>
      </c>
      <c r="J105" s="36">
        <f>IF(tblInspections[[#This Row],[Date]]="","",IF(tblInspections[[#This Row],[Inspected]]&gt;0,tblInspections[[#This Row],[Defective]]/tblInspections[[#This Row],[Inspected]],""))</f>
        <v>0.000495049504950495</v>
      </c>
      <c r="K105" s="35">
        <f>IF(tblInspections[[#This Row],[Date]]="","",IF(tblInspections[[#This Row],[Inspected]]&gt;0,tblInspections[[#This Row],[Defective]]/tblInspections[[#This Row],[Inspected]]*1000000,""))</f>
        <v>495.049504950495</v>
      </c>
      <c r="L105" s="37" t="str">
        <f>IF(NOT(ISNUMBER(tblInspections[[#This Row],[PPM defective]])),"",IF(tblInspections[[#This Row],[PPM defective]]&lt;=TargetPPM,"On target",IF(tblInspections[[#This Row],[PPM defective]]&lt;=TargetPPM*(1+0.05),"Near target","Above target")))</f>
        <v>On target</v>
      </c>
      <c r="M105" s="38">
        <f>IF(tblInspections[[#This Row],[Date]]="","",IF(tblInspections[[#This Row],[Inspected]]&gt;0,tblInspections[[#This Row],[Defects found]]/tblInspections[[#This Row],[Inspected]],""))</f>
        <v>0.00099009900990099</v>
      </c>
      <c r="N105" s="35">
        <f>IF(tblInspections[[#This Row],[Date]]="","",IF(N(tblInspections[[#This Row],[Opportunities checked]])&gt;0,tblInspections[[#This Row],[Defects found]]/tblInspections[[#This Row],[Opportunities checked]]*1000000,""))</f>
        <v>198.019801980198</v>
      </c>
      <c r="O105" s="39">
        <f>IF(tblInspections[[#This Row],[Date]]="","",IF(AND(tblInspections[[#This Row],[Date]]&gt;=FFrom,tblInspections[[#This Row],[Date]]&lt;=FTo,OR(DashPart="",tblInspections[[#This Row],[Part]]=DashPart)),tblInspections[[#This Row],[Date]],""))</f>
        <v>46297</v>
      </c>
      <c r="P10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5" s="41" t="s">
        <v>131</v>
      </c>
    </row>
    <row r="106" spans="2:17">
      <c r="B106" s="34">
        <v>46297</v>
      </c>
      <c r="C106" s="28" t="s">
        <v>232</v>
      </c>
      <c r="D106" s="28" t="s">
        <v>86</v>
      </c>
      <c r="E106" s="29">
        <v>2750</v>
      </c>
      <c r="F106" s="29">
        <v>6</v>
      </c>
      <c r="G106" s="35">
        <f>IF(tblInspections[[#This Row],[Date]]="","",SUMIFS(tblDefects[Count],tblDefects[Lot ID],tblInspections[[#This Row],[Lot ID]]))</f>
        <v>6</v>
      </c>
      <c r="H106" s="35">
        <f>IF(tblInspections[[#This Row],[Date]]="","",IFERROR(INDEX(tblParts[Opportunities],MATCH(tblInspections[[#This Row],[Part]],tblParts[Part],0)),""))</f>
        <v>4</v>
      </c>
      <c r="I106" s="35">
        <f>IF(tblInspections[[#This Row],[Date]]="","",IF(tblInspections[[#This Row],[Opportunities]]="","",tblInspections[[#This Row],[Inspected]]*tblInspections[[#This Row],[Opportunities]]))</f>
        <v>11000</v>
      </c>
      <c r="J106" s="36">
        <f>IF(tblInspections[[#This Row],[Date]]="","",IF(tblInspections[[#This Row],[Inspected]]&gt;0,tblInspections[[#This Row],[Defective]]/tblInspections[[#This Row],[Inspected]],""))</f>
        <v>0.00218181818181818</v>
      </c>
      <c r="K106" s="35">
        <f>IF(tblInspections[[#This Row],[Date]]="","",IF(tblInspections[[#This Row],[Inspected]]&gt;0,tblInspections[[#This Row],[Defective]]/tblInspections[[#This Row],[Inspected]]*1000000,""))</f>
        <v>2181.81818181818</v>
      </c>
      <c r="L106" s="37" t="str">
        <f>IF(NOT(ISNUMBER(tblInspections[[#This Row],[PPM defective]])),"",IF(tblInspections[[#This Row],[PPM defective]]&lt;=TargetPPM,"On target",IF(tblInspections[[#This Row],[PPM defective]]&lt;=TargetPPM*(1+0.05),"Near target","Above target")))</f>
        <v>Above target</v>
      </c>
      <c r="M106" s="38">
        <f>IF(tblInspections[[#This Row],[Date]]="","",IF(tblInspections[[#This Row],[Inspected]]&gt;0,tblInspections[[#This Row],[Defects found]]/tblInspections[[#This Row],[Inspected]],""))</f>
        <v>0.00218181818181818</v>
      </c>
      <c r="N106" s="35">
        <f>IF(tblInspections[[#This Row],[Date]]="","",IF(N(tblInspections[[#This Row],[Opportunities checked]])&gt;0,tblInspections[[#This Row],[Defects found]]/tblInspections[[#This Row],[Opportunities checked]]*1000000,""))</f>
        <v>545.454545454546</v>
      </c>
      <c r="O106" s="39">
        <f>IF(tblInspections[[#This Row],[Date]]="","",IF(AND(tblInspections[[#This Row],[Date]]&gt;=FFrom,tblInspections[[#This Row],[Date]]&lt;=FTo,OR(DashPart="",tblInspections[[#This Row],[Part]]=DashPart)),tblInspections[[#This Row],[Date]],""))</f>
        <v>46297</v>
      </c>
      <c r="P10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6" s="41" t="s">
        <v>131</v>
      </c>
    </row>
    <row r="107" spans="2:17">
      <c r="B107" s="34">
        <v>46300</v>
      </c>
      <c r="C107" s="28" t="s">
        <v>233</v>
      </c>
      <c r="D107" s="28" t="s">
        <v>80</v>
      </c>
      <c r="E107" s="29">
        <v>1290</v>
      </c>
      <c r="F107" s="29">
        <v>2</v>
      </c>
      <c r="G107" s="35">
        <f>IF(tblInspections[[#This Row],[Date]]="","",SUMIFS(tblDefects[Count],tblDefects[Lot ID],tblInspections[[#This Row],[Lot ID]]))</f>
        <v>2</v>
      </c>
      <c r="H107" s="35">
        <f>IF(tblInspections[[#This Row],[Date]]="","",IFERROR(INDEX(tblParts[Opportunities],MATCH(tblInspections[[#This Row],[Part]],tblParts[Part],0)),""))</f>
        <v>6</v>
      </c>
      <c r="I107" s="35">
        <f>IF(tblInspections[[#This Row],[Date]]="","",IF(tblInspections[[#This Row],[Opportunities]]="","",tblInspections[[#This Row],[Inspected]]*tblInspections[[#This Row],[Opportunities]]))</f>
        <v>7740</v>
      </c>
      <c r="J107" s="36">
        <f>IF(tblInspections[[#This Row],[Date]]="","",IF(tblInspections[[#This Row],[Inspected]]&gt;0,tblInspections[[#This Row],[Defective]]/tblInspections[[#This Row],[Inspected]],""))</f>
        <v>0.00155038759689922</v>
      </c>
      <c r="K107" s="35">
        <f>IF(tblInspections[[#This Row],[Date]]="","",IF(tblInspections[[#This Row],[Inspected]]&gt;0,tblInspections[[#This Row],[Defective]]/tblInspections[[#This Row],[Inspected]]*1000000,""))</f>
        <v>1550.38759689922</v>
      </c>
      <c r="L107" s="37" t="str">
        <f>IF(NOT(ISNUMBER(tblInspections[[#This Row],[PPM defective]])),"",IF(tblInspections[[#This Row],[PPM defective]]&lt;=TargetPPM,"On target",IF(tblInspections[[#This Row],[PPM defective]]&lt;=TargetPPM*(1+0.05),"Near target","Above target")))</f>
        <v>Near target</v>
      </c>
      <c r="M107" s="38">
        <f>IF(tblInspections[[#This Row],[Date]]="","",IF(tblInspections[[#This Row],[Inspected]]&gt;0,tblInspections[[#This Row],[Defects found]]/tblInspections[[#This Row],[Inspected]],""))</f>
        <v>0.00155038759689922</v>
      </c>
      <c r="N107" s="35">
        <f>IF(tblInspections[[#This Row],[Date]]="","",IF(N(tblInspections[[#This Row],[Opportunities checked]])&gt;0,tblInspections[[#This Row],[Defects found]]/tblInspections[[#This Row],[Opportunities checked]]*1000000,""))</f>
        <v>258.397932816537</v>
      </c>
      <c r="O107" s="39">
        <f>IF(tblInspections[[#This Row],[Date]]="","",IF(AND(tblInspections[[#This Row],[Date]]&gt;=FFrom,tblInspections[[#This Row],[Date]]&lt;=FTo,OR(DashPart="",tblInspections[[#This Row],[Part]]=DashPart)),tblInspections[[#This Row],[Date]],""))</f>
        <v>46300</v>
      </c>
      <c r="P10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7" s="41" t="s">
        <v>131</v>
      </c>
    </row>
    <row r="108" spans="2:17">
      <c r="B108" s="34">
        <v>46300</v>
      </c>
      <c r="C108" s="28" t="s">
        <v>234</v>
      </c>
      <c r="D108" s="28" t="s">
        <v>82</v>
      </c>
      <c r="E108" s="29">
        <v>970</v>
      </c>
      <c r="F108" s="29">
        <v>2</v>
      </c>
      <c r="G108" s="35">
        <f>IF(tblInspections[[#This Row],[Date]]="","",SUMIFS(tblDefects[Count],tblDefects[Lot ID],tblInspections[[#This Row],[Lot ID]]))</f>
        <v>2</v>
      </c>
      <c r="H108" s="35">
        <f>IF(tblInspections[[#This Row],[Date]]="","",IFERROR(INDEX(tblParts[Opportunities],MATCH(tblInspections[[#This Row],[Part]],tblParts[Part],0)),""))</f>
        <v>8</v>
      </c>
      <c r="I108" s="35">
        <f>IF(tblInspections[[#This Row],[Date]]="","",IF(tblInspections[[#This Row],[Opportunities]]="","",tblInspections[[#This Row],[Inspected]]*tblInspections[[#This Row],[Opportunities]]))</f>
        <v>7760</v>
      </c>
      <c r="J108" s="36">
        <f>IF(tblInspections[[#This Row],[Date]]="","",IF(tblInspections[[#This Row],[Inspected]]&gt;0,tblInspections[[#This Row],[Defective]]/tblInspections[[#This Row],[Inspected]],""))</f>
        <v>0.00206185567010309</v>
      </c>
      <c r="K108" s="35">
        <f>IF(tblInspections[[#This Row],[Date]]="","",IF(tblInspections[[#This Row],[Inspected]]&gt;0,tblInspections[[#This Row],[Defective]]/tblInspections[[#This Row],[Inspected]]*1000000,""))</f>
        <v>2061.85567010309</v>
      </c>
      <c r="L108" s="37" t="str">
        <f>IF(NOT(ISNUMBER(tblInspections[[#This Row],[PPM defective]])),"",IF(tblInspections[[#This Row],[PPM defective]]&lt;=TargetPPM,"On target",IF(tblInspections[[#This Row],[PPM defective]]&lt;=TargetPPM*(1+0.05),"Near target","Above target")))</f>
        <v>Above target</v>
      </c>
      <c r="M108" s="38">
        <f>IF(tblInspections[[#This Row],[Date]]="","",IF(tblInspections[[#This Row],[Inspected]]&gt;0,tblInspections[[#This Row],[Defects found]]/tblInspections[[#This Row],[Inspected]],""))</f>
        <v>0.00206185567010309</v>
      </c>
      <c r="N108" s="35">
        <f>IF(tblInspections[[#This Row],[Date]]="","",IF(N(tblInspections[[#This Row],[Opportunities checked]])&gt;0,tblInspections[[#This Row],[Defects found]]/tblInspections[[#This Row],[Opportunities checked]]*1000000,""))</f>
        <v>257.731958762887</v>
      </c>
      <c r="O108" s="39">
        <f>IF(tblInspections[[#This Row],[Date]]="","",IF(AND(tblInspections[[#This Row],[Date]]&gt;=FFrom,tblInspections[[#This Row],[Date]]&lt;=FTo,OR(DashPart="",tblInspections[[#This Row],[Part]]=DashPart)),tblInspections[[#This Row],[Date]],""))</f>
        <v>46300</v>
      </c>
      <c r="P10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8" s="41" t="s">
        <v>131</v>
      </c>
    </row>
    <row r="109" spans="2:17">
      <c r="B109" s="34">
        <v>46300</v>
      </c>
      <c r="C109" s="28" t="s">
        <v>235</v>
      </c>
      <c r="D109" s="28" t="s">
        <v>84</v>
      </c>
      <c r="E109" s="29">
        <v>2580</v>
      </c>
      <c r="F109" s="29">
        <v>1</v>
      </c>
      <c r="G109" s="35">
        <f>IF(tblInspections[[#This Row],[Date]]="","",SUMIFS(tblDefects[Count],tblDefects[Lot ID],tblInspections[[#This Row],[Lot ID]]))</f>
        <v>1</v>
      </c>
      <c r="H109" s="35">
        <f>IF(tblInspections[[#This Row],[Date]]="","",IFERROR(INDEX(tblParts[Opportunities],MATCH(tblInspections[[#This Row],[Part]],tblParts[Part],0)),""))</f>
        <v>5</v>
      </c>
      <c r="I109" s="35">
        <f>IF(tblInspections[[#This Row],[Date]]="","",IF(tblInspections[[#This Row],[Opportunities]]="","",tblInspections[[#This Row],[Inspected]]*tblInspections[[#This Row],[Opportunities]]))</f>
        <v>12900</v>
      </c>
      <c r="J109" s="36">
        <f>IF(tblInspections[[#This Row],[Date]]="","",IF(tblInspections[[#This Row],[Inspected]]&gt;0,tblInspections[[#This Row],[Defective]]/tblInspections[[#This Row],[Inspected]],""))</f>
        <v>0.000387596899224806</v>
      </c>
      <c r="K109" s="35">
        <f>IF(tblInspections[[#This Row],[Date]]="","",IF(tblInspections[[#This Row],[Inspected]]&gt;0,tblInspections[[#This Row],[Defective]]/tblInspections[[#This Row],[Inspected]]*1000000,""))</f>
        <v>387.596899224806</v>
      </c>
      <c r="L109" s="37" t="str">
        <f>IF(NOT(ISNUMBER(tblInspections[[#This Row],[PPM defective]])),"",IF(tblInspections[[#This Row],[PPM defective]]&lt;=TargetPPM,"On target",IF(tblInspections[[#This Row],[PPM defective]]&lt;=TargetPPM*(1+0.05),"Near target","Above target")))</f>
        <v>On target</v>
      </c>
      <c r="M109" s="38">
        <f>IF(tblInspections[[#This Row],[Date]]="","",IF(tblInspections[[#This Row],[Inspected]]&gt;0,tblInspections[[#This Row],[Defects found]]/tblInspections[[#This Row],[Inspected]],""))</f>
        <v>0.000387596899224806</v>
      </c>
      <c r="N109" s="35">
        <f>IF(tblInspections[[#This Row],[Date]]="","",IF(N(tblInspections[[#This Row],[Opportunities checked]])&gt;0,tblInspections[[#This Row],[Defects found]]/tblInspections[[#This Row],[Opportunities checked]]*1000000,""))</f>
        <v>77.5193798449613</v>
      </c>
      <c r="O109" s="39">
        <f>IF(tblInspections[[#This Row],[Date]]="","",IF(AND(tblInspections[[#This Row],[Date]]&gt;=FFrom,tblInspections[[#This Row],[Date]]&lt;=FTo,OR(DashPart="",tblInspections[[#This Row],[Part]]=DashPart)),tblInspections[[#This Row],[Date]],""))</f>
        <v>46300</v>
      </c>
      <c r="P10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09" s="41" t="s">
        <v>131</v>
      </c>
    </row>
    <row r="110" spans="2:17">
      <c r="B110" s="34">
        <v>46300</v>
      </c>
      <c r="C110" s="28" t="s">
        <v>236</v>
      </c>
      <c r="D110" s="28" t="s">
        <v>86</v>
      </c>
      <c r="E110" s="29">
        <v>3170</v>
      </c>
      <c r="F110" s="29">
        <v>4</v>
      </c>
      <c r="G110" s="35">
        <f>IF(tblInspections[[#This Row],[Date]]="","",SUMIFS(tblDefects[Count],tblDefects[Lot ID],tblInspections[[#This Row],[Lot ID]]))</f>
        <v>4</v>
      </c>
      <c r="H110" s="35">
        <f>IF(tblInspections[[#This Row],[Date]]="","",IFERROR(INDEX(tblParts[Opportunities],MATCH(tblInspections[[#This Row],[Part]],tblParts[Part],0)),""))</f>
        <v>4</v>
      </c>
      <c r="I110" s="35">
        <f>IF(tblInspections[[#This Row],[Date]]="","",IF(tblInspections[[#This Row],[Opportunities]]="","",tblInspections[[#This Row],[Inspected]]*tblInspections[[#This Row],[Opportunities]]))</f>
        <v>12680</v>
      </c>
      <c r="J110" s="36">
        <f>IF(tblInspections[[#This Row],[Date]]="","",IF(tblInspections[[#This Row],[Inspected]]&gt;0,tblInspections[[#This Row],[Defective]]/tblInspections[[#This Row],[Inspected]],""))</f>
        <v>0.00126182965299685</v>
      </c>
      <c r="K110" s="35">
        <f>IF(tblInspections[[#This Row],[Date]]="","",IF(tblInspections[[#This Row],[Inspected]]&gt;0,tblInspections[[#This Row],[Defective]]/tblInspections[[#This Row],[Inspected]]*1000000,""))</f>
        <v>1261.82965299685</v>
      </c>
      <c r="L110" s="37" t="str">
        <f>IF(NOT(ISNUMBER(tblInspections[[#This Row],[PPM defective]])),"",IF(tblInspections[[#This Row],[PPM defective]]&lt;=TargetPPM,"On target",IF(tblInspections[[#This Row],[PPM defective]]&lt;=TargetPPM*(1+0.05),"Near target","Above target")))</f>
        <v>On target</v>
      </c>
      <c r="M110" s="38">
        <f>IF(tblInspections[[#This Row],[Date]]="","",IF(tblInspections[[#This Row],[Inspected]]&gt;0,tblInspections[[#This Row],[Defects found]]/tblInspections[[#This Row],[Inspected]],""))</f>
        <v>0.00126182965299685</v>
      </c>
      <c r="N110" s="35">
        <f>IF(tblInspections[[#This Row],[Date]]="","",IF(N(tblInspections[[#This Row],[Opportunities checked]])&gt;0,tblInspections[[#This Row],[Defects found]]/tblInspections[[#This Row],[Opportunities checked]]*1000000,""))</f>
        <v>315.457413249211</v>
      </c>
      <c r="O110" s="39">
        <f>IF(tblInspections[[#This Row],[Date]]="","",IF(AND(tblInspections[[#This Row],[Date]]&gt;=FFrom,tblInspections[[#This Row],[Date]]&lt;=FTo,OR(DashPart="",tblInspections[[#This Row],[Part]]=DashPart)),tblInspections[[#This Row],[Date]],""))</f>
        <v>46300</v>
      </c>
      <c r="P11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0" s="41" t="s">
        <v>131</v>
      </c>
    </row>
    <row r="111" spans="2:17">
      <c r="B111" s="34">
        <v>46301</v>
      </c>
      <c r="C111" s="28" t="s">
        <v>237</v>
      </c>
      <c r="D111" s="28" t="s">
        <v>80</v>
      </c>
      <c r="E111" s="29">
        <v>1350</v>
      </c>
      <c r="F111" s="29">
        <v>1</v>
      </c>
      <c r="G111" s="35">
        <f>IF(tblInspections[[#This Row],[Date]]="","",SUMIFS(tblDefects[Count],tblDefects[Lot ID],tblInspections[[#This Row],[Lot ID]]))</f>
        <v>1</v>
      </c>
      <c r="H111" s="35">
        <f>IF(tblInspections[[#This Row],[Date]]="","",IFERROR(INDEX(tblParts[Opportunities],MATCH(tblInspections[[#This Row],[Part]],tblParts[Part],0)),""))</f>
        <v>6</v>
      </c>
      <c r="I111" s="35">
        <f>IF(tblInspections[[#This Row],[Date]]="","",IF(tblInspections[[#This Row],[Opportunities]]="","",tblInspections[[#This Row],[Inspected]]*tblInspections[[#This Row],[Opportunities]]))</f>
        <v>8100</v>
      </c>
      <c r="J111" s="36">
        <f>IF(tblInspections[[#This Row],[Date]]="","",IF(tblInspections[[#This Row],[Inspected]]&gt;0,tblInspections[[#This Row],[Defective]]/tblInspections[[#This Row],[Inspected]],""))</f>
        <v>0.000740740740740741</v>
      </c>
      <c r="K111" s="35">
        <f>IF(tblInspections[[#This Row],[Date]]="","",IF(tblInspections[[#This Row],[Inspected]]&gt;0,tblInspections[[#This Row],[Defective]]/tblInspections[[#This Row],[Inspected]]*1000000,""))</f>
        <v>740.740740740741</v>
      </c>
      <c r="L111" s="37" t="str">
        <f>IF(NOT(ISNUMBER(tblInspections[[#This Row],[PPM defective]])),"",IF(tblInspections[[#This Row],[PPM defective]]&lt;=TargetPPM,"On target",IF(tblInspections[[#This Row],[PPM defective]]&lt;=TargetPPM*(1+0.05),"Near target","Above target")))</f>
        <v>On target</v>
      </c>
      <c r="M111" s="38">
        <f>IF(tblInspections[[#This Row],[Date]]="","",IF(tblInspections[[#This Row],[Inspected]]&gt;0,tblInspections[[#This Row],[Defects found]]/tblInspections[[#This Row],[Inspected]],""))</f>
        <v>0.000740740740740741</v>
      </c>
      <c r="N111" s="35">
        <f>IF(tblInspections[[#This Row],[Date]]="","",IF(N(tblInspections[[#This Row],[Opportunities checked]])&gt;0,tblInspections[[#This Row],[Defects found]]/tblInspections[[#This Row],[Opportunities checked]]*1000000,""))</f>
        <v>123.456790123457</v>
      </c>
      <c r="O111" s="39">
        <f>IF(tblInspections[[#This Row],[Date]]="","",IF(AND(tblInspections[[#This Row],[Date]]&gt;=FFrom,tblInspections[[#This Row],[Date]]&lt;=FTo,OR(DashPart="",tblInspections[[#This Row],[Part]]=DashPart)),tblInspections[[#This Row],[Date]],""))</f>
        <v>46301</v>
      </c>
      <c r="P11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1" s="41" t="s">
        <v>131</v>
      </c>
    </row>
    <row r="112" spans="2:17">
      <c r="B112" s="34">
        <v>46301</v>
      </c>
      <c r="C112" s="28" t="s">
        <v>238</v>
      </c>
      <c r="D112" s="28" t="s">
        <v>82</v>
      </c>
      <c r="E112" s="29">
        <v>900</v>
      </c>
      <c r="F112" s="29">
        <v>1</v>
      </c>
      <c r="G112" s="35">
        <f>IF(tblInspections[[#This Row],[Date]]="","",SUMIFS(tblDefects[Count],tblDefects[Lot ID],tblInspections[[#This Row],[Lot ID]]))</f>
        <v>1</v>
      </c>
      <c r="H112" s="35">
        <f>IF(tblInspections[[#This Row],[Date]]="","",IFERROR(INDEX(tblParts[Opportunities],MATCH(tblInspections[[#This Row],[Part]],tblParts[Part],0)),""))</f>
        <v>8</v>
      </c>
      <c r="I112" s="35">
        <f>IF(tblInspections[[#This Row],[Date]]="","",IF(tblInspections[[#This Row],[Opportunities]]="","",tblInspections[[#This Row],[Inspected]]*tblInspections[[#This Row],[Opportunities]]))</f>
        <v>7200</v>
      </c>
      <c r="J112" s="36">
        <f>IF(tblInspections[[#This Row],[Date]]="","",IF(tblInspections[[#This Row],[Inspected]]&gt;0,tblInspections[[#This Row],[Defective]]/tblInspections[[#This Row],[Inspected]],""))</f>
        <v>0.00111111111111111</v>
      </c>
      <c r="K112" s="35">
        <f>IF(tblInspections[[#This Row],[Date]]="","",IF(tblInspections[[#This Row],[Inspected]]&gt;0,tblInspections[[#This Row],[Defective]]/tblInspections[[#This Row],[Inspected]]*1000000,""))</f>
        <v>1111.11111111111</v>
      </c>
      <c r="L112" s="37" t="str">
        <f>IF(NOT(ISNUMBER(tblInspections[[#This Row],[PPM defective]])),"",IF(tblInspections[[#This Row],[PPM defective]]&lt;=TargetPPM,"On target",IF(tblInspections[[#This Row],[PPM defective]]&lt;=TargetPPM*(1+0.05),"Near target","Above target")))</f>
        <v>On target</v>
      </c>
      <c r="M112" s="38">
        <f>IF(tblInspections[[#This Row],[Date]]="","",IF(tblInspections[[#This Row],[Inspected]]&gt;0,tblInspections[[#This Row],[Defects found]]/tblInspections[[#This Row],[Inspected]],""))</f>
        <v>0.00111111111111111</v>
      </c>
      <c r="N112" s="35">
        <f>IF(tblInspections[[#This Row],[Date]]="","",IF(N(tblInspections[[#This Row],[Opportunities checked]])&gt;0,tblInspections[[#This Row],[Defects found]]/tblInspections[[#This Row],[Opportunities checked]]*1000000,""))</f>
        <v>138.888888888889</v>
      </c>
      <c r="O112" s="39">
        <f>IF(tblInspections[[#This Row],[Date]]="","",IF(AND(tblInspections[[#This Row],[Date]]&gt;=FFrom,tblInspections[[#This Row],[Date]]&lt;=FTo,OR(DashPart="",tblInspections[[#This Row],[Part]]=DashPart)),tblInspections[[#This Row],[Date]],""))</f>
        <v>46301</v>
      </c>
      <c r="P11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2" s="41" t="s">
        <v>131</v>
      </c>
    </row>
    <row r="113" spans="2:17">
      <c r="B113" s="34">
        <v>46301</v>
      </c>
      <c r="C113" s="28" t="s">
        <v>239</v>
      </c>
      <c r="D113" s="28" t="s">
        <v>84</v>
      </c>
      <c r="E113" s="29">
        <v>2500</v>
      </c>
      <c r="F113" s="29">
        <v>3</v>
      </c>
      <c r="G113" s="35">
        <f>IF(tblInspections[[#This Row],[Date]]="","",SUMIFS(tblDefects[Count],tblDefects[Lot ID],tblInspections[[#This Row],[Lot ID]]))</f>
        <v>4</v>
      </c>
      <c r="H113" s="35">
        <f>IF(tblInspections[[#This Row],[Date]]="","",IFERROR(INDEX(tblParts[Opportunities],MATCH(tblInspections[[#This Row],[Part]],tblParts[Part],0)),""))</f>
        <v>5</v>
      </c>
      <c r="I113" s="35">
        <f>IF(tblInspections[[#This Row],[Date]]="","",IF(tblInspections[[#This Row],[Opportunities]]="","",tblInspections[[#This Row],[Inspected]]*tblInspections[[#This Row],[Opportunities]]))</f>
        <v>12500</v>
      </c>
      <c r="J113" s="36">
        <f>IF(tblInspections[[#This Row],[Date]]="","",IF(tblInspections[[#This Row],[Inspected]]&gt;0,tblInspections[[#This Row],[Defective]]/tblInspections[[#This Row],[Inspected]],""))</f>
        <v>0.0012</v>
      </c>
      <c r="K113" s="35">
        <f>IF(tblInspections[[#This Row],[Date]]="","",IF(tblInspections[[#This Row],[Inspected]]&gt;0,tblInspections[[#This Row],[Defective]]/tblInspections[[#This Row],[Inspected]]*1000000,""))</f>
        <v>1200</v>
      </c>
      <c r="L113" s="37" t="str">
        <f>IF(NOT(ISNUMBER(tblInspections[[#This Row],[PPM defective]])),"",IF(tblInspections[[#This Row],[PPM defective]]&lt;=TargetPPM,"On target",IF(tblInspections[[#This Row],[PPM defective]]&lt;=TargetPPM*(1+0.05),"Near target","Above target")))</f>
        <v>On target</v>
      </c>
      <c r="M113" s="38">
        <f>IF(tblInspections[[#This Row],[Date]]="","",IF(tblInspections[[#This Row],[Inspected]]&gt;0,tblInspections[[#This Row],[Defects found]]/tblInspections[[#This Row],[Inspected]],""))</f>
        <v>0.0016</v>
      </c>
      <c r="N113" s="35">
        <f>IF(tblInspections[[#This Row],[Date]]="","",IF(N(tblInspections[[#This Row],[Opportunities checked]])&gt;0,tblInspections[[#This Row],[Defects found]]/tblInspections[[#This Row],[Opportunities checked]]*1000000,""))</f>
        <v>320</v>
      </c>
      <c r="O113" s="39">
        <f>IF(tblInspections[[#This Row],[Date]]="","",IF(AND(tblInspections[[#This Row],[Date]]&gt;=FFrom,tblInspections[[#This Row],[Date]]&lt;=FTo,OR(DashPart="",tblInspections[[#This Row],[Part]]=DashPart)),tblInspections[[#This Row],[Date]],""))</f>
        <v>46301</v>
      </c>
      <c r="P11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3" s="41" t="s">
        <v>131</v>
      </c>
    </row>
    <row r="114" spans="2:17">
      <c r="B114" s="34">
        <v>46301</v>
      </c>
      <c r="C114" s="28" t="s">
        <v>240</v>
      </c>
      <c r="D114" s="28" t="s">
        <v>86</v>
      </c>
      <c r="E114" s="29">
        <v>2820</v>
      </c>
      <c r="F114" s="29">
        <v>1</v>
      </c>
      <c r="G114" s="35">
        <f>IF(tblInspections[[#This Row],[Date]]="","",SUMIFS(tblDefects[Count],tblDefects[Lot ID],tblInspections[[#This Row],[Lot ID]]))</f>
        <v>1</v>
      </c>
      <c r="H114" s="35">
        <f>IF(tblInspections[[#This Row],[Date]]="","",IFERROR(INDEX(tblParts[Opportunities],MATCH(tblInspections[[#This Row],[Part]],tblParts[Part],0)),""))</f>
        <v>4</v>
      </c>
      <c r="I114" s="35">
        <f>IF(tblInspections[[#This Row],[Date]]="","",IF(tblInspections[[#This Row],[Opportunities]]="","",tblInspections[[#This Row],[Inspected]]*tblInspections[[#This Row],[Opportunities]]))</f>
        <v>11280</v>
      </c>
      <c r="J114" s="36">
        <f>IF(tblInspections[[#This Row],[Date]]="","",IF(tblInspections[[#This Row],[Inspected]]&gt;0,tblInspections[[#This Row],[Defective]]/tblInspections[[#This Row],[Inspected]],""))</f>
        <v>0.000354609929078014</v>
      </c>
      <c r="K114" s="35">
        <f>IF(tblInspections[[#This Row],[Date]]="","",IF(tblInspections[[#This Row],[Inspected]]&gt;0,tblInspections[[#This Row],[Defective]]/tblInspections[[#This Row],[Inspected]]*1000000,""))</f>
        <v>354.609929078014</v>
      </c>
      <c r="L114" s="37" t="str">
        <f>IF(NOT(ISNUMBER(tblInspections[[#This Row],[PPM defective]])),"",IF(tblInspections[[#This Row],[PPM defective]]&lt;=TargetPPM,"On target",IF(tblInspections[[#This Row],[PPM defective]]&lt;=TargetPPM*(1+0.05),"Near target","Above target")))</f>
        <v>On target</v>
      </c>
      <c r="M114" s="38">
        <f>IF(tblInspections[[#This Row],[Date]]="","",IF(tblInspections[[#This Row],[Inspected]]&gt;0,tblInspections[[#This Row],[Defects found]]/tblInspections[[#This Row],[Inspected]],""))</f>
        <v>0.000354609929078014</v>
      </c>
      <c r="N114" s="35">
        <f>IF(tblInspections[[#This Row],[Date]]="","",IF(N(tblInspections[[#This Row],[Opportunities checked]])&gt;0,tblInspections[[#This Row],[Defects found]]/tblInspections[[#This Row],[Opportunities checked]]*1000000,""))</f>
        <v>88.6524822695036</v>
      </c>
      <c r="O114" s="39">
        <f>IF(tblInspections[[#This Row],[Date]]="","",IF(AND(tblInspections[[#This Row],[Date]]&gt;=FFrom,tblInspections[[#This Row],[Date]]&lt;=FTo,OR(DashPart="",tblInspections[[#This Row],[Part]]=DashPart)),tblInspections[[#This Row],[Date]],""))</f>
        <v>46301</v>
      </c>
      <c r="P11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4" s="41" t="s">
        <v>131</v>
      </c>
    </row>
    <row r="115" spans="2:17">
      <c r="B115" s="34">
        <v>46302</v>
      </c>
      <c r="C115" s="28" t="s">
        <v>241</v>
      </c>
      <c r="D115" s="28" t="s">
        <v>80</v>
      </c>
      <c r="E115" s="29">
        <v>1250</v>
      </c>
      <c r="F115" s="29">
        <v>2</v>
      </c>
      <c r="G115" s="35">
        <f>IF(tblInspections[[#This Row],[Date]]="","",SUMIFS(tblDefects[Count],tblDefects[Lot ID],tblInspections[[#This Row],[Lot ID]]))</f>
        <v>2</v>
      </c>
      <c r="H115" s="35">
        <f>IF(tblInspections[[#This Row],[Date]]="","",IFERROR(INDEX(tblParts[Opportunities],MATCH(tblInspections[[#This Row],[Part]],tblParts[Part],0)),""))</f>
        <v>6</v>
      </c>
      <c r="I115" s="35">
        <f>IF(tblInspections[[#This Row],[Date]]="","",IF(tblInspections[[#This Row],[Opportunities]]="","",tblInspections[[#This Row],[Inspected]]*tblInspections[[#This Row],[Opportunities]]))</f>
        <v>7500</v>
      </c>
      <c r="J115" s="36">
        <f>IF(tblInspections[[#This Row],[Date]]="","",IF(tblInspections[[#This Row],[Inspected]]&gt;0,tblInspections[[#This Row],[Defective]]/tblInspections[[#This Row],[Inspected]],""))</f>
        <v>0.0016</v>
      </c>
      <c r="K115" s="35">
        <f>IF(tblInspections[[#This Row],[Date]]="","",IF(tblInspections[[#This Row],[Inspected]]&gt;0,tblInspections[[#This Row],[Defective]]/tblInspections[[#This Row],[Inspected]]*1000000,""))</f>
        <v>1600</v>
      </c>
      <c r="L115" s="37" t="str">
        <f>IF(NOT(ISNUMBER(tblInspections[[#This Row],[PPM defective]])),"",IF(tblInspections[[#This Row],[PPM defective]]&lt;=TargetPPM,"On target",IF(tblInspections[[#This Row],[PPM defective]]&lt;=TargetPPM*(1+0.05),"Near target","Above target")))</f>
        <v>Above target</v>
      </c>
      <c r="M115" s="38">
        <f>IF(tblInspections[[#This Row],[Date]]="","",IF(tblInspections[[#This Row],[Inspected]]&gt;0,tblInspections[[#This Row],[Defects found]]/tblInspections[[#This Row],[Inspected]],""))</f>
        <v>0.0016</v>
      </c>
      <c r="N115" s="35">
        <f>IF(tblInspections[[#This Row],[Date]]="","",IF(N(tblInspections[[#This Row],[Opportunities checked]])&gt;0,tblInspections[[#This Row],[Defects found]]/tblInspections[[#This Row],[Opportunities checked]]*1000000,""))</f>
        <v>266.666666666667</v>
      </c>
      <c r="O115" s="39">
        <f>IF(tblInspections[[#This Row],[Date]]="","",IF(AND(tblInspections[[#This Row],[Date]]&gt;=FFrom,tblInspections[[#This Row],[Date]]&lt;=FTo,OR(DashPart="",tblInspections[[#This Row],[Part]]=DashPart)),tblInspections[[#This Row],[Date]],""))</f>
        <v>46302</v>
      </c>
      <c r="P11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5" s="41" t="s">
        <v>131</v>
      </c>
    </row>
    <row r="116" spans="2:17">
      <c r="B116" s="34">
        <v>46302</v>
      </c>
      <c r="C116" s="28" t="s">
        <v>242</v>
      </c>
      <c r="D116" s="28" t="s">
        <v>82</v>
      </c>
      <c r="E116" s="29">
        <v>860</v>
      </c>
      <c r="F116" s="29">
        <v>1</v>
      </c>
      <c r="G116" s="35">
        <f>IF(tblInspections[[#This Row],[Date]]="","",SUMIFS(tblDefects[Count],tblDefects[Lot ID],tblInspections[[#This Row],[Lot ID]]))</f>
        <v>1</v>
      </c>
      <c r="H116" s="35">
        <f>IF(tblInspections[[#This Row],[Date]]="","",IFERROR(INDEX(tblParts[Opportunities],MATCH(tblInspections[[#This Row],[Part]],tblParts[Part],0)),""))</f>
        <v>8</v>
      </c>
      <c r="I116" s="35">
        <f>IF(tblInspections[[#This Row],[Date]]="","",IF(tblInspections[[#This Row],[Opportunities]]="","",tblInspections[[#This Row],[Inspected]]*tblInspections[[#This Row],[Opportunities]]))</f>
        <v>6880</v>
      </c>
      <c r="J116" s="36">
        <f>IF(tblInspections[[#This Row],[Date]]="","",IF(tblInspections[[#This Row],[Inspected]]&gt;0,tblInspections[[#This Row],[Defective]]/tblInspections[[#This Row],[Inspected]],""))</f>
        <v>0.00116279069767442</v>
      </c>
      <c r="K116" s="35">
        <f>IF(tblInspections[[#This Row],[Date]]="","",IF(tblInspections[[#This Row],[Inspected]]&gt;0,tblInspections[[#This Row],[Defective]]/tblInspections[[#This Row],[Inspected]]*1000000,""))</f>
        <v>1162.79069767442</v>
      </c>
      <c r="L116" s="37" t="str">
        <f>IF(NOT(ISNUMBER(tblInspections[[#This Row],[PPM defective]])),"",IF(tblInspections[[#This Row],[PPM defective]]&lt;=TargetPPM,"On target",IF(tblInspections[[#This Row],[PPM defective]]&lt;=TargetPPM*(1+0.05),"Near target","Above target")))</f>
        <v>On target</v>
      </c>
      <c r="M116" s="38">
        <f>IF(tblInspections[[#This Row],[Date]]="","",IF(tblInspections[[#This Row],[Inspected]]&gt;0,tblInspections[[#This Row],[Defects found]]/tblInspections[[#This Row],[Inspected]],""))</f>
        <v>0.00116279069767442</v>
      </c>
      <c r="N116" s="35">
        <f>IF(tblInspections[[#This Row],[Date]]="","",IF(N(tblInspections[[#This Row],[Opportunities checked]])&gt;0,tblInspections[[#This Row],[Defects found]]/tblInspections[[#This Row],[Opportunities checked]]*1000000,""))</f>
        <v>145.348837209302</v>
      </c>
      <c r="O116" s="39">
        <f>IF(tblInspections[[#This Row],[Date]]="","",IF(AND(tblInspections[[#This Row],[Date]]&gt;=FFrom,tblInspections[[#This Row],[Date]]&lt;=FTo,OR(DashPart="",tblInspections[[#This Row],[Part]]=DashPart)),tblInspections[[#This Row],[Date]],""))</f>
        <v>46302</v>
      </c>
      <c r="P11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6" s="41" t="s">
        <v>131</v>
      </c>
    </row>
    <row r="117" spans="2:17">
      <c r="B117" s="34">
        <v>46302</v>
      </c>
      <c r="C117" s="28" t="s">
        <v>243</v>
      </c>
      <c r="D117" s="28" t="s">
        <v>84</v>
      </c>
      <c r="E117" s="29">
        <v>2500</v>
      </c>
      <c r="F117" s="29">
        <v>3</v>
      </c>
      <c r="G117" s="35">
        <f>IF(tblInspections[[#This Row],[Date]]="","",SUMIFS(tblDefects[Count],tblDefects[Lot ID],tblInspections[[#This Row],[Lot ID]]))</f>
        <v>3</v>
      </c>
      <c r="H117" s="35">
        <f>IF(tblInspections[[#This Row],[Date]]="","",IFERROR(INDEX(tblParts[Opportunities],MATCH(tblInspections[[#This Row],[Part]],tblParts[Part],0)),""))</f>
        <v>5</v>
      </c>
      <c r="I117" s="35">
        <f>IF(tblInspections[[#This Row],[Date]]="","",IF(tblInspections[[#This Row],[Opportunities]]="","",tblInspections[[#This Row],[Inspected]]*tblInspections[[#This Row],[Opportunities]]))</f>
        <v>12500</v>
      </c>
      <c r="J117" s="36">
        <f>IF(tblInspections[[#This Row],[Date]]="","",IF(tblInspections[[#This Row],[Inspected]]&gt;0,tblInspections[[#This Row],[Defective]]/tblInspections[[#This Row],[Inspected]],""))</f>
        <v>0.0012</v>
      </c>
      <c r="K117" s="35">
        <f>IF(tblInspections[[#This Row],[Date]]="","",IF(tblInspections[[#This Row],[Inspected]]&gt;0,tblInspections[[#This Row],[Defective]]/tblInspections[[#This Row],[Inspected]]*1000000,""))</f>
        <v>1200</v>
      </c>
      <c r="L117" s="37" t="str">
        <f>IF(NOT(ISNUMBER(tblInspections[[#This Row],[PPM defective]])),"",IF(tblInspections[[#This Row],[PPM defective]]&lt;=TargetPPM,"On target",IF(tblInspections[[#This Row],[PPM defective]]&lt;=TargetPPM*(1+0.05),"Near target","Above target")))</f>
        <v>On target</v>
      </c>
      <c r="M117" s="38">
        <f>IF(tblInspections[[#This Row],[Date]]="","",IF(tblInspections[[#This Row],[Inspected]]&gt;0,tblInspections[[#This Row],[Defects found]]/tblInspections[[#This Row],[Inspected]],""))</f>
        <v>0.0012</v>
      </c>
      <c r="N117" s="35">
        <f>IF(tblInspections[[#This Row],[Date]]="","",IF(N(tblInspections[[#This Row],[Opportunities checked]])&gt;0,tblInspections[[#This Row],[Defects found]]/tblInspections[[#This Row],[Opportunities checked]]*1000000,""))</f>
        <v>240</v>
      </c>
      <c r="O117" s="39">
        <f>IF(tblInspections[[#This Row],[Date]]="","",IF(AND(tblInspections[[#This Row],[Date]]&gt;=FFrom,tblInspections[[#This Row],[Date]]&lt;=FTo,OR(DashPart="",tblInspections[[#This Row],[Part]]=DashPart)),tblInspections[[#This Row],[Date]],""))</f>
        <v>46302</v>
      </c>
      <c r="P117"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7" s="41" t="s">
        <v>131</v>
      </c>
    </row>
    <row r="118" spans="2:17">
      <c r="B118" s="34">
        <v>46302</v>
      </c>
      <c r="C118" s="28" t="s">
        <v>244</v>
      </c>
      <c r="D118" s="28" t="s">
        <v>86</v>
      </c>
      <c r="E118" s="29">
        <v>3170</v>
      </c>
      <c r="F118" s="29">
        <v>5</v>
      </c>
      <c r="G118" s="35">
        <f>IF(tblInspections[[#This Row],[Date]]="","",SUMIFS(tblDefects[Count],tblDefects[Lot ID],tblInspections[[#This Row],[Lot ID]]))</f>
        <v>5</v>
      </c>
      <c r="H118" s="35">
        <f>IF(tblInspections[[#This Row],[Date]]="","",IFERROR(INDEX(tblParts[Opportunities],MATCH(tblInspections[[#This Row],[Part]],tblParts[Part],0)),""))</f>
        <v>4</v>
      </c>
      <c r="I118" s="35">
        <f>IF(tblInspections[[#This Row],[Date]]="","",IF(tblInspections[[#This Row],[Opportunities]]="","",tblInspections[[#This Row],[Inspected]]*tblInspections[[#This Row],[Opportunities]]))</f>
        <v>12680</v>
      </c>
      <c r="J118" s="36">
        <f>IF(tblInspections[[#This Row],[Date]]="","",IF(tblInspections[[#This Row],[Inspected]]&gt;0,tblInspections[[#This Row],[Defective]]/tblInspections[[#This Row],[Inspected]],""))</f>
        <v>0.00157728706624606</v>
      </c>
      <c r="K118" s="35">
        <f>IF(tblInspections[[#This Row],[Date]]="","",IF(tblInspections[[#This Row],[Inspected]]&gt;0,tblInspections[[#This Row],[Defective]]/tblInspections[[#This Row],[Inspected]]*1000000,""))</f>
        <v>1577.28706624606</v>
      </c>
      <c r="L118" s="37" t="str">
        <f>IF(NOT(ISNUMBER(tblInspections[[#This Row],[PPM defective]])),"",IF(tblInspections[[#This Row],[PPM defective]]&lt;=TargetPPM,"On target",IF(tblInspections[[#This Row],[PPM defective]]&lt;=TargetPPM*(1+0.05),"Near target","Above target")))</f>
        <v>Above target</v>
      </c>
      <c r="M118" s="38">
        <f>IF(tblInspections[[#This Row],[Date]]="","",IF(tblInspections[[#This Row],[Inspected]]&gt;0,tblInspections[[#This Row],[Defects found]]/tblInspections[[#This Row],[Inspected]],""))</f>
        <v>0.00157728706624606</v>
      </c>
      <c r="N118" s="35">
        <f>IF(tblInspections[[#This Row],[Date]]="","",IF(N(tblInspections[[#This Row],[Opportunities checked]])&gt;0,tblInspections[[#This Row],[Defects found]]/tblInspections[[#This Row],[Opportunities checked]]*1000000,""))</f>
        <v>394.321766561514</v>
      </c>
      <c r="O118" s="39">
        <f>IF(tblInspections[[#This Row],[Date]]="","",IF(AND(tblInspections[[#This Row],[Date]]&gt;=FFrom,tblInspections[[#This Row],[Date]]&lt;=FTo,OR(DashPart="",tblInspections[[#This Row],[Part]]=DashPart)),tblInspections[[#This Row],[Date]],""))</f>
        <v>46302</v>
      </c>
      <c r="P118"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8" s="41" t="s">
        <v>131</v>
      </c>
    </row>
    <row r="119" spans="2:17">
      <c r="B119" s="34">
        <v>46303</v>
      </c>
      <c r="C119" s="28" t="s">
        <v>245</v>
      </c>
      <c r="D119" s="28" t="s">
        <v>80</v>
      </c>
      <c r="E119" s="29">
        <v>1600</v>
      </c>
      <c r="F119" s="29">
        <v>2</v>
      </c>
      <c r="G119" s="35">
        <f>IF(tblInspections[[#This Row],[Date]]="","",SUMIFS(tblDefects[Count],tblDefects[Lot ID],tblInspections[[#This Row],[Lot ID]]))</f>
        <v>2</v>
      </c>
      <c r="H119" s="35">
        <f>IF(tblInspections[[#This Row],[Date]]="","",IFERROR(INDEX(tblParts[Opportunities],MATCH(tblInspections[[#This Row],[Part]],tblParts[Part],0)),""))</f>
        <v>6</v>
      </c>
      <c r="I119" s="35">
        <f>IF(tblInspections[[#This Row],[Date]]="","",IF(tblInspections[[#This Row],[Opportunities]]="","",tblInspections[[#This Row],[Inspected]]*tblInspections[[#This Row],[Opportunities]]))</f>
        <v>9600</v>
      </c>
      <c r="J119" s="36">
        <f>IF(tblInspections[[#This Row],[Date]]="","",IF(tblInspections[[#This Row],[Inspected]]&gt;0,tblInspections[[#This Row],[Defective]]/tblInspections[[#This Row],[Inspected]],""))</f>
        <v>0.00125</v>
      </c>
      <c r="K119" s="35">
        <f>IF(tblInspections[[#This Row],[Date]]="","",IF(tblInspections[[#This Row],[Inspected]]&gt;0,tblInspections[[#This Row],[Defective]]/tblInspections[[#This Row],[Inspected]]*1000000,""))</f>
        <v>1250</v>
      </c>
      <c r="L119" s="37" t="str">
        <f>IF(NOT(ISNUMBER(tblInspections[[#This Row],[PPM defective]])),"",IF(tblInspections[[#This Row],[PPM defective]]&lt;=TargetPPM,"On target",IF(tblInspections[[#This Row],[PPM defective]]&lt;=TargetPPM*(1+0.05),"Near target","Above target")))</f>
        <v>On target</v>
      </c>
      <c r="M119" s="38">
        <f>IF(tblInspections[[#This Row],[Date]]="","",IF(tblInspections[[#This Row],[Inspected]]&gt;0,tblInspections[[#This Row],[Defects found]]/tblInspections[[#This Row],[Inspected]],""))</f>
        <v>0.00125</v>
      </c>
      <c r="N119" s="35">
        <f>IF(tblInspections[[#This Row],[Date]]="","",IF(N(tblInspections[[#This Row],[Opportunities checked]])&gt;0,tblInspections[[#This Row],[Defects found]]/tblInspections[[#This Row],[Opportunities checked]]*1000000,""))</f>
        <v>208.333333333333</v>
      </c>
      <c r="O119" s="39">
        <f>IF(tblInspections[[#This Row],[Date]]="","",IF(AND(tblInspections[[#This Row],[Date]]&gt;=FFrom,tblInspections[[#This Row],[Date]]&lt;=FTo,OR(DashPart="",tblInspections[[#This Row],[Part]]=DashPart)),tblInspections[[#This Row],[Date]],""))</f>
        <v>46303</v>
      </c>
      <c r="P119"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19" s="41" t="s">
        <v>131</v>
      </c>
    </row>
    <row r="120" spans="2:17">
      <c r="B120" s="34">
        <v>46303</v>
      </c>
      <c r="C120" s="28" t="s">
        <v>246</v>
      </c>
      <c r="D120" s="28" t="s">
        <v>82</v>
      </c>
      <c r="E120" s="29">
        <v>840</v>
      </c>
      <c r="F120" s="29">
        <v>1</v>
      </c>
      <c r="G120" s="35">
        <f>IF(tblInspections[[#This Row],[Date]]="","",SUMIFS(tblDefects[Count],tblDefects[Lot ID],tblInspections[[#This Row],[Lot ID]]))</f>
        <v>1</v>
      </c>
      <c r="H120" s="35">
        <f>IF(tblInspections[[#This Row],[Date]]="","",IFERROR(INDEX(tblParts[Opportunities],MATCH(tblInspections[[#This Row],[Part]],tblParts[Part],0)),""))</f>
        <v>8</v>
      </c>
      <c r="I120" s="35">
        <f>IF(tblInspections[[#This Row],[Date]]="","",IF(tblInspections[[#This Row],[Opportunities]]="","",tblInspections[[#This Row],[Inspected]]*tblInspections[[#This Row],[Opportunities]]))</f>
        <v>6720</v>
      </c>
      <c r="J120" s="36">
        <f>IF(tblInspections[[#This Row],[Date]]="","",IF(tblInspections[[#This Row],[Inspected]]&gt;0,tblInspections[[#This Row],[Defective]]/tblInspections[[#This Row],[Inspected]],""))</f>
        <v>0.00119047619047619</v>
      </c>
      <c r="K120" s="35">
        <f>IF(tblInspections[[#This Row],[Date]]="","",IF(tblInspections[[#This Row],[Inspected]]&gt;0,tblInspections[[#This Row],[Defective]]/tblInspections[[#This Row],[Inspected]]*1000000,""))</f>
        <v>1190.47619047619</v>
      </c>
      <c r="L120" s="37" t="str">
        <f>IF(NOT(ISNUMBER(tblInspections[[#This Row],[PPM defective]])),"",IF(tblInspections[[#This Row],[PPM defective]]&lt;=TargetPPM,"On target",IF(tblInspections[[#This Row],[PPM defective]]&lt;=TargetPPM*(1+0.05),"Near target","Above target")))</f>
        <v>On target</v>
      </c>
      <c r="M120" s="38">
        <f>IF(tblInspections[[#This Row],[Date]]="","",IF(tblInspections[[#This Row],[Inspected]]&gt;0,tblInspections[[#This Row],[Defects found]]/tblInspections[[#This Row],[Inspected]],""))</f>
        <v>0.00119047619047619</v>
      </c>
      <c r="N120" s="35">
        <f>IF(tblInspections[[#This Row],[Date]]="","",IF(N(tblInspections[[#This Row],[Opportunities checked]])&gt;0,tblInspections[[#This Row],[Defects found]]/tblInspections[[#This Row],[Opportunities checked]]*1000000,""))</f>
        <v>148.809523809524</v>
      </c>
      <c r="O120" s="39">
        <f>IF(tblInspections[[#This Row],[Date]]="","",IF(AND(tblInspections[[#This Row],[Date]]&gt;=FFrom,tblInspections[[#This Row],[Date]]&lt;=FTo,OR(DashPart="",tblInspections[[#This Row],[Part]]=DashPart)),tblInspections[[#This Row],[Date]],""))</f>
        <v>46303</v>
      </c>
      <c r="P120"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0" s="41" t="s">
        <v>131</v>
      </c>
    </row>
    <row r="121" spans="2:17">
      <c r="B121" s="34">
        <v>46303</v>
      </c>
      <c r="C121" s="28" t="s">
        <v>247</v>
      </c>
      <c r="D121" s="28" t="s">
        <v>84</v>
      </c>
      <c r="E121" s="29">
        <v>2020</v>
      </c>
      <c r="F121" s="29">
        <v>3</v>
      </c>
      <c r="G121" s="35">
        <f>IF(tblInspections[[#This Row],[Date]]="","",SUMIFS(tblDefects[Count],tblDefects[Lot ID],tblInspections[[#This Row],[Lot ID]]))</f>
        <v>3</v>
      </c>
      <c r="H121" s="35">
        <f>IF(tblInspections[[#This Row],[Date]]="","",IFERROR(INDEX(tblParts[Opportunities],MATCH(tblInspections[[#This Row],[Part]],tblParts[Part],0)),""))</f>
        <v>5</v>
      </c>
      <c r="I121" s="35">
        <f>IF(tblInspections[[#This Row],[Date]]="","",IF(tblInspections[[#This Row],[Opportunities]]="","",tblInspections[[#This Row],[Inspected]]*tblInspections[[#This Row],[Opportunities]]))</f>
        <v>10100</v>
      </c>
      <c r="J121" s="36">
        <f>IF(tblInspections[[#This Row],[Date]]="","",IF(tblInspections[[#This Row],[Inspected]]&gt;0,tblInspections[[#This Row],[Defective]]/tblInspections[[#This Row],[Inspected]],""))</f>
        <v>0.00148514851485149</v>
      </c>
      <c r="K121" s="35">
        <f>IF(tblInspections[[#This Row],[Date]]="","",IF(tblInspections[[#This Row],[Inspected]]&gt;0,tblInspections[[#This Row],[Defective]]/tblInspections[[#This Row],[Inspected]]*1000000,""))</f>
        <v>1485.14851485149</v>
      </c>
      <c r="L121" s="37" t="str">
        <f>IF(NOT(ISNUMBER(tblInspections[[#This Row],[PPM defective]])),"",IF(tblInspections[[#This Row],[PPM defective]]&lt;=TargetPPM,"On target",IF(tblInspections[[#This Row],[PPM defective]]&lt;=TargetPPM*(1+0.05),"Near target","Above target")))</f>
        <v>On target</v>
      </c>
      <c r="M121" s="38">
        <f>IF(tblInspections[[#This Row],[Date]]="","",IF(tblInspections[[#This Row],[Inspected]]&gt;0,tblInspections[[#This Row],[Defects found]]/tblInspections[[#This Row],[Inspected]],""))</f>
        <v>0.00148514851485149</v>
      </c>
      <c r="N121" s="35">
        <f>IF(tblInspections[[#This Row],[Date]]="","",IF(N(tblInspections[[#This Row],[Opportunities checked]])&gt;0,tblInspections[[#This Row],[Defects found]]/tblInspections[[#This Row],[Opportunities checked]]*1000000,""))</f>
        <v>297.029702970297</v>
      </c>
      <c r="O121" s="39">
        <f>IF(tblInspections[[#This Row],[Date]]="","",IF(AND(tblInspections[[#This Row],[Date]]&gt;=FFrom,tblInspections[[#This Row],[Date]]&lt;=FTo,OR(DashPart="",tblInspections[[#This Row],[Part]]=DashPart)),tblInspections[[#This Row],[Date]],""))</f>
        <v>46303</v>
      </c>
      <c r="P121"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1" s="41" t="s">
        <v>131</v>
      </c>
    </row>
    <row r="122" spans="2:17">
      <c r="B122" s="34">
        <v>46303</v>
      </c>
      <c r="C122" s="28" t="s">
        <v>248</v>
      </c>
      <c r="D122" s="28" t="s">
        <v>86</v>
      </c>
      <c r="E122" s="29">
        <v>3370</v>
      </c>
      <c r="F122" s="29">
        <v>7</v>
      </c>
      <c r="G122" s="35">
        <f>IF(tblInspections[[#This Row],[Date]]="","",SUMIFS(tblDefects[Count],tblDefects[Lot ID],tblInspections[[#This Row],[Lot ID]]))</f>
        <v>7</v>
      </c>
      <c r="H122" s="35">
        <f>IF(tblInspections[[#This Row],[Date]]="","",IFERROR(INDEX(tblParts[Opportunities],MATCH(tblInspections[[#This Row],[Part]],tblParts[Part],0)),""))</f>
        <v>4</v>
      </c>
      <c r="I122" s="35">
        <f>IF(tblInspections[[#This Row],[Date]]="","",IF(tblInspections[[#This Row],[Opportunities]]="","",tblInspections[[#This Row],[Inspected]]*tblInspections[[#This Row],[Opportunities]]))</f>
        <v>13480</v>
      </c>
      <c r="J122" s="36">
        <f>IF(tblInspections[[#This Row],[Date]]="","",IF(tblInspections[[#This Row],[Inspected]]&gt;0,tblInspections[[#This Row],[Defective]]/tblInspections[[#This Row],[Inspected]],""))</f>
        <v>0.00207715133531157</v>
      </c>
      <c r="K122" s="35">
        <f>IF(tblInspections[[#This Row],[Date]]="","",IF(tblInspections[[#This Row],[Inspected]]&gt;0,tblInspections[[#This Row],[Defective]]/tblInspections[[#This Row],[Inspected]]*1000000,""))</f>
        <v>2077.15133531157</v>
      </c>
      <c r="L122" s="37" t="str">
        <f>IF(NOT(ISNUMBER(tblInspections[[#This Row],[PPM defective]])),"",IF(tblInspections[[#This Row],[PPM defective]]&lt;=TargetPPM,"On target",IF(tblInspections[[#This Row],[PPM defective]]&lt;=TargetPPM*(1+0.05),"Near target","Above target")))</f>
        <v>Above target</v>
      </c>
      <c r="M122" s="38">
        <f>IF(tblInspections[[#This Row],[Date]]="","",IF(tblInspections[[#This Row],[Inspected]]&gt;0,tblInspections[[#This Row],[Defects found]]/tblInspections[[#This Row],[Inspected]],""))</f>
        <v>0.00207715133531157</v>
      </c>
      <c r="N122" s="35">
        <f>IF(tblInspections[[#This Row],[Date]]="","",IF(N(tblInspections[[#This Row],[Opportunities checked]])&gt;0,tblInspections[[#This Row],[Defects found]]/tblInspections[[#This Row],[Opportunities checked]]*1000000,""))</f>
        <v>519.287833827893</v>
      </c>
      <c r="O122" s="39">
        <f>IF(tblInspections[[#This Row],[Date]]="","",IF(AND(tblInspections[[#This Row],[Date]]&gt;=FFrom,tblInspections[[#This Row],[Date]]&lt;=FTo,OR(DashPart="",tblInspections[[#This Row],[Part]]=DashPart)),tblInspections[[#This Row],[Date]],""))</f>
        <v>46303</v>
      </c>
      <c r="P122"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2" s="41" t="s">
        <v>131</v>
      </c>
    </row>
    <row r="123" spans="2:17">
      <c r="B123" s="34">
        <v>46304</v>
      </c>
      <c r="C123" s="28" t="s">
        <v>249</v>
      </c>
      <c r="D123" s="28" t="s">
        <v>80</v>
      </c>
      <c r="E123" s="29">
        <v>1570</v>
      </c>
      <c r="F123" s="29">
        <v>0</v>
      </c>
      <c r="G123" s="35">
        <f>IF(tblInspections[[#This Row],[Date]]="","",SUMIFS(tblDefects[Count],tblDefects[Lot ID],tblInspections[[#This Row],[Lot ID]]))</f>
        <v>0</v>
      </c>
      <c r="H123" s="35">
        <f>IF(tblInspections[[#This Row],[Date]]="","",IFERROR(INDEX(tblParts[Opportunities],MATCH(tblInspections[[#This Row],[Part]],tblParts[Part],0)),""))</f>
        <v>6</v>
      </c>
      <c r="I123" s="35">
        <f>IF(tblInspections[[#This Row],[Date]]="","",IF(tblInspections[[#This Row],[Opportunities]]="","",tblInspections[[#This Row],[Inspected]]*tblInspections[[#This Row],[Opportunities]]))</f>
        <v>9420</v>
      </c>
      <c r="J123" s="36">
        <f>IF(tblInspections[[#This Row],[Date]]="","",IF(tblInspections[[#This Row],[Inspected]]&gt;0,tblInspections[[#This Row],[Defective]]/tblInspections[[#This Row],[Inspected]],""))</f>
        <v>0</v>
      </c>
      <c r="K123" s="35">
        <f>IF(tblInspections[[#This Row],[Date]]="","",IF(tblInspections[[#This Row],[Inspected]]&gt;0,tblInspections[[#This Row],[Defective]]/tblInspections[[#This Row],[Inspected]]*1000000,""))</f>
        <v>0</v>
      </c>
      <c r="L123" s="37" t="str">
        <f>IF(NOT(ISNUMBER(tblInspections[[#This Row],[PPM defective]])),"",IF(tblInspections[[#This Row],[PPM defective]]&lt;=TargetPPM,"On target",IF(tblInspections[[#This Row],[PPM defective]]&lt;=TargetPPM*(1+0.05),"Near target","Above target")))</f>
        <v>On target</v>
      </c>
      <c r="M123" s="38">
        <f>IF(tblInspections[[#This Row],[Date]]="","",IF(tblInspections[[#This Row],[Inspected]]&gt;0,tblInspections[[#This Row],[Defects found]]/tblInspections[[#This Row],[Inspected]],""))</f>
        <v>0</v>
      </c>
      <c r="N123" s="35">
        <f>IF(tblInspections[[#This Row],[Date]]="","",IF(N(tblInspections[[#This Row],[Opportunities checked]])&gt;0,tblInspections[[#This Row],[Defects found]]/tblInspections[[#This Row],[Opportunities checked]]*1000000,""))</f>
        <v>0</v>
      </c>
      <c r="O123" s="39">
        <f>IF(tblInspections[[#This Row],[Date]]="","",IF(AND(tblInspections[[#This Row],[Date]]&gt;=FFrom,tblInspections[[#This Row],[Date]]&lt;=FTo,OR(DashPart="",tblInspections[[#This Row],[Part]]=DashPart)),tblInspections[[#This Row],[Date]],""))</f>
        <v>46304</v>
      </c>
      <c r="P123"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3" s="41" t="s">
        <v>131</v>
      </c>
    </row>
    <row r="124" spans="2:17">
      <c r="B124" s="34">
        <v>46304</v>
      </c>
      <c r="C124" s="28" t="s">
        <v>250</v>
      </c>
      <c r="D124" s="28" t="s">
        <v>82</v>
      </c>
      <c r="E124" s="29">
        <v>960</v>
      </c>
      <c r="F124" s="29">
        <v>2</v>
      </c>
      <c r="G124" s="35">
        <f>IF(tblInspections[[#This Row],[Date]]="","",SUMIFS(tblDefects[Count],tblDefects[Lot ID],tblInspections[[#This Row],[Lot ID]]))</f>
        <v>2</v>
      </c>
      <c r="H124" s="35">
        <f>IF(tblInspections[[#This Row],[Date]]="","",IFERROR(INDEX(tblParts[Opportunities],MATCH(tblInspections[[#This Row],[Part]],tblParts[Part],0)),""))</f>
        <v>8</v>
      </c>
      <c r="I124" s="35">
        <f>IF(tblInspections[[#This Row],[Date]]="","",IF(tblInspections[[#This Row],[Opportunities]]="","",tblInspections[[#This Row],[Inspected]]*tblInspections[[#This Row],[Opportunities]]))</f>
        <v>7680</v>
      </c>
      <c r="J124" s="36">
        <f>IF(tblInspections[[#This Row],[Date]]="","",IF(tblInspections[[#This Row],[Inspected]]&gt;0,tblInspections[[#This Row],[Defective]]/tblInspections[[#This Row],[Inspected]],""))</f>
        <v>0.00208333333333333</v>
      </c>
      <c r="K124" s="35">
        <f>IF(tblInspections[[#This Row],[Date]]="","",IF(tblInspections[[#This Row],[Inspected]]&gt;0,tblInspections[[#This Row],[Defective]]/tblInspections[[#This Row],[Inspected]]*1000000,""))</f>
        <v>2083.33333333333</v>
      </c>
      <c r="L124" s="37" t="str">
        <f>IF(NOT(ISNUMBER(tblInspections[[#This Row],[PPM defective]])),"",IF(tblInspections[[#This Row],[PPM defective]]&lt;=TargetPPM,"On target",IF(tblInspections[[#This Row],[PPM defective]]&lt;=TargetPPM*(1+0.05),"Near target","Above target")))</f>
        <v>Above target</v>
      </c>
      <c r="M124" s="38">
        <f>IF(tblInspections[[#This Row],[Date]]="","",IF(tblInspections[[#This Row],[Inspected]]&gt;0,tblInspections[[#This Row],[Defects found]]/tblInspections[[#This Row],[Inspected]],""))</f>
        <v>0.00208333333333333</v>
      </c>
      <c r="N124" s="35">
        <f>IF(tblInspections[[#This Row],[Date]]="","",IF(N(tblInspections[[#This Row],[Opportunities checked]])&gt;0,tblInspections[[#This Row],[Defects found]]/tblInspections[[#This Row],[Opportunities checked]]*1000000,""))</f>
        <v>260.416666666667</v>
      </c>
      <c r="O124" s="39">
        <f>IF(tblInspections[[#This Row],[Date]]="","",IF(AND(tblInspections[[#This Row],[Date]]&gt;=FFrom,tblInspections[[#This Row],[Date]]&lt;=FTo,OR(DashPart="",tblInspections[[#This Row],[Part]]=DashPart)),tblInspections[[#This Row],[Date]],""))</f>
        <v>46304</v>
      </c>
      <c r="P124"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4" s="41" t="s">
        <v>131</v>
      </c>
    </row>
    <row r="125" spans="2:17">
      <c r="B125" s="34">
        <v>46304</v>
      </c>
      <c r="C125" s="28" t="s">
        <v>251</v>
      </c>
      <c r="D125" s="28" t="s">
        <v>84</v>
      </c>
      <c r="E125" s="29">
        <v>2230</v>
      </c>
      <c r="F125" s="29">
        <v>4</v>
      </c>
      <c r="G125" s="35">
        <f>IF(tblInspections[[#This Row],[Date]]="","",SUMIFS(tblDefects[Count],tblDefects[Lot ID],tblInspections[[#This Row],[Lot ID]]))</f>
        <v>6</v>
      </c>
      <c r="H125" s="35">
        <f>IF(tblInspections[[#This Row],[Date]]="","",IFERROR(INDEX(tblParts[Opportunities],MATCH(tblInspections[[#This Row],[Part]],tblParts[Part],0)),""))</f>
        <v>5</v>
      </c>
      <c r="I125" s="35">
        <f>IF(tblInspections[[#This Row],[Date]]="","",IF(tblInspections[[#This Row],[Opportunities]]="","",tblInspections[[#This Row],[Inspected]]*tblInspections[[#This Row],[Opportunities]]))</f>
        <v>11150</v>
      </c>
      <c r="J125" s="36">
        <f>IF(tblInspections[[#This Row],[Date]]="","",IF(tblInspections[[#This Row],[Inspected]]&gt;0,tblInspections[[#This Row],[Defective]]/tblInspections[[#This Row],[Inspected]],""))</f>
        <v>0.00179372197309417</v>
      </c>
      <c r="K125" s="35">
        <f>IF(tblInspections[[#This Row],[Date]]="","",IF(tblInspections[[#This Row],[Inspected]]&gt;0,tblInspections[[#This Row],[Defective]]/tblInspections[[#This Row],[Inspected]]*1000000,""))</f>
        <v>1793.72197309417</v>
      </c>
      <c r="L125" s="37" t="str">
        <f>IF(NOT(ISNUMBER(tblInspections[[#This Row],[PPM defective]])),"",IF(tblInspections[[#This Row],[PPM defective]]&lt;=TargetPPM,"On target",IF(tblInspections[[#This Row],[PPM defective]]&lt;=TargetPPM*(1+0.05),"Near target","Above target")))</f>
        <v>Above target</v>
      </c>
      <c r="M125" s="38">
        <f>IF(tblInspections[[#This Row],[Date]]="","",IF(tblInspections[[#This Row],[Inspected]]&gt;0,tblInspections[[#This Row],[Defects found]]/tblInspections[[#This Row],[Inspected]],""))</f>
        <v>0.00269058295964126</v>
      </c>
      <c r="N125" s="35">
        <f>IF(tblInspections[[#This Row],[Date]]="","",IF(N(tblInspections[[#This Row],[Opportunities checked]])&gt;0,tblInspections[[#This Row],[Defects found]]/tblInspections[[#This Row],[Opportunities checked]]*1000000,""))</f>
        <v>538.116591928251</v>
      </c>
      <c r="O125" s="39">
        <f>IF(tblInspections[[#This Row],[Date]]="","",IF(AND(tblInspections[[#This Row],[Date]]&gt;=FFrom,tblInspections[[#This Row],[Date]]&lt;=FTo,OR(DashPart="",tblInspections[[#This Row],[Part]]=DashPart)),tblInspections[[#This Row],[Date]],""))</f>
        <v>46304</v>
      </c>
      <c r="P125"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5" s="41" t="s">
        <v>131</v>
      </c>
    </row>
    <row r="126" spans="2:17">
      <c r="B126" s="34">
        <v>46304</v>
      </c>
      <c r="C126" s="28" t="s">
        <v>252</v>
      </c>
      <c r="D126" s="28" t="s">
        <v>86</v>
      </c>
      <c r="E126" s="29">
        <v>2920</v>
      </c>
      <c r="F126" s="29">
        <v>7</v>
      </c>
      <c r="G126" s="35">
        <f>IF(tblInspections[[#This Row],[Date]]="","",SUMIFS(tblDefects[Count],tblDefects[Lot ID],tblInspections[[#This Row],[Lot ID]]))</f>
        <v>9</v>
      </c>
      <c r="H126" s="35">
        <f>IF(tblInspections[[#This Row],[Date]]="","",IFERROR(INDEX(tblParts[Opportunities],MATCH(tblInspections[[#This Row],[Part]],tblParts[Part],0)),""))</f>
        <v>4</v>
      </c>
      <c r="I126" s="35">
        <f>IF(tblInspections[[#This Row],[Date]]="","",IF(tblInspections[[#This Row],[Opportunities]]="","",tblInspections[[#This Row],[Inspected]]*tblInspections[[#This Row],[Opportunities]]))</f>
        <v>11680</v>
      </c>
      <c r="J126" s="36">
        <f>IF(tblInspections[[#This Row],[Date]]="","",IF(tblInspections[[#This Row],[Inspected]]&gt;0,tblInspections[[#This Row],[Defective]]/tblInspections[[#This Row],[Inspected]],""))</f>
        <v>0.0023972602739726</v>
      </c>
      <c r="K126" s="35">
        <f>IF(tblInspections[[#This Row],[Date]]="","",IF(tblInspections[[#This Row],[Inspected]]&gt;0,tblInspections[[#This Row],[Defective]]/tblInspections[[#This Row],[Inspected]]*1000000,""))</f>
        <v>2397.2602739726</v>
      </c>
      <c r="L126" s="37" t="str">
        <f>IF(NOT(ISNUMBER(tblInspections[[#This Row],[PPM defective]])),"",IF(tblInspections[[#This Row],[PPM defective]]&lt;=TargetPPM,"On target",IF(tblInspections[[#This Row],[PPM defective]]&lt;=TargetPPM*(1+0.05),"Near target","Above target")))</f>
        <v>Above target</v>
      </c>
      <c r="M126" s="38">
        <f>IF(tblInspections[[#This Row],[Date]]="","",IF(tblInspections[[#This Row],[Inspected]]&gt;0,tblInspections[[#This Row],[Defects found]]/tblInspections[[#This Row],[Inspected]],""))</f>
        <v>0.00308219178082192</v>
      </c>
      <c r="N126" s="35">
        <f>IF(tblInspections[[#This Row],[Date]]="","",IF(N(tblInspections[[#This Row],[Opportunities checked]])&gt;0,tblInspections[[#This Row],[Defects found]]/tblInspections[[#This Row],[Opportunities checked]]*1000000,""))</f>
        <v>770.547945205479</v>
      </c>
      <c r="O126" s="39">
        <f>IF(tblInspections[[#This Row],[Date]]="","",IF(AND(tblInspections[[#This Row],[Date]]&gt;=FFrom,tblInspections[[#This Row],[Date]]&lt;=FTo,OR(DashPart="",tblInspections[[#This Row],[Part]]=DashPart)),tblInspections[[#This Row],[Date]],""))</f>
        <v>46304</v>
      </c>
      <c r="P126" s="40" t="str">
        <f>IF(tblInspections[[#This Row],[Date]]="","",IF(tblInspections[[#This Row],[Lot ID]]="","Missing lot id",IF(tblInspections[[#This Row],[Part]]="","Missing part",IF(tblInspections[[#This Row],[Inspected]]="","Missing inspected",IF(tblInspections[[#This Row],[Defective]]="","Missing defective",IF(tblInspections[[#This Row],[Opportunities]]="","Part not on Setup list",IF(tblInspections[[#This Row],[Defective]]&gt;tblInspections[[#This Row],[Inspected]],"Defective &gt; inspected",IF(tblInspections[[#This Row],[Defects found]]&lt;tblInspections[[#This Row],[Defective]],"Fewer defects logged than defective units",IF(COUNTIF(tblInspections[Lot ID],tblInspections[[#This Row],[Lot ID]])&gt;1,"Duplicate lot ID","OK")))))))))</f>
        <v>OK</v>
      </c>
      <c r="Q126" s="41" t="s">
        <v>131</v>
      </c>
    </row>
  </sheetData>
  <mergeCells count="3">
    <mergeCell ref="A1:Q1"/>
    <mergeCell ref="B2:P2"/>
    <mergeCell ref="B4:Q4"/>
  </mergeCells>
  <conditionalFormatting sqref="K7:K626">
    <cfRule type="expression" dxfId="3" priority="1" stopIfTrue="1">
      <formula>AND(ISNUMBER(K7),K7&lt;=(TargetPPM))</formula>
    </cfRule>
    <cfRule type="expression" dxfId="4" priority="2" stopIfTrue="1">
      <formula>AND(ISNUMBER(K7),K7&lt;=(TargetPPM)*(1+0.05))</formula>
    </cfRule>
    <cfRule type="expression" dxfId="5" priority="3">
      <formula>ISNUMBER(K7)</formula>
    </cfRule>
  </conditionalFormatting>
  <conditionalFormatting sqref="L7:L626">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P7:P626">
    <cfRule type="expression" dxfId="3" priority="24">
      <formula>$P7="OK"</formula>
    </cfRule>
    <cfRule type="expression" dxfId="1" priority="25">
      <formula>AND($P7&lt;&gt;"",$P7&lt;&gt;"OK")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7:B626">
      <formula1>36526</formula1>
      <formula2>73415</formula2>
    </dataValidation>
    <dataValidation type="textLength" allowBlank="1" showInputMessage="1" showErrorMessage="1" errorTitle="Check this entry" error="Text up to 40 characters." promptTitle="Lot ID" prompt="Your lot, batch or work order number. Each lot once; the Defect Log refers to it. Text up to 40 characters." sqref="C7:C626">
      <formula1>0</formula1>
      <formula2>40</formula2>
    </dataValidation>
    <dataValidation type="list" allowBlank="1" showInputMessage="1" showErrorMessage="1" errorTitle="Check this entry" error="Pick from the list (edit the list on Setup: Parts)." promptTitle="Part" prompt="Pick from the list (edit the list on Setup: Parts)." sqref="D7:D626">
      <formula1>Parts</formula1>
    </dataValidation>
    <dataValidation type="whole" allowBlank="1" showInputMessage="1" showErrorMessage="1" errorTitle="Check this entry" error="Enter a whole number from 0 to 100,000,000." promptTitle="Inspected" prompt="Units inspected from this lot (all of them, or the sample). Enter a whole number from 0 to 100,000,000." sqref="E7:E626">
      <formula1>0</formula1>
      <formula2>100000000</formula2>
    </dataValidation>
    <dataValidation type="whole" allowBlank="1" showInputMessage="1" showErrorMessage="1" errorTitle="Check this entry" error="Enter a whole number from 0 to 100,000,000." promptTitle="Defective" prompt="Units with one or more defects. A unit with three scratches is one defective unit. Enter a whole number from 0 to 100,000,000." sqref="F7:F626">
      <formula1>0</formula1>
      <formula2>100000000</formula2>
    </dataValidation>
    <dataValidation type="textLength" allowBlank="1" showInputMessage="1" showErrorMessage="1" errorTitle="Check this entry" error="Text up to 255 characters." promptTitle="Notes" prompt="Text up to 255 characters." sqref="Q7:Q626">
      <formula1>0</formula1>
      <formula2>255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Defect Rate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I204"/>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2.7109375" customWidth="1"/>
    <col min="3" max="3" width="16.7109375" customWidth="1"/>
    <col min="4" max="4" width="9.7109375" customWidth="1"/>
    <col min="5" max="5" width="12.28515625" customWidth="1"/>
    <col min="6" max="6" width="18.7109375" customWidth="1"/>
    <col min="7" max="7" width="12.28515625" customWidth="1"/>
    <col min="8" max="8" width="28.7109375" customWidth="1"/>
    <col min="9" max="9" width="30.7109375" customWidth="1"/>
  </cols>
  <sheetData>
    <row r="1" spans="1:9" ht="30" customHeight="1">
      <c r="A1" s="1" t="s">
        <v>0</v>
      </c>
      <c r="B1" s="1"/>
      <c r="C1" s="1"/>
      <c r="D1" s="1"/>
      <c r="E1" s="1"/>
      <c r="F1" s="1"/>
      <c r="G1" s="1"/>
      <c r="H1" s="1"/>
      <c r="I1" s="1"/>
    </row>
    <row r="2" spans="1:9" ht="21" customHeight="1">
      <c r="B2" s="2" t="s">
        <v>24</v>
      </c>
      <c r="C2" s="2"/>
      <c r="D2" s="2"/>
      <c r="E2" s="2"/>
      <c r="F2" s="2"/>
      <c r="G2" s="2"/>
      <c r="H2" s="2"/>
      <c r="I2" s="3" t="s">
        <v>2</v>
      </c>
    </row>
    <row r="3" spans="1:9" ht="6" customHeight="1"/>
    <row r="4" spans="1:9" ht="29.76" customHeight="1">
      <c r="B4" s="33" t="s">
        <v>254</v>
      </c>
      <c r="C4" s="33"/>
      <c r="D4" s="33"/>
      <c r="E4" s="33"/>
      <c r="F4" s="33"/>
      <c r="G4" s="33"/>
      <c r="H4" s="33"/>
      <c r="I4" s="33"/>
    </row>
    <row r="5" spans="1:9" ht="14" customHeight="1">
      <c r="B5" s="31"/>
      <c r="C5" s="31"/>
      <c r="D5" s="31" t="s">
        <v>126</v>
      </c>
      <c r="E5" s="31"/>
      <c r="F5" s="31"/>
      <c r="G5" s="31"/>
      <c r="H5" s="31"/>
      <c r="I5" s="31"/>
    </row>
    <row r="6" spans="1:9" ht="20" customHeight="1">
      <c r="B6" s="32" t="s">
        <v>111</v>
      </c>
      <c r="C6" s="32" t="s">
        <v>67</v>
      </c>
      <c r="D6" s="32" t="s">
        <v>253</v>
      </c>
      <c r="E6" s="32" t="s">
        <v>110</v>
      </c>
      <c r="F6" s="32" t="s">
        <v>64</v>
      </c>
      <c r="G6" s="32" t="s">
        <v>121</v>
      </c>
      <c r="H6" s="32" t="s">
        <v>122</v>
      </c>
      <c r="I6" s="32" t="s">
        <v>123</v>
      </c>
    </row>
    <row r="7" spans="1:9">
      <c r="B7" s="28" t="s">
        <v>130</v>
      </c>
      <c r="C7" s="28" t="s">
        <v>89</v>
      </c>
      <c r="D7" s="29">
        <v>2</v>
      </c>
      <c r="E7" s="39">
        <f>IF(tblDefects[[#This Row],[Lot ID]]="","",IFERROR(INDEX(tblInspections[Date],MATCH(tblDefects[[#This Row],[Lot ID]],tblInspections[Lot ID],0)),""))</f>
        <v>46265</v>
      </c>
      <c r="F7" s="42" t="str">
        <f>IF(tblDefects[[#This Row],[Lot ID]]="","",IFERROR(INDEX(tblInspections[Part],MATCH(tblDefects[[#This Row],[Lot ID]],tblInspections[Lot ID],0)),""))</f>
        <v>Seat bracket SB-204</v>
      </c>
      <c r="G7" s="39">
        <f>IF(tblDefects[[#This Row],[Lot ID]]="","",IFERROR(INDEX(tblInspections[View date],MATCH(tblDefects[[#This Row],[Lot ID]],tblInspections[Lot ID],0)),""))</f>
        <v>46265</v>
      </c>
      <c r="H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 s="41" t="s">
        <v>131</v>
      </c>
    </row>
    <row r="8" spans="1:9">
      <c r="B8" s="28" t="s">
        <v>130</v>
      </c>
      <c r="C8" s="28" t="s">
        <v>95</v>
      </c>
      <c r="D8" s="29">
        <v>1</v>
      </c>
      <c r="E8" s="39">
        <f>IF(tblDefects[[#This Row],[Lot ID]]="","",IFERROR(INDEX(tblInspections[Date],MATCH(tblDefects[[#This Row],[Lot ID]],tblInspections[Lot ID],0)),""))</f>
        <v>46265</v>
      </c>
      <c r="F8" s="42" t="str">
        <f>IF(tblDefects[[#This Row],[Lot ID]]="","",IFERROR(INDEX(tblInspections[Part],MATCH(tblDefects[[#This Row],[Lot ID]],tblInspections[Lot ID],0)),""))</f>
        <v>Seat bracket SB-204</v>
      </c>
      <c r="G8" s="39">
        <f>IF(tblDefects[[#This Row],[Lot ID]]="","",IFERROR(INDEX(tblInspections[View date],MATCH(tblDefects[[#This Row],[Lot ID]],tblInspections[Lot ID],0)),""))</f>
        <v>46265</v>
      </c>
      <c r="H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 s="41" t="s">
        <v>131</v>
      </c>
    </row>
    <row r="9" spans="1:9">
      <c r="B9" s="28" t="s">
        <v>132</v>
      </c>
      <c r="C9" s="28" t="s">
        <v>89</v>
      </c>
      <c r="D9" s="29">
        <v>1</v>
      </c>
      <c r="E9" s="39">
        <f>IF(tblDefects[[#This Row],[Lot ID]]="","",IFERROR(INDEX(tblInspections[Date],MATCH(tblDefects[[#This Row],[Lot ID]],tblInspections[Lot ID],0)),""))</f>
        <v>46265</v>
      </c>
      <c r="F9" s="42" t="str">
        <f>IF(tblDefects[[#This Row],[Lot ID]]="","",IFERROR(INDEX(tblInspections[Part],MATCH(tblDefects[[#This Row],[Lot ID]],tblInspections[Lot ID],0)),""))</f>
        <v>Hinge plate HP-118</v>
      </c>
      <c r="G9" s="39">
        <f>IF(tblDefects[[#This Row],[Lot ID]]="","",IFERROR(INDEX(tblInspections[View date],MATCH(tblDefects[[#This Row],[Lot ID]],tblInspections[Lot ID],0)),""))</f>
        <v>46265</v>
      </c>
      <c r="H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 s="41" t="s">
        <v>131</v>
      </c>
    </row>
    <row r="10" spans="1:9">
      <c r="B10" s="28" t="s">
        <v>132</v>
      </c>
      <c r="C10" s="28" t="s">
        <v>95</v>
      </c>
      <c r="D10" s="29">
        <v>2</v>
      </c>
      <c r="E10" s="39">
        <f>IF(tblDefects[[#This Row],[Lot ID]]="","",IFERROR(INDEX(tblInspections[Date],MATCH(tblDefects[[#This Row],[Lot ID]],tblInspections[Lot ID],0)),""))</f>
        <v>46265</v>
      </c>
      <c r="F10" s="42" t="str">
        <f>IF(tblDefects[[#This Row],[Lot ID]]="","",IFERROR(INDEX(tblInspections[Part],MATCH(tblDefects[[#This Row],[Lot ID]],tblInspections[Lot ID],0)),""))</f>
        <v>Hinge plate HP-118</v>
      </c>
      <c r="G10" s="39">
        <f>IF(tblDefects[[#This Row],[Lot ID]]="","",IFERROR(INDEX(tblInspections[View date],MATCH(tblDefects[[#This Row],[Lot ID]],tblInspections[Lot ID],0)),""))</f>
        <v>46265</v>
      </c>
      <c r="H1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 s="41" t="s">
        <v>131</v>
      </c>
    </row>
    <row r="11" spans="1:9">
      <c r="B11" s="28" t="s">
        <v>132</v>
      </c>
      <c r="C11" s="28" t="s">
        <v>103</v>
      </c>
      <c r="D11" s="29">
        <v>1</v>
      </c>
      <c r="E11" s="39">
        <f>IF(tblDefects[[#This Row],[Lot ID]]="","",IFERROR(INDEX(tblInspections[Date],MATCH(tblDefects[[#This Row],[Lot ID]],tblInspections[Lot ID],0)),""))</f>
        <v>46265</v>
      </c>
      <c r="F11" s="42" t="str">
        <f>IF(tblDefects[[#This Row],[Lot ID]]="","",IFERROR(INDEX(tblInspections[Part],MATCH(tblDefects[[#This Row],[Lot ID]],tblInspections[Lot ID],0)),""))</f>
        <v>Hinge plate HP-118</v>
      </c>
      <c r="G11" s="39">
        <f>IF(tblDefects[[#This Row],[Lot ID]]="","",IFERROR(INDEX(tblInspections[View date],MATCH(tblDefects[[#This Row],[Lot ID]],tblInspections[Lot ID],0)),""))</f>
        <v>46265</v>
      </c>
      <c r="H1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 s="41" t="s">
        <v>131</v>
      </c>
    </row>
    <row r="12" spans="1:9">
      <c r="B12" s="28" t="s">
        <v>133</v>
      </c>
      <c r="C12" s="28" t="s">
        <v>98</v>
      </c>
      <c r="D12" s="29">
        <v>4</v>
      </c>
      <c r="E12" s="39">
        <f>IF(tblDefects[[#This Row],[Lot ID]]="","",IFERROR(INDEX(tblInspections[Date],MATCH(tblDefects[[#This Row],[Lot ID]],tblInspections[Lot ID],0)),""))</f>
        <v>46265</v>
      </c>
      <c r="F12" s="42" t="str">
        <f>IF(tblDefects[[#This Row],[Lot ID]]="","",IFERROR(INDEX(tblInspections[Part],MATCH(tblDefects[[#This Row],[Lot ID]],tblInspections[Lot ID],0)),""))</f>
        <v>Heat shield HS-330</v>
      </c>
      <c r="G12" s="39">
        <f>IF(tblDefects[[#This Row],[Lot ID]]="","",IFERROR(INDEX(tblInspections[View date],MATCH(tblDefects[[#This Row],[Lot ID]],tblInspections[Lot ID],0)),""))</f>
        <v>46265</v>
      </c>
      <c r="H1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 s="41" t="s">
        <v>131</v>
      </c>
    </row>
    <row r="13" spans="1:9">
      <c r="B13" s="28" t="s">
        <v>133</v>
      </c>
      <c r="C13" s="28" t="s">
        <v>101</v>
      </c>
      <c r="D13" s="29">
        <v>2</v>
      </c>
      <c r="E13" s="39">
        <f>IF(tblDefects[[#This Row],[Lot ID]]="","",IFERROR(INDEX(tblInspections[Date],MATCH(tblDefects[[#This Row],[Lot ID]],tblInspections[Lot ID],0)),""))</f>
        <v>46265</v>
      </c>
      <c r="F13" s="42" t="str">
        <f>IF(tblDefects[[#This Row],[Lot ID]]="","",IFERROR(INDEX(tblInspections[Part],MATCH(tblDefects[[#This Row],[Lot ID]],tblInspections[Lot ID],0)),""))</f>
        <v>Heat shield HS-330</v>
      </c>
      <c r="G13" s="39">
        <f>IF(tblDefects[[#This Row],[Lot ID]]="","",IFERROR(INDEX(tblInspections[View date],MATCH(tblDefects[[#This Row],[Lot ID]],tblInspections[Lot ID],0)),""))</f>
        <v>46265</v>
      </c>
      <c r="H1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 s="41" t="s">
        <v>131</v>
      </c>
    </row>
    <row r="14" spans="1:9">
      <c r="B14" s="28" t="s">
        <v>134</v>
      </c>
      <c r="C14" s="28" t="s">
        <v>89</v>
      </c>
      <c r="D14" s="29">
        <v>1</v>
      </c>
      <c r="E14" s="39">
        <f>IF(tblDefects[[#This Row],[Lot ID]]="","",IFERROR(INDEX(tblInspections[Date],MATCH(tblDefects[[#This Row],[Lot ID]],tblInspections[Lot ID],0)),""))</f>
        <v>46265</v>
      </c>
      <c r="F14" s="42" t="str">
        <f>IF(tblDefects[[#This Row],[Lot ID]]="","",IFERROR(INDEX(tblInspections[Part],MATCH(tblDefects[[#This Row],[Lot ID]],tblInspections[Lot ID],0)),""))</f>
        <v>Tray clip BC-77</v>
      </c>
      <c r="G14" s="39">
        <f>IF(tblDefects[[#This Row],[Lot ID]]="","",IFERROR(INDEX(tblInspections[View date],MATCH(tblDefects[[#This Row],[Lot ID]],tblInspections[Lot ID],0)),""))</f>
        <v>46265</v>
      </c>
      <c r="H1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 s="41" t="s">
        <v>131</v>
      </c>
    </row>
    <row r="15" spans="1:9">
      <c r="B15" s="28" t="s">
        <v>134</v>
      </c>
      <c r="C15" s="28" t="s">
        <v>106</v>
      </c>
      <c r="D15" s="29">
        <v>2</v>
      </c>
      <c r="E15" s="39">
        <f>IF(tblDefects[[#This Row],[Lot ID]]="","",IFERROR(INDEX(tblInspections[Date],MATCH(tblDefects[[#This Row],[Lot ID]],tblInspections[Lot ID],0)),""))</f>
        <v>46265</v>
      </c>
      <c r="F15" s="42" t="str">
        <f>IF(tblDefects[[#This Row],[Lot ID]]="","",IFERROR(INDEX(tblInspections[Part],MATCH(tblDefects[[#This Row],[Lot ID]],tblInspections[Lot ID],0)),""))</f>
        <v>Tray clip BC-77</v>
      </c>
      <c r="G15" s="39">
        <f>IF(tblDefects[[#This Row],[Lot ID]]="","",IFERROR(INDEX(tblInspections[View date],MATCH(tblDefects[[#This Row],[Lot ID]],tblInspections[Lot ID],0)),""))</f>
        <v>46265</v>
      </c>
      <c r="H1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 s="41" t="s">
        <v>131</v>
      </c>
    </row>
    <row r="16" spans="1:9">
      <c r="B16" s="28" t="s">
        <v>135</v>
      </c>
      <c r="C16" s="28" t="s">
        <v>89</v>
      </c>
      <c r="D16" s="29">
        <v>4</v>
      </c>
      <c r="E16" s="39">
        <f>IF(tblDefects[[#This Row],[Lot ID]]="","",IFERROR(INDEX(tblInspections[Date],MATCH(tblDefects[[#This Row],[Lot ID]],tblInspections[Lot ID],0)),""))</f>
        <v>46266</v>
      </c>
      <c r="F16" s="42" t="str">
        <f>IF(tblDefects[[#This Row],[Lot ID]]="","",IFERROR(INDEX(tblInspections[Part],MATCH(tblDefects[[#This Row],[Lot ID]],tblInspections[Lot ID],0)),""))</f>
        <v>Seat bracket SB-204</v>
      </c>
      <c r="G16" s="39">
        <f>IF(tblDefects[[#This Row],[Lot ID]]="","",IFERROR(INDEX(tblInspections[View date],MATCH(tblDefects[[#This Row],[Lot ID]],tblInspections[Lot ID],0)),""))</f>
        <v>46266</v>
      </c>
      <c r="H1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 s="41" t="s">
        <v>131</v>
      </c>
    </row>
    <row r="17" spans="2:9">
      <c r="B17" s="28" t="s">
        <v>135</v>
      </c>
      <c r="C17" s="28" t="s">
        <v>95</v>
      </c>
      <c r="D17" s="29">
        <v>1</v>
      </c>
      <c r="E17" s="39">
        <f>IF(tblDefects[[#This Row],[Lot ID]]="","",IFERROR(INDEX(tblInspections[Date],MATCH(tblDefects[[#This Row],[Lot ID]],tblInspections[Lot ID],0)),""))</f>
        <v>46266</v>
      </c>
      <c r="F17" s="42" t="str">
        <f>IF(tblDefects[[#This Row],[Lot ID]]="","",IFERROR(INDEX(tblInspections[Part],MATCH(tblDefects[[#This Row],[Lot ID]],tblInspections[Lot ID],0)),""))</f>
        <v>Seat bracket SB-204</v>
      </c>
      <c r="G17" s="39">
        <f>IF(tblDefects[[#This Row],[Lot ID]]="","",IFERROR(INDEX(tblInspections[View date],MATCH(tblDefects[[#This Row],[Lot ID]],tblInspections[Lot ID],0)),""))</f>
        <v>46266</v>
      </c>
      <c r="H1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 s="41" t="s">
        <v>131</v>
      </c>
    </row>
    <row r="18" spans="2:9">
      <c r="B18" s="28" t="s">
        <v>136</v>
      </c>
      <c r="C18" s="28" t="s">
        <v>95</v>
      </c>
      <c r="D18" s="29">
        <v>3</v>
      </c>
      <c r="E18" s="39">
        <f>IF(tblDefects[[#This Row],[Lot ID]]="","",IFERROR(INDEX(tblInspections[Date],MATCH(tblDefects[[#This Row],[Lot ID]],tblInspections[Lot ID],0)),""))</f>
        <v>46266</v>
      </c>
      <c r="F18" s="42" t="str">
        <f>IF(tblDefects[[#This Row],[Lot ID]]="","",IFERROR(INDEX(tblInspections[Part],MATCH(tblDefects[[#This Row],[Lot ID]],tblInspections[Lot ID],0)),""))</f>
        <v>Hinge plate HP-118</v>
      </c>
      <c r="G18" s="39">
        <f>IF(tblDefects[[#This Row],[Lot ID]]="","",IFERROR(INDEX(tblInspections[View date],MATCH(tblDefects[[#This Row],[Lot ID]],tblInspections[Lot ID],0)),""))</f>
        <v>46266</v>
      </c>
      <c r="H1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 s="41" t="s">
        <v>131</v>
      </c>
    </row>
    <row r="19" spans="2:9">
      <c r="B19" s="28" t="s">
        <v>136</v>
      </c>
      <c r="C19" s="28" t="s">
        <v>103</v>
      </c>
      <c r="D19" s="29">
        <v>1</v>
      </c>
      <c r="E19" s="39">
        <f>IF(tblDefects[[#This Row],[Lot ID]]="","",IFERROR(INDEX(tblInspections[Date],MATCH(tblDefects[[#This Row],[Lot ID]],tblInspections[Lot ID],0)),""))</f>
        <v>46266</v>
      </c>
      <c r="F19" s="42" t="str">
        <f>IF(tblDefects[[#This Row],[Lot ID]]="","",IFERROR(INDEX(tblInspections[Part],MATCH(tblDefects[[#This Row],[Lot ID]],tblInspections[Lot ID],0)),""))</f>
        <v>Hinge plate HP-118</v>
      </c>
      <c r="G19" s="39">
        <f>IF(tblDefects[[#This Row],[Lot ID]]="","",IFERROR(INDEX(tblInspections[View date],MATCH(tblDefects[[#This Row],[Lot ID]],tblInspections[Lot ID],0)),""))</f>
        <v>46266</v>
      </c>
      <c r="H1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 s="41" t="s">
        <v>131</v>
      </c>
    </row>
    <row r="20" spans="2:9">
      <c r="B20" s="28" t="s">
        <v>137</v>
      </c>
      <c r="C20" s="28" t="s">
        <v>98</v>
      </c>
      <c r="D20" s="29">
        <v>1</v>
      </c>
      <c r="E20" s="39">
        <f>IF(tblDefects[[#This Row],[Lot ID]]="","",IFERROR(INDEX(tblInspections[Date],MATCH(tblDefects[[#This Row],[Lot ID]],tblInspections[Lot ID],0)),""))</f>
        <v>46266</v>
      </c>
      <c r="F20" s="42" t="str">
        <f>IF(tblDefects[[#This Row],[Lot ID]]="","",IFERROR(INDEX(tblInspections[Part],MATCH(tblDefects[[#This Row],[Lot ID]],tblInspections[Lot ID],0)),""))</f>
        <v>Heat shield HS-330</v>
      </c>
      <c r="G20" s="39">
        <f>IF(tblDefects[[#This Row],[Lot ID]]="","",IFERROR(INDEX(tblInspections[View date],MATCH(tblDefects[[#This Row],[Lot ID]],tblInspections[Lot ID],0)),""))</f>
        <v>46266</v>
      </c>
      <c r="H2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0" s="41" t="s">
        <v>131</v>
      </c>
    </row>
    <row r="21" spans="2:9">
      <c r="B21" s="28" t="s">
        <v>137</v>
      </c>
      <c r="C21" s="28" t="s">
        <v>101</v>
      </c>
      <c r="D21" s="29">
        <v>1</v>
      </c>
      <c r="E21" s="39">
        <f>IF(tblDefects[[#This Row],[Lot ID]]="","",IFERROR(INDEX(tblInspections[Date],MATCH(tblDefects[[#This Row],[Lot ID]],tblInspections[Lot ID],0)),""))</f>
        <v>46266</v>
      </c>
      <c r="F21" s="42" t="str">
        <f>IF(tblDefects[[#This Row],[Lot ID]]="","",IFERROR(INDEX(tblInspections[Part],MATCH(tblDefects[[#This Row],[Lot ID]],tblInspections[Lot ID],0)),""))</f>
        <v>Heat shield HS-330</v>
      </c>
      <c r="G21" s="39">
        <f>IF(tblDefects[[#This Row],[Lot ID]]="","",IFERROR(INDEX(tblInspections[View date],MATCH(tblDefects[[#This Row],[Lot ID]],tblInspections[Lot ID],0)),""))</f>
        <v>46266</v>
      </c>
      <c r="H2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1" s="41" t="s">
        <v>131</v>
      </c>
    </row>
    <row r="22" spans="2:9">
      <c r="B22" s="28" t="s">
        <v>137</v>
      </c>
      <c r="C22" s="28" t="s">
        <v>103</v>
      </c>
      <c r="D22" s="29">
        <v>2</v>
      </c>
      <c r="E22" s="39">
        <f>IF(tblDefects[[#This Row],[Lot ID]]="","",IFERROR(INDEX(tblInspections[Date],MATCH(tblDefects[[#This Row],[Lot ID]],tblInspections[Lot ID],0)),""))</f>
        <v>46266</v>
      </c>
      <c r="F22" s="42" t="str">
        <f>IF(tblDefects[[#This Row],[Lot ID]]="","",IFERROR(INDEX(tblInspections[Part],MATCH(tblDefects[[#This Row],[Lot ID]],tblInspections[Lot ID],0)),""))</f>
        <v>Heat shield HS-330</v>
      </c>
      <c r="G22" s="39">
        <f>IF(tblDefects[[#This Row],[Lot ID]]="","",IFERROR(INDEX(tblInspections[View date],MATCH(tblDefects[[#This Row],[Lot ID]],tblInspections[Lot ID],0)),""))</f>
        <v>46266</v>
      </c>
      <c r="H2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2" s="41" t="s">
        <v>131</v>
      </c>
    </row>
    <row r="23" spans="2:9">
      <c r="B23" s="28" t="s">
        <v>138</v>
      </c>
      <c r="C23" s="28" t="s">
        <v>89</v>
      </c>
      <c r="D23" s="29">
        <v>4</v>
      </c>
      <c r="E23" s="39">
        <f>IF(tblDefects[[#This Row],[Lot ID]]="","",IFERROR(INDEX(tblInspections[Date],MATCH(tblDefects[[#This Row],[Lot ID]],tblInspections[Lot ID],0)),""))</f>
        <v>46266</v>
      </c>
      <c r="F23" s="42" t="str">
        <f>IF(tblDefects[[#This Row],[Lot ID]]="","",IFERROR(INDEX(tblInspections[Part],MATCH(tblDefects[[#This Row],[Lot ID]],tblInspections[Lot ID],0)),""))</f>
        <v>Tray clip BC-77</v>
      </c>
      <c r="G23" s="39">
        <f>IF(tblDefects[[#This Row],[Lot ID]]="","",IFERROR(INDEX(tblInspections[View date],MATCH(tblDefects[[#This Row],[Lot ID]],tblInspections[Lot ID],0)),""))</f>
        <v>46266</v>
      </c>
      <c r="H2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3" s="41" t="s">
        <v>131</v>
      </c>
    </row>
    <row r="24" spans="2:9">
      <c r="B24" s="28" t="s">
        <v>138</v>
      </c>
      <c r="C24" s="28" t="s">
        <v>106</v>
      </c>
      <c r="D24" s="29">
        <v>5</v>
      </c>
      <c r="E24" s="39">
        <f>IF(tblDefects[[#This Row],[Lot ID]]="","",IFERROR(INDEX(tblInspections[Date],MATCH(tblDefects[[#This Row],[Lot ID]],tblInspections[Lot ID],0)),""))</f>
        <v>46266</v>
      </c>
      <c r="F24" s="42" t="str">
        <f>IF(tblDefects[[#This Row],[Lot ID]]="","",IFERROR(INDEX(tblInspections[Part],MATCH(tblDefects[[#This Row],[Lot ID]],tblInspections[Lot ID],0)),""))</f>
        <v>Tray clip BC-77</v>
      </c>
      <c r="G24" s="39">
        <f>IF(tblDefects[[#This Row],[Lot ID]]="","",IFERROR(INDEX(tblInspections[View date],MATCH(tblDefects[[#This Row],[Lot ID]],tblInspections[Lot ID],0)),""))</f>
        <v>46266</v>
      </c>
      <c r="H2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4" s="41" t="s">
        <v>131</v>
      </c>
    </row>
    <row r="25" spans="2:9">
      <c r="B25" s="28" t="s">
        <v>139</v>
      </c>
      <c r="C25" s="28" t="s">
        <v>103</v>
      </c>
      <c r="D25" s="29">
        <v>1</v>
      </c>
      <c r="E25" s="39">
        <f>IF(tblDefects[[#This Row],[Lot ID]]="","",IFERROR(INDEX(tblInspections[Date],MATCH(tblDefects[[#This Row],[Lot ID]],tblInspections[Lot ID],0)),""))</f>
        <v>46267</v>
      </c>
      <c r="F25" s="42" t="str">
        <f>IF(tblDefects[[#This Row],[Lot ID]]="","",IFERROR(INDEX(tblInspections[Part],MATCH(tblDefects[[#This Row],[Lot ID]],tblInspections[Lot ID],0)),""))</f>
        <v>Seat bracket SB-204</v>
      </c>
      <c r="G25" s="39">
        <f>IF(tblDefects[[#This Row],[Lot ID]]="","",IFERROR(INDEX(tblInspections[View date],MATCH(tblDefects[[#This Row],[Lot ID]],tblInspections[Lot ID],0)),""))</f>
        <v>46267</v>
      </c>
      <c r="H2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5" s="41" t="s">
        <v>131</v>
      </c>
    </row>
    <row r="26" spans="2:9">
      <c r="B26" s="28" t="s">
        <v>140</v>
      </c>
      <c r="C26" s="28" t="s">
        <v>92</v>
      </c>
      <c r="D26" s="29">
        <v>1</v>
      </c>
      <c r="E26" s="39">
        <f>IF(tblDefects[[#This Row],[Lot ID]]="","",IFERROR(INDEX(tblInspections[Date],MATCH(tblDefects[[#This Row],[Lot ID]],tblInspections[Lot ID],0)),""))</f>
        <v>46267</v>
      </c>
      <c r="F26" s="42" t="str">
        <f>IF(tblDefects[[#This Row],[Lot ID]]="","",IFERROR(INDEX(tblInspections[Part],MATCH(tblDefects[[#This Row],[Lot ID]],tblInspections[Lot ID],0)),""))</f>
        <v>Hinge plate HP-118</v>
      </c>
      <c r="G26" s="39">
        <f>IF(tblDefects[[#This Row],[Lot ID]]="","",IFERROR(INDEX(tblInspections[View date],MATCH(tblDefects[[#This Row],[Lot ID]],tblInspections[Lot ID],0)),""))</f>
        <v>46267</v>
      </c>
      <c r="H2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6" s="41" t="s">
        <v>131</v>
      </c>
    </row>
    <row r="27" spans="2:9">
      <c r="B27" s="28" t="s">
        <v>140</v>
      </c>
      <c r="C27" s="28" t="s">
        <v>103</v>
      </c>
      <c r="D27" s="29">
        <v>1</v>
      </c>
      <c r="E27" s="39">
        <f>IF(tblDefects[[#This Row],[Lot ID]]="","",IFERROR(INDEX(tblInspections[Date],MATCH(tblDefects[[#This Row],[Lot ID]],tblInspections[Lot ID],0)),""))</f>
        <v>46267</v>
      </c>
      <c r="F27" s="42" t="str">
        <f>IF(tblDefects[[#This Row],[Lot ID]]="","",IFERROR(INDEX(tblInspections[Part],MATCH(tblDefects[[#This Row],[Lot ID]],tblInspections[Lot ID],0)),""))</f>
        <v>Hinge plate HP-118</v>
      </c>
      <c r="G27" s="39">
        <f>IF(tblDefects[[#This Row],[Lot ID]]="","",IFERROR(INDEX(tblInspections[View date],MATCH(tblDefects[[#This Row],[Lot ID]],tblInspections[Lot ID],0)),""))</f>
        <v>46267</v>
      </c>
      <c r="H2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7" s="41" t="s">
        <v>131</v>
      </c>
    </row>
    <row r="28" spans="2:9">
      <c r="B28" s="28" t="s">
        <v>141</v>
      </c>
      <c r="C28" s="28" t="s">
        <v>98</v>
      </c>
      <c r="D28" s="29">
        <v>1</v>
      </c>
      <c r="E28" s="39">
        <f>IF(tblDefects[[#This Row],[Lot ID]]="","",IFERROR(INDEX(tblInspections[Date],MATCH(tblDefects[[#This Row],[Lot ID]],tblInspections[Lot ID],0)),""))</f>
        <v>46267</v>
      </c>
      <c r="F28" s="42" t="str">
        <f>IF(tblDefects[[#This Row],[Lot ID]]="","",IFERROR(INDEX(tblInspections[Part],MATCH(tblDefects[[#This Row],[Lot ID]],tblInspections[Lot ID],0)),""))</f>
        <v>Heat shield HS-330</v>
      </c>
      <c r="G28" s="39">
        <f>IF(tblDefects[[#This Row],[Lot ID]]="","",IFERROR(INDEX(tblInspections[View date],MATCH(tblDefects[[#This Row],[Lot ID]],tblInspections[Lot ID],0)),""))</f>
        <v>46267</v>
      </c>
      <c r="H2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8" s="41" t="s">
        <v>131</v>
      </c>
    </row>
    <row r="29" spans="2:9">
      <c r="B29" s="28" t="s">
        <v>141</v>
      </c>
      <c r="C29" s="28" t="s">
        <v>101</v>
      </c>
      <c r="D29" s="29">
        <v>2</v>
      </c>
      <c r="E29" s="39">
        <f>IF(tblDefects[[#This Row],[Lot ID]]="","",IFERROR(INDEX(tblInspections[Date],MATCH(tblDefects[[#This Row],[Lot ID]],tblInspections[Lot ID],0)),""))</f>
        <v>46267</v>
      </c>
      <c r="F29" s="42" t="str">
        <f>IF(tblDefects[[#This Row],[Lot ID]]="","",IFERROR(INDEX(tblInspections[Part],MATCH(tblDefects[[#This Row],[Lot ID]],tblInspections[Lot ID],0)),""))</f>
        <v>Heat shield HS-330</v>
      </c>
      <c r="G29" s="39">
        <f>IF(tblDefects[[#This Row],[Lot ID]]="","",IFERROR(INDEX(tblInspections[View date],MATCH(tblDefects[[#This Row],[Lot ID]],tblInspections[Lot ID],0)),""))</f>
        <v>46267</v>
      </c>
      <c r="H2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9" s="41" t="s">
        <v>131</v>
      </c>
    </row>
    <row r="30" spans="2:9">
      <c r="B30" s="28" t="s">
        <v>143</v>
      </c>
      <c r="C30" s="28" t="s">
        <v>89</v>
      </c>
      <c r="D30" s="29">
        <v>1</v>
      </c>
      <c r="E30" s="39">
        <f>IF(tblDefects[[#This Row],[Lot ID]]="","",IFERROR(INDEX(tblInspections[Date],MATCH(tblDefects[[#This Row],[Lot ID]],tblInspections[Lot ID],0)),""))</f>
        <v>46268</v>
      </c>
      <c r="F30" s="42" t="str">
        <f>IF(tblDefects[[#This Row],[Lot ID]]="","",IFERROR(INDEX(tblInspections[Part],MATCH(tblDefects[[#This Row],[Lot ID]],tblInspections[Lot ID],0)),""))</f>
        <v>Seat bracket SB-204</v>
      </c>
      <c r="G30" s="39">
        <f>IF(tblDefects[[#This Row],[Lot ID]]="","",IFERROR(INDEX(tblInspections[View date],MATCH(tblDefects[[#This Row],[Lot ID]],tblInspections[Lot ID],0)),""))</f>
        <v>46268</v>
      </c>
      <c r="H3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0" s="41" t="s">
        <v>131</v>
      </c>
    </row>
    <row r="31" spans="2:9">
      <c r="B31" s="28" t="s">
        <v>143</v>
      </c>
      <c r="C31" s="28" t="s">
        <v>95</v>
      </c>
      <c r="D31" s="29">
        <v>1</v>
      </c>
      <c r="E31" s="39">
        <f>IF(tblDefects[[#This Row],[Lot ID]]="","",IFERROR(INDEX(tblInspections[Date],MATCH(tblDefects[[#This Row],[Lot ID]],tblInspections[Lot ID],0)),""))</f>
        <v>46268</v>
      </c>
      <c r="F31" s="42" t="str">
        <f>IF(tblDefects[[#This Row],[Lot ID]]="","",IFERROR(INDEX(tblInspections[Part],MATCH(tblDefects[[#This Row],[Lot ID]],tblInspections[Lot ID],0)),""))</f>
        <v>Seat bracket SB-204</v>
      </c>
      <c r="G31" s="39">
        <f>IF(tblDefects[[#This Row],[Lot ID]]="","",IFERROR(INDEX(tblInspections[View date],MATCH(tblDefects[[#This Row],[Lot ID]],tblInspections[Lot ID],0)),""))</f>
        <v>46268</v>
      </c>
      <c r="H3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1" s="41" t="s">
        <v>131</v>
      </c>
    </row>
    <row r="32" spans="2:9">
      <c r="B32" s="28" t="s">
        <v>144</v>
      </c>
      <c r="C32" s="28" t="s">
        <v>89</v>
      </c>
      <c r="D32" s="29">
        <v>1</v>
      </c>
      <c r="E32" s="39">
        <f>IF(tblDefects[[#This Row],[Lot ID]]="","",IFERROR(INDEX(tblInspections[Date],MATCH(tblDefects[[#This Row],[Lot ID]],tblInspections[Lot ID],0)),""))</f>
        <v>46268</v>
      </c>
      <c r="F32" s="42" t="str">
        <f>IF(tblDefects[[#This Row],[Lot ID]]="","",IFERROR(INDEX(tblInspections[Part],MATCH(tblDefects[[#This Row],[Lot ID]],tblInspections[Lot ID],0)),""))</f>
        <v>Hinge plate HP-118</v>
      </c>
      <c r="G32" s="39">
        <f>IF(tblDefects[[#This Row],[Lot ID]]="","",IFERROR(INDEX(tblInspections[View date],MATCH(tblDefects[[#This Row],[Lot ID]],tblInspections[Lot ID],0)),""))</f>
        <v>46268</v>
      </c>
      <c r="H3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2" s="41" t="s">
        <v>131</v>
      </c>
    </row>
    <row r="33" spans="2:9">
      <c r="B33" s="28" t="s">
        <v>144</v>
      </c>
      <c r="C33" s="28" t="s">
        <v>92</v>
      </c>
      <c r="D33" s="29">
        <v>1</v>
      </c>
      <c r="E33" s="39">
        <f>IF(tblDefects[[#This Row],[Lot ID]]="","",IFERROR(INDEX(tblInspections[Date],MATCH(tblDefects[[#This Row],[Lot ID]],tblInspections[Lot ID],0)),""))</f>
        <v>46268</v>
      </c>
      <c r="F33" s="42" t="str">
        <f>IF(tblDefects[[#This Row],[Lot ID]]="","",IFERROR(INDEX(tblInspections[Part],MATCH(tblDefects[[#This Row],[Lot ID]],tblInspections[Lot ID],0)),""))</f>
        <v>Hinge plate HP-118</v>
      </c>
      <c r="G33" s="39">
        <f>IF(tblDefects[[#This Row],[Lot ID]]="","",IFERROR(INDEX(tblInspections[View date],MATCH(tblDefects[[#This Row],[Lot ID]],tblInspections[Lot ID],0)),""))</f>
        <v>46268</v>
      </c>
      <c r="H3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3" s="41" t="s">
        <v>131</v>
      </c>
    </row>
    <row r="34" spans="2:9">
      <c r="B34" s="28" t="s">
        <v>144</v>
      </c>
      <c r="C34" s="28" t="s">
        <v>103</v>
      </c>
      <c r="D34" s="29">
        <v>1</v>
      </c>
      <c r="E34" s="39">
        <f>IF(tblDefects[[#This Row],[Lot ID]]="","",IFERROR(INDEX(tblInspections[Date],MATCH(tblDefects[[#This Row],[Lot ID]],tblInspections[Lot ID],0)),""))</f>
        <v>46268</v>
      </c>
      <c r="F34" s="42" t="str">
        <f>IF(tblDefects[[#This Row],[Lot ID]]="","",IFERROR(INDEX(tblInspections[Part],MATCH(tblDefects[[#This Row],[Lot ID]],tblInspections[Lot ID],0)),""))</f>
        <v>Hinge plate HP-118</v>
      </c>
      <c r="G34" s="39">
        <f>IF(tblDefects[[#This Row],[Lot ID]]="","",IFERROR(INDEX(tblInspections[View date],MATCH(tblDefects[[#This Row],[Lot ID]],tblInspections[Lot ID],0)),""))</f>
        <v>46268</v>
      </c>
      <c r="H3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4" s="41" t="s">
        <v>131</v>
      </c>
    </row>
    <row r="35" spans="2:9">
      <c r="B35" s="28" t="s">
        <v>146</v>
      </c>
      <c r="C35" s="28" t="s">
        <v>89</v>
      </c>
      <c r="D35" s="29">
        <v>1</v>
      </c>
      <c r="E35" s="39">
        <f>IF(tblDefects[[#This Row],[Lot ID]]="","",IFERROR(INDEX(tblInspections[Date],MATCH(tblDefects[[#This Row],[Lot ID]],tblInspections[Lot ID],0)),""))</f>
        <v>46268</v>
      </c>
      <c r="F35" s="42" t="str">
        <f>IF(tblDefects[[#This Row],[Lot ID]]="","",IFERROR(INDEX(tblInspections[Part],MATCH(tblDefects[[#This Row],[Lot ID]],tblInspections[Lot ID],0)),""))</f>
        <v>Tray clip BC-77</v>
      </c>
      <c r="G35" s="39">
        <f>IF(tblDefects[[#This Row],[Lot ID]]="","",IFERROR(INDEX(tblInspections[View date],MATCH(tblDefects[[#This Row],[Lot ID]],tblInspections[Lot ID],0)),""))</f>
        <v>46268</v>
      </c>
      <c r="H3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5" s="41" t="s">
        <v>131</v>
      </c>
    </row>
    <row r="36" spans="2:9">
      <c r="B36" s="28" t="s">
        <v>146</v>
      </c>
      <c r="C36" s="28" t="s">
        <v>106</v>
      </c>
      <c r="D36" s="29">
        <v>2</v>
      </c>
      <c r="E36" s="39">
        <f>IF(tblDefects[[#This Row],[Lot ID]]="","",IFERROR(INDEX(tblInspections[Date],MATCH(tblDefects[[#This Row],[Lot ID]],tblInspections[Lot ID],0)),""))</f>
        <v>46268</v>
      </c>
      <c r="F36" s="42" t="str">
        <f>IF(tblDefects[[#This Row],[Lot ID]]="","",IFERROR(INDEX(tblInspections[Part],MATCH(tblDefects[[#This Row],[Lot ID]],tblInspections[Lot ID],0)),""))</f>
        <v>Tray clip BC-77</v>
      </c>
      <c r="G36" s="39">
        <f>IF(tblDefects[[#This Row],[Lot ID]]="","",IFERROR(INDEX(tblInspections[View date],MATCH(tblDefects[[#This Row],[Lot ID]],tblInspections[Lot ID],0)),""))</f>
        <v>46268</v>
      </c>
      <c r="H3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6" s="41" t="s">
        <v>131</v>
      </c>
    </row>
    <row r="37" spans="2:9">
      <c r="B37" s="28" t="s">
        <v>146</v>
      </c>
      <c r="C37" s="28" t="s">
        <v>108</v>
      </c>
      <c r="D37" s="29">
        <v>1</v>
      </c>
      <c r="E37" s="39">
        <f>IF(tblDefects[[#This Row],[Lot ID]]="","",IFERROR(INDEX(tblInspections[Date],MATCH(tblDefects[[#This Row],[Lot ID]],tblInspections[Lot ID],0)),""))</f>
        <v>46268</v>
      </c>
      <c r="F37" s="42" t="str">
        <f>IF(tblDefects[[#This Row],[Lot ID]]="","",IFERROR(INDEX(tblInspections[Part],MATCH(tblDefects[[#This Row],[Lot ID]],tblInspections[Lot ID],0)),""))</f>
        <v>Tray clip BC-77</v>
      </c>
      <c r="G37" s="39">
        <f>IF(tblDefects[[#This Row],[Lot ID]]="","",IFERROR(INDEX(tblInspections[View date],MATCH(tblDefects[[#This Row],[Lot ID]],tblInspections[Lot ID],0)),""))</f>
        <v>46268</v>
      </c>
      <c r="H3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7" s="41" t="s">
        <v>255</v>
      </c>
    </row>
    <row r="38" spans="2:9">
      <c r="B38" s="28" t="s">
        <v>148</v>
      </c>
      <c r="C38" s="28" t="s">
        <v>89</v>
      </c>
      <c r="D38" s="29">
        <v>1</v>
      </c>
      <c r="E38" s="39">
        <f>IF(tblDefects[[#This Row],[Lot ID]]="","",IFERROR(INDEX(tblInspections[Date],MATCH(tblDefects[[#This Row],[Lot ID]],tblInspections[Lot ID],0)),""))</f>
        <v>46269</v>
      </c>
      <c r="F38" s="42" t="str">
        <f>IF(tblDefects[[#This Row],[Lot ID]]="","",IFERROR(INDEX(tblInspections[Part],MATCH(tblDefects[[#This Row],[Lot ID]],tblInspections[Lot ID],0)),""))</f>
        <v>Hinge plate HP-118</v>
      </c>
      <c r="G38" s="39">
        <f>IF(tblDefects[[#This Row],[Lot ID]]="","",IFERROR(INDEX(tblInspections[View date],MATCH(tblDefects[[#This Row],[Lot ID]],tblInspections[Lot ID],0)),""))</f>
        <v>46269</v>
      </c>
      <c r="H3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8" s="41" t="s">
        <v>131</v>
      </c>
    </row>
    <row r="39" spans="2:9">
      <c r="B39" s="28" t="s">
        <v>149</v>
      </c>
      <c r="C39" s="28" t="s">
        <v>98</v>
      </c>
      <c r="D39" s="29">
        <v>4</v>
      </c>
      <c r="E39" s="39">
        <f>IF(tblDefects[[#This Row],[Lot ID]]="","",IFERROR(INDEX(tblInspections[Date],MATCH(tblDefects[[#This Row],[Lot ID]],tblInspections[Lot ID],0)),""))</f>
        <v>46269</v>
      </c>
      <c r="F39" s="42" t="str">
        <f>IF(tblDefects[[#This Row],[Lot ID]]="","",IFERROR(INDEX(tblInspections[Part],MATCH(tblDefects[[#This Row],[Lot ID]],tblInspections[Lot ID],0)),""))</f>
        <v>Heat shield HS-330</v>
      </c>
      <c r="G39" s="39">
        <f>IF(tblDefects[[#This Row],[Lot ID]]="","",IFERROR(INDEX(tblInspections[View date],MATCH(tblDefects[[#This Row],[Lot ID]],tblInspections[Lot ID],0)),""))</f>
        <v>46269</v>
      </c>
      <c r="H3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39" s="41" t="s">
        <v>131</v>
      </c>
    </row>
    <row r="40" spans="2:9">
      <c r="B40" s="28" t="s">
        <v>149</v>
      </c>
      <c r="C40" s="28" t="s">
        <v>101</v>
      </c>
      <c r="D40" s="29">
        <v>1</v>
      </c>
      <c r="E40" s="39">
        <f>IF(tblDefects[[#This Row],[Lot ID]]="","",IFERROR(INDEX(tblInspections[Date],MATCH(tblDefects[[#This Row],[Lot ID]],tblInspections[Lot ID],0)),""))</f>
        <v>46269</v>
      </c>
      <c r="F40" s="42" t="str">
        <f>IF(tblDefects[[#This Row],[Lot ID]]="","",IFERROR(INDEX(tblInspections[Part],MATCH(tblDefects[[#This Row],[Lot ID]],tblInspections[Lot ID],0)),""))</f>
        <v>Heat shield HS-330</v>
      </c>
      <c r="G40" s="39">
        <f>IF(tblDefects[[#This Row],[Lot ID]]="","",IFERROR(INDEX(tblInspections[View date],MATCH(tblDefects[[#This Row],[Lot ID]],tblInspections[Lot ID],0)),""))</f>
        <v>46269</v>
      </c>
      <c r="H4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0" s="41" t="s">
        <v>131</v>
      </c>
    </row>
    <row r="41" spans="2:9">
      <c r="B41" s="28" t="s">
        <v>150</v>
      </c>
      <c r="C41" s="28" t="s">
        <v>89</v>
      </c>
      <c r="D41" s="29">
        <v>3</v>
      </c>
      <c r="E41" s="39">
        <f>IF(tblDefects[[#This Row],[Lot ID]]="","",IFERROR(INDEX(tblInspections[Date],MATCH(tblDefects[[#This Row],[Lot ID]],tblInspections[Lot ID],0)),""))</f>
        <v>46269</v>
      </c>
      <c r="F41" s="42" t="str">
        <f>IF(tblDefects[[#This Row],[Lot ID]]="","",IFERROR(INDEX(tblInspections[Part],MATCH(tblDefects[[#This Row],[Lot ID]],tblInspections[Lot ID],0)),""))</f>
        <v>Tray clip BC-77</v>
      </c>
      <c r="G41" s="39">
        <f>IF(tblDefects[[#This Row],[Lot ID]]="","",IFERROR(INDEX(tblInspections[View date],MATCH(tblDefects[[#This Row],[Lot ID]],tblInspections[Lot ID],0)),""))</f>
        <v>46269</v>
      </c>
      <c r="H4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1" s="41" t="s">
        <v>131</v>
      </c>
    </row>
    <row r="42" spans="2:9">
      <c r="B42" s="28" t="s">
        <v>150</v>
      </c>
      <c r="C42" s="28" t="s">
        <v>106</v>
      </c>
      <c r="D42" s="29">
        <v>5</v>
      </c>
      <c r="E42" s="39">
        <f>IF(tblDefects[[#This Row],[Lot ID]]="","",IFERROR(INDEX(tblInspections[Date],MATCH(tblDefects[[#This Row],[Lot ID]],tblInspections[Lot ID],0)),""))</f>
        <v>46269</v>
      </c>
      <c r="F42" s="42" t="str">
        <f>IF(tblDefects[[#This Row],[Lot ID]]="","",IFERROR(INDEX(tblInspections[Part],MATCH(tblDefects[[#This Row],[Lot ID]],tblInspections[Lot ID],0)),""))</f>
        <v>Tray clip BC-77</v>
      </c>
      <c r="G42" s="39">
        <f>IF(tblDefects[[#This Row],[Lot ID]]="","",IFERROR(INDEX(tblInspections[View date],MATCH(tblDefects[[#This Row],[Lot ID]],tblInspections[Lot ID],0)),""))</f>
        <v>46269</v>
      </c>
      <c r="H4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2" s="41" t="s">
        <v>131</v>
      </c>
    </row>
    <row r="43" spans="2:9">
      <c r="B43" s="28" t="s">
        <v>151</v>
      </c>
      <c r="C43" s="28" t="s">
        <v>103</v>
      </c>
      <c r="D43" s="29">
        <v>1</v>
      </c>
      <c r="E43" s="39">
        <f>IF(tblDefects[[#This Row],[Lot ID]]="","",IFERROR(INDEX(tblInspections[Date],MATCH(tblDefects[[#This Row],[Lot ID]],tblInspections[Lot ID],0)),""))</f>
        <v>46272</v>
      </c>
      <c r="F43" s="42" t="str">
        <f>IF(tblDefects[[#This Row],[Lot ID]]="","",IFERROR(INDEX(tblInspections[Part],MATCH(tblDefects[[#This Row],[Lot ID]],tblInspections[Lot ID],0)),""))</f>
        <v>Seat bracket SB-204</v>
      </c>
      <c r="G43" s="39">
        <f>IF(tblDefects[[#This Row],[Lot ID]]="","",IFERROR(INDEX(tblInspections[View date],MATCH(tblDefects[[#This Row],[Lot ID]],tblInspections[Lot ID],0)),""))</f>
        <v>46272</v>
      </c>
      <c r="H4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3" s="41" t="s">
        <v>131</v>
      </c>
    </row>
    <row r="44" spans="2:9">
      <c r="B44" s="28" t="s">
        <v>152</v>
      </c>
      <c r="C44" s="28" t="s">
        <v>89</v>
      </c>
      <c r="D44" s="29">
        <v>2</v>
      </c>
      <c r="E44" s="39">
        <f>IF(tblDefects[[#This Row],[Lot ID]]="","",IFERROR(INDEX(tblInspections[Date],MATCH(tblDefects[[#This Row],[Lot ID]],tblInspections[Lot ID],0)),""))</f>
        <v>46272</v>
      </c>
      <c r="F44" s="42" t="str">
        <f>IF(tblDefects[[#This Row],[Lot ID]]="","",IFERROR(INDEX(tblInspections[Part],MATCH(tblDefects[[#This Row],[Lot ID]],tblInspections[Lot ID],0)),""))</f>
        <v>Hinge plate HP-118</v>
      </c>
      <c r="G44" s="39">
        <f>IF(tblDefects[[#This Row],[Lot ID]]="","",IFERROR(INDEX(tblInspections[View date],MATCH(tblDefects[[#This Row],[Lot ID]],tblInspections[Lot ID],0)),""))</f>
        <v>46272</v>
      </c>
      <c r="H4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4" s="41" t="s">
        <v>131</v>
      </c>
    </row>
    <row r="45" spans="2:9">
      <c r="B45" s="28" t="s">
        <v>153</v>
      </c>
      <c r="C45" s="28" t="s">
        <v>98</v>
      </c>
      <c r="D45" s="29">
        <v>1</v>
      </c>
      <c r="E45" s="39">
        <f>IF(tblDefects[[#This Row],[Lot ID]]="","",IFERROR(INDEX(tblInspections[Date],MATCH(tblDefects[[#This Row],[Lot ID]],tblInspections[Lot ID],0)),""))</f>
        <v>46272</v>
      </c>
      <c r="F45" s="42" t="str">
        <f>IF(tblDefects[[#This Row],[Lot ID]]="","",IFERROR(INDEX(tblInspections[Part],MATCH(tblDefects[[#This Row],[Lot ID]],tblInspections[Lot ID],0)),""))</f>
        <v>Heat shield HS-330</v>
      </c>
      <c r="G45" s="39">
        <f>IF(tblDefects[[#This Row],[Lot ID]]="","",IFERROR(INDEX(tblInspections[View date],MATCH(tblDefects[[#This Row],[Lot ID]],tblInspections[Lot ID],0)),""))</f>
        <v>46272</v>
      </c>
      <c r="H4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5" s="41" t="s">
        <v>131</v>
      </c>
    </row>
    <row r="46" spans="2:9">
      <c r="B46" s="28" t="s">
        <v>153</v>
      </c>
      <c r="C46" s="28" t="s">
        <v>101</v>
      </c>
      <c r="D46" s="29">
        <v>1</v>
      </c>
      <c r="E46" s="39">
        <f>IF(tblDefects[[#This Row],[Lot ID]]="","",IFERROR(INDEX(tblInspections[Date],MATCH(tblDefects[[#This Row],[Lot ID]],tblInspections[Lot ID],0)),""))</f>
        <v>46272</v>
      </c>
      <c r="F46" s="42" t="str">
        <f>IF(tblDefects[[#This Row],[Lot ID]]="","",IFERROR(INDEX(tblInspections[Part],MATCH(tblDefects[[#This Row],[Lot ID]],tblInspections[Lot ID],0)),""))</f>
        <v>Heat shield HS-330</v>
      </c>
      <c r="G46" s="39">
        <f>IF(tblDefects[[#This Row],[Lot ID]]="","",IFERROR(INDEX(tblInspections[View date],MATCH(tblDefects[[#This Row],[Lot ID]],tblInspections[Lot ID],0)),""))</f>
        <v>46272</v>
      </c>
      <c r="H4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6" s="41" t="s">
        <v>131</v>
      </c>
    </row>
    <row r="47" spans="2:9">
      <c r="B47" s="28" t="s">
        <v>153</v>
      </c>
      <c r="C47" s="28" t="s">
        <v>103</v>
      </c>
      <c r="D47" s="29">
        <v>1</v>
      </c>
      <c r="E47" s="39">
        <f>IF(tblDefects[[#This Row],[Lot ID]]="","",IFERROR(INDEX(tblInspections[Date],MATCH(tblDefects[[#This Row],[Lot ID]],tblInspections[Lot ID],0)),""))</f>
        <v>46272</v>
      </c>
      <c r="F47" s="42" t="str">
        <f>IF(tblDefects[[#This Row],[Lot ID]]="","",IFERROR(INDEX(tblInspections[Part],MATCH(tblDefects[[#This Row],[Lot ID]],tblInspections[Lot ID],0)),""))</f>
        <v>Heat shield HS-330</v>
      </c>
      <c r="G47" s="39">
        <f>IF(tblDefects[[#This Row],[Lot ID]]="","",IFERROR(INDEX(tblInspections[View date],MATCH(tblDefects[[#This Row],[Lot ID]],tblInspections[Lot ID],0)),""))</f>
        <v>46272</v>
      </c>
      <c r="H4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7" s="41" t="s">
        <v>131</v>
      </c>
    </row>
    <row r="48" spans="2:9">
      <c r="B48" s="28" t="s">
        <v>154</v>
      </c>
      <c r="C48" s="28" t="s">
        <v>89</v>
      </c>
      <c r="D48" s="29">
        <v>1</v>
      </c>
      <c r="E48" s="39">
        <f>IF(tblDefects[[#This Row],[Lot ID]]="","",IFERROR(INDEX(tblInspections[Date],MATCH(tblDefects[[#This Row],[Lot ID]],tblInspections[Lot ID],0)),""))</f>
        <v>46272</v>
      </c>
      <c r="F48" s="42" t="str">
        <f>IF(tblDefects[[#This Row],[Lot ID]]="","",IFERROR(INDEX(tblInspections[Part],MATCH(tblDefects[[#This Row],[Lot ID]],tblInspections[Lot ID],0)),""))</f>
        <v>Tray clip BC-77</v>
      </c>
      <c r="G48" s="39">
        <f>IF(tblDefects[[#This Row],[Lot ID]]="","",IFERROR(INDEX(tblInspections[View date],MATCH(tblDefects[[#This Row],[Lot ID]],tblInspections[Lot ID],0)),""))</f>
        <v>46272</v>
      </c>
      <c r="H4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8" s="41" t="s">
        <v>131</v>
      </c>
    </row>
    <row r="49" spans="2:9">
      <c r="B49" s="28" t="s">
        <v>154</v>
      </c>
      <c r="C49" s="28" t="s">
        <v>106</v>
      </c>
      <c r="D49" s="29">
        <v>4</v>
      </c>
      <c r="E49" s="39">
        <f>IF(tblDefects[[#This Row],[Lot ID]]="","",IFERROR(INDEX(tblInspections[Date],MATCH(tblDefects[[#This Row],[Lot ID]],tblInspections[Lot ID],0)),""))</f>
        <v>46272</v>
      </c>
      <c r="F49" s="42" t="str">
        <f>IF(tblDefects[[#This Row],[Lot ID]]="","",IFERROR(INDEX(tblInspections[Part],MATCH(tblDefects[[#This Row],[Lot ID]],tblInspections[Lot ID],0)),""))</f>
        <v>Tray clip BC-77</v>
      </c>
      <c r="G49" s="39">
        <f>IF(tblDefects[[#This Row],[Lot ID]]="","",IFERROR(INDEX(tblInspections[View date],MATCH(tblDefects[[#This Row],[Lot ID]],tblInspections[Lot ID],0)),""))</f>
        <v>46272</v>
      </c>
      <c r="H4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49" s="41" t="s">
        <v>131</v>
      </c>
    </row>
    <row r="50" spans="2:9">
      <c r="B50" s="28" t="s">
        <v>156</v>
      </c>
      <c r="C50" s="28" t="s">
        <v>92</v>
      </c>
      <c r="D50" s="29">
        <v>1</v>
      </c>
      <c r="E50" s="39">
        <f>IF(tblDefects[[#This Row],[Lot ID]]="","",IFERROR(INDEX(tblInspections[Date],MATCH(tblDefects[[#This Row],[Lot ID]],tblInspections[Lot ID],0)),""))</f>
        <v>46273</v>
      </c>
      <c r="F50" s="42" t="str">
        <f>IF(tblDefects[[#This Row],[Lot ID]]="","",IFERROR(INDEX(tblInspections[Part],MATCH(tblDefects[[#This Row],[Lot ID]],tblInspections[Lot ID],0)),""))</f>
        <v>Hinge plate HP-118</v>
      </c>
      <c r="G50" s="39">
        <f>IF(tblDefects[[#This Row],[Lot ID]]="","",IFERROR(INDEX(tblInspections[View date],MATCH(tblDefects[[#This Row],[Lot ID]],tblInspections[Lot ID],0)),""))</f>
        <v>46273</v>
      </c>
      <c r="H5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0" s="41" t="s">
        <v>131</v>
      </c>
    </row>
    <row r="51" spans="2:9">
      <c r="B51" s="28" t="s">
        <v>156</v>
      </c>
      <c r="C51" s="28" t="s">
        <v>103</v>
      </c>
      <c r="D51" s="29">
        <v>1</v>
      </c>
      <c r="E51" s="39">
        <f>IF(tblDefects[[#This Row],[Lot ID]]="","",IFERROR(INDEX(tblInspections[Date],MATCH(tblDefects[[#This Row],[Lot ID]],tblInspections[Lot ID],0)),""))</f>
        <v>46273</v>
      </c>
      <c r="F51" s="42" t="str">
        <f>IF(tblDefects[[#This Row],[Lot ID]]="","",IFERROR(INDEX(tblInspections[Part],MATCH(tblDefects[[#This Row],[Lot ID]],tblInspections[Lot ID],0)),""))</f>
        <v>Hinge plate HP-118</v>
      </c>
      <c r="G51" s="39">
        <f>IF(tblDefects[[#This Row],[Lot ID]]="","",IFERROR(INDEX(tblInspections[View date],MATCH(tblDefects[[#This Row],[Lot ID]],tblInspections[Lot ID],0)),""))</f>
        <v>46273</v>
      </c>
      <c r="H5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1" s="41" t="s">
        <v>131</v>
      </c>
    </row>
    <row r="52" spans="2:9">
      <c r="B52" s="28" t="s">
        <v>157</v>
      </c>
      <c r="C52" s="28" t="s">
        <v>98</v>
      </c>
      <c r="D52" s="29">
        <v>2</v>
      </c>
      <c r="E52" s="39">
        <f>IF(tblDefects[[#This Row],[Lot ID]]="","",IFERROR(INDEX(tblInspections[Date],MATCH(tblDefects[[#This Row],[Lot ID]],tblInspections[Lot ID],0)),""))</f>
        <v>46273</v>
      </c>
      <c r="F52" s="42" t="str">
        <f>IF(tblDefects[[#This Row],[Lot ID]]="","",IFERROR(INDEX(tblInspections[Part],MATCH(tblDefects[[#This Row],[Lot ID]],tblInspections[Lot ID],0)),""))</f>
        <v>Heat shield HS-330</v>
      </c>
      <c r="G52" s="39">
        <f>IF(tblDefects[[#This Row],[Lot ID]]="","",IFERROR(INDEX(tblInspections[View date],MATCH(tblDefects[[#This Row],[Lot ID]],tblInspections[Lot ID],0)),""))</f>
        <v>46273</v>
      </c>
      <c r="H5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2" s="41" t="s">
        <v>131</v>
      </c>
    </row>
    <row r="53" spans="2:9">
      <c r="B53" s="28" t="s">
        <v>157</v>
      </c>
      <c r="C53" s="28" t="s">
        <v>103</v>
      </c>
      <c r="D53" s="29">
        <v>1</v>
      </c>
      <c r="E53" s="39">
        <f>IF(tblDefects[[#This Row],[Lot ID]]="","",IFERROR(INDEX(tblInspections[Date],MATCH(tblDefects[[#This Row],[Lot ID]],tblInspections[Lot ID],0)),""))</f>
        <v>46273</v>
      </c>
      <c r="F53" s="42" t="str">
        <f>IF(tblDefects[[#This Row],[Lot ID]]="","",IFERROR(INDEX(tblInspections[Part],MATCH(tblDefects[[#This Row],[Lot ID]],tblInspections[Lot ID],0)),""))</f>
        <v>Heat shield HS-330</v>
      </c>
      <c r="G53" s="39">
        <f>IF(tblDefects[[#This Row],[Lot ID]]="","",IFERROR(INDEX(tblInspections[View date],MATCH(tblDefects[[#This Row],[Lot ID]],tblInspections[Lot ID],0)),""))</f>
        <v>46273</v>
      </c>
      <c r="H5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3" s="41" t="s">
        <v>131</v>
      </c>
    </row>
    <row r="54" spans="2:9">
      <c r="B54" s="28" t="s">
        <v>158</v>
      </c>
      <c r="C54" s="28" t="s">
        <v>89</v>
      </c>
      <c r="D54" s="29">
        <v>2</v>
      </c>
      <c r="E54" s="39">
        <f>IF(tblDefects[[#This Row],[Lot ID]]="","",IFERROR(INDEX(tblInspections[Date],MATCH(tblDefects[[#This Row],[Lot ID]],tblInspections[Lot ID],0)),""))</f>
        <v>46273</v>
      </c>
      <c r="F54" s="42" t="str">
        <f>IF(tblDefects[[#This Row],[Lot ID]]="","",IFERROR(INDEX(tblInspections[Part],MATCH(tblDefects[[#This Row],[Lot ID]],tblInspections[Lot ID],0)),""))</f>
        <v>Tray clip BC-77</v>
      </c>
      <c r="G54" s="39">
        <f>IF(tblDefects[[#This Row],[Lot ID]]="","",IFERROR(INDEX(tblInspections[View date],MATCH(tblDefects[[#This Row],[Lot ID]],tblInspections[Lot ID],0)),""))</f>
        <v>46273</v>
      </c>
      <c r="H5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4" s="41" t="s">
        <v>131</v>
      </c>
    </row>
    <row r="55" spans="2:9">
      <c r="B55" s="28" t="s">
        <v>158</v>
      </c>
      <c r="C55" s="28" t="s">
        <v>106</v>
      </c>
      <c r="D55" s="29">
        <v>5</v>
      </c>
      <c r="E55" s="39">
        <f>IF(tblDefects[[#This Row],[Lot ID]]="","",IFERROR(INDEX(tblInspections[Date],MATCH(tblDefects[[#This Row],[Lot ID]],tblInspections[Lot ID],0)),""))</f>
        <v>46273</v>
      </c>
      <c r="F55" s="42" t="str">
        <f>IF(tblDefects[[#This Row],[Lot ID]]="","",IFERROR(INDEX(tblInspections[Part],MATCH(tblDefects[[#This Row],[Lot ID]],tblInspections[Lot ID],0)),""))</f>
        <v>Tray clip BC-77</v>
      </c>
      <c r="G55" s="39">
        <f>IF(tblDefects[[#This Row],[Lot ID]]="","",IFERROR(INDEX(tblInspections[View date],MATCH(tblDefects[[#This Row],[Lot ID]],tblInspections[Lot ID],0)),""))</f>
        <v>46273</v>
      </c>
      <c r="H5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5" s="41" t="s">
        <v>131</v>
      </c>
    </row>
    <row r="56" spans="2:9">
      <c r="B56" s="28" t="s">
        <v>158</v>
      </c>
      <c r="C56" s="28" t="s">
        <v>108</v>
      </c>
      <c r="D56" s="29">
        <v>1</v>
      </c>
      <c r="E56" s="39">
        <f>IF(tblDefects[[#This Row],[Lot ID]]="","",IFERROR(INDEX(tblInspections[Date],MATCH(tblDefects[[#This Row],[Lot ID]],tblInspections[Lot ID],0)),""))</f>
        <v>46273</v>
      </c>
      <c r="F56" s="42" t="str">
        <f>IF(tblDefects[[#This Row],[Lot ID]]="","",IFERROR(INDEX(tblInspections[Part],MATCH(tblDefects[[#This Row],[Lot ID]],tblInspections[Lot ID],0)),""))</f>
        <v>Tray clip BC-77</v>
      </c>
      <c r="G56" s="39">
        <f>IF(tblDefects[[#This Row],[Lot ID]]="","",IFERROR(INDEX(tblInspections[View date],MATCH(tblDefects[[#This Row],[Lot ID]],tblInspections[Lot ID],0)),""))</f>
        <v>46273</v>
      </c>
      <c r="H5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6" s="41" t="s">
        <v>255</v>
      </c>
    </row>
    <row r="57" spans="2:9">
      <c r="B57" s="28" t="s">
        <v>159</v>
      </c>
      <c r="C57" s="28" t="s">
        <v>89</v>
      </c>
      <c r="D57" s="29">
        <v>2</v>
      </c>
      <c r="E57" s="39">
        <f>IF(tblDefects[[#This Row],[Lot ID]]="","",IFERROR(INDEX(tblInspections[Date],MATCH(tblDefects[[#This Row],[Lot ID]],tblInspections[Lot ID],0)),""))</f>
        <v>46274</v>
      </c>
      <c r="F57" s="42" t="str">
        <f>IF(tblDefects[[#This Row],[Lot ID]]="","",IFERROR(INDEX(tblInspections[Part],MATCH(tblDefects[[#This Row],[Lot ID]],tblInspections[Lot ID],0)),""))</f>
        <v>Seat bracket SB-204</v>
      </c>
      <c r="G57" s="39">
        <f>IF(tblDefects[[#This Row],[Lot ID]]="","",IFERROR(INDEX(tblInspections[View date],MATCH(tblDefects[[#This Row],[Lot ID]],tblInspections[Lot ID],0)),""))</f>
        <v>46274</v>
      </c>
      <c r="H5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7" s="41" t="s">
        <v>131</v>
      </c>
    </row>
    <row r="58" spans="2:9">
      <c r="B58" s="28" t="s">
        <v>159</v>
      </c>
      <c r="C58" s="28" t="s">
        <v>95</v>
      </c>
      <c r="D58" s="29">
        <v>2</v>
      </c>
      <c r="E58" s="39">
        <f>IF(tblDefects[[#This Row],[Lot ID]]="","",IFERROR(INDEX(tblInspections[Date],MATCH(tblDefects[[#This Row],[Lot ID]],tblInspections[Lot ID],0)),""))</f>
        <v>46274</v>
      </c>
      <c r="F58" s="42" t="str">
        <f>IF(tblDefects[[#This Row],[Lot ID]]="","",IFERROR(INDEX(tblInspections[Part],MATCH(tblDefects[[#This Row],[Lot ID]],tblInspections[Lot ID],0)),""))</f>
        <v>Seat bracket SB-204</v>
      </c>
      <c r="G58" s="39">
        <f>IF(tblDefects[[#This Row],[Lot ID]]="","",IFERROR(INDEX(tblInspections[View date],MATCH(tblDefects[[#This Row],[Lot ID]],tblInspections[Lot ID],0)),""))</f>
        <v>46274</v>
      </c>
      <c r="H5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8" s="41" t="s">
        <v>131</v>
      </c>
    </row>
    <row r="59" spans="2:9">
      <c r="B59" s="28" t="s">
        <v>159</v>
      </c>
      <c r="C59" s="28" t="s">
        <v>103</v>
      </c>
      <c r="D59" s="29">
        <v>1</v>
      </c>
      <c r="E59" s="39">
        <f>IF(tblDefects[[#This Row],[Lot ID]]="","",IFERROR(INDEX(tblInspections[Date],MATCH(tblDefects[[#This Row],[Lot ID]],tblInspections[Lot ID],0)),""))</f>
        <v>46274</v>
      </c>
      <c r="F59" s="42" t="str">
        <f>IF(tblDefects[[#This Row],[Lot ID]]="","",IFERROR(INDEX(tblInspections[Part],MATCH(tblDefects[[#This Row],[Lot ID]],tblInspections[Lot ID],0)),""))</f>
        <v>Seat bracket SB-204</v>
      </c>
      <c r="G59" s="39">
        <f>IF(tblDefects[[#This Row],[Lot ID]]="","",IFERROR(INDEX(tblInspections[View date],MATCH(tblDefects[[#This Row],[Lot ID]],tblInspections[Lot ID],0)),""))</f>
        <v>46274</v>
      </c>
      <c r="H5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59" s="41" t="s">
        <v>131</v>
      </c>
    </row>
    <row r="60" spans="2:9">
      <c r="B60" s="28" t="s">
        <v>160</v>
      </c>
      <c r="C60" s="28" t="s">
        <v>89</v>
      </c>
      <c r="D60" s="29">
        <v>2</v>
      </c>
      <c r="E60" s="39">
        <f>IF(tblDefects[[#This Row],[Lot ID]]="","",IFERROR(INDEX(tblInspections[Date],MATCH(tblDefects[[#This Row],[Lot ID]],tblInspections[Lot ID],0)),""))</f>
        <v>46274</v>
      </c>
      <c r="F60" s="42" t="str">
        <f>IF(tblDefects[[#This Row],[Lot ID]]="","",IFERROR(INDEX(tblInspections[Part],MATCH(tblDefects[[#This Row],[Lot ID]],tblInspections[Lot ID],0)),""))</f>
        <v>Hinge plate HP-118</v>
      </c>
      <c r="G60" s="39">
        <f>IF(tblDefects[[#This Row],[Lot ID]]="","",IFERROR(INDEX(tblInspections[View date],MATCH(tblDefects[[#This Row],[Lot ID]],tblInspections[Lot ID],0)),""))</f>
        <v>46274</v>
      </c>
      <c r="H6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0" s="41" t="s">
        <v>131</v>
      </c>
    </row>
    <row r="61" spans="2:9">
      <c r="B61" s="28" t="s">
        <v>160</v>
      </c>
      <c r="C61" s="28" t="s">
        <v>95</v>
      </c>
      <c r="D61" s="29">
        <v>1</v>
      </c>
      <c r="E61" s="39">
        <f>IF(tblDefects[[#This Row],[Lot ID]]="","",IFERROR(INDEX(tblInspections[Date],MATCH(tblDefects[[#This Row],[Lot ID]],tblInspections[Lot ID],0)),""))</f>
        <v>46274</v>
      </c>
      <c r="F61" s="42" t="str">
        <f>IF(tblDefects[[#This Row],[Lot ID]]="","",IFERROR(INDEX(tblInspections[Part],MATCH(tblDefects[[#This Row],[Lot ID]],tblInspections[Lot ID],0)),""))</f>
        <v>Hinge plate HP-118</v>
      </c>
      <c r="G61" s="39">
        <f>IF(tblDefects[[#This Row],[Lot ID]]="","",IFERROR(INDEX(tblInspections[View date],MATCH(tblDefects[[#This Row],[Lot ID]],tblInspections[Lot ID],0)),""))</f>
        <v>46274</v>
      </c>
      <c r="H6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1" s="41" t="s">
        <v>131</v>
      </c>
    </row>
    <row r="62" spans="2:9">
      <c r="B62" s="28" t="s">
        <v>161</v>
      </c>
      <c r="C62" s="28" t="s">
        <v>98</v>
      </c>
      <c r="D62" s="29">
        <v>3</v>
      </c>
      <c r="E62" s="39">
        <f>IF(tblDefects[[#This Row],[Lot ID]]="","",IFERROR(INDEX(tblInspections[Date],MATCH(tblDefects[[#This Row],[Lot ID]],tblInspections[Lot ID],0)),""))</f>
        <v>46274</v>
      </c>
      <c r="F62" s="42" t="str">
        <f>IF(tblDefects[[#This Row],[Lot ID]]="","",IFERROR(INDEX(tblInspections[Part],MATCH(tblDefects[[#This Row],[Lot ID]],tblInspections[Lot ID],0)),""))</f>
        <v>Heat shield HS-330</v>
      </c>
      <c r="G62" s="39">
        <f>IF(tblDefects[[#This Row],[Lot ID]]="","",IFERROR(INDEX(tblInspections[View date],MATCH(tblDefects[[#This Row],[Lot ID]],tblInspections[Lot ID],0)),""))</f>
        <v>46274</v>
      </c>
      <c r="H6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2" s="41" t="s">
        <v>131</v>
      </c>
    </row>
    <row r="63" spans="2:9">
      <c r="B63" s="28" t="s">
        <v>162</v>
      </c>
      <c r="C63" s="28" t="s">
        <v>89</v>
      </c>
      <c r="D63" s="29">
        <v>3</v>
      </c>
      <c r="E63" s="39">
        <f>IF(tblDefects[[#This Row],[Lot ID]]="","",IFERROR(INDEX(tblInspections[Date],MATCH(tblDefects[[#This Row],[Lot ID]],tblInspections[Lot ID],0)),""))</f>
        <v>46274</v>
      </c>
      <c r="F63" s="42" t="str">
        <f>IF(tblDefects[[#This Row],[Lot ID]]="","",IFERROR(INDEX(tblInspections[Part],MATCH(tblDefects[[#This Row],[Lot ID]],tblInspections[Lot ID],0)),""))</f>
        <v>Tray clip BC-77</v>
      </c>
      <c r="G63" s="39">
        <f>IF(tblDefects[[#This Row],[Lot ID]]="","",IFERROR(INDEX(tblInspections[View date],MATCH(tblDefects[[#This Row],[Lot ID]],tblInspections[Lot ID],0)),""))</f>
        <v>46274</v>
      </c>
      <c r="H6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3" s="41" t="s">
        <v>131</v>
      </c>
    </row>
    <row r="64" spans="2:9">
      <c r="B64" s="28" t="s">
        <v>162</v>
      </c>
      <c r="C64" s="28" t="s">
        <v>106</v>
      </c>
      <c r="D64" s="29">
        <v>2</v>
      </c>
      <c r="E64" s="39">
        <f>IF(tblDefects[[#This Row],[Lot ID]]="","",IFERROR(INDEX(tblInspections[Date],MATCH(tblDefects[[#This Row],[Lot ID]],tblInspections[Lot ID],0)),""))</f>
        <v>46274</v>
      </c>
      <c r="F64" s="42" t="str">
        <f>IF(tblDefects[[#This Row],[Lot ID]]="","",IFERROR(INDEX(tblInspections[Part],MATCH(tblDefects[[#This Row],[Lot ID]],tblInspections[Lot ID],0)),""))</f>
        <v>Tray clip BC-77</v>
      </c>
      <c r="G64" s="39">
        <f>IF(tblDefects[[#This Row],[Lot ID]]="","",IFERROR(INDEX(tblInspections[View date],MATCH(tblDefects[[#This Row],[Lot ID]],tblInspections[Lot ID],0)),""))</f>
        <v>46274</v>
      </c>
      <c r="H6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4" s="41" t="s">
        <v>131</v>
      </c>
    </row>
    <row r="65" spans="2:9">
      <c r="B65" s="28" t="s">
        <v>162</v>
      </c>
      <c r="C65" s="28" t="s">
        <v>108</v>
      </c>
      <c r="D65" s="29">
        <v>1</v>
      </c>
      <c r="E65" s="39">
        <f>IF(tblDefects[[#This Row],[Lot ID]]="","",IFERROR(INDEX(tblInspections[Date],MATCH(tblDefects[[#This Row],[Lot ID]],tblInspections[Lot ID],0)),""))</f>
        <v>46274</v>
      </c>
      <c r="F65" s="42" t="str">
        <f>IF(tblDefects[[#This Row],[Lot ID]]="","",IFERROR(INDEX(tblInspections[Part],MATCH(tblDefects[[#This Row],[Lot ID]],tblInspections[Lot ID],0)),""))</f>
        <v>Tray clip BC-77</v>
      </c>
      <c r="G65" s="39">
        <f>IF(tblDefects[[#This Row],[Lot ID]]="","",IFERROR(INDEX(tblInspections[View date],MATCH(tblDefects[[#This Row],[Lot ID]],tblInspections[Lot ID],0)),""))</f>
        <v>46274</v>
      </c>
      <c r="H6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5" s="41" t="s">
        <v>255</v>
      </c>
    </row>
    <row r="66" spans="2:9">
      <c r="B66" s="28" t="s">
        <v>163</v>
      </c>
      <c r="C66" s="28" t="s">
        <v>89</v>
      </c>
      <c r="D66" s="29">
        <v>1</v>
      </c>
      <c r="E66" s="39">
        <f>IF(tblDefects[[#This Row],[Lot ID]]="","",IFERROR(INDEX(tblInspections[Date],MATCH(tblDefects[[#This Row],[Lot ID]],tblInspections[Lot ID],0)),""))</f>
        <v>46275</v>
      </c>
      <c r="F66" s="42" t="str">
        <f>IF(tblDefects[[#This Row],[Lot ID]]="","",IFERROR(INDEX(tblInspections[Part],MATCH(tblDefects[[#This Row],[Lot ID]],tblInspections[Lot ID],0)),""))</f>
        <v>Seat bracket SB-204</v>
      </c>
      <c r="G66" s="39">
        <f>IF(tblDefects[[#This Row],[Lot ID]]="","",IFERROR(INDEX(tblInspections[View date],MATCH(tblDefects[[#This Row],[Lot ID]],tblInspections[Lot ID],0)),""))</f>
        <v>46275</v>
      </c>
      <c r="H6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6" s="41" t="s">
        <v>131</v>
      </c>
    </row>
    <row r="67" spans="2:9">
      <c r="B67" s="28" t="s">
        <v>163</v>
      </c>
      <c r="C67" s="28" t="s">
        <v>103</v>
      </c>
      <c r="D67" s="29">
        <v>1</v>
      </c>
      <c r="E67" s="39">
        <f>IF(tblDefects[[#This Row],[Lot ID]]="","",IFERROR(INDEX(tblInspections[Date],MATCH(tblDefects[[#This Row],[Lot ID]],tblInspections[Lot ID],0)),""))</f>
        <v>46275</v>
      </c>
      <c r="F67" s="42" t="str">
        <f>IF(tblDefects[[#This Row],[Lot ID]]="","",IFERROR(INDEX(tblInspections[Part],MATCH(tblDefects[[#This Row],[Lot ID]],tblInspections[Lot ID],0)),""))</f>
        <v>Seat bracket SB-204</v>
      </c>
      <c r="G67" s="39">
        <f>IF(tblDefects[[#This Row],[Lot ID]]="","",IFERROR(INDEX(tblInspections[View date],MATCH(tblDefects[[#This Row],[Lot ID]],tblInspections[Lot ID],0)),""))</f>
        <v>46275</v>
      </c>
      <c r="H6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7" s="41" t="s">
        <v>131</v>
      </c>
    </row>
    <row r="68" spans="2:9">
      <c r="B68" s="28" t="s">
        <v>165</v>
      </c>
      <c r="C68" s="28" t="s">
        <v>98</v>
      </c>
      <c r="D68" s="29">
        <v>2</v>
      </c>
      <c r="E68" s="39">
        <f>IF(tblDefects[[#This Row],[Lot ID]]="","",IFERROR(INDEX(tblInspections[Date],MATCH(tblDefects[[#This Row],[Lot ID]],tblInspections[Lot ID],0)),""))</f>
        <v>46275</v>
      </c>
      <c r="F68" s="42" t="str">
        <f>IF(tblDefects[[#This Row],[Lot ID]]="","",IFERROR(INDEX(tblInspections[Part],MATCH(tblDefects[[#This Row],[Lot ID]],tblInspections[Lot ID],0)),""))</f>
        <v>Heat shield HS-330</v>
      </c>
      <c r="G68" s="39">
        <f>IF(tblDefects[[#This Row],[Lot ID]]="","",IFERROR(INDEX(tblInspections[View date],MATCH(tblDefects[[#This Row],[Lot ID]],tblInspections[Lot ID],0)),""))</f>
        <v>46275</v>
      </c>
      <c r="H6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8" s="41" t="s">
        <v>131</v>
      </c>
    </row>
    <row r="69" spans="2:9">
      <c r="B69" s="28" t="s">
        <v>166</v>
      </c>
      <c r="C69" s="28" t="s">
        <v>89</v>
      </c>
      <c r="D69" s="29">
        <v>5</v>
      </c>
      <c r="E69" s="39">
        <f>IF(tblDefects[[#This Row],[Lot ID]]="","",IFERROR(INDEX(tblInspections[Date],MATCH(tblDefects[[#This Row],[Lot ID]],tblInspections[Lot ID],0)),""))</f>
        <v>46275</v>
      </c>
      <c r="F69" s="42" t="str">
        <f>IF(tblDefects[[#This Row],[Lot ID]]="","",IFERROR(INDEX(tblInspections[Part],MATCH(tblDefects[[#This Row],[Lot ID]],tblInspections[Lot ID],0)),""))</f>
        <v>Tray clip BC-77</v>
      </c>
      <c r="G69" s="39">
        <f>IF(tblDefects[[#This Row],[Lot ID]]="","",IFERROR(INDEX(tblInspections[View date],MATCH(tblDefects[[#This Row],[Lot ID]],tblInspections[Lot ID],0)),""))</f>
        <v>46275</v>
      </c>
      <c r="H6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69" s="41" t="s">
        <v>131</v>
      </c>
    </row>
    <row r="70" spans="2:9">
      <c r="B70" s="28" t="s">
        <v>166</v>
      </c>
      <c r="C70" s="28" t="s">
        <v>106</v>
      </c>
      <c r="D70" s="29">
        <v>3</v>
      </c>
      <c r="E70" s="39">
        <f>IF(tblDefects[[#This Row],[Lot ID]]="","",IFERROR(INDEX(tblInspections[Date],MATCH(tblDefects[[#This Row],[Lot ID]],tblInspections[Lot ID],0)),""))</f>
        <v>46275</v>
      </c>
      <c r="F70" s="42" t="str">
        <f>IF(tblDefects[[#This Row],[Lot ID]]="","",IFERROR(INDEX(tblInspections[Part],MATCH(tblDefects[[#This Row],[Lot ID]],tblInspections[Lot ID],0)),""))</f>
        <v>Tray clip BC-77</v>
      </c>
      <c r="G70" s="39">
        <f>IF(tblDefects[[#This Row],[Lot ID]]="","",IFERROR(INDEX(tblInspections[View date],MATCH(tblDefects[[#This Row],[Lot ID]],tblInspections[Lot ID],0)),""))</f>
        <v>46275</v>
      </c>
      <c r="H7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0" s="41" t="s">
        <v>131</v>
      </c>
    </row>
    <row r="71" spans="2:9">
      <c r="B71" s="28" t="s">
        <v>166</v>
      </c>
      <c r="C71" s="28" t="s">
        <v>108</v>
      </c>
      <c r="D71" s="29">
        <v>1</v>
      </c>
      <c r="E71" s="39">
        <f>IF(tblDefects[[#This Row],[Lot ID]]="","",IFERROR(INDEX(tblInspections[Date],MATCH(tblDefects[[#This Row],[Lot ID]],tblInspections[Lot ID],0)),""))</f>
        <v>46275</v>
      </c>
      <c r="F71" s="42" t="str">
        <f>IF(tblDefects[[#This Row],[Lot ID]]="","",IFERROR(INDEX(tblInspections[Part],MATCH(tblDefects[[#This Row],[Lot ID]],tblInspections[Lot ID],0)),""))</f>
        <v>Tray clip BC-77</v>
      </c>
      <c r="G71" s="39">
        <f>IF(tblDefects[[#This Row],[Lot ID]]="","",IFERROR(INDEX(tblInspections[View date],MATCH(tblDefects[[#This Row],[Lot ID]],tblInspections[Lot ID],0)),""))</f>
        <v>46275</v>
      </c>
      <c r="H7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1" s="41" t="s">
        <v>255</v>
      </c>
    </row>
    <row r="72" spans="2:9">
      <c r="B72" s="28" t="s">
        <v>167</v>
      </c>
      <c r="C72" s="28" t="s">
        <v>89</v>
      </c>
      <c r="D72" s="29">
        <v>1</v>
      </c>
      <c r="E72" s="39">
        <f>IF(tblDefects[[#This Row],[Lot ID]]="","",IFERROR(INDEX(tblInspections[Date],MATCH(tblDefects[[#This Row],[Lot ID]],tblInspections[Lot ID],0)),""))</f>
        <v>46276</v>
      </c>
      <c r="F72" s="42" t="str">
        <f>IF(tblDefects[[#This Row],[Lot ID]]="","",IFERROR(INDEX(tblInspections[Part],MATCH(tblDefects[[#This Row],[Lot ID]],tblInspections[Lot ID],0)),""))</f>
        <v>Seat bracket SB-204</v>
      </c>
      <c r="G72" s="39">
        <f>IF(tblDefects[[#This Row],[Lot ID]]="","",IFERROR(INDEX(tblInspections[View date],MATCH(tblDefects[[#This Row],[Lot ID]],tblInspections[Lot ID],0)),""))</f>
        <v>46276</v>
      </c>
      <c r="H7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2" s="41" t="s">
        <v>131</v>
      </c>
    </row>
    <row r="73" spans="2:9">
      <c r="B73" s="28" t="s">
        <v>167</v>
      </c>
      <c r="C73" s="28" t="s">
        <v>95</v>
      </c>
      <c r="D73" s="29">
        <v>1</v>
      </c>
      <c r="E73" s="39">
        <f>IF(tblDefects[[#This Row],[Lot ID]]="","",IFERROR(INDEX(tblInspections[Date],MATCH(tblDefects[[#This Row],[Lot ID]],tblInspections[Lot ID],0)),""))</f>
        <v>46276</v>
      </c>
      <c r="F73" s="42" t="str">
        <f>IF(tblDefects[[#This Row],[Lot ID]]="","",IFERROR(INDEX(tblInspections[Part],MATCH(tblDefects[[#This Row],[Lot ID]],tblInspections[Lot ID],0)),""))</f>
        <v>Seat bracket SB-204</v>
      </c>
      <c r="G73" s="39">
        <f>IF(tblDefects[[#This Row],[Lot ID]]="","",IFERROR(INDEX(tblInspections[View date],MATCH(tblDefects[[#This Row],[Lot ID]],tblInspections[Lot ID],0)),""))</f>
        <v>46276</v>
      </c>
      <c r="H7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3" s="41" t="s">
        <v>131</v>
      </c>
    </row>
    <row r="74" spans="2:9">
      <c r="B74" s="28" t="s">
        <v>167</v>
      </c>
      <c r="C74" s="28" t="s">
        <v>103</v>
      </c>
      <c r="D74" s="29">
        <v>1</v>
      </c>
      <c r="E74" s="39">
        <f>IF(tblDefects[[#This Row],[Lot ID]]="","",IFERROR(INDEX(tblInspections[Date],MATCH(tblDefects[[#This Row],[Lot ID]],tblInspections[Lot ID],0)),""))</f>
        <v>46276</v>
      </c>
      <c r="F74" s="42" t="str">
        <f>IF(tblDefects[[#This Row],[Lot ID]]="","",IFERROR(INDEX(tblInspections[Part],MATCH(tblDefects[[#This Row],[Lot ID]],tblInspections[Lot ID],0)),""))</f>
        <v>Seat bracket SB-204</v>
      </c>
      <c r="G74" s="39">
        <f>IF(tblDefects[[#This Row],[Lot ID]]="","",IFERROR(INDEX(tblInspections[View date],MATCH(tblDefects[[#This Row],[Lot ID]],tblInspections[Lot ID],0)),""))</f>
        <v>46276</v>
      </c>
      <c r="H7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4" s="41" t="s">
        <v>131</v>
      </c>
    </row>
    <row r="75" spans="2:9">
      <c r="B75" s="28" t="s">
        <v>169</v>
      </c>
      <c r="C75" s="28" t="s">
        <v>98</v>
      </c>
      <c r="D75" s="29">
        <v>1</v>
      </c>
      <c r="E75" s="39">
        <f>IF(tblDefects[[#This Row],[Lot ID]]="","",IFERROR(INDEX(tblInspections[Date],MATCH(tblDefects[[#This Row],[Lot ID]],tblInspections[Lot ID],0)),""))</f>
        <v>46276</v>
      </c>
      <c r="F75" s="42" t="str">
        <f>IF(tblDefects[[#This Row],[Lot ID]]="","",IFERROR(INDEX(tblInspections[Part],MATCH(tblDefects[[#This Row],[Lot ID]],tblInspections[Lot ID],0)),""))</f>
        <v>Heat shield HS-330</v>
      </c>
      <c r="G75" s="39">
        <f>IF(tblDefects[[#This Row],[Lot ID]]="","",IFERROR(INDEX(tblInspections[View date],MATCH(tblDefects[[#This Row],[Lot ID]],tblInspections[Lot ID],0)),""))</f>
        <v>46276</v>
      </c>
      <c r="H7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5" s="41" t="s">
        <v>131</v>
      </c>
    </row>
    <row r="76" spans="2:9">
      <c r="B76" s="28" t="s">
        <v>169</v>
      </c>
      <c r="C76" s="28" t="s">
        <v>101</v>
      </c>
      <c r="D76" s="29">
        <v>2</v>
      </c>
      <c r="E76" s="39">
        <f>IF(tblDefects[[#This Row],[Lot ID]]="","",IFERROR(INDEX(tblInspections[Date],MATCH(tblDefects[[#This Row],[Lot ID]],tblInspections[Lot ID],0)),""))</f>
        <v>46276</v>
      </c>
      <c r="F76" s="42" t="str">
        <f>IF(tblDefects[[#This Row],[Lot ID]]="","",IFERROR(INDEX(tblInspections[Part],MATCH(tblDefects[[#This Row],[Lot ID]],tblInspections[Lot ID],0)),""))</f>
        <v>Heat shield HS-330</v>
      </c>
      <c r="G76" s="39">
        <f>IF(tblDefects[[#This Row],[Lot ID]]="","",IFERROR(INDEX(tblInspections[View date],MATCH(tblDefects[[#This Row],[Lot ID]],tblInspections[Lot ID],0)),""))</f>
        <v>46276</v>
      </c>
      <c r="H7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6" s="41" t="s">
        <v>131</v>
      </c>
    </row>
    <row r="77" spans="2:9">
      <c r="B77" s="28" t="s">
        <v>170</v>
      </c>
      <c r="C77" s="28" t="s">
        <v>106</v>
      </c>
      <c r="D77" s="29">
        <v>2</v>
      </c>
      <c r="E77" s="39">
        <f>IF(tblDefects[[#This Row],[Lot ID]]="","",IFERROR(INDEX(tblInspections[Date],MATCH(tblDefects[[#This Row],[Lot ID]],tblInspections[Lot ID],0)),""))</f>
        <v>46276</v>
      </c>
      <c r="F77" s="42" t="str">
        <f>IF(tblDefects[[#This Row],[Lot ID]]="","",IFERROR(INDEX(tblInspections[Part],MATCH(tblDefects[[#This Row],[Lot ID]],tblInspections[Lot ID],0)),""))</f>
        <v>Tray clip BC-77</v>
      </c>
      <c r="G77" s="39">
        <f>IF(tblDefects[[#This Row],[Lot ID]]="","",IFERROR(INDEX(tblInspections[View date],MATCH(tblDefects[[#This Row],[Lot ID]],tblInspections[Lot ID],0)),""))</f>
        <v>46276</v>
      </c>
      <c r="H7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7" s="41" t="s">
        <v>131</v>
      </c>
    </row>
    <row r="78" spans="2:9">
      <c r="B78" s="28" t="s">
        <v>171</v>
      </c>
      <c r="C78" s="28" t="s">
        <v>95</v>
      </c>
      <c r="D78" s="29">
        <v>1</v>
      </c>
      <c r="E78" s="39">
        <f>IF(tblDefects[[#This Row],[Lot ID]]="","",IFERROR(INDEX(tblInspections[Date],MATCH(tblDefects[[#This Row],[Lot ID]],tblInspections[Lot ID],0)),""))</f>
        <v>46279</v>
      </c>
      <c r="F78" s="42" t="str">
        <f>IF(tblDefects[[#This Row],[Lot ID]]="","",IFERROR(INDEX(tblInspections[Part],MATCH(tblDefects[[#This Row],[Lot ID]],tblInspections[Lot ID],0)),""))</f>
        <v>Seat bracket SB-204</v>
      </c>
      <c r="G78" s="39">
        <f>IF(tblDefects[[#This Row],[Lot ID]]="","",IFERROR(INDEX(tblInspections[View date],MATCH(tblDefects[[#This Row],[Lot ID]],tblInspections[Lot ID],0)),""))</f>
        <v>46279</v>
      </c>
      <c r="H7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8" s="41" t="s">
        <v>131</v>
      </c>
    </row>
    <row r="79" spans="2:9">
      <c r="B79" s="28" t="s">
        <v>172</v>
      </c>
      <c r="C79" s="28" t="s">
        <v>89</v>
      </c>
      <c r="D79" s="29">
        <v>2</v>
      </c>
      <c r="E79" s="39">
        <f>IF(tblDefects[[#This Row],[Lot ID]]="","",IFERROR(INDEX(tblInspections[Date],MATCH(tblDefects[[#This Row],[Lot ID]],tblInspections[Lot ID],0)),""))</f>
        <v>46279</v>
      </c>
      <c r="F79" s="42" t="str">
        <f>IF(tblDefects[[#This Row],[Lot ID]]="","",IFERROR(INDEX(tblInspections[Part],MATCH(tblDefects[[#This Row],[Lot ID]],tblInspections[Lot ID],0)),""))</f>
        <v>Hinge plate HP-118</v>
      </c>
      <c r="G79" s="39">
        <f>IF(tblDefects[[#This Row],[Lot ID]]="","",IFERROR(INDEX(tblInspections[View date],MATCH(tblDefects[[#This Row],[Lot ID]],tblInspections[Lot ID],0)),""))</f>
        <v>46279</v>
      </c>
      <c r="H7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79" s="41" t="s">
        <v>131</v>
      </c>
    </row>
    <row r="80" spans="2:9">
      <c r="B80" s="28" t="s">
        <v>172</v>
      </c>
      <c r="C80" s="28" t="s">
        <v>92</v>
      </c>
      <c r="D80" s="29">
        <v>11</v>
      </c>
      <c r="E80" s="39">
        <f>IF(tblDefects[[#This Row],[Lot ID]]="","",IFERROR(INDEX(tblInspections[Date],MATCH(tblDefects[[#This Row],[Lot ID]],tblInspections[Lot ID],0)),""))</f>
        <v>46279</v>
      </c>
      <c r="F80" s="42" t="str">
        <f>IF(tblDefects[[#This Row],[Lot ID]]="","",IFERROR(INDEX(tblInspections[Part],MATCH(tblDefects[[#This Row],[Lot ID]],tblInspections[Lot ID],0)),""))</f>
        <v>Hinge plate HP-118</v>
      </c>
      <c r="G80" s="39">
        <f>IF(tblDefects[[#This Row],[Lot ID]]="","",IFERROR(INDEX(tblInspections[View date],MATCH(tblDefects[[#This Row],[Lot ID]],tblInspections[Lot ID],0)),""))</f>
        <v>46279</v>
      </c>
      <c r="H8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0" s="41" t="s">
        <v>131</v>
      </c>
    </row>
    <row r="81" spans="2:9">
      <c r="B81" s="28" t="s">
        <v>172</v>
      </c>
      <c r="C81" s="28" t="s">
        <v>95</v>
      </c>
      <c r="D81" s="29">
        <v>2</v>
      </c>
      <c r="E81" s="39">
        <f>IF(tblDefects[[#This Row],[Lot ID]]="","",IFERROR(INDEX(tblInspections[Date],MATCH(tblDefects[[#This Row],[Lot ID]],tblInspections[Lot ID],0)),""))</f>
        <v>46279</v>
      </c>
      <c r="F81" s="42" t="str">
        <f>IF(tblDefects[[#This Row],[Lot ID]]="","",IFERROR(INDEX(tblInspections[Part],MATCH(tblDefects[[#This Row],[Lot ID]],tblInspections[Lot ID],0)),""))</f>
        <v>Hinge plate HP-118</v>
      </c>
      <c r="G81" s="39">
        <f>IF(tblDefects[[#This Row],[Lot ID]]="","",IFERROR(INDEX(tblInspections[View date],MATCH(tblDefects[[#This Row],[Lot ID]],tblInspections[Lot ID],0)),""))</f>
        <v>46279</v>
      </c>
      <c r="H8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1" s="41" t="s">
        <v>131</v>
      </c>
    </row>
    <row r="82" spans="2:9">
      <c r="B82" s="28" t="s">
        <v>174</v>
      </c>
      <c r="C82" s="28" t="s">
        <v>98</v>
      </c>
      <c r="D82" s="29">
        <v>2</v>
      </c>
      <c r="E82" s="39">
        <f>IF(tblDefects[[#This Row],[Lot ID]]="","",IFERROR(INDEX(tblInspections[Date],MATCH(tblDefects[[#This Row],[Lot ID]],tblInspections[Lot ID],0)),""))</f>
        <v>46279</v>
      </c>
      <c r="F82" s="42" t="str">
        <f>IF(tblDefects[[#This Row],[Lot ID]]="","",IFERROR(INDEX(tblInspections[Part],MATCH(tblDefects[[#This Row],[Lot ID]],tblInspections[Lot ID],0)),""))</f>
        <v>Heat shield HS-330</v>
      </c>
      <c r="G82" s="39">
        <f>IF(tblDefects[[#This Row],[Lot ID]]="","",IFERROR(INDEX(tblInspections[View date],MATCH(tblDefects[[#This Row],[Lot ID]],tblInspections[Lot ID],0)),""))</f>
        <v>46279</v>
      </c>
      <c r="H8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2" s="41" t="s">
        <v>131</v>
      </c>
    </row>
    <row r="83" spans="2:9">
      <c r="B83" s="28" t="s">
        <v>174</v>
      </c>
      <c r="C83" s="28" t="s">
        <v>101</v>
      </c>
      <c r="D83" s="29">
        <v>1</v>
      </c>
      <c r="E83" s="39">
        <f>IF(tblDefects[[#This Row],[Lot ID]]="","",IFERROR(INDEX(tblInspections[Date],MATCH(tblDefects[[#This Row],[Lot ID]],tblInspections[Lot ID],0)),""))</f>
        <v>46279</v>
      </c>
      <c r="F83" s="42" t="str">
        <f>IF(tblDefects[[#This Row],[Lot ID]]="","",IFERROR(INDEX(tblInspections[Part],MATCH(tblDefects[[#This Row],[Lot ID]],tblInspections[Lot ID],0)),""))</f>
        <v>Heat shield HS-330</v>
      </c>
      <c r="G83" s="39">
        <f>IF(tblDefects[[#This Row],[Lot ID]]="","",IFERROR(INDEX(tblInspections[View date],MATCH(tblDefects[[#This Row],[Lot ID]],tblInspections[Lot ID],0)),""))</f>
        <v>46279</v>
      </c>
      <c r="H8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3" s="41" t="s">
        <v>131</v>
      </c>
    </row>
    <row r="84" spans="2:9">
      <c r="B84" s="28" t="s">
        <v>175</v>
      </c>
      <c r="C84" s="28" t="s">
        <v>89</v>
      </c>
      <c r="D84" s="29">
        <v>1</v>
      </c>
      <c r="E84" s="39">
        <f>IF(tblDefects[[#This Row],[Lot ID]]="","",IFERROR(INDEX(tblInspections[Date],MATCH(tblDefects[[#This Row],[Lot ID]],tblInspections[Lot ID],0)),""))</f>
        <v>46279</v>
      </c>
      <c r="F84" s="42" t="str">
        <f>IF(tblDefects[[#This Row],[Lot ID]]="","",IFERROR(INDEX(tblInspections[Part],MATCH(tblDefects[[#This Row],[Lot ID]],tblInspections[Lot ID],0)),""))</f>
        <v>Tray clip BC-77</v>
      </c>
      <c r="G84" s="39">
        <f>IF(tblDefects[[#This Row],[Lot ID]]="","",IFERROR(INDEX(tblInspections[View date],MATCH(tblDefects[[#This Row],[Lot ID]],tblInspections[Lot ID],0)),""))</f>
        <v>46279</v>
      </c>
      <c r="H8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4" s="41" t="s">
        <v>131</v>
      </c>
    </row>
    <row r="85" spans="2:9">
      <c r="B85" s="28" t="s">
        <v>175</v>
      </c>
      <c r="C85" s="28" t="s">
        <v>106</v>
      </c>
      <c r="D85" s="29">
        <v>2</v>
      </c>
      <c r="E85" s="39">
        <f>IF(tblDefects[[#This Row],[Lot ID]]="","",IFERROR(INDEX(tblInspections[Date],MATCH(tblDefects[[#This Row],[Lot ID]],tblInspections[Lot ID],0)),""))</f>
        <v>46279</v>
      </c>
      <c r="F85" s="42" t="str">
        <f>IF(tblDefects[[#This Row],[Lot ID]]="","",IFERROR(INDEX(tblInspections[Part],MATCH(tblDefects[[#This Row],[Lot ID]],tblInspections[Lot ID],0)),""))</f>
        <v>Tray clip BC-77</v>
      </c>
      <c r="G85" s="39">
        <f>IF(tblDefects[[#This Row],[Lot ID]]="","",IFERROR(INDEX(tblInspections[View date],MATCH(tblDefects[[#This Row],[Lot ID]],tblInspections[Lot ID],0)),""))</f>
        <v>46279</v>
      </c>
      <c r="H8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5" s="41" t="s">
        <v>131</v>
      </c>
    </row>
    <row r="86" spans="2:9">
      <c r="B86" s="28" t="s">
        <v>175</v>
      </c>
      <c r="C86" s="28" t="s">
        <v>108</v>
      </c>
      <c r="D86" s="29">
        <v>1</v>
      </c>
      <c r="E86" s="39">
        <f>IF(tblDefects[[#This Row],[Lot ID]]="","",IFERROR(INDEX(tblInspections[Date],MATCH(tblDefects[[#This Row],[Lot ID]],tblInspections[Lot ID],0)),""))</f>
        <v>46279</v>
      </c>
      <c r="F86" s="42" t="str">
        <f>IF(tblDefects[[#This Row],[Lot ID]]="","",IFERROR(INDEX(tblInspections[Part],MATCH(tblDefects[[#This Row],[Lot ID]],tblInspections[Lot ID],0)),""))</f>
        <v>Tray clip BC-77</v>
      </c>
      <c r="G86" s="39">
        <f>IF(tblDefects[[#This Row],[Lot ID]]="","",IFERROR(INDEX(tblInspections[View date],MATCH(tblDefects[[#This Row],[Lot ID]],tblInspections[Lot ID],0)),""))</f>
        <v>46279</v>
      </c>
      <c r="H8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6" s="41" t="s">
        <v>255</v>
      </c>
    </row>
    <row r="87" spans="2:9">
      <c r="B87" s="28" t="s">
        <v>176</v>
      </c>
      <c r="C87" s="28" t="s">
        <v>89</v>
      </c>
      <c r="D87" s="29">
        <v>1</v>
      </c>
      <c r="E87" s="39">
        <f>IF(tblDefects[[#This Row],[Lot ID]]="","",IFERROR(INDEX(tblInspections[Date],MATCH(tblDefects[[#This Row],[Lot ID]],tblInspections[Lot ID],0)),""))</f>
        <v>46280</v>
      </c>
      <c r="F87" s="42" t="str">
        <f>IF(tblDefects[[#This Row],[Lot ID]]="","",IFERROR(INDEX(tblInspections[Part],MATCH(tblDefects[[#This Row],[Lot ID]],tblInspections[Lot ID],0)),""))</f>
        <v>Seat bracket SB-204</v>
      </c>
      <c r="G87" s="39">
        <f>IF(tblDefects[[#This Row],[Lot ID]]="","",IFERROR(INDEX(tblInspections[View date],MATCH(tblDefects[[#This Row],[Lot ID]],tblInspections[Lot ID],0)),""))</f>
        <v>46280</v>
      </c>
      <c r="H8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7" s="41" t="s">
        <v>131</v>
      </c>
    </row>
    <row r="88" spans="2:9">
      <c r="B88" s="28" t="s">
        <v>177</v>
      </c>
      <c r="C88" s="28" t="s">
        <v>89</v>
      </c>
      <c r="D88" s="29">
        <v>2</v>
      </c>
      <c r="E88" s="39">
        <f>IF(tblDefects[[#This Row],[Lot ID]]="","",IFERROR(INDEX(tblInspections[Date],MATCH(tblDefects[[#This Row],[Lot ID]],tblInspections[Lot ID],0)),""))</f>
        <v>46280</v>
      </c>
      <c r="F88" s="42" t="str">
        <f>IF(tblDefects[[#This Row],[Lot ID]]="","",IFERROR(INDEX(tblInspections[Part],MATCH(tblDefects[[#This Row],[Lot ID]],tblInspections[Lot ID],0)),""))</f>
        <v>Hinge plate HP-118</v>
      </c>
      <c r="G88" s="39">
        <f>IF(tblDefects[[#This Row],[Lot ID]]="","",IFERROR(INDEX(tblInspections[View date],MATCH(tblDefects[[#This Row],[Lot ID]],tblInspections[Lot ID],0)),""))</f>
        <v>46280</v>
      </c>
      <c r="H8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8" s="41" t="s">
        <v>131</v>
      </c>
    </row>
    <row r="89" spans="2:9">
      <c r="B89" s="28" t="s">
        <v>177</v>
      </c>
      <c r="C89" s="28" t="s">
        <v>92</v>
      </c>
      <c r="D89" s="29">
        <v>13</v>
      </c>
      <c r="E89" s="39">
        <f>IF(tblDefects[[#This Row],[Lot ID]]="","",IFERROR(INDEX(tblInspections[Date],MATCH(tblDefects[[#This Row],[Lot ID]],tblInspections[Lot ID],0)),""))</f>
        <v>46280</v>
      </c>
      <c r="F89" s="42" t="str">
        <f>IF(tblDefects[[#This Row],[Lot ID]]="","",IFERROR(INDEX(tblInspections[Part],MATCH(tblDefects[[#This Row],[Lot ID]],tblInspections[Lot ID],0)),""))</f>
        <v>Hinge plate HP-118</v>
      </c>
      <c r="G89" s="39">
        <f>IF(tblDefects[[#This Row],[Lot ID]]="","",IFERROR(INDEX(tblInspections[View date],MATCH(tblDefects[[#This Row],[Lot ID]],tblInspections[Lot ID],0)),""))</f>
        <v>46280</v>
      </c>
      <c r="H8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89" s="41" t="s">
        <v>131</v>
      </c>
    </row>
    <row r="90" spans="2:9">
      <c r="B90" s="28" t="s">
        <v>177</v>
      </c>
      <c r="C90" s="28" t="s">
        <v>95</v>
      </c>
      <c r="D90" s="29">
        <v>2</v>
      </c>
      <c r="E90" s="39">
        <f>IF(tblDefects[[#This Row],[Lot ID]]="","",IFERROR(INDEX(tblInspections[Date],MATCH(tblDefects[[#This Row],[Lot ID]],tblInspections[Lot ID],0)),""))</f>
        <v>46280</v>
      </c>
      <c r="F90" s="42" t="str">
        <f>IF(tblDefects[[#This Row],[Lot ID]]="","",IFERROR(INDEX(tblInspections[Part],MATCH(tblDefects[[#This Row],[Lot ID]],tblInspections[Lot ID],0)),""))</f>
        <v>Hinge plate HP-118</v>
      </c>
      <c r="G90" s="39">
        <f>IF(tblDefects[[#This Row],[Lot ID]]="","",IFERROR(INDEX(tblInspections[View date],MATCH(tblDefects[[#This Row],[Lot ID]],tblInspections[Lot ID],0)),""))</f>
        <v>46280</v>
      </c>
      <c r="H9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0" s="41" t="s">
        <v>131</v>
      </c>
    </row>
    <row r="91" spans="2:9">
      <c r="B91" s="28" t="s">
        <v>179</v>
      </c>
      <c r="C91" s="28" t="s">
        <v>106</v>
      </c>
      <c r="D91" s="29">
        <v>8</v>
      </c>
      <c r="E91" s="39">
        <f>IF(tblDefects[[#This Row],[Lot ID]]="","",IFERROR(INDEX(tblInspections[Date],MATCH(tblDefects[[#This Row],[Lot ID]],tblInspections[Lot ID],0)),""))</f>
        <v>46280</v>
      </c>
      <c r="F91" s="42" t="str">
        <f>IF(tblDefects[[#This Row],[Lot ID]]="","",IFERROR(INDEX(tblInspections[Part],MATCH(tblDefects[[#This Row],[Lot ID]],tblInspections[Lot ID],0)),""))</f>
        <v>Tray clip BC-77</v>
      </c>
      <c r="G91" s="39">
        <f>IF(tblDefects[[#This Row],[Lot ID]]="","",IFERROR(INDEX(tblInspections[View date],MATCH(tblDefects[[#This Row],[Lot ID]],tblInspections[Lot ID],0)),""))</f>
        <v>46280</v>
      </c>
      <c r="H9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1" s="41" t="s">
        <v>131</v>
      </c>
    </row>
    <row r="92" spans="2:9">
      <c r="B92" s="28" t="s">
        <v>180</v>
      </c>
      <c r="C92" s="28" t="s">
        <v>89</v>
      </c>
      <c r="D92" s="29">
        <v>2</v>
      </c>
      <c r="E92" s="39">
        <f>IF(tblDefects[[#This Row],[Lot ID]]="","",IFERROR(INDEX(tblInspections[Date],MATCH(tblDefects[[#This Row],[Lot ID]],tblInspections[Lot ID],0)),""))</f>
        <v>46281</v>
      </c>
      <c r="F92" s="42" t="str">
        <f>IF(tblDefects[[#This Row],[Lot ID]]="","",IFERROR(INDEX(tblInspections[Part],MATCH(tblDefects[[#This Row],[Lot ID]],tblInspections[Lot ID],0)),""))</f>
        <v>Seat bracket SB-204</v>
      </c>
      <c r="G92" s="39">
        <f>IF(tblDefects[[#This Row],[Lot ID]]="","",IFERROR(INDEX(tblInspections[View date],MATCH(tblDefects[[#This Row],[Lot ID]],tblInspections[Lot ID],0)),""))</f>
        <v>46281</v>
      </c>
      <c r="H9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2" s="41" t="s">
        <v>131</v>
      </c>
    </row>
    <row r="93" spans="2:9">
      <c r="B93" s="28" t="s">
        <v>180</v>
      </c>
      <c r="C93" s="28" t="s">
        <v>95</v>
      </c>
      <c r="D93" s="29">
        <v>1</v>
      </c>
      <c r="E93" s="39">
        <f>IF(tblDefects[[#This Row],[Lot ID]]="","",IFERROR(INDEX(tblInspections[Date],MATCH(tblDefects[[#This Row],[Lot ID]],tblInspections[Lot ID],0)),""))</f>
        <v>46281</v>
      </c>
      <c r="F93" s="42" t="str">
        <f>IF(tblDefects[[#This Row],[Lot ID]]="","",IFERROR(INDEX(tblInspections[Part],MATCH(tblDefects[[#This Row],[Lot ID]],tblInspections[Lot ID],0)),""))</f>
        <v>Seat bracket SB-204</v>
      </c>
      <c r="G93" s="39">
        <f>IF(tblDefects[[#This Row],[Lot ID]]="","",IFERROR(INDEX(tblInspections[View date],MATCH(tblDefects[[#This Row],[Lot ID]],tblInspections[Lot ID],0)),""))</f>
        <v>46281</v>
      </c>
      <c r="H9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3" s="41" t="s">
        <v>131</v>
      </c>
    </row>
    <row r="94" spans="2:9">
      <c r="B94" s="28" t="s">
        <v>180</v>
      </c>
      <c r="C94" s="28" t="s">
        <v>103</v>
      </c>
      <c r="D94" s="29">
        <v>1</v>
      </c>
      <c r="E94" s="39">
        <f>IF(tblDefects[[#This Row],[Lot ID]]="","",IFERROR(INDEX(tblInspections[Date],MATCH(tblDefects[[#This Row],[Lot ID]],tblInspections[Lot ID],0)),""))</f>
        <v>46281</v>
      </c>
      <c r="F94" s="42" t="str">
        <f>IF(tblDefects[[#This Row],[Lot ID]]="","",IFERROR(INDEX(tblInspections[Part],MATCH(tblDefects[[#This Row],[Lot ID]],tblInspections[Lot ID],0)),""))</f>
        <v>Seat bracket SB-204</v>
      </c>
      <c r="G94" s="39">
        <f>IF(tblDefects[[#This Row],[Lot ID]]="","",IFERROR(INDEX(tblInspections[View date],MATCH(tblDefects[[#This Row],[Lot ID]],tblInspections[Lot ID],0)),""))</f>
        <v>46281</v>
      </c>
      <c r="H9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4" s="41" t="s">
        <v>131</v>
      </c>
    </row>
    <row r="95" spans="2:9">
      <c r="B95" s="28" t="s">
        <v>180</v>
      </c>
      <c r="C95" s="28" t="s">
        <v>108</v>
      </c>
      <c r="D95" s="29">
        <v>1</v>
      </c>
      <c r="E95" s="39">
        <f>IF(tblDefects[[#This Row],[Lot ID]]="","",IFERROR(INDEX(tblInspections[Date],MATCH(tblDefects[[#This Row],[Lot ID]],tblInspections[Lot ID],0)),""))</f>
        <v>46281</v>
      </c>
      <c r="F95" s="42" t="str">
        <f>IF(tblDefects[[#This Row],[Lot ID]]="","",IFERROR(INDEX(tblInspections[Part],MATCH(tblDefects[[#This Row],[Lot ID]],tblInspections[Lot ID],0)),""))</f>
        <v>Seat bracket SB-204</v>
      </c>
      <c r="G95" s="39">
        <f>IF(tblDefects[[#This Row],[Lot ID]]="","",IFERROR(INDEX(tblInspections[View date],MATCH(tblDefects[[#This Row],[Lot ID]],tblInspections[Lot ID],0)),""))</f>
        <v>46281</v>
      </c>
      <c r="H9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5" s="41" t="s">
        <v>255</v>
      </c>
    </row>
    <row r="96" spans="2:9">
      <c r="B96" s="28" t="s">
        <v>181</v>
      </c>
      <c r="C96" s="28" t="s">
        <v>89</v>
      </c>
      <c r="D96" s="29">
        <v>1</v>
      </c>
      <c r="E96" s="39">
        <f>IF(tblDefects[[#This Row],[Lot ID]]="","",IFERROR(INDEX(tblInspections[Date],MATCH(tblDefects[[#This Row],[Lot ID]],tblInspections[Lot ID],0)),""))</f>
        <v>46281</v>
      </c>
      <c r="F96" s="42" t="str">
        <f>IF(tblDefects[[#This Row],[Lot ID]]="","",IFERROR(INDEX(tblInspections[Part],MATCH(tblDefects[[#This Row],[Lot ID]],tblInspections[Lot ID],0)),""))</f>
        <v>Hinge plate HP-118</v>
      </c>
      <c r="G96" s="39">
        <f>IF(tblDefects[[#This Row],[Lot ID]]="","",IFERROR(INDEX(tblInspections[View date],MATCH(tblDefects[[#This Row],[Lot ID]],tblInspections[Lot ID],0)),""))</f>
        <v>46281</v>
      </c>
      <c r="H9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6" s="41" t="s">
        <v>131</v>
      </c>
    </row>
    <row r="97" spans="2:9">
      <c r="B97" s="28" t="s">
        <v>181</v>
      </c>
      <c r="C97" s="28" t="s">
        <v>92</v>
      </c>
      <c r="D97" s="29">
        <v>8</v>
      </c>
      <c r="E97" s="39">
        <f>IF(tblDefects[[#This Row],[Lot ID]]="","",IFERROR(INDEX(tblInspections[Date],MATCH(tblDefects[[#This Row],[Lot ID]],tblInspections[Lot ID],0)),""))</f>
        <v>46281</v>
      </c>
      <c r="F97" s="42" t="str">
        <f>IF(tblDefects[[#This Row],[Lot ID]]="","",IFERROR(INDEX(tblInspections[Part],MATCH(tblDefects[[#This Row],[Lot ID]],tblInspections[Lot ID],0)),""))</f>
        <v>Hinge plate HP-118</v>
      </c>
      <c r="G97" s="39">
        <f>IF(tblDefects[[#This Row],[Lot ID]]="","",IFERROR(INDEX(tblInspections[View date],MATCH(tblDefects[[#This Row],[Lot ID]],tblInspections[Lot ID],0)),""))</f>
        <v>46281</v>
      </c>
      <c r="H9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7" s="41" t="s">
        <v>131</v>
      </c>
    </row>
    <row r="98" spans="2:9">
      <c r="B98" s="28" t="s">
        <v>181</v>
      </c>
      <c r="C98" s="28" t="s">
        <v>95</v>
      </c>
      <c r="D98" s="29">
        <v>2</v>
      </c>
      <c r="E98" s="39">
        <f>IF(tblDefects[[#This Row],[Lot ID]]="","",IFERROR(INDEX(tblInspections[Date],MATCH(tblDefects[[#This Row],[Lot ID]],tblInspections[Lot ID],0)),""))</f>
        <v>46281</v>
      </c>
      <c r="F98" s="42" t="str">
        <f>IF(tblDefects[[#This Row],[Lot ID]]="","",IFERROR(INDEX(tblInspections[Part],MATCH(tblDefects[[#This Row],[Lot ID]],tblInspections[Lot ID],0)),""))</f>
        <v>Hinge plate HP-118</v>
      </c>
      <c r="G98" s="39">
        <f>IF(tblDefects[[#This Row],[Lot ID]]="","",IFERROR(INDEX(tblInspections[View date],MATCH(tblDefects[[#This Row],[Lot ID]],tblInspections[Lot ID],0)),""))</f>
        <v>46281</v>
      </c>
      <c r="H9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8" s="41" t="s">
        <v>131</v>
      </c>
    </row>
    <row r="99" spans="2:9">
      <c r="B99" s="28" t="s">
        <v>182</v>
      </c>
      <c r="C99" s="28" t="s">
        <v>98</v>
      </c>
      <c r="D99" s="29">
        <v>2</v>
      </c>
      <c r="E99" s="39">
        <f>IF(tblDefects[[#This Row],[Lot ID]]="","",IFERROR(INDEX(tblInspections[Date],MATCH(tblDefects[[#This Row],[Lot ID]],tblInspections[Lot ID],0)),""))</f>
        <v>46281</v>
      </c>
      <c r="F99" s="42" t="str">
        <f>IF(tblDefects[[#This Row],[Lot ID]]="","",IFERROR(INDEX(tblInspections[Part],MATCH(tblDefects[[#This Row],[Lot ID]],tblInspections[Lot ID],0)),""))</f>
        <v>Heat shield HS-330</v>
      </c>
      <c r="G99" s="39">
        <f>IF(tblDefects[[#This Row],[Lot ID]]="","",IFERROR(INDEX(tblInspections[View date],MATCH(tblDefects[[#This Row],[Lot ID]],tblInspections[Lot ID],0)),""))</f>
        <v>46281</v>
      </c>
      <c r="H9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99" s="41" t="s">
        <v>131</v>
      </c>
    </row>
    <row r="100" spans="2:9">
      <c r="B100" s="28" t="s">
        <v>183</v>
      </c>
      <c r="C100" s="28" t="s">
        <v>106</v>
      </c>
      <c r="D100" s="29">
        <v>1</v>
      </c>
      <c r="E100" s="39">
        <f>IF(tblDefects[[#This Row],[Lot ID]]="","",IFERROR(INDEX(tblInspections[Date],MATCH(tblDefects[[#This Row],[Lot ID]],tblInspections[Lot ID],0)),""))</f>
        <v>46281</v>
      </c>
      <c r="F100" s="42" t="str">
        <f>IF(tblDefects[[#This Row],[Lot ID]]="","",IFERROR(INDEX(tblInspections[Part],MATCH(tblDefects[[#This Row],[Lot ID]],tblInspections[Lot ID],0)),""))</f>
        <v>Tray clip BC-77</v>
      </c>
      <c r="G100" s="39">
        <f>IF(tblDefects[[#This Row],[Lot ID]]="","",IFERROR(INDEX(tblInspections[View date],MATCH(tblDefects[[#This Row],[Lot ID]],tblInspections[Lot ID],0)),""))</f>
        <v>46281</v>
      </c>
      <c r="H10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0" s="41" t="s">
        <v>131</v>
      </c>
    </row>
    <row r="101" spans="2:9">
      <c r="B101" s="28" t="s">
        <v>185</v>
      </c>
      <c r="C101" s="28" t="s">
        <v>92</v>
      </c>
      <c r="D101" s="29">
        <v>12</v>
      </c>
      <c r="E101" s="39">
        <f>IF(tblDefects[[#This Row],[Lot ID]]="","",IFERROR(INDEX(tblInspections[Date],MATCH(tblDefects[[#This Row],[Lot ID]],tblInspections[Lot ID],0)),""))</f>
        <v>46282</v>
      </c>
      <c r="F101" s="42" t="str">
        <f>IF(tblDefects[[#This Row],[Lot ID]]="","",IFERROR(INDEX(tblInspections[Part],MATCH(tblDefects[[#This Row],[Lot ID]],tblInspections[Lot ID],0)),""))</f>
        <v>Hinge plate HP-118</v>
      </c>
      <c r="G101" s="39">
        <f>IF(tblDefects[[#This Row],[Lot ID]]="","",IFERROR(INDEX(tblInspections[View date],MATCH(tblDefects[[#This Row],[Lot ID]],tblInspections[Lot ID],0)),""))</f>
        <v>46282</v>
      </c>
      <c r="H10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1" s="41" t="s">
        <v>131</v>
      </c>
    </row>
    <row r="102" spans="2:9">
      <c r="B102" s="28" t="s">
        <v>186</v>
      </c>
      <c r="C102" s="28" t="s">
        <v>101</v>
      </c>
      <c r="D102" s="29">
        <v>3</v>
      </c>
      <c r="E102" s="39">
        <f>IF(tblDefects[[#This Row],[Lot ID]]="","",IFERROR(INDEX(tblInspections[Date],MATCH(tblDefects[[#This Row],[Lot ID]],tblInspections[Lot ID],0)),""))</f>
        <v>46282</v>
      </c>
      <c r="F102" s="42" t="str">
        <f>IF(tblDefects[[#This Row],[Lot ID]]="","",IFERROR(INDEX(tblInspections[Part],MATCH(tblDefects[[#This Row],[Lot ID]],tblInspections[Lot ID],0)),""))</f>
        <v>Heat shield HS-330</v>
      </c>
      <c r="G102" s="39">
        <f>IF(tblDefects[[#This Row],[Lot ID]]="","",IFERROR(INDEX(tblInspections[View date],MATCH(tblDefects[[#This Row],[Lot ID]],tblInspections[Lot ID],0)),""))</f>
        <v>46282</v>
      </c>
      <c r="H10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2" s="41" t="s">
        <v>131</v>
      </c>
    </row>
    <row r="103" spans="2:9">
      <c r="B103" s="28" t="s">
        <v>186</v>
      </c>
      <c r="C103" s="28" t="s">
        <v>103</v>
      </c>
      <c r="D103" s="29">
        <v>2</v>
      </c>
      <c r="E103" s="39">
        <f>IF(tblDefects[[#This Row],[Lot ID]]="","",IFERROR(INDEX(tblInspections[Date],MATCH(tblDefects[[#This Row],[Lot ID]],tblInspections[Lot ID],0)),""))</f>
        <v>46282</v>
      </c>
      <c r="F103" s="42" t="str">
        <f>IF(tblDefects[[#This Row],[Lot ID]]="","",IFERROR(INDEX(tblInspections[Part],MATCH(tblDefects[[#This Row],[Lot ID]],tblInspections[Lot ID],0)),""))</f>
        <v>Heat shield HS-330</v>
      </c>
      <c r="G103" s="39">
        <f>IF(tblDefects[[#This Row],[Lot ID]]="","",IFERROR(INDEX(tblInspections[View date],MATCH(tblDefects[[#This Row],[Lot ID]],tblInspections[Lot ID],0)),""))</f>
        <v>46282</v>
      </c>
      <c r="H10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3" s="41" t="s">
        <v>131</v>
      </c>
    </row>
    <row r="104" spans="2:9">
      <c r="B104" s="28" t="s">
        <v>187</v>
      </c>
      <c r="C104" s="28" t="s">
        <v>89</v>
      </c>
      <c r="D104" s="29">
        <v>3</v>
      </c>
      <c r="E104" s="39">
        <f>IF(tblDefects[[#This Row],[Lot ID]]="","",IFERROR(INDEX(tblInspections[Date],MATCH(tblDefects[[#This Row],[Lot ID]],tblInspections[Lot ID],0)),""))</f>
        <v>46282</v>
      </c>
      <c r="F104" s="42" t="str">
        <f>IF(tblDefects[[#This Row],[Lot ID]]="","",IFERROR(INDEX(tblInspections[Part],MATCH(tblDefects[[#This Row],[Lot ID]],tblInspections[Lot ID],0)),""))</f>
        <v>Tray clip BC-77</v>
      </c>
      <c r="G104" s="39">
        <f>IF(tblDefects[[#This Row],[Lot ID]]="","",IFERROR(INDEX(tblInspections[View date],MATCH(tblDefects[[#This Row],[Lot ID]],tblInspections[Lot ID],0)),""))</f>
        <v>46282</v>
      </c>
      <c r="H10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4" s="41" t="s">
        <v>131</v>
      </c>
    </row>
    <row r="105" spans="2:9">
      <c r="B105" s="28" t="s">
        <v>187</v>
      </c>
      <c r="C105" s="28" t="s">
        <v>106</v>
      </c>
      <c r="D105" s="29">
        <v>5</v>
      </c>
      <c r="E105" s="39">
        <f>IF(tblDefects[[#This Row],[Lot ID]]="","",IFERROR(INDEX(tblInspections[Date],MATCH(tblDefects[[#This Row],[Lot ID]],tblInspections[Lot ID],0)),""))</f>
        <v>46282</v>
      </c>
      <c r="F105" s="42" t="str">
        <f>IF(tblDefects[[#This Row],[Lot ID]]="","",IFERROR(INDEX(tblInspections[Part],MATCH(tblDefects[[#This Row],[Lot ID]],tblInspections[Lot ID],0)),""))</f>
        <v>Tray clip BC-77</v>
      </c>
      <c r="G105" s="39">
        <f>IF(tblDefects[[#This Row],[Lot ID]]="","",IFERROR(INDEX(tblInspections[View date],MATCH(tblDefects[[#This Row],[Lot ID]],tblInspections[Lot ID],0)),""))</f>
        <v>46282</v>
      </c>
      <c r="H10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5" s="41" t="s">
        <v>131</v>
      </c>
    </row>
    <row r="106" spans="2:9">
      <c r="B106" s="28" t="s">
        <v>187</v>
      </c>
      <c r="C106" s="28" t="s">
        <v>108</v>
      </c>
      <c r="D106" s="29">
        <v>1</v>
      </c>
      <c r="E106" s="39">
        <f>IF(tblDefects[[#This Row],[Lot ID]]="","",IFERROR(INDEX(tblInspections[Date],MATCH(tblDefects[[#This Row],[Lot ID]],tblInspections[Lot ID],0)),""))</f>
        <v>46282</v>
      </c>
      <c r="F106" s="42" t="str">
        <f>IF(tblDefects[[#This Row],[Lot ID]]="","",IFERROR(INDEX(tblInspections[Part],MATCH(tblDefects[[#This Row],[Lot ID]],tblInspections[Lot ID],0)),""))</f>
        <v>Tray clip BC-77</v>
      </c>
      <c r="G106" s="39">
        <f>IF(tblDefects[[#This Row],[Lot ID]]="","",IFERROR(INDEX(tblInspections[View date],MATCH(tblDefects[[#This Row],[Lot ID]],tblInspections[Lot ID],0)),""))</f>
        <v>46282</v>
      </c>
      <c r="H10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6" s="41" t="s">
        <v>255</v>
      </c>
    </row>
    <row r="107" spans="2:9">
      <c r="B107" s="28" t="s">
        <v>188</v>
      </c>
      <c r="C107" s="28" t="s">
        <v>89</v>
      </c>
      <c r="D107" s="29">
        <v>1</v>
      </c>
      <c r="E107" s="39">
        <f>IF(tblDefects[[#This Row],[Lot ID]]="","",IFERROR(INDEX(tblInspections[Date],MATCH(tblDefects[[#This Row],[Lot ID]],tblInspections[Lot ID],0)),""))</f>
        <v>46283</v>
      </c>
      <c r="F107" s="42" t="str">
        <f>IF(tblDefects[[#This Row],[Lot ID]]="","",IFERROR(INDEX(tblInspections[Part],MATCH(tblDefects[[#This Row],[Lot ID]],tblInspections[Lot ID],0)),""))</f>
        <v>Seat bracket SB-204</v>
      </c>
      <c r="G107" s="39">
        <f>IF(tblDefects[[#This Row],[Lot ID]]="","",IFERROR(INDEX(tblInspections[View date],MATCH(tblDefects[[#This Row],[Lot ID]],tblInspections[Lot ID],0)),""))</f>
        <v>46283</v>
      </c>
      <c r="H10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7" s="41" t="s">
        <v>131</v>
      </c>
    </row>
    <row r="108" spans="2:9">
      <c r="B108" s="28" t="s">
        <v>188</v>
      </c>
      <c r="C108" s="28" t="s">
        <v>108</v>
      </c>
      <c r="D108" s="29">
        <v>2</v>
      </c>
      <c r="E108" s="39">
        <f>IF(tblDefects[[#This Row],[Lot ID]]="","",IFERROR(INDEX(tblInspections[Date],MATCH(tblDefects[[#This Row],[Lot ID]],tblInspections[Lot ID],0)),""))</f>
        <v>46283</v>
      </c>
      <c r="F108" s="42" t="str">
        <f>IF(tblDefects[[#This Row],[Lot ID]]="","",IFERROR(INDEX(tblInspections[Part],MATCH(tblDefects[[#This Row],[Lot ID]],tblInspections[Lot ID],0)),""))</f>
        <v>Seat bracket SB-204</v>
      </c>
      <c r="G108" s="39">
        <f>IF(tblDefects[[#This Row],[Lot ID]]="","",IFERROR(INDEX(tblInspections[View date],MATCH(tblDefects[[#This Row],[Lot ID]],tblInspections[Lot ID],0)),""))</f>
        <v>46283</v>
      </c>
      <c r="H10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8" s="41" t="s">
        <v>255</v>
      </c>
    </row>
    <row r="109" spans="2:9">
      <c r="B109" s="28" t="s">
        <v>189</v>
      </c>
      <c r="C109" s="28" t="s">
        <v>89</v>
      </c>
      <c r="D109" s="29">
        <v>3</v>
      </c>
      <c r="E109" s="39">
        <f>IF(tblDefects[[#This Row],[Lot ID]]="","",IFERROR(INDEX(tblInspections[Date],MATCH(tblDefects[[#This Row],[Lot ID]],tblInspections[Lot ID],0)),""))</f>
        <v>46283</v>
      </c>
      <c r="F109" s="42" t="str">
        <f>IF(tblDefects[[#This Row],[Lot ID]]="","",IFERROR(INDEX(tblInspections[Part],MATCH(tblDefects[[#This Row],[Lot ID]],tblInspections[Lot ID],0)),""))</f>
        <v>Hinge plate HP-118</v>
      </c>
      <c r="G109" s="39">
        <f>IF(tblDefects[[#This Row],[Lot ID]]="","",IFERROR(INDEX(tblInspections[View date],MATCH(tblDefects[[#This Row],[Lot ID]],tblInspections[Lot ID],0)),""))</f>
        <v>46283</v>
      </c>
      <c r="H10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09" s="41" t="s">
        <v>131</v>
      </c>
    </row>
    <row r="110" spans="2:9">
      <c r="B110" s="28" t="s">
        <v>189</v>
      </c>
      <c r="C110" s="28" t="s">
        <v>92</v>
      </c>
      <c r="D110" s="29">
        <v>6</v>
      </c>
      <c r="E110" s="39">
        <f>IF(tblDefects[[#This Row],[Lot ID]]="","",IFERROR(INDEX(tblInspections[Date],MATCH(tblDefects[[#This Row],[Lot ID]],tblInspections[Lot ID],0)),""))</f>
        <v>46283</v>
      </c>
      <c r="F110" s="42" t="str">
        <f>IF(tblDefects[[#This Row],[Lot ID]]="","",IFERROR(INDEX(tblInspections[Part],MATCH(tblDefects[[#This Row],[Lot ID]],tblInspections[Lot ID],0)),""))</f>
        <v>Hinge plate HP-118</v>
      </c>
      <c r="G110" s="39">
        <f>IF(tblDefects[[#This Row],[Lot ID]]="","",IFERROR(INDEX(tblInspections[View date],MATCH(tblDefects[[#This Row],[Lot ID]],tblInspections[Lot ID],0)),""))</f>
        <v>46283</v>
      </c>
      <c r="H11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0" s="41" t="s">
        <v>131</v>
      </c>
    </row>
    <row r="111" spans="2:9">
      <c r="B111" s="28" t="s">
        <v>191</v>
      </c>
      <c r="C111" s="28" t="s">
        <v>89</v>
      </c>
      <c r="D111" s="29">
        <v>2</v>
      </c>
      <c r="E111" s="39">
        <f>IF(tblDefects[[#This Row],[Lot ID]]="","",IFERROR(INDEX(tblInspections[Date],MATCH(tblDefects[[#This Row],[Lot ID]],tblInspections[Lot ID],0)),""))</f>
        <v>46283</v>
      </c>
      <c r="F111" s="42" t="str">
        <f>IF(tblDefects[[#This Row],[Lot ID]]="","",IFERROR(INDEX(tblInspections[Part],MATCH(tblDefects[[#This Row],[Lot ID]],tblInspections[Lot ID],0)),""))</f>
        <v>Tray clip BC-77</v>
      </c>
      <c r="G111" s="39">
        <f>IF(tblDefects[[#This Row],[Lot ID]]="","",IFERROR(INDEX(tblInspections[View date],MATCH(tblDefects[[#This Row],[Lot ID]],tblInspections[Lot ID],0)),""))</f>
        <v>46283</v>
      </c>
      <c r="H11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1" s="41" t="s">
        <v>131</v>
      </c>
    </row>
    <row r="112" spans="2:9">
      <c r="B112" s="28" t="s">
        <v>191</v>
      </c>
      <c r="C112" s="28" t="s">
        <v>106</v>
      </c>
      <c r="D112" s="29">
        <v>2</v>
      </c>
      <c r="E112" s="39">
        <f>IF(tblDefects[[#This Row],[Lot ID]]="","",IFERROR(INDEX(tblInspections[Date],MATCH(tblDefects[[#This Row],[Lot ID]],tblInspections[Lot ID],0)),""))</f>
        <v>46283</v>
      </c>
      <c r="F112" s="42" t="str">
        <f>IF(tblDefects[[#This Row],[Lot ID]]="","",IFERROR(INDEX(tblInspections[Part],MATCH(tblDefects[[#This Row],[Lot ID]],tblInspections[Lot ID],0)),""))</f>
        <v>Tray clip BC-77</v>
      </c>
      <c r="G112" s="39">
        <f>IF(tblDefects[[#This Row],[Lot ID]]="","",IFERROR(INDEX(tblInspections[View date],MATCH(tblDefects[[#This Row],[Lot ID]],tblInspections[Lot ID],0)),""))</f>
        <v>46283</v>
      </c>
      <c r="H11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2" s="41" t="s">
        <v>131</v>
      </c>
    </row>
    <row r="113" spans="2:9">
      <c r="B113" s="28" t="s">
        <v>191</v>
      </c>
      <c r="C113" s="28" t="s">
        <v>108</v>
      </c>
      <c r="D113" s="29">
        <v>1</v>
      </c>
      <c r="E113" s="39">
        <f>IF(tblDefects[[#This Row],[Lot ID]]="","",IFERROR(INDEX(tblInspections[Date],MATCH(tblDefects[[#This Row],[Lot ID]],tblInspections[Lot ID],0)),""))</f>
        <v>46283</v>
      </c>
      <c r="F113" s="42" t="str">
        <f>IF(tblDefects[[#This Row],[Lot ID]]="","",IFERROR(INDEX(tblInspections[Part],MATCH(tblDefects[[#This Row],[Lot ID]],tblInspections[Lot ID],0)),""))</f>
        <v>Tray clip BC-77</v>
      </c>
      <c r="G113" s="39">
        <f>IF(tblDefects[[#This Row],[Lot ID]]="","",IFERROR(INDEX(tblInspections[View date],MATCH(tblDefects[[#This Row],[Lot ID]],tblInspections[Lot ID],0)),""))</f>
        <v>46283</v>
      </c>
      <c r="H11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3" s="41" t="s">
        <v>255</v>
      </c>
    </row>
    <row r="114" spans="2:9">
      <c r="B114" s="28" t="s">
        <v>192</v>
      </c>
      <c r="C114" s="28" t="s">
        <v>95</v>
      </c>
      <c r="D114" s="29">
        <v>2</v>
      </c>
      <c r="E114" s="39">
        <f>IF(tblDefects[[#This Row],[Lot ID]]="","",IFERROR(INDEX(tblInspections[Date],MATCH(tblDefects[[#This Row],[Lot ID]],tblInspections[Lot ID],0)),""))</f>
        <v>46286</v>
      </c>
      <c r="F114" s="42" t="str">
        <f>IF(tblDefects[[#This Row],[Lot ID]]="","",IFERROR(INDEX(tblInspections[Part],MATCH(tblDefects[[#This Row],[Lot ID]],tblInspections[Lot ID],0)),""))</f>
        <v>Seat bracket SB-204</v>
      </c>
      <c r="G114" s="39">
        <f>IF(tblDefects[[#This Row],[Lot ID]]="","",IFERROR(INDEX(tblInspections[View date],MATCH(tblDefects[[#This Row],[Lot ID]],tblInspections[Lot ID],0)),""))</f>
        <v>46286</v>
      </c>
      <c r="H11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4" s="41" t="s">
        <v>131</v>
      </c>
    </row>
    <row r="115" spans="2:9">
      <c r="B115" s="28" t="s">
        <v>195</v>
      </c>
      <c r="C115" s="28" t="s">
        <v>103</v>
      </c>
      <c r="D115" s="29">
        <v>1</v>
      </c>
      <c r="E115" s="39">
        <f>IF(tblDefects[[#This Row],[Lot ID]]="","",IFERROR(INDEX(tblInspections[Date],MATCH(tblDefects[[#This Row],[Lot ID]],tblInspections[Lot ID],0)),""))</f>
        <v>46286</v>
      </c>
      <c r="F115" s="42" t="str">
        <f>IF(tblDefects[[#This Row],[Lot ID]]="","",IFERROR(INDEX(tblInspections[Part],MATCH(tblDefects[[#This Row],[Lot ID]],tblInspections[Lot ID],0)),""))</f>
        <v>Heat shield HS-330</v>
      </c>
      <c r="G115" s="39">
        <f>IF(tblDefects[[#This Row],[Lot ID]]="","",IFERROR(INDEX(tblInspections[View date],MATCH(tblDefects[[#This Row],[Lot ID]],tblInspections[Lot ID],0)),""))</f>
        <v>46286</v>
      </c>
      <c r="H11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5" s="41" t="s">
        <v>131</v>
      </c>
    </row>
    <row r="116" spans="2:9">
      <c r="B116" s="28" t="s">
        <v>196</v>
      </c>
      <c r="C116" s="28" t="s">
        <v>89</v>
      </c>
      <c r="D116" s="29">
        <v>2</v>
      </c>
      <c r="E116" s="39">
        <f>IF(tblDefects[[#This Row],[Lot ID]]="","",IFERROR(INDEX(tblInspections[Date],MATCH(tblDefects[[#This Row],[Lot ID]],tblInspections[Lot ID],0)),""))</f>
        <v>46286</v>
      </c>
      <c r="F116" s="42" t="str">
        <f>IF(tblDefects[[#This Row],[Lot ID]]="","",IFERROR(INDEX(tblInspections[Part],MATCH(tblDefects[[#This Row],[Lot ID]],tblInspections[Lot ID],0)),""))</f>
        <v>Tray clip BC-77</v>
      </c>
      <c r="G116" s="39">
        <f>IF(tblDefects[[#This Row],[Lot ID]]="","",IFERROR(INDEX(tblInspections[View date],MATCH(tblDefects[[#This Row],[Lot ID]],tblInspections[Lot ID],0)),""))</f>
        <v>46286</v>
      </c>
      <c r="H11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6" s="41" t="s">
        <v>131</v>
      </c>
    </row>
    <row r="117" spans="2:9">
      <c r="B117" s="28" t="s">
        <v>196</v>
      </c>
      <c r="C117" s="28" t="s">
        <v>106</v>
      </c>
      <c r="D117" s="29">
        <v>2</v>
      </c>
      <c r="E117" s="39">
        <f>IF(tblDefects[[#This Row],[Lot ID]]="","",IFERROR(INDEX(tblInspections[Date],MATCH(tblDefects[[#This Row],[Lot ID]],tblInspections[Lot ID],0)),""))</f>
        <v>46286</v>
      </c>
      <c r="F117" s="42" t="str">
        <f>IF(tblDefects[[#This Row],[Lot ID]]="","",IFERROR(INDEX(tblInspections[Part],MATCH(tblDefects[[#This Row],[Lot ID]],tblInspections[Lot ID],0)),""))</f>
        <v>Tray clip BC-77</v>
      </c>
      <c r="G117" s="39">
        <f>IF(tblDefects[[#This Row],[Lot ID]]="","",IFERROR(INDEX(tblInspections[View date],MATCH(tblDefects[[#This Row],[Lot ID]],tblInspections[Lot ID],0)),""))</f>
        <v>46286</v>
      </c>
      <c r="H11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7" s="41" t="s">
        <v>131</v>
      </c>
    </row>
    <row r="118" spans="2:9">
      <c r="B118" s="28" t="s">
        <v>197</v>
      </c>
      <c r="C118" s="28" t="s">
        <v>89</v>
      </c>
      <c r="D118" s="29">
        <v>3</v>
      </c>
      <c r="E118" s="39">
        <f>IF(tblDefects[[#This Row],[Lot ID]]="","",IFERROR(INDEX(tblInspections[Date],MATCH(tblDefects[[#This Row],[Lot ID]],tblInspections[Lot ID],0)),""))</f>
        <v>46287</v>
      </c>
      <c r="F118" s="42" t="str">
        <f>IF(tblDefects[[#This Row],[Lot ID]]="","",IFERROR(INDEX(tblInspections[Part],MATCH(tblDefects[[#This Row],[Lot ID]],tblInspections[Lot ID],0)),""))</f>
        <v>Seat bracket SB-204</v>
      </c>
      <c r="G118" s="39">
        <f>IF(tblDefects[[#This Row],[Lot ID]]="","",IFERROR(INDEX(tblInspections[View date],MATCH(tblDefects[[#This Row],[Lot ID]],tblInspections[Lot ID],0)),""))</f>
        <v>46287</v>
      </c>
      <c r="H11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8" s="41" t="s">
        <v>131</v>
      </c>
    </row>
    <row r="119" spans="2:9">
      <c r="B119" s="28" t="s">
        <v>197</v>
      </c>
      <c r="C119" s="28" t="s">
        <v>103</v>
      </c>
      <c r="D119" s="29">
        <v>2</v>
      </c>
      <c r="E119" s="39">
        <f>IF(tblDefects[[#This Row],[Lot ID]]="","",IFERROR(INDEX(tblInspections[Date],MATCH(tblDefects[[#This Row],[Lot ID]],tblInspections[Lot ID],0)),""))</f>
        <v>46287</v>
      </c>
      <c r="F119" s="42" t="str">
        <f>IF(tblDefects[[#This Row],[Lot ID]]="","",IFERROR(INDEX(tblInspections[Part],MATCH(tblDefects[[#This Row],[Lot ID]],tblInspections[Lot ID],0)),""))</f>
        <v>Seat bracket SB-204</v>
      </c>
      <c r="G119" s="39">
        <f>IF(tblDefects[[#This Row],[Lot ID]]="","",IFERROR(INDEX(tblInspections[View date],MATCH(tblDefects[[#This Row],[Lot ID]],tblInspections[Lot ID],0)),""))</f>
        <v>46287</v>
      </c>
      <c r="H11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19" s="41" t="s">
        <v>131</v>
      </c>
    </row>
    <row r="120" spans="2:9">
      <c r="B120" s="28" t="s">
        <v>198</v>
      </c>
      <c r="C120" s="28" t="s">
        <v>92</v>
      </c>
      <c r="D120" s="29">
        <v>1</v>
      </c>
      <c r="E120" s="39">
        <f>IF(tblDefects[[#This Row],[Lot ID]]="","",IFERROR(INDEX(tblInspections[Date],MATCH(tblDefects[[#This Row],[Lot ID]],tblInspections[Lot ID],0)),""))</f>
        <v>46287</v>
      </c>
      <c r="F120" s="42" t="str">
        <f>IF(tblDefects[[#This Row],[Lot ID]]="","",IFERROR(INDEX(tblInspections[Part],MATCH(tblDefects[[#This Row],[Lot ID]],tblInspections[Lot ID],0)),""))</f>
        <v>Hinge plate HP-118</v>
      </c>
      <c r="G120" s="39">
        <f>IF(tblDefects[[#This Row],[Lot ID]]="","",IFERROR(INDEX(tblInspections[View date],MATCH(tblDefects[[#This Row],[Lot ID]],tblInspections[Lot ID],0)),""))</f>
        <v>46287</v>
      </c>
      <c r="H12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0" s="41" t="s">
        <v>131</v>
      </c>
    </row>
    <row r="121" spans="2:9">
      <c r="B121" s="28" t="s">
        <v>198</v>
      </c>
      <c r="C121" s="28" t="s">
        <v>95</v>
      </c>
      <c r="D121" s="29">
        <v>2</v>
      </c>
      <c r="E121" s="39">
        <f>IF(tblDefects[[#This Row],[Lot ID]]="","",IFERROR(INDEX(tblInspections[Date],MATCH(tblDefects[[#This Row],[Lot ID]],tblInspections[Lot ID],0)),""))</f>
        <v>46287</v>
      </c>
      <c r="F121" s="42" t="str">
        <f>IF(tblDefects[[#This Row],[Lot ID]]="","",IFERROR(INDEX(tblInspections[Part],MATCH(tblDefects[[#This Row],[Lot ID]],tblInspections[Lot ID],0)),""))</f>
        <v>Hinge plate HP-118</v>
      </c>
      <c r="G121" s="39">
        <f>IF(tblDefects[[#This Row],[Lot ID]]="","",IFERROR(INDEX(tblInspections[View date],MATCH(tblDefects[[#This Row],[Lot ID]],tblInspections[Lot ID],0)),""))</f>
        <v>46287</v>
      </c>
      <c r="H12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1" s="41" t="s">
        <v>131</v>
      </c>
    </row>
    <row r="122" spans="2:9">
      <c r="B122" s="28" t="s">
        <v>200</v>
      </c>
      <c r="C122" s="28" t="s">
        <v>89</v>
      </c>
      <c r="D122" s="29">
        <v>4</v>
      </c>
      <c r="E122" s="39">
        <f>IF(tblDefects[[#This Row],[Lot ID]]="","",IFERROR(INDEX(tblInspections[Date],MATCH(tblDefects[[#This Row],[Lot ID]],tblInspections[Lot ID],0)),""))</f>
        <v>46287</v>
      </c>
      <c r="F122" s="42" t="str">
        <f>IF(tblDefects[[#This Row],[Lot ID]]="","",IFERROR(INDEX(tblInspections[Part],MATCH(tblDefects[[#This Row],[Lot ID]],tblInspections[Lot ID],0)),""))</f>
        <v>Tray clip BC-77</v>
      </c>
      <c r="G122" s="39">
        <f>IF(tblDefects[[#This Row],[Lot ID]]="","",IFERROR(INDEX(tblInspections[View date],MATCH(tblDefects[[#This Row],[Lot ID]],tblInspections[Lot ID],0)),""))</f>
        <v>46287</v>
      </c>
      <c r="H12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2" s="41" t="s">
        <v>131</v>
      </c>
    </row>
    <row r="123" spans="2:9">
      <c r="B123" s="28" t="s">
        <v>200</v>
      </c>
      <c r="C123" s="28" t="s">
        <v>106</v>
      </c>
      <c r="D123" s="29">
        <v>2</v>
      </c>
      <c r="E123" s="39">
        <f>IF(tblDefects[[#This Row],[Lot ID]]="","",IFERROR(INDEX(tblInspections[Date],MATCH(tblDefects[[#This Row],[Lot ID]],tblInspections[Lot ID],0)),""))</f>
        <v>46287</v>
      </c>
      <c r="F123" s="42" t="str">
        <f>IF(tblDefects[[#This Row],[Lot ID]]="","",IFERROR(INDEX(tblInspections[Part],MATCH(tblDefects[[#This Row],[Lot ID]],tblInspections[Lot ID],0)),""))</f>
        <v>Tray clip BC-77</v>
      </c>
      <c r="G123" s="39">
        <f>IF(tblDefects[[#This Row],[Lot ID]]="","",IFERROR(INDEX(tblInspections[View date],MATCH(tblDefects[[#This Row],[Lot ID]],tblInspections[Lot ID],0)),""))</f>
        <v>46287</v>
      </c>
      <c r="H12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3" s="41" t="s">
        <v>131</v>
      </c>
    </row>
    <row r="124" spans="2:9">
      <c r="B124" s="28" t="s">
        <v>200</v>
      </c>
      <c r="C124" s="28" t="s">
        <v>108</v>
      </c>
      <c r="D124" s="29">
        <v>2</v>
      </c>
      <c r="E124" s="39">
        <f>IF(tblDefects[[#This Row],[Lot ID]]="","",IFERROR(INDEX(tblInspections[Date],MATCH(tblDefects[[#This Row],[Lot ID]],tblInspections[Lot ID],0)),""))</f>
        <v>46287</v>
      </c>
      <c r="F124" s="42" t="str">
        <f>IF(tblDefects[[#This Row],[Lot ID]]="","",IFERROR(INDEX(tblInspections[Part],MATCH(tblDefects[[#This Row],[Lot ID]],tblInspections[Lot ID],0)),""))</f>
        <v>Tray clip BC-77</v>
      </c>
      <c r="G124" s="39">
        <f>IF(tblDefects[[#This Row],[Lot ID]]="","",IFERROR(INDEX(tblInspections[View date],MATCH(tblDefects[[#This Row],[Lot ID]],tblInspections[Lot ID],0)),""))</f>
        <v>46287</v>
      </c>
      <c r="H12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4" s="41" t="s">
        <v>255</v>
      </c>
    </row>
    <row r="125" spans="2:9">
      <c r="B125" s="28" t="s">
        <v>202</v>
      </c>
      <c r="C125" s="28" t="s">
        <v>92</v>
      </c>
      <c r="D125" s="29">
        <v>2</v>
      </c>
      <c r="E125" s="39">
        <f>IF(tblDefects[[#This Row],[Lot ID]]="","",IFERROR(INDEX(tblInspections[Date],MATCH(tblDefects[[#This Row],[Lot ID]],tblInspections[Lot ID],0)),""))</f>
        <v>46288</v>
      </c>
      <c r="F125" s="42" t="str">
        <f>IF(tblDefects[[#This Row],[Lot ID]]="","",IFERROR(INDEX(tblInspections[Part],MATCH(tblDefects[[#This Row],[Lot ID]],tblInspections[Lot ID],0)),""))</f>
        <v>Hinge plate HP-118</v>
      </c>
      <c r="G125" s="39">
        <f>IF(tblDefects[[#This Row],[Lot ID]]="","",IFERROR(INDEX(tblInspections[View date],MATCH(tblDefects[[#This Row],[Lot ID]],tblInspections[Lot ID],0)),""))</f>
        <v>46288</v>
      </c>
      <c r="H12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5" s="41" t="s">
        <v>131</v>
      </c>
    </row>
    <row r="126" spans="2:9">
      <c r="B126" s="28" t="s">
        <v>202</v>
      </c>
      <c r="C126" s="28" t="s">
        <v>95</v>
      </c>
      <c r="D126" s="29">
        <v>1</v>
      </c>
      <c r="E126" s="39">
        <f>IF(tblDefects[[#This Row],[Lot ID]]="","",IFERROR(INDEX(tblInspections[Date],MATCH(tblDefects[[#This Row],[Lot ID]],tblInspections[Lot ID],0)),""))</f>
        <v>46288</v>
      </c>
      <c r="F126" s="42" t="str">
        <f>IF(tblDefects[[#This Row],[Lot ID]]="","",IFERROR(INDEX(tblInspections[Part],MATCH(tblDefects[[#This Row],[Lot ID]],tblInspections[Lot ID],0)),""))</f>
        <v>Hinge plate HP-118</v>
      </c>
      <c r="G126" s="39">
        <f>IF(tblDefects[[#This Row],[Lot ID]]="","",IFERROR(INDEX(tblInspections[View date],MATCH(tblDefects[[#This Row],[Lot ID]],tblInspections[Lot ID],0)),""))</f>
        <v>46288</v>
      </c>
      <c r="H12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6" s="41" t="s">
        <v>131</v>
      </c>
    </row>
    <row r="127" spans="2:9">
      <c r="B127" s="28" t="s">
        <v>203</v>
      </c>
      <c r="C127" s="28" t="s">
        <v>98</v>
      </c>
      <c r="D127" s="29">
        <v>1</v>
      </c>
      <c r="E127" s="39">
        <f>IF(tblDefects[[#This Row],[Lot ID]]="","",IFERROR(INDEX(tblInspections[Date],MATCH(tblDefects[[#This Row],[Lot ID]],tblInspections[Lot ID],0)),""))</f>
        <v>46288</v>
      </c>
      <c r="F127" s="42" t="str">
        <f>IF(tblDefects[[#This Row],[Lot ID]]="","",IFERROR(INDEX(tblInspections[Part],MATCH(tblDefects[[#This Row],[Lot ID]],tblInspections[Lot ID],0)),""))</f>
        <v>Heat shield HS-330</v>
      </c>
      <c r="G127" s="39">
        <f>IF(tblDefects[[#This Row],[Lot ID]]="","",IFERROR(INDEX(tblInspections[View date],MATCH(tblDefects[[#This Row],[Lot ID]],tblInspections[Lot ID],0)),""))</f>
        <v>46288</v>
      </c>
      <c r="H12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7" s="41" t="s">
        <v>131</v>
      </c>
    </row>
    <row r="128" spans="2:9">
      <c r="B128" s="28" t="s">
        <v>204</v>
      </c>
      <c r="C128" s="28" t="s">
        <v>89</v>
      </c>
      <c r="D128" s="29">
        <v>4</v>
      </c>
      <c r="E128" s="39">
        <f>IF(tblDefects[[#This Row],[Lot ID]]="","",IFERROR(INDEX(tblInspections[Date],MATCH(tblDefects[[#This Row],[Lot ID]],tblInspections[Lot ID],0)),""))</f>
        <v>46288</v>
      </c>
      <c r="F128" s="42" t="str">
        <f>IF(tblDefects[[#This Row],[Lot ID]]="","",IFERROR(INDEX(tblInspections[Part],MATCH(tblDefects[[#This Row],[Lot ID]],tblInspections[Lot ID],0)),""))</f>
        <v>Tray clip BC-77</v>
      </c>
      <c r="G128" s="39">
        <f>IF(tblDefects[[#This Row],[Lot ID]]="","",IFERROR(INDEX(tblInspections[View date],MATCH(tblDefects[[#This Row],[Lot ID]],tblInspections[Lot ID],0)),""))</f>
        <v>46288</v>
      </c>
      <c r="H12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8" s="41" t="s">
        <v>131</v>
      </c>
    </row>
    <row r="129" spans="2:9">
      <c r="B129" s="28" t="s">
        <v>204</v>
      </c>
      <c r="C129" s="28" t="s">
        <v>106</v>
      </c>
      <c r="D129" s="29">
        <v>3</v>
      </c>
      <c r="E129" s="39">
        <f>IF(tblDefects[[#This Row],[Lot ID]]="","",IFERROR(INDEX(tblInspections[Date],MATCH(tblDefects[[#This Row],[Lot ID]],tblInspections[Lot ID],0)),""))</f>
        <v>46288</v>
      </c>
      <c r="F129" s="42" t="str">
        <f>IF(tblDefects[[#This Row],[Lot ID]]="","",IFERROR(INDEX(tblInspections[Part],MATCH(tblDefects[[#This Row],[Lot ID]],tblInspections[Lot ID],0)),""))</f>
        <v>Tray clip BC-77</v>
      </c>
      <c r="G129" s="39">
        <f>IF(tblDefects[[#This Row],[Lot ID]]="","",IFERROR(INDEX(tblInspections[View date],MATCH(tblDefects[[#This Row],[Lot ID]],tblInspections[Lot ID],0)),""))</f>
        <v>46288</v>
      </c>
      <c r="H12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29" s="41" t="s">
        <v>131</v>
      </c>
    </row>
    <row r="130" spans="2:9">
      <c r="B130" s="28" t="s">
        <v>205</v>
      </c>
      <c r="C130" s="28" t="s">
        <v>89</v>
      </c>
      <c r="D130" s="29">
        <v>2</v>
      </c>
      <c r="E130" s="39">
        <f>IF(tblDefects[[#This Row],[Lot ID]]="","",IFERROR(INDEX(tblInspections[Date],MATCH(tblDefects[[#This Row],[Lot ID]],tblInspections[Lot ID],0)),""))</f>
        <v>46289</v>
      </c>
      <c r="F130" s="42" t="str">
        <f>IF(tblDefects[[#This Row],[Lot ID]]="","",IFERROR(INDEX(tblInspections[Part],MATCH(tblDefects[[#This Row],[Lot ID]],tblInspections[Lot ID],0)),""))</f>
        <v>Seat bracket SB-204</v>
      </c>
      <c r="G130" s="39">
        <f>IF(tblDefects[[#This Row],[Lot ID]]="","",IFERROR(INDEX(tblInspections[View date],MATCH(tblDefects[[#This Row],[Lot ID]],tblInspections[Lot ID],0)),""))</f>
        <v>46289</v>
      </c>
      <c r="H13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0" s="41" t="s">
        <v>131</v>
      </c>
    </row>
    <row r="131" spans="2:9">
      <c r="B131" s="28" t="s">
        <v>206</v>
      </c>
      <c r="C131" s="28" t="s">
        <v>89</v>
      </c>
      <c r="D131" s="29">
        <v>1</v>
      </c>
      <c r="E131" s="39">
        <f>IF(tblDefects[[#This Row],[Lot ID]]="","",IFERROR(INDEX(tblInspections[Date],MATCH(tblDefects[[#This Row],[Lot ID]],tblInspections[Lot ID],0)),""))</f>
        <v>46289</v>
      </c>
      <c r="F131" s="42" t="str">
        <f>IF(tblDefects[[#This Row],[Lot ID]]="","",IFERROR(INDEX(tblInspections[Part],MATCH(tblDefects[[#This Row],[Lot ID]],tblInspections[Lot ID],0)),""))</f>
        <v>Hinge plate HP-118</v>
      </c>
      <c r="G131" s="39">
        <f>IF(tblDefects[[#This Row],[Lot ID]]="","",IFERROR(INDEX(tblInspections[View date],MATCH(tblDefects[[#This Row],[Lot ID]],tblInspections[Lot ID],0)),""))</f>
        <v>46289</v>
      </c>
      <c r="H13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1" s="41" t="s">
        <v>131</v>
      </c>
    </row>
    <row r="132" spans="2:9">
      <c r="B132" s="28" t="s">
        <v>206</v>
      </c>
      <c r="C132" s="28" t="s">
        <v>95</v>
      </c>
      <c r="D132" s="29">
        <v>1</v>
      </c>
      <c r="E132" s="39">
        <f>IF(tblDefects[[#This Row],[Lot ID]]="","",IFERROR(INDEX(tblInspections[Date],MATCH(tblDefects[[#This Row],[Lot ID]],tblInspections[Lot ID],0)),""))</f>
        <v>46289</v>
      </c>
      <c r="F132" s="42" t="str">
        <f>IF(tblDefects[[#This Row],[Lot ID]]="","",IFERROR(INDEX(tblInspections[Part],MATCH(tblDefects[[#This Row],[Lot ID]],tblInspections[Lot ID],0)),""))</f>
        <v>Hinge plate HP-118</v>
      </c>
      <c r="G132" s="39">
        <f>IF(tblDefects[[#This Row],[Lot ID]]="","",IFERROR(INDEX(tblInspections[View date],MATCH(tblDefects[[#This Row],[Lot ID]],tblInspections[Lot ID],0)),""))</f>
        <v>46289</v>
      </c>
      <c r="H13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2" s="41" t="s">
        <v>131</v>
      </c>
    </row>
    <row r="133" spans="2:9">
      <c r="B133" s="28" t="s">
        <v>207</v>
      </c>
      <c r="C133" s="28" t="s">
        <v>101</v>
      </c>
      <c r="D133" s="29">
        <v>1</v>
      </c>
      <c r="E133" s="39">
        <f>IF(tblDefects[[#This Row],[Lot ID]]="","",IFERROR(INDEX(tblInspections[Date],MATCH(tblDefects[[#This Row],[Lot ID]],tblInspections[Lot ID],0)),""))</f>
        <v>46289</v>
      </c>
      <c r="F133" s="42" t="str">
        <f>IF(tblDefects[[#This Row],[Lot ID]]="","",IFERROR(INDEX(tblInspections[Part],MATCH(tblDefects[[#This Row],[Lot ID]],tblInspections[Lot ID],0)),""))</f>
        <v>Heat shield HS-330</v>
      </c>
      <c r="G133" s="39">
        <f>IF(tblDefects[[#This Row],[Lot ID]]="","",IFERROR(INDEX(tblInspections[View date],MATCH(tblDefects[[#This Row],[Lot ID]],tblInspections[Lot ID],0)),""))</f>
        <v>46289</v>
      </c>
      <c r="H13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3" s="41" t="s">
        <v>131</v>
      </c>
    </row>
    <row r="134" spans="2:9">
      <c r="B134" s="28" t="s">
        <v>208</v>
      </c>
      <c r="C134" s="28" t="s">
        <v>89</v>
      </c>
      <c r="D134" s="29">
        <v>3</v>
      </c>
      <c r="E134" s="39">
        <f>IF(tblDefects[[#This Row],[Lot ID]]="","",IFERROR(INDEX(tblInspections[Date],MATCH(tblDefects[[#This Row],[Lot ID]],tblInspections[Lot ID],0)),""))</f>
        <v>46289</v>
      </c>
      <c r="F134" s="42" t="str">
        <f>IF(tblDefects[[#This Row],[Lot ID]]="","",IFERROR(INDEX(tblInspections[Part],MATCH(tblDefects[[#This Row],[Lot ID]],tblInspections[Lot ID],0)),""))</f>
        <v>Tray clip BC-77</v>
      </c>
      <c r="G134" s="39">
        <f>IF(tblDefects[[#This Row],[Lot ID]]="","",IFERROR(INDEX(tblInspections[View date],MATCH(tblDefects[[#This Row],[Lot ID]],tblInspections[Lot ID],0)),""))</f>
        <v>46289</v>
      </c>
      <c r="H13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4" s="41" t="s">
        <v>131</v>
      </c>
    </row>
    <row r="135" spans="2:9">
      <c r="B135" s="28" t="s">
        <v>208</v>
      </c>
      <c r="C135" s="28" t="s">
        <v>106</v>
      </c>
      <c r="D135" s="29">
        <v>1</v>
      </c>
      <c r="E135" s="39">
        <f>IF(tblDefects[[#This Row],[Lot ID]]="","",IFERROR(INDEX(tblInspections[Date],MATCH(tblDefects[[#This Row],[Lot ID]],tblInspections[Lot ID],0)),""))</f>
        <v>46289</v>
      </c>
      <c r="F135" s="42" t="str">
        <f>IF(tblDefects[[#This Row],[Lot ID]]="","",IFERROR(INDEX(tblInspections[Part],MATCH(tblDefects[[#This Row],[Lot ID]],tblInspections[Lot ID],0)),""))</f>
        <v>Tray clip BC-77</v>
      </c>
      <c r="G135" s="39">
        <f>IF(tblDefects[[#This Row],[Lot ID]]="","",IFERROR(INDEX(tblInspections[View date],MATCH(tblDefects[[#This Row],[Lot ID]],tblInspections[Lot ID],0)),""))</f>
        <v>46289</v>
      </c>
      <c r="H13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5" s="41" t="s">
        <v>131</v>
      </c>
    </row>
    <row r="136" spans="2:9">
      <c r="B136" s="28" t="s">
        <v>208</v>
      </c>
      <c r="C136" s="28" t="s">
        <v>108</v>
      </c>
      <c r="D136" s="29">
        <v>1</v>
      </c>
      <c r="E136" s="39">
        <f>IF(tblDefects[[#This Row],[Lot ID]]="","",IFERROR(INDEX(tblInspections[Date],MATCH(tblDefects[[#This Row],[Lot ID]],tblInspections[Lot ID],0)),""))</f>
        <v>46289</v>
      </c>
      <c r="F136" s="42" t="str">
        <f>IF(tblDefects[[#This Row],[Lot ID]]="","",IFERROR(INDEX(tblInspections[Part],MATCH(tblDefects[[#This Row],[Lot ID]],tblInspections[Lot ID],0)),""))</f>
        <v>Tray clip BC-77</v>
      </c>
      <c r="G136" s="39">
        <f>IF(tblDefects[[#This Row],[Lot ID]]="","",IFERROR(INDEX(tblInspections[View date],MATCH(tblDefects[[#This Row],[Lot ID]],tblInspections[Lot ID],0)),""))</f>
        <v>46289</v>
      </c>
      <c r="H13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6" s="41" t="s">
        <v>255</v>
      </c>
    </row>
    <row r="137" spans="2:9">
      <c r="B137" s="28" t="s">
        <v>209</v>
      </c>
      <c r="C137" s="28" t="s">
        <v>89</v>
      </c>
      <c r="D137" s="29">
        <v>1</v>
      </c>
      <c r="E137" s="39">
        <f>IF(tblDefects[[#This Row],[Lot ID]]="","",IFERROR(INDEX(tblInspections[Date],MATCH(tblDefects[[#This Row],[Lot ID]],tblInspections[Lot ID],0)),""))</f>
        <v>46290</v>
      </c>
      <c r="F137" s="42" t="str">
        <f>IF(tblDefects[[#This Row],[Lot ID]]="","",IFERROR(INDEX(tblInspections[Part],MATCH(tblDefects[[#This Row],[Lot ID]],tblInspections[Lot ID],0)),""))</f>
        <v>Seat bracket SB-204</v>
      </c>
      <c r="G137" s="39">
        <f>IF(tblDefects[[#This Row],[Lot ID]]="","",IFERROR(INDEX(tblInspections[View date],MATCH(tblDefects[[#This Row],[Lot ID]],tblInspections[Lot ID],0)),""))</f>
        <v>46290</v>
      </c>
      <c r="H13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7" s="41" t="s">
        <v>131</v>
      </c>
    </row>
    <row r="138" spans="2:9">
      <c r="B138" s="28" t="s">
        <v>209</v>
      </c>
      <c r="C138" s="28" t="s">
        <v>95</v>
      </c>
      <c r="D138" s="29">
        <v>1</v>
      </c>
      <c r="E138" s="39">
        <f>IF(tblDefects[[#This Row],[Lot ID]]="","",IFERROR(INDEX(tblInspections[Date],MATCH(tblDefects[[#This Row],[Lot ID]],tblInspections[Lot ID],0)),""))</f>
        <v>46290</v>
      </c>
      <c r="F138" s="42" t="str">
        <f>IF(tblDefects[[#This Row],[Lot ID]]="","",IFERROR(INDEX(tblInspections[Part],MATCH(tblDefects[[#This Row],[Lot ID]],tblInspections[Lot ID],0)),""))</f>
        <v>Seat bracket SB-204</v>
      </c>
      <c r="G138" s="39">
        <f>IF(tblDefects[[#This Row],[Lot ID]]="","",IFERROR(INDEX(tblInspections[View date],MATCH(tblDefects[[#This Row],[Lot ID]],tblInspections[Lot ID],0)),""))</f>
        <v>46290</v>
      </c>
      <c r="H13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8" s="41" t="s">
        <v>131</v>
      </c>
    </row>
    <row r="139" spans="2:9">
      <c r="B139" s="28" t="s">
        <v>210</v>
      </c>
      <c r="C139" s="28" t="s">
        <v>89</v>
      </c>
      <c r="D139" s="29">
        <v>1</v>
      </c>
      <c r="E139" s="39">
        <f>IF(tblDefects[[#This Row],[Lot ID]]="","",IFERROR(INDEX(tblInspections[Date],MATCH(tblDefects[[#This Row],[Lot ID]],tblInspections[Lot ID],0)),""))</f>
        <v>46290</v>
      </c>
      <c r="F139" s="42" t="str">
        <f>IF(tblDefects[[#This Row],[Lot ID]]="","",IFERROR(INDEX(tblInspections[Part],MATCH(tblDefects[[#This Row],[Lot ID]],tblInspections[Lot ID],0)),""))</f>
        <v>Hinge plate HP-118</v>
      </c>
      <c r="G139" s="39">
        <f>IF(tblDefects[[#This Row],[Lot ID]]="","",IFERROR(INDEX(tblInspections[View date],MATCH(tblDefects[[#This Row],[Lot ID]],tblInspections[Lot ID],0)),""))</f>
        <v>46290</v>
      </c>
      <c r="H13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39" s="41" t="s">
        <v>131</v>
      </c>
    </row>
    <row r="140" spans="2:9">
      <c r="B140" s="28" t="s">
        <v>210</v>
      </c>
      <c r="C140" s="28" t="s">
        <v>103</v>
      </c>
      <c r="D140" s="29">
        <v>1</v>
      </c>
      <c r="E140" s="39">
        <f>IF(tblDefects[[#This Row],[Lot ID]]="","",IFERROR(INDEX(tblInspections[Date],MATCH(tblDefects[[#This Row],[Lot ID]],tblInspections[Lot ID],0)),""))</f>
        <v>46290</v>
      </c>
      <c r="F140" s="42" t="str">
        <f>IF(tblDefects[[#This Row],[Lot ID]]="","",IFERROR(INDEX(tblInspections[Part],MATCH(tblDefects[[#This Row],[Lot ID]],tblInspections[Lot ID],0)),""))</f>
        <v>Hinge plate HP-118</v>
      </c>
      <c r="G140" s="39">
        <f>IF(tblDefects[[#This Row],[Lot ID]]="","",IFERROR(INDEX(tblInspections[View date],MATCH(tblDefects[[#This Row],[Lot ID]],tblInspections[Lot ID],0)),""))</f>
        <v>46290</v>
      </c>
      <c r="H14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0" s="41" t="s">
        <v>131</v>
      </c>
    </row>
    <row r="141" spans="2:9">
      <c r="B141" s="28" t="s">
        <v>211</v>
      </c>
      <c r="C141" s="28" t="s">
        <v>103</v>
      </c>
      <c r="D141" s="29">
        <v>1</v>
      </c>
      <c r="E141" s="39">
        <f>IF(tblDefects[[#This Row],[Lot ID]]="","",IFERROR(INDEX(tblInspections[Date],MATCH(tblDefects[[#This Row],[Lot ID]],tblInspections[Lot ID],0)),""))</f>
        <v>46290</v>
      </c>
      <c r="F141" s="42" t="str">
        <f>IF(tblDefects[[#This Row],[Lot ID]]="","",IFERROR(INDEX(tblInspections[Part],MATCH(tblDefects[[#This Row],[Lot ID]],tblInspections[Lot ID],0)),""))</f>
        <v>Heat shield HS-330</v>
      </c>
      <c r="G141" s="39">
        <f>IF(tblDefects[[#This Row],[Lot ID]]="","",IFERROR(INDEX(tblInspections[View date],MATCH(tblDefects[[#This Row],[Lot ID]],tblInspections[Lot ID],0)),""))</f>
        <v>46290</v>
      </c>
      <c r="H14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1" s="41" t="s">
        <v>131</v>
      </c>
    </row>
    <row r="142" spans="2:9">
      <c r="B142" s="28" t="s">
        <v>212</v>
      </c>
      <c r="C142" s="28" t="s">
        <v>106</v>
      </c>
      <c r="D142" s="29">
        <v>3</v>
      </c>
      <c r="E142" s="39">
        <f>IF(tblDefects[[#This Row],[Lot ID]]="","",IFERROR(INDEX(tblInspections[Date],MATCH(tblDefects[[#This Row],[Lot ID]],tblInspections[Lot ID],0)),""))</f>
        <v>46290</v>
      </c>
      <c r="F142" s="42" t="str">
        <f>IF(tblDefects[[#This Row],[Lot ID]]="","",IFERROR(INDEX(tblInspections[Part],MATCH(tblDefects[[#This Row],[Lot ID]],tblInspections[Lot ID],0)),""))</f>
        <v>Tray clip BC-77</v>
      </c>
      <c r="G142" s="39">
        <f>IF(tblDefects[[#This Row],[Lot ID]]="","",IFERROR(INDEX(tblInspections[View date],MATCH(tblDefects[[#This Row],[Lot ID]],tblInspections[Lot ID],0)),""))</f>
        <v>46290</v>
      </c>
      <c r="H14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2" s="41" t="s">
        <v>131</v>
      </c>
    </row>
    <row r="143" spans="2:9">
      <c r="B143" s="28" t="s">
        <v>213</v>
      </c>
      <c r="C143" s="28" t="s">
        <v>89</v>
      </c>
      <c r="D143" s="29">
        <v>2</v>
      </c>
      <c r="E143" s="39">
        <f>IF(tblDefects[[#This Row],[Lot ID]]="","",IFERROR(INDEX(tblInspections[Date],MATCH(tblDefects[[#This Row],[Lot ID]],tblInspections[Lot ID],0)),""))</f>
        <v>46293</v>
      </c>
      <c r="F143" s="42" t="str">
        <f>IF(tblDefects[[#This Row],[Lot ID]]="","",IFERROR(INDEX(tblInspections[Part],MATCH(tblDefects[[#This Row],[Lot ID]],tblInspections[Lot ID],0)),""))</f>
        <v>Seat bracket SB-204</v>
      </c>
      <c r="G143" s="39">
        <f>IF(tblDefects[[#This Row],[Lot ID]]="","",IFERROR(INDEX(tblInspections[View date],MATCH(tblDefects[[#This Row],[Lot ID]],tblInspections[Lot ID],0)),""))</f>
        <v>46293</v>
      </c>
      <c r="H14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3" s="41" t="s">
        <v>131</v>
      </c>
    </row>
    <row r="144" spans="2:9">
      <c r="B144" s="28" t="s">
        <v>213</v>
      </c>
      <c r="C144" s="28" t="s">
        <v>103</v>
      </c>
      <c r="D144" s="29">
        <v>1</v>
      </c>
      <c r="E144" s="39">
        <f>IF(tblDefects[[#This Row],[Lot ID]]="","",IFERROR(INDEX(tblInspections[Date],MATCH(tblDefects[[#This Row],[Lot ID]],tblInspections[Lot ID],0)),""))</f>
        <v>46293</v>
      </c>
      <c r="F144" s="42" t="str">
        <f>IF(tblDefects[[#This Row],[Lot ID]]="","",IFERROR(INDEX(tblInspections[Part],MATCH(tblDefects[[#This Row],[Lot ID]],tblInspections[Lot ID],0)),""))</f>
        <v>Seat bracket SB-204</v>
      </c>
      <c r="G144" s="39">
        <f>IF(tblDefects[[#This Row],[Lot ID]]="","",IFERROR(INDEX(tblInspections[View date],MATCH(tblDefects[[#This Row],[Lot ID]],tblInspections[Lot ID],0)),""))</f>
        <v>46293</v>
      </c>
      <c r="H14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4" s="41" t="s">
        <v>131</v>
      </c>
    </row>
    <row r="145" spans="2:9">
      <c r="B145" s="28" t="s">
        <v>213</v>
      </c>
      <c r="C145" s="28" t="s">
        <v>108</v>
      </c>
      <c r="D145" s="29">
        <v>1</v>
      </c>
      <c r="E145" s="39">
        <f>IF(tblDefects[[#This Row],[Lot ID]]="","",IFERROR(INDEX(tblInspections[Date],MATCH(tblDefects[[#This Row],[Lot ID]],tblInspections[Lot ID],0)),""))</f>
        <v>46293</v>
      </c>
      <c r="F145" s="42" t="str">
        <f>IF(tblDefects[[#This Row],[Lot ID]]="","",IFERROR(INDEX(tblInspections[Part],MATCH(tblDefects[[#This Row],[Lot ID]],tblInspections[Lot ID],0)),""))</f>
        <v>Seat bracket SB-204</v>
      </c>
      <c r="G145" s="39">
        <f>IF(tblDefects[[#This Row],[Lot ID]]="","",IFERROR(INDEX(tblInspections[View date],MATCH(tblDefects[[#This Row],[Lot ID]],tblInspections[Lot ID],0)),""))</f>
        <v>46293</v>
      </c>
      <c r="H14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5" s="41" t="s">
        <v>255</v>
      </c>
    </row>
    <row r="146" spans="2:9">
      <c r="B146" s="28" t="s">
        <v>215</v>
      </c>
      <c r="C146" s="28" t="s">
        <v>103</v>
      </c>
      <c r="D146" s="29">
        <v>1</v>
      </c>
      <c r="E146" s="39">
        <f>IF(tblDefects[[#This Row],[Lot ID]]="","",IFERROR(INDEX(tblInspections[Date],MATCH(tblDefects[[#This Row],[Lot ID]],tblInspections[Lot ID],0)),""))</f>
        <v>46293</v>
      </c>
      <c r="F146" s="42" t="str">
        <f>IF(tblDefects[[#This Row],[Lot ID]]="","",IFERROR(INDEX(tblInspections[Part],MATCH(tblDefects[[#This Row],[Lot ID]],tblInspections[Lot ID],0)),""))</f>
        <v>Heat shield HS-330</v>
      </c>
      <c r="G146" s="39">
        <f>IF(tblDefects[[#This Row],[Lot ID]]="","",IFERROR(INDEX(tblInspections[View date],MATCH(tblDefects[[#This Row],[Lot ID]],tblInspections[Lot ID],0)),""))</f>
        <v>46293</v>
      </c>
      <c r="H14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6" s="41" t="s">
        <v>131</v>
      </c>
    </row>
    <row r="147" spans="2:9">
      <c r="B147" s="28" t="s">
        <v>216</v>
      </c>
      <c r="C147" s="28" t="s">
        <v>89</v>
      </c>
      <c r="D147" s="29">
        <v>4</v>
      </c>
      <c r="E147" s="39">
        <f>IF(tblDefects[[#This Row],[Lot ID]]="","",IFERROR(INDEX(tblInspections[Date],MATCH(tblDefects[[#This Row],[Lot ID]],tblInspections[Lot ID],0)),""))</f>
        <v>46293</v>
      </c>
      <c r="F147" s="42" t="str">
        <f>IF(tblDefects[[#This Row],[Lot ID]]="","",IFERROR(INDEX(tblInspections[Part],MATCH(tblDefects[[#This Row],[Lot ID]],tblInspections[Lot ID],0)),""))</f>
        <v>Tray clip BC-77</v>
      </c>
      <c r="G147" s="39">
        <f>IF(tblDefects[[#This Row],[Lot ID]]="","",IFERROR(INDEX(tblInspections[View date],MATCH(tblDefects[[#This Row],[Lot ID]],tblInspections[Lot ID],0)),""))</f>
        <v>46293</v>
      </c>
      <c r="H14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7" s="41" t="s">
        <v>131</v>
      </c>
    </row>
    <row r="148" spans="2:9">
      <c r="B148" s="28" t="s">
        <v>216</v>
      </c>
      <c r="C148" s="28" t="s">
        <v>106</v>
      </c>
      <c r="D148" s="29">
        <v>8</v>
      </c>
      <c r="E148" s="39">
        <f>IF(tblDefects[[#This Row],[Lot ID]]="","",IFERROR(INDEX(tblInspections[Date],MATCH(tblDefects[[#This Row],[Lot ID]],tblInspections[Lot ID],0)),""))</f>
        <v>46293</v>
      </c>
      <c r="F148" s="42" t="str">
        <f>IF(tblDefects[[#This Row],[Lot ID]]="","",IFERROR(INDEX(tblInspections[Part],MATCH(tblDefects[[#This Row],[Lot ID]],tblInspections[Lot ID],0)),""))</f>
        <v>Tray clip BC-77</v>
      </c>
      <c r="G148" s="39">
        <f>IF(tblDefects[[#This Row],[Lot ID]]="","",IFERROR(INDEX(tblInspections[View date],MATCH(tblDefects[[#This Row],[Lot ID]],tblInspections[Lot ID],0)),""))</f>
        <v>46293</v>
      </c>
      <c r="H14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8" s="41" t="s">
        <v>131</v>
      </c>
    </row>
    <row r="149" spans="2:9">
      <c r="B149" s="28" t="s">
        <v>217</v>
      </c>
      <c r="C149" s="28" t="s">
        <v>89</v>
      </c>
      <c r="D149" s="29">
        <v>1</v>
      </c>
      <c r="E149" s="39">
        <f>IF(tblDefects[[#This Row],[Lot ID]]="","",IFERROR(INDEX(tblInspections[Date],MATCH(tblDefects[[#This Row],[Lot ID]],tblInspections[Lot ID],0)),""))</f>
        <v>46294</v>
      </c>
      <c r="F149" s="42" t="str">
        <f>IF(tblDefects[[#This Row],[Lot ID]]="","",IFERROR(INDEX(tblInspections[Part],MATCH(tblDefects[[#This Row],[Lot ID]],tblInspections[Lot ID],0)),""))</f>
        <v>Seat bracket SB-204</v>
      </c>
      <c r="G149" s="39">
        <f>IF(tblDefects[[#This Row],[Lot ID]]="","",IFERROR(INDEX(tblInspections[View date],MATCH(tblDefects[[#This Row],[Lot ID]],tblInspections[Lot ID],0)),""))</f>
        <v>46294</v>
      </c>
      <c r="H14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49" s="41" t="s">
        <v>131</v>
      </c>
    </row>
    <row r="150" spans="2:9">
      <c r="B150" s="28" t="s">
        <v>218</v>
      </c>
      <c r="C150" s="28" t="s">
        <v>103</v>
      </c>
      <c r="D150" s="29">
        <v>1</v>
      </c>
      <c r="E150" s="39">
        <f>IF(tblDefects[[#This Row],[Lot ID]]="","",IFERROR(INDEX(tblInspections[Date],MATCH(tblDefects[[#This Row],[Lot ID]],tblInspections[Lot ID],0)),""))</f>
        <v>46294</v>
      </c>
      <c r="F150" s="42" t="str">
        <f>IF(tblDefects[[#This Row],[Lot ID]]="","",IFERROR(INDEX(tblInspections[Part],MATCH(tblDefects[[#This Row],[Lot ID]],tblInspections[Lot ID],0)),""))</f>
        <v>Hinge plate HP-118</v>
      </c>
      <c r="G150" s="39">
        <f>IF(tblDefects[[#This Row],[Lot ID]]="","",IFERROR(INDEX(tblInspections[View date],MATCH(tblDefects[[#This Row],[Lot ID]],tblInspections[Lot ID],0)),""))</f>
        <v>46294</v>
      </c>
      <c r="H15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0" s="41" t="s">
        <v>131</v>
      </c>
    </row>
    <row r="151" spans="2:9">
      <c r="B151" s="28" t="s">
        <v>220</v>
      </c>
      <c r="C151" s="28" t="s">
        <v>89</v>
      </c>
      <c r="D151" s="29">
        <v>1</v>
      </c>
      <c r="E151" s="39">
        <f>IF(tblDefects[[#This Row],[Lot ID]]="","",IFERROR(INDEX(tblInspections[Date],MATCH(tblDefects[[#This Row],[Lot ID]],tblInspections[Lot ID],0)),""))</f>
        <v>46294</v>
      </c>
      <c r="F151" s="42" t="str">
        <f>IF(tblDefects[[#This Row],[Lot ID]]="","",IFERROR(INDEX(tblInspections[Part],MATCH(tblDefects[[#This Row],[Lot ID]],tblInspections[Lot ID],0)),""))</f>
        <v>Tray clip BC-77</v>
      </c>
      <c r="G151" s="39">
        <f>IF(tblDefects[[#This Row],[Lot ID]]="","",IFERROR(INDEX(tblInspections[View date],MATCH(tblDefects[[#This Row],[Lot ID]],tblInspections[Lot ID],0)),""))</f>
        <v>46294</v>
      </c>
      <c r="H15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1" s="41" t="s">
        <v>131</v>
      </c>
    </row>
    <row r="152" spans="2:9">
      <c r="B152" s="28" t="s">
        <v>221</v>
      </c>
      <c r="C152" s="28" t="s">
        <v>89</v>
      </c>
      <c r="D152" s="29">
        <v>2</v>
      </c>
      <c r="E152" s="39">
        <f>IF(tblDefects[[#This Row],[Lot ID]]="","",IFERROR(INDEX(tblInspections[Date],MATCH(tblDefects[[#This Row],[Lot ID]],tblInspections[Lot ID],0)),""))</f>
        <v>46295</v>
      </c>
      <c r="F152" s="42" t="str">
        <f>IF(tblDefects[[#This Row],[Lot ID]]="","",IFERROR(INDEX(tblInspections[Part],MATCH(tblDefects[[#This Row],[Lot ID]],tblInspections[Lot ID],0)),""))</f>
        <v>Seat bracket SB-204</v>
      </c>
      <c r="G152" s="39">
        <f>IF(tblDefects[[#This Row],[Lot ID]]="","",IFERROR(INDEX(tblInspections[View date],MATCH(tblDefects[[#This Row],[Lot ID]],tblInspections[Lot ID],0)),""))</f>
        <v>46295</v>
      </c>
      <c r="H15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2" s="41" t="s">
        <v>131</v>
      </c>
    </row>
    <row r="153" spans="2:9">
      <c r="B153" s="28" t="s">
        <v>223</v>
      </c>
      <c r="C153" s="28" t="s">
        <v>98</v>
      </c>
      <c r="D153" s="29">
        <v>2</v>
      </c>
      <c r="E153" s="39">
        <f>IF(tblDefects[[#This Row],[Lot ID]]="","",IFERROR(INDEX(tblInspections[Date],MATCH(tblDefects[[#This Row],[Lot ID]],tblInspections[Lot ID],0)),""))</f>
        <v>46295</v>
      </c>
      <c r="F153" s="42" t="str">
        <f>IF(tblDefects[[#This Row],[Lot ID]]="","",IFERROR(INDEX(tblInspections[Part],MATCH(tblDefects[[#This Row],[Lot ID]],tblInspections[Lot ID],0)),""))</f>
        <v>Heat shield HS-330</v>
      </c>
      <c r="G153" s="39">
        <f>IF(tblDefects[[#This Row],[Lot ID]]="","",IFERROR(INDEX(tblInspections[View date],MATCH(tblDefects[[#This Row],[Lot ID]],tblInspections[Lot ID],0)),""))</f>
        <v>46295</v>
      </c>
      <c r="H15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3" s="41" t="s">
        <v>131</v>
      </c>
    </row>
    <row r="154" spans="2:9">
      <c r="B154" s="28" t="s">
        <v>223</v>
      </c>
      <c r="C154" s="28" t="s">
        <v>101</v>
      </c>
      <c r="D154" s="29">
        <v>2</v>
      </c>
      <c r="E154" s="39">
        <f>IF(tblDefects[[#This Row],[Lot ID]]="","",IFERROR(INDEX(tblInspections[Date],MATCH(tblDefects[[#This Row],[Lot ID]],tblInspections[Lot ID],0)),""))</f>
        <v>46295</v>
      </c>
      <c r="F154" s="42" t="str">
        <f>IF(tblDefects[[#This Row],[Lot ID]]="","",IFERROR(INDEX(tblInspections[Part],MATCH(tblDefects[[#This Row],[Lot ID]],tblInspections[Lot ID],0)),""))</f>
        <v>Heat shield HS-330</v>
      </c>
      <c r="G154" s="39">
        <f>IF(tblDefects[[#This Row],[Lot ID]]="","",IFERROR(INDEX(tblInspections[View date],MATCH(tblDefects[[#This Row],[Lot ID]],tblInspections[Lot ID],0)),""))</f>
        <v>46295</v>
      </c>
      <c r="H15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4" s="41" t="s">
        <v>131</v>
      </c>
    </row>
    <row r="155" spans="2:9">
      <c r="B155" s="28" t="s">
        <v>223</v>
      </c>
      <c r="C155" s="28" t="s">
        <v>103</v>
      </c>
      <c r="D155" s="29">
        <v>2</v>
      </c>
      <c r="E155" s="39">
        <f>IF(tblDefects[[#This Row],[Lot ID]]="","",IFERROR(INDEX(tblInspections[Date],MATCH(tblDefects[[#This Row],[Lot ID]],tblInspections[Lot ID],0)),""))</f>
        <v>46295</v>
      </c>
      <c r="F155" s="42" t="str">
        <f>IF(tblDefects[[#This Row],[Lot ID]]="","",IFERROR(INDEX(tblInspections[Part],MATCH(tblDefects[[#This Row],[Lot ID]],tblInspections[Lot ID],0)),""))</f>
        <v>Heat shield HS-330</v>
      </c>
      <c r="G155" s="39">
        <f>IF(tblDefects[[#This Row],[Lot ID]]="","",IFERROR(INDEX(tblInspections[View date],MATCH(tblDefects[[#This Row],[Lot ID]],tblInspections[Lot ID],0)),""))</f>
        <v>46295</v>
      </c>
      <c r="H15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5" s="41" t="s">
        <v>131</v>
      </c>
    </row>
    <row r="156" spans="2:9">
      <c r="B156" s="28" t="s">
        <v>224</v>
      </c>
      <c r="C156" s="28" t="s">
        <v>89</v>
      </c>
      <c r="D156" s="29">
        <v>7</v>
      </c>
      <c r="E156" s="39">
        <f>IF(tblDefects[[#This Row],[Lot ID]]="","",IFERROR(INDEX(tblInspections[Date],MATCH(tblDefects[[#This Row],[Lot ID]],tblInspections[Lot ID],0)),""))</f>
        <v>46295</v>
      </c>
      <c r="F156" s="42" t="str">
        <f>IF(tblDefects[[#This Row],[Lot ID]]="","",IFERROR(INDEX(tblInspections[Part],MATCH(tblDefects[[#This Row],[Lot ID]],tblInspections[Lot ID],0)),""))</f>
        <v>Tray clip BC-77</v>
      </c>
      <c r="G156" s="39">
        <f>IF(tblDefects[[#This Row],[Lot ID]]="","",IFERROR(INDEX(tblInspections[View date],MATCH(tblDefects[[#This Row],[Lot ID]],tblInspections[Lot ID],0)),""))</f>
        <v>46295</v>
      </c>
      <c r="H15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6" s="41" t="s">
        <v>131</v>
      </c>
    </row>
    <row r="157" spans="2:9">
      <c r="B157" s="28" t="s">
        <v>224</v>
      </c>
      <c r="C157" s="28" t="s">
        <v>106</v>
      </c>
      <c r="D157" s="29">
        <v>5</v>
      </c>
      <c r="E157" s="39">
        <f>IF(tblDefects[[#This Row],[Lot ID]]="","",IFERROR(INDEX(tblInspections[Date],MATCH(tblDefects[[#This Row],[Lot ID]],tblInspections[Lot ID],0)),""))</f>
        <v>46295</v>
      </c>
      <c r="F157" s="42" t="str">
        <f>IF(tblDefects[[#This Row],[Lot ID]]="","",IFERROR(INDEX(tblInspections[Part],MATCH(tblDefects[[#This Row],[Lot ID]],tblInspections[Lot ID],0)),""))</f>
        <v>Tray clip BC-77</v>
      </c>
      <c r="G157" s="39">
        <f>IF(tblDefects[[#This Row],[Lot ID]]="","",IFERROR(INDEX(tblInspections[View date],MATCH(tblDefects[[#This Row],[Lot ID]],tblInspections[Lot ID],0)),""))</f>
        <v>46295</v>
      </c>
      <c r="H15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7" s="41" t="s">
        <v>131</v>
      </c>
    </row>
    <row r="158" spans="2:9">
      <c r="B158" s="28" t="s">
        <v>224</v>
      </c>
      <c r="C158" s="28" t="s">
        <v>108</v>
      </c>
      <c r="D158" s="29">
        <v>1</v>
      </c>
      <c r="E158" s="39">
        <f>IF(tblDefects[[#This Row],[Lot ID]]="","",IFERROR(INDEX(tblInspections[Date],MATCH(tblDefects[[#This Row],[Lot ID]],tblInspections[Lot ID],0)),""))</f>
        <v>46295</v>
      </c>
      <c r="F158" s="42" t="str">
        <f>IF(tblDefects[[#This Row],[Lot ID]]="","",IFERROR(INDEX(tblInspections[Part],MATCH(tblDefects[[#This Row],[Lot ID]],tblInspections[Lot ID],0)),""))</f>
        <v>Tray clip BC-77</v>
      </c>
      <c r="G158" s="39">
        <f>IF(tblDefects[[#This Row],[Lot ID]]="","",IFERROR(INDEX(tblInspections[View date],MATCH(tblDefects[[#This Row],[Lot ID]],tblInspections[Lot ID],0)),""))</f>
        <v>46295</v>
      </c>
      <c r="H15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8" s="41" t="s">
        <v>255</v>
      </c>
    </row>
    <row r="159" spans="2:9">
      <c r="B159" s="28" t="s">
        <v>225</v>
      </c>
      <c r="C159" s="28" t="s">
        <v>95</v>
      </c>
      <c r="D159" s="29">
        <v>1</v>
      </c>
      <c r="E159" s="39">
        <f>IF(tblDefects[[#This Row],[Lot ID]]="","",IFERROR(INDEX(tblInspections[Date],MATCH(tblDefects[[#This Row],[Lot ID]],tblInspections[Lot ID],0)),""))</f>
        <v>46296</v>
      </c>
      <c r="F159" s="42" t="str">
        <f>IF(tblDefects[[#This Row],[Lot ID]]="","",IFERROR(INDEX(tblInspections[Part],MATCH(tblDefects[[#This Row],[Lot ID]],tblInspections[Lot ID],0)),""))</f>
        <v>Seat bracket SB-204</v>
      </c>
      <c r="G159" s="39">
        <f>IF(tblDefects[[#This Row],[Lot ID]]="","",IFERROR(INDEX(tblInspections[View date],MATCH(tblDefects[[#This Row],[Lot ID]],tblInspections[Lot ID],0)),""))</f>
        <v>46296</v>
      </c>
      <c r="H15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59" s="41" t="s">
        <v>131</v>
      </c>
    </row>
    <row r="160" spans="2:9">
      <c r="B160" s="28" t="s">
        <v>225</v>
      </c>
      <c r="C160" s="28" t="s">
        <v>108</v>
      </c>
      <c r="D160" s="29">
        <v>1</v>
      </c>
      <c r="E160" s="39">
        <f>IF(tblDefects[[#This Row],[Lot ID]]="","",IFERROR(INDEX(tblInspections[Date],MATCH(tblDefects[[#This Row],[Lot ID]],tblInspections[Lot ID],0)),""))</f>
        <v>46296</v>
      </c>
      <c r="F160" s="42" t="str">
        <f>IF(tblDefects[[#This Row],[Lot ID]]="","",IFERROR(INDEX(tblInspections[Part],MATCH(tblDefects[[#This Row],[Lot ID]],tblInspections[Lot ID],0)),""))</f>
        <v>Seat bracket SB-204</v>
      </c>
      <c r="G160" s="39">
        <f>IF(tblDefects[[#This Row],[Lot ID]]="","",IFERROR(INDEX(tblInspections[View date],MATCH(tblDefects[[#This Row],[Lot ID]],tblInspections[Lot ID],0)),""))</f>
        <v>46296</v>
      </c>
      <c r="H16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0" s="41" t="s">
        <v>255</v>
      </c>
    </row>
    <row r="161" spans="2:9">
      <c r="B161" s="28" t="s">
        <v>227</v>
      </c>
      <c r="C161" s="28" t="s">
        <v>101</v>
      </c>
      <c r="D161" s="29">
        <v>1</v>
      </c>
      <c r="E161" s="39">
        <f>IF(tblDefects[[#This Row],[Lot ID]]="","",IFERROR(INDEX(tblInspections[Date],MATCH(tblDefects[[#This Row],[Lot ID]],tblInspections[Lot ID],0)),""))</f>
        <v>46296</v>
      </c>
      <c r="F161" s="42" t="str">
        <f>IF(tblDefects[[#This Row],[Lot ID]]="","",IFERROR(INDEX(tblInspections[Part],MATCH(tblDefects[[#This Row],[Lot ID]],tblInspections[Lot ID],0)),""))</f>
        <v>Heat shield HS-330</v>
      </c>
      <c r="G161" s="39">
        <f>IF(tblDefects[[#This Row],[Lot ID]]="","",IFERROR(INDEX(tblInspections[View date],MATCH(tblDefects[[#This Row],[Lot ID]],tblInspections[Lot ID],0)),""))</f>
        <v>46296</v>
      </c>
      <c r="H16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1" s="41" t="s">
        <v>131</v>
      </c>
    </row>
    <row r="162" spans="2:9">
      <c r="B162" s="28" t="s">
        <v>227</v>
      </c>
      <c r="C162" s="28" t="s">
        <v>103</v>
      </c>
      <c r="D162" s="29">
        <v>1</v>
      </c>
      <c r="E162" s="39">
        <f>IF(tblDefects[[#This Row],[Lot ID]]="","",IFERROR(INDEX(tblInspections[Date],MATCH(tblDefects[[#This Row],[Lot ID]],tblInspections[Lot ID],0)),""))</f>
        <v>46296</v>
      </c>
      <c r="F162" s="42" t="str">
        <f>IF(tblDefects[[#This Row],[Lot ID]]="","",IFERROR(INDEX(tblInspections[Part],MATCH(tblDefects[[#This Row],[Lot ID]],tblInspections[Lot ID],0)),""))</f>
        <v>Heat shield HS-330</v>
      </c>
      <c r="G162" s="39">
        <f>IF(tblDefects[[#This Row],[Lot ID]]="","",IFERROR(INDEX(tblInspections[View date],MATCH(tblDefects[[#This Row],[Lot ID]],tblInspections[Lot ID],0)),""))</f>
        <v>46296</v>
      </c>
      <c r="H16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2" s="41" t="s">
        <v>131</v>
      </c>
    </row>
    <row r="163" spans="2:9">
      <c r="B163" s="28" t="s">
        <v>228</v>
      </c>
      <c r="C163" s="28" t="s">
        <v>106</v>
      </c>
      <c r="D163" s="29">
        <v>2</v>
      </c>
      <c r="E163" s="39">
        <f>IF(tblDefects[[#This Row],[Lot ID]]="","",IFERROR(INDEX(tblInspections[Date],MATCH(tblDefects[[#This Row],[Lot ID]],tblInspections[Lot ID],0)),""))</f>
        <v>46296</v>
      </c>
      <c r="F163" s="42" t="str">
        <f>IF(tblDefects[[#This Row],[Lot ID]]="","",IFERROR(INDEX(tblInspections[Part],MATCH(tblDefects[[#This Row],[Lot ID]],tblInspections[Lot ID],0)),""))</f>
        <v>Tray clip BC-77</v>
      </c>
      <c r="G163" s="39">
        <f>IF(tblDefects[[#This Row],[Lot ID]]="","",IFERROR(INDEX(tblInspections[View date],MATCH(tblDefects[[#This Row],[Lot ID]],tblInspections[Lot ID],0)),""))</f>
        <v>46296</v>
      </c>
      <c r="H16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3" s="41" t="s">
        <v>131</v>
      </c>
    </row>
    <row r="164" spans="2:9">
      <c r="B164" s="28" t="s">
        <v>228</v>
      </c>
      <c r="C164" s="28" t="s">
        <v>108</v>
      </c>
      <c r="D164" s="29">
        <v>1</v>
      </c>
      <c r="E164" s="39">
        <f>IF(tblDefects[[#This Row],[Lot ID]]="","",IFERROR(INDEX(tblInspections[Date],MATCH(tblDefects[[#This Row],[Lot ID]],tblInspections[Lot ID],0)),""))</f>
        <v>46296</v>
      </c>
      <c r="F164" s="42" t="str">
        <f>IF(tblDefects[[#This Row],[Lot ID]]="","",IFERROR(INDEX(tblInspections[Part],MATCH(tblDefects[[#This Row],[Lot ID]],tblInspections[Lot ID],0)),""))</f>
        <v>Tray clip BC-77</v>
      </c>
      <c r="G164" s="39">
        <f>IF(tblDefects[[#This Row],[Lot ID]]="","",IFERROR(INDEX(tblInspections[View date],MATCH(tblDefects[[#This Row],[Lot ID]],tblInspections[Lot ID],0)),""))</f>
        <v>46296</v>
      </c>
      <c r="H16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4" s="41" t="s">
        <v>255</v>
      </c>
    </row>
    <row r="165" spans="2:9">
      <c r="B165" s="28" t="s">
        <v>229</v>
      </c>
      <c r="C165" s="28" t="s">
        <v>89</v>
      </c>
      <c r="D165" s="29">
        <v>1</v>
      </c>
      <c r="E165" s="39">
        <f>IF(tblDefects[[#This Row],[Lot ID]]="","",IFERROR(INDEX(tblInspections[Date],MATCH(tblDefects[[#This Row],[Lot ID]],tblInspections[Lot ID],0)),""))</f>
        <v>46297</v>
      </c>
      <c r="F165" s="42" t="str">
        <f>IF(tblDefects[[#This Row],[Lot ID]]="","",IFERROR(INDEX(tblInspections[Part],MATCH(tblDefects[[#This Row],[Lot ID]],tblInspections[Lot ID],0)),""))</f>
        <v>Seat bracket SB-204</v>
      </c>
      <c r="G165" s="39">
        <f>IF(tblDefects[[#This Row],[Lot ID]]="","",IFERROR(INDEX(tblInspections[View date],MATCH(tblDefects[[#This Row],[Lot ID]],tblInspections[Lot ID],0)),""))</f>
        <v>46297</v>
      </c>
      <c r="H16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5" s="41" t="s">
        <v>131</v>
      </c>
    </row>
    <row r="166" spans="2:9">
      <c r="B166" s="28" t="s">
        <v>230</v>
      </c>
      <c r="C166" s="28" t="s">
        <v>89</v>
      </c>
      <c r="D166" s="29">
        <v>3</v>
      </c>
      <c r="E166" s="39">
        <f>IF(tblDefects[[#This Row],[Lot ID]]="","",IFERROR(INDEX(tblInspections[Date],MATCH(tblDefects[[#This Row],[Lot ID]],tblInspections[Lot ID],0)),""))</f>
        <v>46297</v>
      </c>
      <c r="F166" s="42" t="str">
        <f>IF(tblDefects[[#This Row],[Lot ID]]="","",IFERROR(INDEX(tblInspections[Part],MATCH(tblDefects[[#This Row],[Lot ID]],tblInspections[Lot ID],0)),""))</f>
        <v>Hinge plate HP-118</v>
      </c>
      <c r="G166" s="39">
        <f>IF(tblDefects[[#This Row],[Lot ID]]="","",IFERROR(INDEX(tblInspections[View date],MATCH(tblDefects[[#This Row],[Lot ID]],tblInspections[Lot ID],0)),""))</f>
        <v>46297</v>
      </c>
      <c r="H16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6" s="41" t="s">
        <v>131</v>
      </c>
    </row>
    <row r="167" spans="2:9">
      <c r="B167" s="28" t="s">
        <v>230</v>
      </c>
      <c r="C167" s="28" t="s">
        <v>95</v>
      </c>
      <c r="D167" s="29">
        <v>2</v>
      </c>
      <c r="E167" s="39">
        <f>IF(tblDefects[[#This Row],[Lot ID]]="","",IFERROR(INDEX(tblInspections[Date],MATCH(tblDefects[[#This Row],[Lot ID]],tblInspections[Lot ID],0)),""))</f>
        <v>46297</v>
      </c>
      <c r="F167" s="42" t="str">
        <f>IF(tblDefects[[#This Row],[Lot ID]]="","",IFERROR(INDEX(tblInspections[Part],MATCH(tblDefects[[#This Row],[Lot ID]],tblInspections[Lot ID],0)),""))</f>
        <v>Hinge plate HP-118</v>
      </c>
      <c r="G167" s="39">
        <f>IF(tblDefects[[#This Row],[Lot ID]]="","",IFERROR(INDEX(tblInspections[View date],MATCH(tblDefects[[#This Row],[Lot ID]],tblInspections[Lot ID],0)),""))</f>
        <v>46297</v>
      </c>
      <c r="H16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7" s="41" t="s">
        <v>131</v>
      </c>
    </row>
    <row r="168" spans="2:9">
      <c r="B168" s="28" t="s">
        <v>230</v>
      </c>
      <c r="C168" s="28" t="s">
        <v>103</v>
      </c>
      <c r="D168" s="29">
        <v>1</v>
      </c>
      <c r="E168" s="39">
        <f>IF(tblDefects[[#This Row],[Lot ID]]="","",IFERROR(INDEX(tblInspections[Date],MATCH(tblDefects[[#This Row],[Lot ID]],tblInspections[Lot ID],0)),""))</f>
        <v>46297</v>
      </c>
      <c r="F168" s="42" t="str">
        <f>IF(tblDefects[[#This Row],[Lot ID]]="","",IFERROR(INDEX(tblInspections[Part],MATCH(tblDefects[[#This Row],[Lot ID]],tblInspections[Lot ID],0)),""))</f>
        <v>Hinge plate HP-118</v>
      </c>
      <c r="G168" s="39">
        <f>IF(tblDefects[[#This Row],[Lot ID]]="","",IFERROR(INDEX(tblInspections[View date],MATCH(tblDefects[[#This Row],[Lot ID]],tblInspections[Lot ID],0)),""))</f>
        <v>46297</v>
      </c>
      <c r="H16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8" s="41" t="s">
        <v>131</v>
      </c>
    </row>
    <row r="169" spans="2:9">
      <c r="B169" s="28" t="s">
        <v>231</v>
      </c>
      <c r="C169" s="28" t="s">
        <v>98</v>
      </c>
      <c r="D169" s="29">
        <v>1</v>
      </c>
      <c r="E169" s="39">
        <f>IF(tblDefects[[#This Row],[Lot ID]]="","",IFERROR(INDEX(tblInspections[Date],MATCH(tblDefects[[#This Row],[Lot ID]],tblInspections[Lot ID],0)),""))</f>
        <v>46297</v>
      </c>
      <c r="F169" s="42" t="str">
        <f>IF(tblDefects[[#This Row],[Lot ID]]="","",IFERROR(INDEX(tblInspections[Part],MATCH(tblDefects[[#This Row],[Lot ID]],tblInspections[Lot ID],0)),""))</f>
        <v>Heat shield HS-330</v>
      </c>
      <c r="G169" s="39">
        <f>IF(tblDefects[[#This Row],[Lot ID]]="","",IFERROR(INDEX(tblInspections[View date],MATCH(tblDefects[[#This Row],[Lot ID]],tblInspections[Lot ID],0)),""))</f>
        <v>46297</v>
      </c>
      <c r="H16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69" s="41" t="s">
        <v>131</v>
      </c>
    </row>
    <row r="170" spans="2:9">
      <c r="B170" s="28" t="s">
        <v>231</v>
      </c>
      <c r="C170" s="28" t="s">
        <v>103</v>
      </c>
      <c r="D170" s="29">
        <v>1</v>
      </c>
      <c r="E170" s="39">
        <f>IF(tblDefects[[#This Row],[Lot ID]]="","",IFERROR(INDEX(tblInspections[Date],MATCH(tblDefects[[#This Row],[Lot ID]],tblInspections[Lot ID],0)),""))</f>
        <v>46297</v>
      </c>
      <c r="F170" s="42" t="str">
        <f>IF(tblDefects[[#This Row],[Lot ID]]="","",IFERROR(INDEX(tblInspections[Part],MATCH(tblDefects[[#This Row],[Lot ID]],tblInspections[Lot ID],0)),""))</f>
        <v>Heat shield HS-330</v>
      </c>
      <c r="G170" s="39">
        <f>IF(tblDefects[[#This Row],[Lot ID]]="","",IFERROR(INDEX(tblInspections[View date],MATCH(tblDefects[[#This Row],[Lot ID]],tblInspections[Lot ID],0)),""))</f>
        <v>46297</v>
      </c>
      <c r="H17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0" s="41" t="s">
        <v>131</v>
      </c>
    </row>
    <row r="171" spans="2:9">
      <c r="B171" s="28" t="s">
        <v>232</v>
      </c>
      <c r="C171" s="28" t="s">
        <v>106</v>
      </c>
      <c r="D171" s="29">
        <v>4</v>
      </c>
      <c r="E171" s="39">
        <f>IF(tblDefects[[#This Row],[Lot ID]]="","",IFERROR(INDEX(tblInspections[Date],MATCH(tblDefects[[#This Row],[Lot ID]],tblInspections[Lot ID],0)),""))</f>
        <v>46297</v>
      </c>
      <c r="F171" s="42" t="str">
        <f>IF(tblDefects[[#This Row],[Lot ID]]="","",IFERROR(INDEX(tblInspections[Part],MATCH(tblDefects[[#This Row],[Lot ID]],tblInspections[Lot ID],0)),""))</f>
        <v>Tray clip BC-77</v>
      </c>
      <c r="G171" s="39">
        <f>IF(tblDefects[[#This Row],[Lot ID]]="","",IFERROR(INDEX(tblInspections[View date],MATCH(tblDefects[[#This Row],[Lot ID]],tblInspections[Lot ID],0)),""))</f>
        <v>46297</v>
      </c>
      <c r="H17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1" s="41" t="s">
        <v>131</v>
      </c>
    </row>
    <row r="172" spans="2:9">
      <c r="B172" s="28" t="s">
        <v>232</v>
      </c>
      <c r="C172" s="28" t="s">
        <v>108</v>
      </c>
      <c r="D172" s="29">
        <v>2</v>
      </c>
      <c r="E172" s="39">
        <f>IF(tblDefects[[#This Row],[Lot ID]]="","",IFERROR(INDEX(tblInspections[Date],MATCH(tblDefects[[#This Row],[Lot ID]],tblInspections[Lot ID],0)),""))</f>
        <v>46297</v>
      </c>
      <c r="F172" s="42" t="str">
        <f>IF(tblDefects[[#This Row],[Lot ID]]="","",IFERROR(INDEX(tblInspections[Part],MATCH(tblDefects[[#This Row],[Lot ID]],tblInspections[Lot ID],0)),""))</f>
        <v>Tray clip BC-77</v>
      </c>
      <c r="G172" s="39">
        <f>IF(tblDefects[[#This Row],[Lot ID]]="","",IFERROR(INDEX(tblInspections[View date],MATCH(tblDefects[[#This Row],[Lot ID]],tblInspections[Lot ID],0)),""))</f>
        <v>46297</v>
      </c>
      <c r="H17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2" s="41" t="s">
        <v>255</v>
      </c>
    </row>
    <row r="173" spans="2:9">
      <c r="B173" s="28" t="s">
        <v>233</v>
      </c>
      <c r="C173" s="28" t="s">
        <v>89</v>
      </c>
      <c r="D173" s="29">
        <v>1</v>
      </c>
      <c r="E173" s="39">
        <f>IF(tblDefects[[#This Row],[Lot ID]]="","",IFERROR(INDEX(tblInspections[Date],MATCH(tblDefects[[#This Row],[Lot ID]],tblInspections[Lot ID],0)),""))</f>
        <v>46300</v>
      </c>
      <c r="F173" s="42" t="str">
        <f>IF(tblDefects[[#This Row],[Lot ID]]="","",IFERROR(INDEX(tblInspections[Part],MATCH(tblDefects[[#This Row],[Lot ID]],tblInspections[Lot ID],0)),""))</f>
        <v>Seat bracket SB-204</v>
      </c>
      <c r="G173" s="39">
        <f>IF(tblDefects[[#This Row],[Lot ID]]="","",IFERROR(INDEX(tblInspections[View date],MATCH(tblDefects[[#This Row],[Lot ID]],tblInspections[Lot ID],0)),""))</f>
        <v>46300</v>
      </c>
      <c r="H17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3" s="41" t="s">
        <v>131</v>
      </c>
    </row>
    <row r="174" spans="2:9">
      <c r="B174" s="28" t="s">
        <v>233</v>
      </c>
      <c r="C174" s="28" t="s">
        <v>95</v>
      </c>
      <c r="D174" s="29">
        <v>1</v>
      </c>
      <c r="E174" s="39">
        <f>IF(tblDefects[[#This Row],[Lot ID]]="","",IFERROR(INDEX(tblInspections[Date],MATCH(tblDefects[[#This Row],[Lot ID]],tblInspections[Lot ID],0)),""))</f>
        <v>46300</v>
      </c>
      <c r="F174" s="42" t="str">
        <f>IF(tblDefects[[#This Row],[Lot ID]]="","",IFERROR(INDEX(tblInspections[Part],MATCH(tblDefects[[#This Row],[Lot ID]],tblInspections[Lot ID],0)),""))</f>
        <v>Seat bracket SB-204</v>
      </c>
      <c r="G174" s="39">
        <f>IF(tblDefects[[#This Row],[Lot ID]]="","",IFERROR(INDEX(tblInspections[View date],MATCH(tblDefects[[#This Row],[Lot ID]],tblInspections[Lot ID],0)),""))</f>
        <v>46300</v>
      </c>
      <c r="H17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4" s="41" t="s">
        <v>131</v>
      </c>
    </row>
    <row r="175" spans="2:9">
      <c r="B175" s="28" t="s">
        <v>234</v>
      </c>
      <c r="C175" s="28" t="s">
        <v>89</v>
      </c>
      <c r="D175" s="29">
        <v>1</v>
      </c>
      <c r="E175" s="39">
        <f>IF(tblDefects[[#This Row],[Lot ID]]="","",IFERROR(INDEX(tblInspections[Date],MATCH(tblDefects[[#This Row],[Lot ID]],tblInspections[Lot ID],0)),""))</f>
        <v>46300</v>
      </c>
      <c r="F175" s="42" t="str">
        <f>IF(tblDefects[[#This Row],[Lot ID]]="","",IFERROR(INDEX(tblInspections[Part],MATCH(tblDefects[[#This Row],[Lot ID]],tblInspections[Lot ID],0)),""))</f>
        <v>Hinge plate HP-118</v>
      </c>
      <c r="G175" s="39">
        <f>IF(tblDefects[[#This Row],[Lot ID]]="","",IFERROR(INDEX(tblInspections[View date],MATCH(tblDefects[[#This Row],[Lot ID]],tblInspections[Lot ID],0)),""))</f>
        <v>46300</v>
      </c>
      <c r="H17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5" s="41" t="s">
        <v>131</v>
      </c>
    </row>
    <row r="176" spans="2:9">
      <c r="B176" s="28" t="s">
        <v>234</v>
      </c>
      <c r="C176" s="28" t="s">
        <v>95</v>
      </c>
      <c r="D176" s="29">
        <v>1</v>
      </c>
      <c r="E176" s="39">
        <f>IF(tblDefects[[#This Row],[Lot ID]]="","",IFERROR(INDEX(tblInspections[Date],MATCH(tblDefects[[#This Row],[Lot ID]],tblInspections[Lot ID],0)),""))</f>
        <v>46300</v>
      </c>
      <c r="F176" s="42" t="str">
        <f>IF(tblDefects[[#This Row],[Lot ID]]="","",IFERROR(INDEX(tblInspections[Part],MATCH(tblDefects[[#This Row],[Lot ID]],tblInspections[Lot ID],0)),""))</f>
        <v>Hinge plate HP-118</v>
      </c>
      <c r="G176" s="39">
        <f>IF(tblDefects[[#This Row],[Lot ID]]="","",IFERROR(INDEX(tblInspections[View date],MATCH(tblDefects[[#This Row],[Lot ID]],tblInspections[Lot ID],0)),""))</f>
        <v>46300</v>
      </c>
      <c r="H17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6" s="41" t="s">
        <v>131</v>
      </c>
    </row>
    <row r="177" spans="2:9">
      <c r="B177" s="28" t="s">
        <v>235</v>
      </c>
      <c r="C177" s="28" t="s">
        <v>101</v>
      </c>
      <c r="D177" s="29">
        <v>1</v>
      </c>
      <c r="E177" s="39">
        <f>IF(tblDefects[[#This Row],[Lot ID]]="","",IFERROR(INDEX(tblInspections[Date],MATCH(tblDefects[[#This Row],[Lot ID]],tblInspections[Lot ID],0)),""))</f>
        <v>46300</v>
      </c>
      <c r="F177" s="42" t="str">
        <f>IF(tblDefects[[#This Row],[Lot ID]]="","",IFERROR(INDEX(tblInspections[Part],MATCH(tblDefects[[#This Row],[Lot ID]],tblInspections[Lot ID],0)),""))</f>
        <v>Heat shield HS-330</v>
      </c>
      <c r="G177" s="39">
        <f>IF(tblDefects[[#This Row],[Lot ID]]="","",IFERROR(INDEX(tblInspections[View date],MATCH(tblDefects[[#This Row],[Lot ID]],tblInspections[Lot ID],0)),""))</f>
        <v>46300</v>
      </c>
      <c r="H17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7" s="41" t="s">
        <v>131</v>
      </c>
    </row>
    <row r="178" spans="2:9">
      <c r="B178" s="28" t="s">
        <v>236</v>
      </c>
      <c r="C178" s="28" t="s">
        <v>89</v>
      </c>
      <c r="D178" s="29">
        <v>1</v>
      </c>
      <c r="E178" s="39">
        <f>IF(tblDefects[[#This Row],[Lot ID]]="","",IFERROR(INDEX(tblInspections[Date],MATCH(tblDefects[[#This Row],[Lot ID]],tblInspections[Lot ID],0)),""))</f>
        <v>46300</v>
      </c>
      <c r="F178" s="42" t="str">
        <f>IF(tblDefects[[#This Row],[Lot ID]]="","",IFERROR(INDEX(tblInspections[Part],MATCH(tblDefects[[#This Row],[Lot ID]],tblInspections[Lot ID],0)),""))</f>
        <v>Tray clip BC-77</v>
      </c>
      <c r="G178" s="39">
        <f>IF(tblDefects[[#This Row],[Lot ID]]="","",IFERROR(INDEX(tblInspections[View date],MATCH(tblDefects[[#This Row],[Lot ID]],tblInspections[Lot ID],0)),""))</f>
        <v>46300</v>
      </c>
      <c r="H17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8" s="41" t="s">
        <v>131</v>
      </c>
    </row>
    <row r="179" spans="2:9">
      <c r="B179" s="28" t="s">
        <v>236</v>
      </c>
      <c r="C179" s="28" t="s">
        <v>106</v>
      </c>
      <c r="D179" s="29">
        <v>3</v>
      </c>
      <c r="E179" s="39">
        <f>IF(tblDefects[[#This Row],[Lot ID]]="","",IFERROR(INDEX(tblInspections[Date],MATCH(tblDefects[[#This Row],[Lot ID]],tblInspections[Lot ID],0)),""))</f>
        <v>46300</v>
      </c>
      <c r="F179" s="42" t="str">
        <f>IF(tblDefects[[#This Row],[Lot ID]]="","",IFERROR(INDEX(tblInspections[Part],MATCH(tblDefects[[#This Row],[Lot ID]],tblInspections[Lot ID],0)),""))</f>
        <v>Tray clip BC-77</v>
      </c>
      <c r="G179" s="39">
        <f>IF(tblDefects[[#This Row],[Lot ID]]="","",IFERROR(INDEX(tblInspections[View date],MATCH(tblDefects[[#This Row],[Lot ID]],tblInspections[Lot ID],0)),""))</f>
        <v>46300</v>
      </c>
      <c r="H17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79" s="41" t="s">
        <v>131</v>
      </c>
    </row>
    <row r="180" spans="2:9">
      <c r="B180" s="28" t="s">
        <v>237</v>
      </c>
      <c r="C180" s="28" t="s">
        <v>103</v>
      </c>
      <c r="D180" s="29">
        <v>1</v>
      </c>
      <c r="E180" s="39">
        <f>IF(tblDefects[[#This Row],[Lot ID]]="","",IFERROR(INDEX(tblInspections[Date],MATCH(tblDefects[[#This Row],[Lot ID]],tblInspections[Lot ID],0)),""))</f>
        <v>46301</v>
      </c>
      <c r="F180" s="42" t="str">
        <f>IF(tblDefects[[#This Row],[Lot ID]]="","",IFERROR(INDEX(tblInspections[Part],MATCH(tblDefects[[#This Row],[Lot ID]],tblInspections[Lot ID],0)),""))</f>
        <v>Seat bracket SB-204</v>
      </c>
      <c r="G180" s="39">
        <f>IF(tblDefects[[#This Row],[Lot ID]]="","",IFERROR(INDEX(tblInspections[View date],MATCH(tblDefects[[#This Row],[Lot ID]],tblInspections[Lot ID],0)),""))</f>
        <v>46301</v>
      </c>
      <c r="H18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0" s="41" t="s">
        <v>131</v>
      </c>
    </row>
    <row r="181" spans="2:9">
      <c r="B181" s="28" t="s">
        <v>238</v>
      </c>
      <c r="C181" s="28" t="s">
        <v>92</v>
      </c>
      <c r="D181" s="29">
        <v>1</v>
      </c>
      <c r="E181" s="39">
        <f>IF(tblDefects[[#This Row],[Lot ID]]="","",IFERROR(INDEX(tblInspections[Date],MATCH(tblDefects[[#This Row],[Lot ID]],tblInspections[Lot ID],0)),""))</f>
        <v>46301</v>
      </c>
      <c r="F181" s="42" t="str">
        <f>IF(tblDefects[[#This Row],[Lot ID]]="","",IFERROR(INDEX(tblInspections[Part],MATCH(tblDefects[[#This Row],[Lot ID]],tblInspections[Lot ID],0)),""))</f>
        <v>Hinge plate HP-118</v>
      </c>
      <c r="G181" s="39">
        <f>IF(tblDefects[[#This Row],[Lot ID]]="","",IFERROR(INDEX(tblInspections[View date],MATCH(tblDefects[[#This Row],[Lot ID]],tblInspections[Lot ID],0)),""))</f>
        <v>46301</v>
      </c>
      <c r="H18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1" s="41" t="s">
        <v>131</v>
      </c>
    </row>
    <row r="182" spans="2:9">
      <c r="B182" s="28" t="s">
        <v>239</v>
      </c>
      <c r="C182" s="28" t="s">
        <v>98</v>
      </c>
      <c r="D182" s="29">
        <v>4</v>
      </c>
      <c r="E182" s="39">
        <f>IF(tblDefects[[#This Row],[Lot ID]]="","",IFERROR(INDEX(tblInspections[Date],MATCH(tblDefects[[#This Row],[Lot ID]],tblInspections[Lot ID],0)),""))</f>
        <v>46301</v>
      </c>
      <c r="F182" s="42" t="str">
        <f>IF(tblDefects[[#This Row],[Lot ID]]="","",IFERROR(INDEX(tblInspections[Part],MATCH(tblDefects[[#This Row],[Lot ID]],tblInspections[Lot ID],0)),""))</f>
        <v>Heat shield HS-330</v>
      </c>
      <c r="G182" s="39">
        <f>IF(tblDefects[[#This Row],[Lot ID]]="","",IFERROR(INDEX(tblInspections[View date],MATCH(tblDefects[[#This Row],[Lot ID]],tblInspections[Lot ID],0)),""))</f>
        <v>46301</v>
      </c>
      <c r="H18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2" s="41" t="s">
        <v>131</v>
      </c>
    </row>
    <row r="183" spans="2:9">
      <c r="B183" s="28" t="s">
        <v>240</v>
      </c>
      <c r="C183" s="28" t="s">
        <v>106</v>
      </c>
      <c r="D183" s="29">
        <v>1</v>
      </c>
      <c r="E183" s="39">
        <f>IF(tblDefects[[#This Row],[Lot ID]]="","",IFERROR(INDEX(tblInspections[Date],MATCH(tblDefects[[#This Row],[Lot ID]],tblInspections[Lot ID],0)),""))</f>
        <v>46301</v>
      </c>
      <c r="F183" s="42" t="str">
        <f>IF(tblDefects[[#This Row],[Lot ID]]="","",IFERROR(INDEX(tblInspections[Part],MATCH(tblDefects[[#This Row],[Lot ID]],tblInspections[Lot ID],0)),""))</f>
        <v>Tray clip BC-77</v>
      </c>
      <c r="G183" s="39">
        <f>IF(tblDefects[[#This Row],[Lot ID]]="","",IFERROR(INDEX(tblInspections[View date],MATCH(tblDefects[[#This Row],[Lot ID]],tblInspections[Lot ID],0)),""))</f>
        <v>46301</v>
      </c>
      <c r="H18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3" s="41" t="s">
        <v>131</v>
      </c>
    </row>
    <row r="184" spans="2:9">
      <c r="B184" s="28" t="s">
        <v>241</v>
      </c>
      <c r="C184" s="28" t="s">
        <v>89</v>
      </c>
      <c r="D184" s="29">
        <v>1</v>
      </c>
      <c r="E184" s="39">
        <f>IF(tblDefects[[#This Row],[Lot ID]]="","",IFERROR(INDEX(tblInspections[Date],MATCH(tblDefects[[#This Row],[Lot ID]],tblInspections[Lot ID],0)),""))</f>
        <v>46302</v>
      </c>
      <c r="F184" s="42" t="str">
        <f>IF(tblDefects[[#This Row],[Lot ID]]="","",IFERROR(INDEX(tblInspections[Part],MATCH(tblDefects[[#This Row],[Lot ID]],tblInspections[Lot ID],0)),""))</f>
        <v>Seat bracket SB-204</v>
      </c>
      <c r="G184" s="39">
        <f>IF(tblDefects[[#This Row],[Lot ID]]="","",IFERROR(INDEX(tblInspections[View date],MATCH(tblDefects[[#This Row],[Lot ID]],tblInspections[Lot ID],0)),""))</f>
        <v>46302</v>
      </c>
      <c r="H18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4" s="41" t="s">
        <v>131</v>
      </c>
    </row>
    <row r="185" spans="2:9">
      <c r="B185" s="28" t="s">
        <v>241</v>
      </c>
      <c r="C185" s="28" t="s">
        <v>103</v>
      </c>
      <c r="D185" s="29">
        <v>1</v>
      </c>
      <c r="E185" s="39">
        <f>IF(tblDefects[[#This Row],[Lot ID]]="","",IFERROR(INDEX(tblInspections[Date],MATCH(tblDefects[[#This Row],[Lot ID]],tblInspections[Lot ID],0)),""))</f>
        <v>46302</v>
      </c>
      <c r="F185" s="42" t="str">
        <f>IF(tblDefects[[#This Row],[Lot ID]]="","",IFERROR(INDEX(tblInspections[Part],MATCH(tblDefects[[#This Row],[Lot ID]],tblInspections[Lot ID],0)),""))</f>
        <v>Seat bracket SB-204</v>
      </c>
      <c r="G185" s="39">
        <f>IF(tblDefects[[#This Row],[Lot ID]]="","",IFERROR(INDEX(tblInspections[View date],MATCH(tblDefects[[#This Row],[Lot ID]],tblInspections[Lot ID],0)),""))</f>
        <v>46302</v>
      </c>
      <c r="H18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5" s="41" t="s">
        <v>131</v>
      </c>
    </row>
    <row r="186" spans="2:9">
      <c r="B186" s="28" t="s">
        <v>242</v>
      </c>
      <c r="C186" s="28" t="s">
        <v>92</v>
      </c>
      <c r="D186" s="29">
        <v>1</v>
      </c>
      <c r="E186" s="39">
        <f>IF(tblDefects[[#This Row],[Lot ID]]="","",IFERROR(INDEX(tblInspections[Date],MATCH(tblDefects[[#This Row],[Lot ID]],tblInspections[Lot ID],0)),""))</f>
        <v>46302</v>
      </c>
      <c r="F186" s="42" t="str">
        <f>IF(tblDefects[[#This Row],[Lot ID]]="","",IFERROR(INDEX(tblInspections[Part],MATCH(tblDefects[[#This Row],[Lot ID]],tblInspections[Lot ID],0)),""))</f>
        <v>Hinge plate HP-118</v>
      </c>
      <c r="G186" s="39">
        <f>IF(tblDefects[[#This Row],[Lot ID]]="","",IFERROR(INDEX(tblInspections[View date],MATCH(tblDefects[[#This Row],[Lot ID]],tblInspections[Lot ID],0)),""))</f>
        <v>46302</v>
      </c>
      <c r="H18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6" s="41" t="s">
        <v>131</v>
      </c>
    </row>
    <row r="187" spans="2:9">
      <c r="B187" s="28" t="s">
        <v>243</v>
      </c>
      <c r="C187" s="28" t="s">
        <v>101</v>
      </c>
      <c r="D187" s="29">
        <v>2</v>
      </c>
      <c r="E187" s="39">
        <f>IF(tblDefects[[#This Row],[Lot ID]]="","",IFERROR(INDEX(tblInspections[Date],MATCH(tblDefects[[#This Row],[Lot ID]],tblInspections[Lot ID],0)),""))</f>
        <v>46302</v>
      </c>
      <c r="F187" s="42" t="str">
        <f>IF(tblDefects[[#This Row],[Lot ID]]="","",IFERROR(INDEX(tblInspections[Part],MATCH(tblDefects[[#This Row],[Lot ID]],tblInspections[Lot ID],0)),""))</f>
        <v>Heat shield HS-330</v>
      </c>
      <c r="G187" s="39">
        <f>IF(tblDefects[[#This Row],[Lot ID]]="","",IFERROR(INDEX(tblInspections[View date],MATCH(tblDefects[[#This Row],[Lot ID]],tblInspections[Lot ID],0)),""))</f>
        <v>46302</v>
      </c>
      <c r="H18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7" s="41" t="s">
        <v>131</v>
      </c>
    </row>
    <row r="188" spans="2:9">
      <c r="B188" s="28" t="s">
        <v>243</v>
      </c>
      <c r="C188" s="28" t="s">
        <v>103</v>
      </c>
      <c r="D188" s="29">
        <v>1</v>
      </c>
      <c r="E188" s="39">
        <f>IF(tblDefects[[#This Row],[Lot ID]]="","",IFERROR(INDEX(tblInspections[Date],MATCH(tblDefects[[#This Row],[Lot ID]],tblInspections[Lot ID],0)),""))</f>
        <v>46302</v>
      </c>
      <c r="F188" s="42" t="str">
        <f>IF(tblDefects[[#This Row],[Lot ID]]="","",IFERROR(INDEX(tblInspections[Part],MATCH(tblDefects[[#This Row],[Lot ID]],tblInspections[Lot ID],0)),""))</f>
        <v>Heat shield HS-330</v>
      </c>
      <c r="G188" s="39">
        <f>IF(tblDefects[[#This Row],[Lot ID]]="","",IFERROR(INDEX(tblInspections[View date],MATCH(tblDefects[[#This Row],[Lot ID]],tblInspections[Lot ID],0)),""))</f>
        <v>46302</v>
      </c>
      <c r="H18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8" s="41" t="s">
        <v>131</v>
      </c>
    </row>
    <row r="189" spans="2:9">
      <c r="B189" s="28" t="s">
        <v>244</v>
      </c>
      <c r="C189" s="28" t="s">
        <v>89</v>
      </c>
      <c r="D189" s="29">
        <v>3</v>
      </c>
      <c r="E189" s="39">
        <f>IF(tblDefects[[#This Row],[Lot ID]]="","",IFERROR(INDEX(tblInspections[Date],MATCH(tblDefects[[#This Row],[Lot ID]],tblInspections[Lot ID],0)),""))</f>
        <v>46302</v>
      </c>
      <c r="F189" s="42" t="str">
        <f>IF(tblDefects[[#This Row],[Lot ID]]="","",IFERROR(INDEX(tblInspections[Part],MATCH(tblDefects[[#This Row],[Lot ID]],tblInspections[Lot ID],0)),""))</f>
        <v>Tray clip BC-77</v>
      </c>
      <c r="G189" s="39">
        <f>IF(tblDefects[[#This Row],[Lot ID]]="","",IFERROR(INDEX(tblInspections[View date],MATCH(tblDefects[[#This Row],[Lot ID]],tblInspections[Lot ID],0)),""))</f>
        <v>46302</v>
      </c>
      <c r="H18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89" s="41" t="s">
        <v>131</v>
      </c>
    </row>
    <row r="190" spans="2:9">
      <c r="B190" s="28" t="s">
        <v>244</v>
      </c>
      <c r="C190" s="28" t="s">
        <v>106</v>
      </c>
      <c r="D190" s="29">
        <v>2</v>
      </c>
      <c r="E190" s="39">
        <f>IF(tblDefects[[#This Row],[Lot ID]]="","",IFERROR(INDEX(tblInspections[Date],MATCH(tblDefects[[#This Row],[Lot ID]],tblInspections[Lot ID],0)),""))</f>
        <v>46302</v>
      </c>
      <c r="F190" s="42" t="str">
        <f>IF(tblDefects[[#This Row],[Lot ID]]="","",IFERROR(INDEX(tblInspections[Part],MATCH(tblDefects[[#This Row],[Lot ID]],tblInspections[Lot ID],0)),""))</f>
        <v>Tray clip BC-77</v>
      </c>
      <c r="G190" s="39">
        <f>IF(tblDefects[[#This Row],[Lot ID]]="","",IFERROR(INDEX(tblInspections[View date],MATCH(tblDefects[[#This Row],[Lot ID]],tblInspections[Lot ID],0)),""))</f>
        <v>46302</v>
      </c>
      <c r="H19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0" s="41" t="s">
        <v>131</v>
      </c>
    </row>
    <row r="191" spans="2:9">
      <c r="B191" s="28" t="s">
        <v>245</v>
      </c>
      <c r="C191" s="28" t="s">
        <v>95</v>
      </c>
      <c r="D191" s="29">
        <v>1</v>
      </c>
      <c r="E191" s="39">
        <f>IF(tblDefects[[#This Row],[Lot ID]]="","",IFERROR(INDEX(tblInspections[Date],MATCH(tblDefects[[#This Row],[Lot ID]],tblInspections[Lot ID],0)),""))</f>
        <v>46303</v>
      </c>
      <c r="F191" s="42" t="str">
        <f>IF(tblDefects[[#This Row],[Lot ID]]="","",IFERROR(INDEX(tblInspections[Part],MATCH(tblDefects[[#This Row],[Lot ID]],tblInspections[Lot ID],0)),""))</f>
        <v>Seat bracket SB-204</v>
      </c>
      <c r="G191" s="39">
        <f>IF(tblDefects[[#This Row],[Lot ID]]="","",IFERROR(INDEX(tblInspections[View date],MATCH(tblDefects[[#This Row],[Lot ID]],tblInspections[Lot ID],0)),""))</f>
        <v>46303</v>
      </c>
      <c r="H19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1" s="41" t="s">
        <v>131</v>
      </c>
    </row>
    <row r="192" spans="2:9">
      <c r="B192" s="28" t="s">
        <v>245</v>
      </c>
      <c r="C192" s="28" t="s">
        <v>103</v>
      </c>
      <c r="D192" s="29">
        <v>1</v>
      </c>
      <c r="E192" s="39">
        <f>IF(tblDefects[[#This Row],[Lot ID]]="","",IFERROR(INDEX(tblInspections[Date],MATCH(tblDefects[[#This Row],[Lot ID]],tblInspections[Lot ID],0)),""))</f>
        <v>46303</v>
      </c>
      <c r="F192" s="42" t="str">
        <f>IF(tblDefects[[#This Row],[Lot ID]]="","",IFERROR(INDEX(tblInspections[Part],MATCH(tblDefects[[#This Row],[Lot ID]],tblInspections[Lot ID],0)),""))</f>
        <v>Seat bracket SB-204</v>
      </c>
      <c r="G192" s="39">
        <f>IF(tblDefects[[#This Row],[Lot ID]]="","",IFERROR(INDEX(tblInspections[View date],MATCH(tblDefects[[#This Row],[Lot ID]],tblInspections[Lot ID],0)),""))</f>
        <v>46303</v>
      </c>
      <c r="H19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2" s="41" t="s">
        <v>131</v>
      </c>
    </row>
    <row r="193" spans="2:9">
      <c r="B193" s="28" t="s">
        <v>246</v>
      </c>
      <c r="C193" s="28" t="s">
        <v>103</v>
      </c>
      <c r="D193" s="29">
        <v>1</v>
      </c>
      <c r="E193" s="39">
        <f>IF(tblDefects[[#This Row],[Lot ID]]="","",IFERROR(INDEX(tblInspections[Date],MATCH(tblDefects[[#This Row],[Lot ID]],tblInspections[Lot ID],0)),""))</f>
        <v>46303</v>
      </c>
      <c r="F193" s="42" t="str">
        <f>IF(tblDefects[[#This Row],[Lot ID]]="","",IFERROR(INDEX(tblInspections[Part],MATCH(tblDefects[[#This Row],[Lot ID]],tblInspections[Lot ID],0)),""))</f>
        <v>Hinge plate HP-118</v>
      </c>
      <c r="G193" s="39">
        <f>IF(tblDefects[[#This Row],[Lot ID]]="","",IFERROR(INDEX(tblInspections[View date],MATCH(tblDefects[[#This Row],[Lot ID]],tblInspections[Lot ID],0)),""))</f>
        <v>46303</v>
      </c>
      <c r="H19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3" s="41" t="s">
        <v>131</v>
      </c>
    </row>
    <row r="194" spans="2:9">
      <c r="B194" s="28" t="s">
        <v>247</v>
      </c>
      <c r="C194" s="28" t="s">
        <v>98</v>
      </c>
      <c r="D194" s="29">
        <v>1</v>
      </c>
      <c r="E194" s="39">
        <f>IF(tblDefects[[#This Row],[Lot ID]]="","",IFERROR(INDEX(tblInspections[Date],MATCH(tblDefects[[#This Row],[Lot ID]],tblInspections[Lot ID],0)),""))</f>
        <v>46303</v>
      </c>
      <c r="F194" s="42" t="str">
        <f>IF(tblDefects[[#This Row],[Lot ID]]="","",IFERROR(INDEX(tblInspections[Part],MATCH(tblDefects[[#This Row],[Lot ID]],tblInspections[Lot ID],0)),""))</f>
        <v>Heat shield HS-330</v>
      </c>
      <c r="G194" s="39">
        <f>IF(tblDefects[[#This Row],[Lot ID]]="","",IFERROR(INDEX(tblInspections[View date],MATCH(tblDefects[[#This Row],[Lot ID]],tblInspections[Lot ID],0)),""))</f>
        <v>46303</v>
      </c>
      <c r="H19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4" s="41" t="s">
        <v>131</v>
      </c>
    </row>
    <row r="195" spans="2:9">
      <c r="B195" s="28" t="s">
        <v>247</v>
      </c>
      <c r="C195" s="28" t="s">
        <v>101</v>
      </c>
      <c r="D195" s="29">
        <v>1</v>
      </c>
      <c r="E195" s="39">
        <f>IF(tblDefects[[#This Row],[Lot ID]]="","",IFERROR(INDEX(tblInspections[Date],MATCH(tblDefects[[#This Row],[Lot ID]],tblInspections[Lot ID],0)),""))</f>
        <v>46303</v>
      </c>
      <c r="F195" s="42" t="str">
        <f>IF(tblDefects[[#This Row],[Lot ID]]="","",IFERROR(INDEX(tblInspections[Part],MATCH(tblDefects[[#This Row],[Lot ID]],tblInspections[Lot ID],0)),""))</f>
        <v>Heat shield HS-330</v>
      </c>
      <c r="G195" s="39">
        <f>IF(tblDefects[[#This Row],[Lot ID]]="","",IFERROR(INDEX(tblInspections[View date],MATCH(tblDefects[[#This Row],[Lot ID]],tblInspections[Lot ID],0)),""))</f>
        <v>46303</v>
      </c>
      <c r="H195"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5" s="41" t="s">
        <v>131</v>
      </c>
    </row>
    <row r="196" spans="2:9">
      <c r="B196" s="28" t="s">
        <v>247</v>
      </c>
      <c r="C196" s="28" t="s">
        <v>103</v>
      </c>
      <c r="D196" s="29">
        <v>1</v>
      </c>
      <c r="E196" s="39">
        <f>IF(tblDefects[[#This Row],[Lot ID]]="","",IFERROR(INDEX(tblInspections[Date],MATCH(tblDefects[[#This Row],[Lot ID]],tblInspections[Lot ID],0)),""))</f>
        <v>46303</v>
      </c>
      <c r="F196" s="42" t="str">
        <f>IF(tblDefects[[#This Row],[Lot ID]]="","",IFERROR(INDEX(tblInspections[Part],MATCH(tblDefects[[#This Row],[Lot ID]],tblInspections[Lot ID],0)),""))</f>
        <v>Heat shield HS-330</v>
      </c>
      <c r="G196" s="39">
        <f>IF(tblDefects[[#This Row],[Lot ID]]="","",IFERROR(INDEX(tblInspections[View date],MATCH(tblDefects[[#This Row],[Lot ID]],tblInspections[Lot ID],0)),""))</f>
        <v>46303</v>
      </c>
      <c r="H196"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6" s="41" t="s">
        <v>131</v>
      </c>
    </row>
    <row r="197" spans="2:9">
      <c r="B197" s="28" t="s">
        <v>248</v>
      </c>
      <c r="C197" s="28" t="s">
        <v>89</v>
      </c>
      <c r="D197" s="29">
        <v>1</v>
      </c>
      <c r="E197" s="39">
        <f>IF(tblDefects[[#This Row],[Lot ID]]="","",IFERROR(INDEX(tblInspections[Date],MATCH(tblDefects[[#This Row],[Lot ID]],tblInspections[Lot ID],0)),""))</f>
        <v>46303</v>
      </c>
      <c r="F197" s="42" t="str">
        <f>IF(tblDefects[[#This Row],[Lot ID]]="","",IFERROR(INDEX(tblInspections[Part],MATCH(tblDefects[[#This Row],[Lot ID]],tblInspections[Lot ID],0)),""))</f>
        <v>Tray clip BC-77</v>
      </c>
      <c r="G197" s="39">
        <f>IF(tblDefects[[#This Row],[Lot ID]]="","",IFERROR(INDEX(tblInspections[View date],MATCH(tblDefects[[#This Row],[Lot ID]],tblInspections[Lot ID],0)),""))</f>
        <v>46303</v>
      </c>
      <c r="H197"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7" s="41" t="s">
        <v>131</v>
      </c>
    </row>
    <row r="198" spans="2:9">
      <c r="B198" s="28" t="s">
        <v>248</v>
      </c>
      <c r="C198" s="28" t="s">
        <v>106</v>
      </c>
      <c r="D198" s="29">
        <v>6</v>
      </c>
      <c r="E198" s="39">
        <f>IF(tblDefects[[#This Row],[Lot ID]]="","",IFERROR(INDEX(tblInspections[Date],MATCH(tblDefects[[#This Row],[Lot ID]],tblInspections[Lot ID],0)),""))</f>
        <v>46303</v>
      </c>
      <c r="F198" s="42" t="str">
        <f>IF(tblDefects[[#This Row],[Lot ID]]="","",IFERROR(INDEX(tblInspections[Part],MATCH(tblDefects[[#This Row],[Lot ID]],tblInspections[Lot ID],0)),""))</f>
        <v>Tray clip BC-77</v>
      </c>
      <c r="G198" s="39">
        <f>IF(tblDefects[[#This Row],[Lot ID]]="","",IFERROR(INDEX(tblInspections[View date],MATCH(tblDefects[[#This Row],[Lot ID]],tblInspections[Lot ID],0)),""))</f>
        <v>46303</v>
      </c>
      <c r="H198"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8" s="41" t="s">
        <v>131</v>
      </c>
    </row>
    <row r="199" spans="2:9">
      <c r="B199" s="28" t="s">
        <v>250</v>
      </c>
      <c r="C199" s="28" t="s">
        <v>89</v>
      </c>
      <c r="D199" s="29">
        <v>1</v>
      </c>
      <c r="E199" s="39">
        <f>IF(tblDefects[[#This Row],[Lot ID]]="","",IFERROR(INDEX(tblInspections[Date],MATCH(tblDefects[[#This Row],[Lot ID]],tblInspections[Lot ID],0)),""))</f>
        <v>46304</v>
      </c>
      <c r="F199" s="42" t="str">
        <f>IF(tblDefects[[#This Row],[Lot ID]]="","",IFERROR(INDEX(tblInspections[Part],MATCH(tblDefects[[#This Row],[Lot ID]],tblInspections[Lot ID],0)),""))</f>
        <v>Hinge plate HP-118</v>
      </c>
      <c r="G199" s="39">
        <f>IF(tblDefects[[#This Row],[Lot ID]]="","",IFERROR(INDEX(tblInspections[View date],MATCH(tblDefects[[#This Row],[Lot ID]],tblInspections[Lot ID],0)),""))</f>
        <v>46304</v>
      </c>
      <c r="H199"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199" s="41" t="s">
        <v>131</v>
      </c>
    </row>
    <row r="200" spans="2:9">
      <c r="B200" s="28" t="s">
        <v>250</v>
      </c>
      <c r="C200" s="28" t="s">
        <v>92</v>
      </c>
      <c r="D200" s="29">
        <v>1</v>
      </c>
      <c r="E200" s="39">
        <f>IF(tblDefects[[#This Row],[Lot ID]]="","",IFERROR(INDEX(tblInspections[Date],MATCH(tblDefects[[#This Row],[Lot ID]],tblInspections[Lot ID],0)),""))</f>
        <v>46304</v>
      </c>
      <c r="F200" s="42" t="str">
        <f>IF(tblDefects[[#This Row],[Lot ID]]="","",IFERROR(INDEX(tblInspections[Part],MATCH(tblDefects[[#This Row],[Lot ID]],tblInspections[Lot ID],0)),""))</f>
        <v>Hinge plate HP-118</v>
      </c>
      <c r="G200" s="39">
        <f>IF(tblDefects[[#This Row],[Lot ID]]="","",IFERROR(INDEX(tblInspections[View date],MATCH(tblDefects[[#This Row],[Lot ID]],tblInspections[Lot ID],0)),""))</f>
        <v>46304</v>
      </c>
      <c r="H200"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00" s="41" t="s">
        <v>131</v>
      </c>
    </row>
    <row r="201" spans="2:9">
      <c r="B201" s="28" t="s">
        <v>251</v>
      </c>
      <c r="C201" s="28" t="s">
        <v>98</v>
      </c>
      <c r="D201" s="29">
        <v>5</v>
      </c>
      <c r="E201" s="39">
        <f>IF(tblDefects[[#This Row],[Lot ID]]="","",IFERROR(INDEX(tblInspections[Date],MATCH(tblDefects[[#This Row],[Lot ID]],tblInspections[Lot ID],0)),""))</f>
        <v>46304</v>
      </c>
      <c r="F201" s="42" t="str">
        <f>IF(tblDefects[[#This Row],[Lot ID]]="","",IFERROR(INDEX(tblInspections[Part],MATCH(tblDefects[[#This Row],[Lot ID]],tblInspections[Lot ID],0)),""))</f>
        <v>Heat shield HS-330</v>
      </c>
      <c r="G201" s="39">
        <f>IF(tblDefects[[#This Row],[Lot ID]]="","",IFERROR(INDEX(tblInspections[View date],MATCH(tblDefects[[#This Row],[Lot ID]],tblInspections[Lot ID],0)),""))</f>
        <v>46304</v>
      </c>
      <c r="H201"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01" s="41" t="s">
        <v>131</v>
      </c>
    </row>
    <row r="202" spans="2:9">
      <c r="B202" s="28" t="s">
        <v>251</v>
      </c>
      <c r="C202" s="28" t="s">
        <v>101</v>
      </c>
      <c r="D202" s="29">
        <v>1</v>
      </c>
      <c r="E202" s="39">
        <f>IF(tblDefects[[#This Row],[Lot ID]]="","",IFERROR(INDEX(tblInspections[Date],MATCH(tblDefects[[#This Row],[Lot ID]],tblInspections[Lot ID],0)),""))</f>
        <v>46304</v>
      </c>
      <c r="F202" s="42" t="str">
        <f>IF(tblDefects[[#This Row],[Lot ID]]="","",IFERROR(INDEX(tblInspections[Part],MATCH(tblDefects[[#This Row],[Lot ID]],tblInspections[Lot ID],0)),""))</f>
        <v>Heat shield HS-330</v>
      </c>
      <c r="G202" s="39">
        <f>IF(tblDefects[[#This Row],[Lot ID]]="","",IFERROR(INDEX(tblInspections[View date],MATCH(tblDefects[[#This Row],[Lot ID]],tblInspections[Lot ID],0)),""))</f>
        <v>46304</v>
      </c>
      <c r="H202"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02" s="41" t="s">
        <v>131</v>
      </c>
    </row>
    <row r="203" spans="2:9">
      <c r="B203" s="28" t="s">
        <v>252</v>
      </c>
      <c r="C203" s="28" t="s">
        <v>89</v>
      </c>
      <c r="D203" s="29">
        <v>5</v>
      </c>
      <c r="E203" s="39">
        <f>IF(tblDefects[[#This Row],[Lot ID]]="","",IFERROR(INDEX(tblInspections[Date],MATCH(tblDefects[[#This Row],[Lot ID]],tblInspections[Lot ID],0)),""))</f>
        <v>46304</v>
      </c>
      <c r="F203" s="42" t="str">
        <f>IF(tblDefects[[#This Row],[Lot ID]]="","",IFERROR(INDEX(tblInspections[Part],MATCH(tblDefects[[#This Row],[Lot ID]],tblInspections[Lot ID],0)),""))</f>
        <v>Tray clip BC-77</v>
      </c>
      <c r="G203" s="39">
        <f>IF(tblDefects[[#This Row],[Lot ID]]="","",IFERROR(INDEX(tblInspections[View date],MATCH(tblDefects[[#This Row],[Lot ID]],tblInspections[Lot ID],0)),""))</f>
        <v>46304</v>
      </c>
      <c r="H203"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03" s="41" t="s">
        <v>131</v>
      </c>
    </row>
    <row r="204" spans="2:9">
      <c r="B204" s="28" t="s">
        <v>252</v>
      </c>
      <c r="C204" s="28" t="s">
        <v>106</v>
      </c>
      <c r="D204" s="29">
        <v>4</v>
      </c>
      <c r="E204" s="39">
        <f>IF(tblDefects[[#This Row],[Lot ID]]="","",IFERROR(INDEX(tblInspections[Date],MATCH(tblDefects[[#This Row],[Lot ID]],tblInspections[Lot ID],0)),""))</f>
        <v>46304</v>
      </c>
      <c r="F204" s="42" t="str">
        <f>IF(tblDefects[[#This Row],[Lot ID]]="","",IFERROR(INDEX(tblInspections[Part],MATCH(tblDefects[[#This Row],[Lot ID]],tblInspections[Lot ID],0)),""))</f>
        <v>Tray clip BC-77</v>
      </c>
      <c r="G204" s="39">
        <f>IF(tblDefects[[#This Row],[Lot ID]]="","",IFERROR(INDEX(tblInspections[View date],MATCH(tblDefects[[#This Row],[Lot ID]],tblInspections[Lot ID],0)),""))</f>
        <v>46304</v>
      </c>
      <c r="H204" s="40" t="str">
        <f>IF(tblDefects[[#This Row],[Lot ID]]="","",IF(tblDefects[[#This Row],[Lot ID]]="","Missing lot id",IF(tblDefects[[#This Row],[Defect type]]="","Missing defect type",IF(tblDefects[[#This Row],[Count]]="","Missing count",IF(tblDefects[[#This Row],[Part]]="","Lot ID not on Inspection Log",IF(COUNTIF(tblDefectTypes[Defect type],tblDefects[[#This Row],[Defect type]])=0,"Defect type not on Setup list","OK"))))))</f>
        <v>OK</v>
      </c>
      <c r="I204" s="41" t="s">
        <v>131</v>
      </c>
    </row>
  </sheetData>
  <mergeCells count="3">
    <mergeCell ref="A1:I1"/>
    <mergeCell ref="B2:H2"/>
    <mergeCell ref="B4:I4"/>
  </mergeCells>
  <conditionalFormatting sqref="H7:H704">
    <cfRule type="expression" dxfId="3" priority="1">
      <formula>$H7="OK"</formula>
    </cfRule>
    <cfRule type="expression" dxfId="1" priority="2">
      <formula>AND($H7&lt;&gt;"",$H7&lt;&gt;"OK")</formula>
    </cfRule>
  </conditionalFormatting>
  <dataValidations count="4">
    <dataValidation type="list" allowBlank="1" showInputMessage="1" showErrorMessage="1" errorTitle="Check this entry" error="Pick from the list (edit the list on Setup: Lots)." promptTitle="Lot ID" prompt="Pick the lot from the Inspection Log. Pick from the list (edit the list on Setup: Lots)." sqref="B7:B704">
      <formula1>Lots</formula1>
    </dataValidation>
    <dataValidation type="list" allowBlank="1" showInputMessage="1" showErrorMessage="1" errorTitle="Check this entry" error="Pick from the list (edit the list on Setup: DefectTypeList)." promptTitle="Defect type" prompt="Pick from the list (edit the list on Setup: DefectTypeList)." sqref="C7:C704">
      <formula1>DefectTypeList</formula1>
    </dataValidation>
    <dataValidation type="whole" allowBlank="1" showInputMessage="1" showErrorMessage="1" errorTitle="Check this entry" error="Enter a whole number from 0 to 100,000,000." promptTitle="Count" prompt="Defects of this type found in the lot. Two scratches on one unit count as two defects. Enter a whole number from 0 to 100,000,000." sqref="D7:D704">
      <formula1>0</formula1>
      <formula2>100000000</formula2>
    </dataValidation>
    <dataValidation type="textLength" allowBlank="1" showInputMessage="1" showErrorMessage="1" errorTitle="Check this entry" error="Text up to 255 characters." promptTitle="Notes" prompt="Text up to 255 characters." sqref="I7:I704">
      <formula1>0</formula1>
      <formula2>255</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Defect Rate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9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64</v>
      </c>
      <c r="C4" s="28"/>
      <c r="D4" s="28"/>
      <c r="F4" s="27" t="s">
        <v>256</v>
      </c>
      <c r="G4" s="43"/>
      <c r="H4" s="43"/>
      <c r="J4" s="27" t="s">
        <v>257</v>
      </c>
      <c r="K4" s="43"/>
      <c r="L4" s="43"/>
    </row>
    <row r="5" spans="1:12" x14ac:dyDescent="0.25">
      <c r="B5" s="44" t="str">
        <f>"Showing "&amp;COUNTIFS(tblInspections[View date],"&gt;0")&amp;" lots and "&amp;COUNTIFS(tblDefects[View date],"&gt;0")&amp;" defect rows. Leave the filters blank to include everything; dates are inclusive."</f>
        <v>Showing 120 lots and 198 defect rows. Leave the filters blank to include everything; dates are inclusive.</v>
      </c>
      <c r="C5" s="44"/>
      <c r="D5" s="44"/>
      <c r="E5" s="44"/>
      <c r="F5" s="44"/>
      <c r="G5" s="44"/>
      <c r="H5" s="44"/>
      <c r="I5" s="44"/>
      <c r="J5" s="44"/>
      <c r="K5" s="44"/>
      <c r="L5" s="44"/>
    </row>
    <row r="7" spans="1:12" ht="18" customHeight="1" x14ac:dyDescent="0.25">
      <c r="B7" s="45" t="s">
        <v>258</v>
      </c>
      <c r="C7" s="45"/>
      <c r="D7" s="45" t="s">
        <v>259</v>
      </c>
      <c r="E7" s="45"/>
      <c r="F7" s="45"/>
      <c r="G7" s="45" t="s">
        <v>120</v>
      </c>
      <c r="H7" s="45"/>
      <c r="I7" s="45"/>
      <c r="J7" s="45" t="s">
        <v>260</v>
      </c>
      <c r="K7" s="45"/>
      <c r="L7" s="45"/>
    </row>
    <row r="8" spans="1:12" ht="21" customHeight="1" x14ac:dyDescent="0.25">
      <c r="B8" s="46">
        <f>IF((SUMIFS(tblInspections[Inspected],tblInspections[View date],"&gt;0"))=0,"",(SUMIFS(tblInspections[Defective],tblInspections[View date],"&gt;0")*1000000)/(SUMIFS(tblInspections[Inspected],tblInspections[View date],"&gt;0")))</f>
        <v>1573.91304347826</v>
      </c>
      <c r="C8" s="46"/>
      <c r="D8" s="47">
        <f>IF((SUMIFS(tblInspections[Inspected],tblInspections[View date],"&gt;0"))=0,"",(SUMIFS(tblInspections[Defects found],tblInspections[View date],"&gt;0"))/(SUMIFS(tblInspections[Inspected],tblInspections[View date],"&gt;0")))</f>
        <v>0.00179130434782609</v>
      </c>
      <c r="E8" s="47"/>
      <c r="F8" s="47"/>
      <c r="G8" s="46">
        <f>IF((SUMIFS(tblInspections[Opportunities checked],tblInspections[View date],"&gt;0"))=0,"",(SUMIFS(tblInspections[Defects found],tblInspections[View date],"&gt;0")*1000000)/(SUMIFS(tblInspections[Opportunities checked],tblInspections[View date],"&gt;0")))</f>
        <v>348.217077850182</v>
      </c>
      <c r="H8" s="46"/>
      <c r="I8" s="46"/>
      <c r="J8" s="48" t="str">
        <f>IF(INDEX($E$80:$E$87,1)&gt;0,INDEX($C$80:$C$87,1),"None logged")</f>
        <v>Burr</v>
      </c>
      <c r="K8" s="48"/>
      <c r="L8" s="48"/>
    </row>
    <row r="9" spans="1:12" ht="21" customHeight="1" x14ac:dyDescent="0.25">
      <c r="B9" s="46"/>
      <c r="C9" s="46"/>
      <c r="D9" s="47"/>
      <c r="E9" s="47"/>
      <c r="F9" s="47"/>
      <c r="G9" s="46"/>
      <c r="H9" s="46"/>
      <c r="I9" s="46"/>
      <c r="J9" s="48"/>
      <c r="K9" s="48"/>
      <c r="L9" s="48"/>
    </row>
    <row r="10" spans="1:12" x14ac:dyDescent="0.25">
      <c r="B10" s="49">
        <f>TargetPPM</f>
        <v>1500</v>
      </c>
      <c r="C10" s="49"/>
      <c r="D10" s="50" t="s">
        <v>261</v>
      </c>
      <c r="E10" s="50"/>
      <c r="F10" s="50"/>
      <c r="G10" s="50" t="s">
        <v>262</v>
      </c>
      <c r="H10" s="50"/>
      <c r="I10" s="50"/>
      <c r="J10" s="50" t="s">
        <v>263</v>
      </c>
      <c r="K10" s="50"/>
      <c r="L10" s="50"/>
    </row>
    <row r="11" spans="1:12" ht="18" customHeight="1" x14ac:dyDescent="0.25">
      <c r="B11" s="51" t="str">
        <f>IF(NOT(ISNUMBER(KpiPPM)),"No data",IF(KpiPPM&lt;=(TargetPPM),"On target",IF(KpiPPM&lt;=(TargetPPM)*(1+0.05),"Near target","Above target")))</f>
        <v>Near target</v>
      </c>
      <c r="C11" s="51"/>
      <c r="D11" s="51"/>
      <c r="E11" s="51"/>
      <c r="F11" s="51"/>
      <c r="G11" s="51"/>
      <c r="H11" s="51"/>
      <c r="I11" s="51"/>
      <c r="J11" s="51"/>
      <c r="K11" s="51"/>
      <c r="L11" s="51"/>
    </row>
    <row r="29" spans="2:12" ht="18" customHeight="1" x14ac:dyDescent="0.25">
      <c r="B29" s="45" t="s">
        <v>264</v>
      </c>
      <c r="C29" s="45"/>
      <c r="D29" s="45" t="s">
        <v>265</v>
      </c>
      <c r="E29" s="45"/>
      <c r="F29" s="45"/>
      <c r="G29" s="45" t="s">
        <v>266</v>
      </c>
      <c r="H29" s="45"/>
      <c r="I29" s="45"/>
      <c r="J29" s="45" t="s">
        <v>267</v>
      </c>
      <c r="K29" s="45"/>
      <c r="L29" s="45"/>
    </row>
    <row r="30" spans="2:12" ht="21" customHeight="1" x14ac:dyDescent="0.25">
      <c r="B30" s="46">
        <f>SUMIFS(tblInspections[Inspected],tblInspections[View date],"&gt;0")</f>
        <v>230000</v>
      </c>
      <c r="C30" s="46"/>
      <c r="D30" s="46">
        <f>SUMIFS(tblInspections[Defective],tblInspections[View date],"&gt;0")</f>
        <v>362</v>
      </c>
      <c r="E30" s="46"/>
      <c r="F30" s="46"/>
      <c r="G30" s="46">
        <f>SUMIFS(tblInspections[Defects found],tblInspections[View date],"&gt;0")</f>
        <v>412</v>
      </c>
      <c r="H30" s="46"/>
      <c r="I30" s="46"/>
      <c r="J30" s="52">
        <f>IF((SUMIFS(tblInspections[Inspected],tblInspections[View date],"&gt;0"))=0,"",(SUMIFS(tblInspections[Defective],tblInspections[View date],"&gt;0"))/(SUMIFS(tblInspections[Inspected],tblInspections[View date],"&gt;0")))</f>
        <v>0.00157391304347826</v>
      </c>
      <c r="K30" s="52"/>
      <c r="L30" s="52"/>
    </row>
    <row r="31" spans="2:12" ht="21" customHeight="1" x14ac:dyDescent="0.25">
      <c r="B31" s="46"/>
      <c r="C31" s="46"/>
      <c r="D31" s="46"/>
      <c r="E31" s="46"/>
      <c r="F31" s="46"/>
      <c r="G31" s="46"/>
      <c r="H31" s="46"/>
      <c r="I31" s="46"/>
      <c r="J31" s="52"/>
      <c r="K31" s="52"/>
      <c r="L31" s="52"/>
    </row>
    <row r="32" spans="2:12" x14ac:dyDescent="0.25">
      <c r="B32" s="50" t="s">
        <v>268</v>
      </c>
      <c r="C32" s="50"/>
      <c r="D32" s="50" t="s">
        <v>269</v>
      </c>
      <c r="E32" s="50"/>
      <c r="F32" s="50"/>
      <c r="G32" s="50" t="s">
        <v>270</v>
      </c>
      <c r="H32" s="50"/>
      <c r="I32" s="50"/>
      <c r="J32" s="50" t="s">
        <v>271</v>
      </c>
      <c r="K32" s="50"/>
      <c r="L32" s="50"/>
    </row>
    <row r="33" spans="2:12" ht="18" customHeight="1" x14ac:dyDescent="0.25">
      <c r="B33" s="51"/>
      <c r="C33" s="51"/>
      <c r="D33" s="51"/>
      <c r="E33" s="51"/>
      <c r="F33" s="51"/>
      <c r="G33" s="51"/>
      <c r="H33" s="51"/>
      <c r="I33" s="51"/>
      <c r="J33" s="51"/>
      <c r="K33" s="51"/>
      <c r="L33" s="51"/>
    </row>
    <row r="51" spans="2:12" x14ac:dyDescent="0.25">
      <c r="B51" s="30" t="s">
        <v>272</v>
      </c>
      <c r="C51" s="30"/>
      <c r="D51" s="30"/>
      <c r="E51" s="30"/>
      <c r="F51" s="30"/>
      <c r="G51" s="30"/>
      <c r="H51" s="30"/>
      <c r="I51" s="30"/>
      <c r="J51" s="30"/>
      <c r="K51" s="30"/>
    </row>
    <row r="52" spans="2:12" ht="32" customHeight="1" x14ac:dyDescent="0.25">
      <c r="B52" s="53" t="s">
        <v>273</v>
      </c>
      <c r="C52" s="32" t="s">
        <v>112</v>
      </c>
      <c r="D52" s="32" t="s">
        <v>113</v>
      </c>
      <c r="E52" s="32" t="s">
        <v>114</v>
      </c>
      <c r="F52" s="32" t="s">
        <v>116</v>
      </c>
      <c r="G52" s="32" t="s">
        <v>117</v>
      </c>
      <c r="H52" s="32" t="s">
        <v>274</v>
      </c>
      <c r="I52" s="32" t="s">
        <v>275</v>
      </c>
      <c r="J52" s="32" t="s">
        <v>119</v>
      </c>
      <c r="K52" s="32" t="s">
        <v>120</v>
      </c>
    </row>
    <row r="53" spans="2:12" ht="14" customHeight="1" x14ac:dyDescent="0.25">
      <c r="B53" s="31"/>
      <c r="C53" s="31" t="s">
        <v>125</v>
      </c>
      <c r="D53" s="31" t="s">
        <v>125</v>
      </c>
      <c r="E53" s="31" t="s">
        <v>126</v>
      </c>
      <c r="F53" s="31" t="s">
        <v>276</v>
      </c>
      <c r="G53" s="31" t="s">
        <v>74</v>
      </c>
      <c r="H53" s="31" t="s">
        <v>74</v>
      </c>
      <c r="I53" s="31" t="s">
        <v>74</v>
      </c>
      <c r="J53" s="31" t="s">
        <v>128</v>
      </c>
      <c r="K53" s="31" t="s">
        <v>129</v>
      </c>
    </row>
    <row r="54" spans="2:12" x14ac:dyDescent="0.25">
      <c r="B54" s="54">
        <f>IF($B$55="","",IF($B$55-1&lt;MIN(tblInspections[View date]),"",$B$55-7))</f>
        <v>46265</v>
      </c>
      <c r="C54" s="35">
        <f>IF($B$54="","",SUMIFS(tblInspections[Inspected],tblInspections[View date],"&gt;="&amp;$B$54,tblInspections[View date],"&lt;"&amp;$B$54+7))</f>
        <v>39150</v>
      </c>
      <c r="D54" s="35">
        <f>IF($B$54="","",SUMIFS(tblInspections[Defective],tblInspections[View date],"&gt;="&amp;$B$54,tblInspections[View date],"&lt;"&amp;$B$54+7))</f>
        <v>61</v>
      </c>
      <c r="E54" s="35">
        <f>IF($B$54="","",SUMIFS(tblInspections[Defects found],tblInspections[View date],"&gt;="&amp;$B$54,tblInspections[View date],"&lt;"&amp;$B$54+7))</f>
        <v>67</v>
      </c>
      <c r="F54" s="36">
        <f>IF($B$54="","",IF((SUMIFS(tblInspections[Inspected],tblInspections[View date],"&gt;="&amp;$B$54,tblInspections[View date],"&lt;"&amp;$B$54+7))=0,"",(SUMIFS(tblInspections[Defective],tblInspections[View date],"&gt;="&amp;$B$54,tblInspections[View date],"&lt;"&amp;$B$54+7))/(SUMIFS(tblInspections[Inspected],tblInspections[View date],"&gt;="&amp;$B$54,tblInspections[View date],"&lt;"&amp;$B$54+7))))</f>
        <v>0.0015581098339719</v>
      </c>
      <c r="G54" s="35">
        <f>IF($B$54="","",IF((SUMIFS(tblInspections[Inspected],tblInspections[View date],"&gt;="&amp;$B$54,tblInspections[View date],"&lt;"&amp;$B$54+7))=0,"",(SUMIFS(tblInspections[Defective],tblInspections[View date],"&gt;="&amp;$B$54,tblInspections[View date],"&lt;"&amp;$B$54+7)*1000000)/(SUMIFS(tblInspections[Inspected],tblInspections[View date],"&gt;="&amp;$B$54,tblInspections[View date],"&lt;"&amp;$B$54+7))))</f>
        <v>1558.1098339719</v>
      </c>
      <c r="H54" s="55">
        <f>TargetPPM</f>
        <v>1500</v>
      </c>
      <c r="I54" s="56">
        <f>IF($B$54="","",IF(OR(1=1,NOT(ISNUMBER($G$54))),"",IF(NOT(ISNUMBER(INDEX($G$54:$G$59,1-1))),"",$G$54-INDEX($G$54:$G$59,1-1))))</f>
        <v/>
      </c>
      <c r="J54" s="38">
        <f>IF($B$54="","",IF((SUMIFS(tblInspections[Inspected],tblInspections[View date],"&gt;="&amp;$B$54,tblInspections[View date],"&lt;"&amp;$B$54+7))=0,"",(SUMIFS(tblInspections[Defects found],tblInspections[View date],"&gt;="&amp;$B$54,tblInspections[View date],"&lt;"&amp;$B$54+7))/(SUMIFS(tblInspections[Inspected],tblInspections[View date],"&gt;="&amp;$B$54,tblInspections[View date],"&lt;"&amp;$B$54+7))))</f>
        <v>0.00171136653895275</v>
      </c>
      <c r="K54" s="35">
        <f>IF($B$54="","",IF((SUMIFS(tblInspections[Opportunities checked],tblInspections[View date],"&gt;="&amp;$B$54,tblInspections[View date],"&lt;"&amp;$B$54+7))=0,"",(SUMIFS(tblInspections[Defects found],tblInspections[View date],"&gt;="&amp;$B$54,tblInspections[View date],"&lt;"&amp;$B$54+7)*1000000)/(SUMIFS(tblInspections[Opportunities checked],tblInspections[View date],"&gt;="&amp;$B$54,tblInspections[View date],"&lt;"&amp;$B$54+7))))</f>
        <v>333.349917906364</v>
      </c>
    </row>
    <row r="55" spans="2:12" x14ac:dyDescent="0.25">
      <c r="B55" s="54">
        <f>IF($B$56="","",IF($B$56-1&lt;MIN(tblInspections[View date]),"",$B$56-7))</f>
        <v>46272</v>
      </c>
      <c r="C55" s="35">
        <f>IF($B$55="","",SUMIFS(tblInspections[Inspected],tblInspections[View date],"&gt;="&amp;$B$55,tblInspections[View date],"&lt;"&amp;$B$55+7))</f>
        <v>38050</v>
      </c>
      <c r="D55" s="35">
        <f>IF($B$55="","",SUMIFS(tblInspections[Defective],tblInspections[View date],"&gt;="&amp;$B$55,tblInspections[View date],"&lt;"&amp;$B$55+7))</f>
        <v>52</v>
      </c>
      <c r="E55" s="35">
        <f>IF($B$55="","",SUMIFS(tblInspections[Defects found],tblInspections[View date],"&gt;="&amp;$B$55,tblInspections[View date],"&lt;"&amp;$B$55+7))</f>
        <v>62</v>
      </c>
      <c r="F55" s="36">
        <f>IF($B$55="","",IF((SUMIFS(tblInspections[Inspected],tblInspections[View date],"&gt;="&amp;$B$55,tblInspections[View date],"&lt;"&amp;$B$55+7))=0,"",(SUMIFS(tblInspections[Defective],tblInspections[View date],"&gt;="&amp;$B$55,tblInspections[View date],"&lt;"&amp;$B$55+7))/(SUMIFS(tblInspections[Inspected],tblInspections[View date],"&gt;="&amp;$B$55,tblInspections[View date],"&lt;"&amp;$B$55+7))))</f>
        <v>0.00136662286465177</v>
      </c>
      <c r="G55" s="35">
        <f>IF($B$55="","",IF((SUMIFS(tblInspections[Inspected],tblInspections[View date],"&gt;="&amp;$B$55,tblInspections[View date],"&lt;"&amp;$B$55+7))=0,"",(SUMIFS(tblInspections[Defective],tblInspections[View date],"&gt;="&amp;$B$55,tblInspections[View date],"&lt;"&amp;$B$55+7)*1000000)/(SUMIFS(tblInspections[Inspected],tblInspections[View date],"&gt;="&amp;$B$55,tblInspections[View date],"&lt;"&amp;$B$55+7))))</f>
        <v>1366.62286465177</v>
      </c>
      <c r="H55" s="55">
        <f>TargetPPM</f>
        <v>1500</v>
      </c>
      <c r="I55" s="56">
        <f>IF($B$55="","",IF(OR(2=1,NOT(ISNUMBER($G$55))),"",IF(NOT(ISNUMBER(INDEX($G$54:$G$59,2-1))),"",$G$55-INDEX($G$54:$G$59,2-1))))</f>
        <v>-191.486969320129</v>
      </c>
      <c r="J55" s="38">
        <f>IF($B$55="","",IF((SUMIFS(tblInspections[Inspected],tblInspections[View date],"&gt;="&amp;$B$55,tblInspections[View date],"&lt;"&amp;$B$55+7))=0,"",(SUMIFS(tblInspections[Defects found],tblInspections[View date],"&gt;="&amp;$B$55,tblInspections[View date],"&lt;"&amp;$B$55+7))/(SUMIFS(tblInspections[Inspected],tblInspections[View date],"&gt;="&amp;$B$55,tblInspections[View date],"&lt;"&amp;$B$55+7))))</f>
        <v>0.00162943495400788</v>
      </c>
      <c r="K55" s="35">
        <f>IF($B$55="","",IF((SUMIFS(tblInspections[Opportunities checked],tblInspections[View date],"&gt;="&amp;$B$55,tblInspections[View date],"&lt;"&amp;$B$55+7))=0,"",(SUMIFS(tblInspections[Defects found],tblInspections[View date],"&gt;="&amp;$B$55,tblInspections[View date],"&lt;"&amp;$B$55+7)*1000000)/(SUMIFS(tblInspections[Opportunities checked],tblInspections[View date],"&gt;="&amp;$B$55,tblInspections[View date],"&lt;"&amp;$B$55+7))))</f>
        <v>315.441363520733</v>
      </c>
    </row>
    <row r="56" spans="2:12" x14ac:dyDescent="0.25">
      <c r="B56" s="54">
        <f>IF($B$57="","",IF($B$57-1&lt;MIN(tblInspections[View date]),"",$B$57-7))</f>
        <v>46279</v>
      </c>
      <c r="C56" s="35">
        <f>IF($B$56="","",SUMIFS(tblInspections[Inspected],tblInspections[View date],"&gt;="&amp;$B$56,tblInspections[View date],"&lt;"&amp;$B$56+7))</f>
        <v>37990</v>
      </c>
      <c r="D56" s="35">
        <f>IF($B$56="","",SUMIFS(tblInspections[Defective],tblInspections[View date],"&gt;="&amp;$B$56,tblInspections[View date],"&lt;"&amp;$B$56+7))</f>
        <v>98</v>
      </c>
      <c r="E56" s="35">
        <f>IF($B$56="","",SUMIFS(tblInspections[Defects found],tblInspections[View date],"&gt;="&amp;$B$56,tblInspections[View date],"&lt;"&amp;$B$56+7))</f>
        <v>111</v>
      </c>
      <c r="F56" s="36">
        <f>IF($B$56="","",IF((SUMIFS(tblInspections[Inspected],tblInspections[View date],"&gt;="&amp;$B$56,tblInspections[View date],"&lt;"&amp;$B$56+7))=0,"",(SUMIFS(tblInspections[Defective],tblInspections[View date],"&gt;="&amp;$B$56,tblInspections[View date],"&lt;"&amp;$B$56+7))/(SUMIFS(tblInspections[Inspected],tblInspections[View date],"&gt;="&amp;$B$56,tblInspections[View date],"&lt;"&amp;$B$56+7))))</f>
        <v>0.00257962621742564</v>
      </c>
      <c r="G56" s="35">
        <f>IF($B$56="","",IF((SUMIFS(tblInspections[Inspected],tblInspections[View date],"&gt;="&amp;$B$56,tblInspections[View date],"&lt;"&amp;$B$56+7))=0,"",(SUMIFS(tblInspections[Defective],tblInspections[View date],"&gt;="&amp;$B$56,tblInspections[View date],"&lt;"&amp;$B$56+7)*1000000)/(SUMIFS(tblInspections[Inspected],tblInspections[View date],"&gt;="&amp;$B$56,tblInspections[View date],"&lt;"&amp;$B$56+7))))</f>
        <v>2579.62621742564</v>
      </c>
      <c r="H56" s="55">
        <f>TargetPPM</f>
        <v>1500</v>
      </c>
      <c r="I56" s="56">
        <f>IF($B$56="","",IF(OR(3=1,NOT(ISNUMBER($G$56))),"",IF(NOT(ISNUMBER(INDEX($G$54:$G$59,3-1))),"",$G$56-INDEX($G$54:$G$59,3-1))))</f>
        <v>1213.00335277386</v>
      </c>
      <c r="J56" s="38">
        <f>IF($B$56="","",IF((SUMIFS(tblInspections[Inspected],tblInspections[View date],"&gt;="&amp;$B$56,tblInspections[View date],"&lt;"&amp;$B$56+7))=0,"",(SUMIFS(tblInspections[Defects found],tblInspections[View date],"&gt;="&amp;$B$56,tblInspections[View date],"&lt;"&amp;$B$56+7))/(SUMIFS(tblInspections[Inspected],tblInspections[View date],"&gt;="&amp;$B$56,tblInspections[View date],"&lt;"&amp;$B$56+7))))</f>
        <v>0.0029218215319821</v>
      </c>
      <c r="K56" s="35">
        <f>IF($B$56="","",IF((SUMIFS(tblInspections[Opportunities checked],tblInspections[View date],"&gt;="&amp;$B$56,tblInspections[View date],"&lt;"&amp;$B$56+7))=0,"",(SUMIFS(tblInspections[Defects found],tblInspections[View date],"&gt;="&amp;$B$56,tblInspections[View date],"&lt;"&amp;$B$56+7)*1000000)/(SUMIFS(tblInspections[Opportunities checked],tblInspections[View date],"&gt;="&amp;$B$56,tblInspections[View date],"&lt;"&amp;$B$56+7))))</f>
        <v>567.16570435849</v>
      </c>
    </row>
    <row r="57" spans="2:12" x14ac:dyDescent="0.25">
      <c r="B57" s="54">
        <f>IF($B$58="","",IF($B$58-1&lt;MIN(tblInspections[View date]),"",$B$58-7))</f>
        <v>46286</v>
      </c>
      <c r="C57" s="35">
        <f>IF($B$57="","",SUMIFS(tblInspections[Inspected],tblInspections[View date],"&gt;="&amp;$B$57,tblInspections[View date],"&lt;"&amp;$B$57+7))</f>
        <v>38570</v>
      </c>
      <c r="D57" s="35">
        <f>IF($B$57="","",SUMIFS(tblInspections[Defective],tblInspections[View date],"&gt;="&amp;$B$57,tblInspections[View date],"&lt;"&amp;$B$57+7))</f>
        <v>45</v>
      </c>
      <c r="E57" s="35">
        <f>IF($B$57="","",SUMIFS(tblInspections[Defects found],tblInspections[View date],"&gt;="&amp;$B$57,tblInspections[View date],"&lt;"&amp;$B$57+7))</f>
        <v>52</v>
      </c>
      <c r="F57" s="36">
        <f>IF($B$57="","",IF((SUMIFS(tblInspections[Inspected],tblInspections[View date],"&gt;="&amp;$B$57,tblInspections[View date],"&lt;"&amp;$B$57+7))=0,"",(SUMIFS(tblInspections[Defective],tblInspections[View date],"&gt;="&amp;$B$57,tblInspections[View date],"&lt;"&amp;$B$57+7))/(SUMIFS(tblInspections[Inspected],tblInspections[View date],"&gt;="&amp;$B$57,tblInspections[View date],"&lt;"&amp;$B$57+7))))</f>
        <v>0.00116670987814364</v>
      </c>
      <c r="G57" s="35">
        <f>IF($B$57="","",IF((SUMIFS(tblInspections[Inspected],tblInspections[View date],"&gt;="&amp;$B$57,tblInspections[View date],"&lt;"&amp;$B$57+7))=0,"",(SUMIFS(tblInspections[Defective],tblInspections[View date],"&gt;="&amp;$B$57,tblInspections[View date],"&lt;"&amp;$B$57+7)*1000000)/(SUMIFS(tblInspections[Inspected],tblInspections[View date],"&gt;="&amp;$B$57,tblInspections[View date],"&lt;"&amp;$B$57+7))))</f>
        <v>1166.70987814364</v>
      </c>
      <c r="H57" s="55">
        <f>TargetPPM</f>
        <v>1500</v>
      </c>
      <c r="I57" s="56">
        <f>IF($B$57="","",IF(OR(4=1,NOT(ISNUMBER($G$57))),"",IF(NOT(ISNUMBER(INDEX($G$54:$G$59,4-1))),"",$G$57-INDEX($G$54:$G$59,4-1))))</f>
        <v>-1412.916339282</v>
      </c>
      <c r="J57" s="38">
        <f>IF($B$57="","",IF((SUMIFS(tblInspections[Inspected],tblInspections[View date],"&gt;="&amp;$B$57,tblInspections[View date],"&lt;"&amp;$B$57+7))=0,"",(SUMIFS(tblInspections[Defects found],tblInspections[View date],"&gt;="&amp;$B$57,tblInspections[View date],"&lt;"&amp;$B$57+7))/(SUMIFS(tblInspections[Inspected],tblInspections[View date],"&gt;="&amp;$B$57,tblInspections[View date],"&lt;"&amp;$B$57+7))))</f>
        <v>0.00134819808141042</v>
      </c>
      <c r="K57" s="35">
        <f>IF($B$57="","",IF((SUMIFS(tblInspections[Opportunities checked],tblInspections[View date],"&gt;="&amp;$B$57,tblInspections[View date],"&lt;"&amp;$B$57+7))=0,"",(SUMIFS(tblInspections[Defects found],tblInspections[View date],"&gt;="&amp;$B$57,tblInspections[View date],"&lt;"&amp;$B$57+7)*1000000)/(SUMIFS(tblInspections[Opportunities checked],tblInspections[View date],"&gt;="&amp;$B$57,tblInspections[View date],"&lt;"&amp;$B$57+7))))</f>
        <v>263.277808718546</v>
      </c>
    </row>
    <row r="58" spans="2:12" x14ac:dyDescent="0.25">
      <c r="B58" s="54">
        <f>IF($B$59="","",IF($B$59-1&lt;MIN(tblInspections[View date]),"",$B$59-7))</f>
        <v>46293</v>
      </c>
      <c r="C58" s="35">
        <f>IF($B$58="","",SUMIFS(tblInspections[Inspected],tblInspections[View date],"&gt;="&amp;$B$58,tblInspections[View date],"&lt;"&amp;$B$58+7))</f>
        <v>37370</v>
      </c>
      <c r="D58" s="35">
        <f>IF($B$58="","",SUMIFS(tblInspections[Defective],tblInspections[View date],"&gt;="&amp;$B$58,tblInspections[View date],"&lt;"&amp;$B$58+7))</f>
        <v>54</v>
      </c>
      <c r="E58" s="35">
        <f>IF($B$58="","",SUMIFS(tblInspections[Defects found],tblInspections[View date],"&gt;="&amp;$B$58,tblInspections[View date],"&lt;"&amp;$B$58+7))</f>
        <v>63</v>
      </c>
      <c r="F58" s="36">
        <f>IF($B$58="","",IF((SUMIFS(tblInspections[Inspected],tblInspections[View date],"&gt;="&amp;$B$58,tblInspections[View date],"&lt;"&amp;$B$58+7))=0,"",(SUMIFS(tblInspections[Defective],tblInspections[View date],"&gt;="&amp;$B$58,tblInspections[View date],"&lt;"&amp;$B$58+7))/(SUMIFS(tblInspections[Inspected],tblInspections[View date],"&gt;="&amp;$B$58,tblInspections[View date],"&lt;"&amp;$B$58+7))))</f>
        <v>0.00144500936580145</v>
      </c>
      <c r="G58" s="35">
        <f>IF($B$58="","",IF((SUMIFS(tblInspections[Inspected],tblInspections[View date],"&gt;="&amp;$B$58,tblInspections[View date],"&lt;"&amp;$B$58+7))=0,"",(SUMIFS(tblInspections[Defective],tblInspections[View date],"&gt;="&amp;$B$58,tblInspections[View date],"&lt;"&amp;$B$58+7)*1000000)/(SUMIFS(tblInspections[Inspected],tblInspections[View date],"&gt;="&amp;$B$58,tblInspections[View date],"&lt;"&amp;$B$58+7))))</f>
        <v>1445.00936580145</v>
      </c>
      <c r="H58" s="55">
        <f>TargetPPM</f>
        <v>1500</v>
      </c>
      <c r="I58" s="56">
        <f>IF($B$58="","",IF(OR(5=1,NOT(ISNUMBER($G$58))),"",IF(NOT(ISNUMBER(INDEX($G$54:$G$59,5-1))),"",$G$58-INDEX($G$54:$G$59,5-1))))</f>
        <v>278.29948765781</v>
      </c>
      <c r="J58" s="38">
        <f>IF($B$58="","",IF((SUMIFS(tblInspections[Inspected],tblInspections[View date],"&gt;="&amp;$B$58,tblInspections[View date],"&lt;"&amp;$B$58+7))=0,"",(SUMIFS(tblInspections[Defects found],tblInspections[View date],"&gt;="&amp;$B$58,tblInspections[View date],"&lt;"&amp;$B$58+7))/(SUMIFS(tblInspections[Inspected],tblInspections[View date],"&gt;="&amp;$B$58,tblInspections[View date],"&lt;"&amp;$B$58+7))))</f>
        <v>0.00168584426010169</v>
      </c>
      <c r="K58" s="35">
        <f>IF($B$58="","",IF((SUMIFS(tblInspections[Opportunities checked],tblInspections[View date],"&gt;="&amp;$B$58,tblInspections[View date],"&lt;"&amp;$B$58+7))=0,"",(SUMIFS(tblInspections[Defects found],tblInspections[View date],"&gt;="&amp;$B$58,tblInspections[View date],"&lt;"&amp;$B$58+7)*1000000)/(SUMIFS(tblInspections[Opportunities checked],tblInspections[View date],"&gt;="&amp;$B$58,tblInspections[View date],"&lt;"&amp;$B$58+7))))</f>
        <v>326.661827232189</v>
      </c>
    </row>
    <row r="59" spans="2:12" x14ac:dyDescent="0.25">
      <c r="B59" s="54">
        <f>IF(COUNT(tblInspections[View date])=0,"",MAX(tblInspections[View date])-WEEKDAY(MAX(tblInspections[View date]),2)+1)</f>
        <v>46300</v>
      </c>
      <c r="C59" s="35">
        <f>IF($B$59="","",SUMIFS(tblInspections[Inspected],tblInspections[View date],"&gt;="&amp;$B$59,tblInspections[View date],"&lt;"&amp;$B$59+7))</f>
        <v>38870</v>
      </c>
      <c r="D59" s="35">
        <f>IF($B$59="","",SUMIFS(tblInspections[Defective],tblInspections[View date],"&gt;="&amp;$B$59,tblInspections[View date],"&lt;"&amp;$B$59+7))</f>
        <v>52</v>
      </c>
      <c r="E59" s="35">
        <f>IF($B$59="","",SUMIFS(tblInspections[Defects found],tblInspections[View date],"&gt;="&amp;$B$59,tblInspections[View date],"&lt;"&amp;$B$59+7))</f>
        <v>57</v>
      </c>
      <c r="F59" s="36">
        <f>IF($B$59="","",IF((SUMIFS(tblInspections[Inspected],tblInspections[View date],"&gt;="&amp;$B$59,tblInspections[View date],"&lt;"&amp;$B$59+7))=0,"",(SUMIFS(tblInspections[Defective],tblInspections[View date],"&gt;="&amp;$B$59,tblInspections[View date],"&lt;"&amp;$B$59+7))/(SUMIFS(tblInspections[Inspected],tblInspections[View date],"&gt;="&amp;$B$59,tblInspections[View date],"&lt;"&amp;$B$59+7))))</f>
        <v>0.00133779264214047</v>
      </c>
      <c r="G59" s="35">
        <f>IF($B$59="","",IF((SUMIFS(tblInspections[Inspected],tblInspections[View date],"&gt;="&amp;$B$59,tblInspections[View date],"&lt;"&amp;$B$59+7))=0,"",(SUMIFS(tblInspections[Defective],tblInspections[View date],"&gt;="&amp;$B$59,tblInspections[View date],"&lt;"&amp;$B$59+7)*1000000)/(SUMIFS(tblInspections[Inspected],tblInspections[View date],"&gt;="&amp;$B$59,tblInspections[View date],"&lt;"&amp;$B$59+7))))</f>
        <v>1337.79264214047</v>
      </c>
      <c r="H59" s="55">
        <f>TargetPPM</f>
        <v>1500</v>
      </c>
      <c r="I59" s="56">
        <f>IF($B$59="","",IF(OR(6=1,NOT(ISNUMBER($G$59))),"",IF(NOT(ISNUMBER(INDEX($G$54:$G$59,6-1))),"",$G$59-INDEX($G$54:$G$59,6-1))))</f>
        <v>-107.216723660977</v>
      </c>
      <c r="J59" s="38">
        <f>IF($B$59="","",IF((SUMIFS(tblInspections[Inspected],tblInspections[View date],"&gt;="&amp;$B$59,tblInspections[View date],"&lt;"&amp;$B$59+7))=0,"",(SUMIFS(tblInspections[Defects found],tblInspections[View date],"&gt;="&amp;$B$59,tblInspections[View date],"&lt;"&amp;$B$59+7))/(SUMIFS(tblInspections[Inspected],tblInspections[View date],"&gt;="&amp;$B$59,tblInspections[View date],"&lt;"&amp;$B$59+7))))</f>
        <v>0.00146642655003859</v>
      </c>
      <c r="K59" s="35">
        <f>IF($B$59="","",IF((SUMIFS(tblInspections[Opportunities checked],tblInspections[View date],"&gt;="&amp;$B$59,tblInspections[View date],"&lt;"&amp;$B$59+7))=0,"",(SUMIFS(tblInspections[Defects found],tblInspections[View date],"&gt;="&amp;$B$59,tblInspections[View date],"&lt;"&amp;$B$59+7)*1000000)/(SUMIFS(tblInspections[Opportunities checked],tblInspections[View date],"&gt;="&amp;$B$59,tblInspections[View date],"&lt;"&amp;$B$59+7))))</f>
        <v>285.642696066149</v>
      </c>
    </row>
    <row r="61" spans="2:12" x14ac:dyDescent="0.25">
      <c r="B61" s="30" t="s">
        <v>277</v>
      </c>
      <c r="C61" s="30"/>
      <c r="D61" s="30"/>
      <c r="E61" s="30"/>
      <c r="F61" s="30"/>
      <c r="G61" s="30"/>
      <c r="H61" s="30"/>
      <c r="I61" s="30"/>
      <c r="J61" s="30"/>
      <c r="K61" s="30"/>
      <c r="L61" s="30"/>
    </row>
    <row r="62" spans="2:12" ht="32" customHeight="1" x14ac:dyDescent="0.25">
      <c r="B62" s="53" t="s">
        <v>64</v>
      </c>
      <c r="C62" s="32" t="s">
        <v>112</v>
      </c>
      <c r="D62" s="32" t="s">
        <v>113</v>
      </c>
      <c r="E62" s="32" t="s">
        <v>114</v>
      </c>
      <c r="F62" s="32" t="s">
        <v>116</v>
      </c>
      <c r="G62" s="32" t="s">
        <v>117</v>
      </c>
      <c r="H62" s="32" t="s">
        <v>274</v>
      </c>
      <c r="I62" s="32" t="s">
        <v>119</v>
      </c>
      <c r="J62" s="32" t="s">
        <v>120</v>
      </c>
      <c r="K62" s="32" t="s">
        <v>118</v>
      </c>
      <c r="L62" s="32"/>
    </row>
    <row r="63" spans="2:12" ht="14" customHeight="1" x14ac:dyDescent="0.25">
      <c r="B63" s="31"/>
      <c r="C63" s="31" t="s">
        <v>125</v>
      </c>
      <c r="D63" s="31" t="s">
        <v>125</v>
      </c>
      <c r="E63" s="31" t="s">
        <v>126</v>
      </c>
      <c r="F63" s="31" t="s">
        <v>276</v>
      </c>
      <c r="G63" s="31" t="s">
        <v>74</v>
      </c>
      <c r="H63" s="31" t="s">
        <v>74</v>
      </c>
      <c r="I63" s="31" t="s">
        <v>128</v>
      </c>
      <c r="J63" s="31" t="s">
        <v>129</v>
      </c>
      <c r="K63" s="31"/>
      <c r="L63" s="31"/>
    </row>
    <row r="64" spans="2:12" x14ac:dyDescent="0.25">
      <c r="B64" s="57" t="str">
        <f>IFERROR(INDEX(tblParts[Part],1)&amp;"","")</f>
        <v>Seat bracket SB-204</v>
      </c>
      <c r="C64" s="35">
        <f>IF($B$64="","",SUMIFS(tblInspections[Inspected],tblInspections[Part],$B$64,tblInspections[View date],"&gt;0"))</f>
        <v>42750</v>
      </c>
      <c r="D64" s="35">
        <f>IF($B$64="","",SUMIFS(tblInspections[Defective],tblInspections[Part],$B$64,tblInspections[View date],"&gt;0"))</f>
        <v>55</v>
      </c>
      <c r="E64" s="35">
        <f>IF($B$64="","",SUMIFS(tblInspections[Defects found],tblInspections[Part],$B$64,tblInspections[View date],"&gt;0"))</f>
        <v>60</v>
      </c>
      <c r="F64" s="36">
        <f>IF($B$64="","",IF((SUMIFS(tblInspections[Inspected],tblInspections[Part],$B$64,tblInspections[View date],"&gt;0"))=0,"",(SUMIFS(tblInspections[Defective],tblInspections[Part],$B$64,tblInspections[View date],"&gt;0"))/(SUMIFS(tblInspections[Inspected],tblInspections[Part],$B$64,tblInspections[View date],"&gt;0"))))</f>
        <v>0.00128654970760234</v>
      </c>
      <c r="G64" s="35">
        <f>IF($B$64="","",IF((SUMIFS(tblInspections[Inspected],tblInspections[Part],$B$64,tblInspections[View date],"&gt;0"))=0,"",(SUMIFS(tblInspections[Defective],tblInspections[Part],$B$64,tblInspections[View date],"&gt;0")*1000000)/(SUMIFS(tblInspections[Inspected],tblInspections[Part],$B$64,tblInspections[View date],"&gt;0"))))</f>
        <v>1286.54970760234</v>
      </c>
      <c r="H64" s="55">
        <f>TargetPPM</f>
        <v>1500</v>
      </c>
      <c r="I64" s="38">
        <f>IF($B$64="","",IF((SUMIFS(tblInspections[Inspected],tblInspections[Part],$B$64,tblInspections[View date],"&gt;0"))=0,"",(SUMIFS(tblInspections[Defects found],tblInspections[Part],$B$64,tblInspections[View date],"&gt;0"))/(SUMIFS(tblInspections[Inspected],tblInspections[Part],$B$64,tblInspections[View date],"&gt;0"))))</f>
        <v>0.00140350877192982</v>
      </c>
      <c r="J64" s="35">
        <f>IF($B$64="","",IF((SUMIFS(tblInspections[Opportunities checked],tblInspections[Part],$B$64,tblInspections[View date],"&gt;0"))=0,"",(SUMIFS(tblInspections[Defects found],tblInspections[Part],$B$64,tblInspections[View date],"&gt;0")*1000000)/(SUMIFS(tblInspections[Opportunities checked],tblInspections[Part],$B$64,tblInspections[View date],"&gt;0"))))</f>
        <v>233.918128654971</v>
      </c>
      <c r="K64" s="37" t="str">
        <f>IF($B$64="","",IF(NOT(ISNUMBER($G$64)),"",IF($G$64&lt;=TargetPPM,"On target",IF($G$64&lt;=TargetPPM*1.05,"Near target","Above target"))))</f>
        <v>On target</v>
      </c>
      <c r="L64" s="37"/>
    </row>
    <row r="65" spans="2:43" x14ac:dyDescent="0.25">
      <c r="B65" s="57" t="str">
        <f>IFERROR(INDEX(tblParts[Part],2)&amp;"","")</f>
        <v>Hinge plate HP-118</v>
      </c>
      <c r="C65" s="35">
        <f>IF($B$65="","",SUMIFS(tblInspections[Inspected],tblInspections[Part],$B$65,tblInspections[View date],"&gt;0"))</f>
        <v>26980</v>
      </c>
      <c r="D65" s="35">
        <f>IF($B$65="","",SUMIFS(tblInspections[Defective],tblInspections[Part],$B$65,tblInspections[View date],"&gt;0"))</f>
        <v>95</v>
      </c>
      <c r="E65" s="35">
        <f>IF($B$65="","",SUMIFS(tblInspections[Defects found],tblInspections[Part],$B$65,tblInspections[View date],"&gt;0"))</f>
        <v>109</v>
      </c>
      <c r="F65" s="36">
        <f>IF($B$65="","",IF((SUMIFS(tblInspections[Inspected],tblInspections[Part],$B$65,tblInspections[View date],"&gt;0"))=0,"",(SUMIFS(tblInspections[Defective],tblInspections[Part],$B$65,tblInspections[View date],"&gt;0"))/(SUMIFS(tblInspections[Inspected],tblInspections[Part],$B$65,tblInspections[View date],"&gt;0"))))</f>
        <v>0.00352112676056338</v>
      </c>
      <c r="G65" s="35">
        <f>IF($B$65="","",IF((SUMIFS(tblInspections[Inspected],tblInspections[Part],$B$65,tblInspections[View date],"&gt;0"))=0,"",(SUMIFS(tblInspections[Defective],tblInspections[Part],$B$65,tblInspections[View date],"&gt;0")*1000000)/(SUMIFS(tblInspections[Inspected],tblInspections[Part],$B$65,tblInspections[View date],"&gt;0"))))</f>
        <v>3521.12676056338</v>
      </c>
      <c r="H65" s="55">
        <f>TargetPPM</f>
        <v>1500</v>
      </c>
      <c r="I65" s="38">
        <f>IF($B$65="","",IF((SUMIFS(tblInspections[Inspected],tblInspections[Part],$B$65,tblInspections[View date],"&gt;0"))=0,"",(SUMIFS(tblInspections[Defects found],tblInspections[Part],$B$65,tblInspections[View date],"&gt;0"))/(SUMIFS(tblInspections[Inspected],tblInspections[Part],$B$65,tblInspections[View date],"&gt;0"))))</f>
        <v>0.00404002965159377</v>
      </c>
      <c r="J65" s="35">
        <f>IF($B$65="","",IF((SUMIFS(tblInspections[Opportunities checked],tblInspections[Part],$B$65,tblInspections[View date],"&gt;0"))=0,"",(SUMIFS(tblInspections[Defects found],tblInspections[Part],$B$65,tblInspections[View date],"&gt;0")*1000000)/(SUMIFS(tblInspections[Opportunities checked],tblInspections[Part],$B$65,tblInspections[View date],"&gt;0"))))</f>
        <v>505.003706449222</v>
      </c>
      <c r="K65" s="37" t="str">
        <f>IF($B$65="","",IF(NOT(ISNUMBER($G$65)),"",IF($G$65&lt;=TargetPPM,"On target",IF($G$65&lt;=TargetPPM*1.05,"Near target","Above target"))))</f>
        <v>Above target</v>
      </c>
      <c r="L65" s="37"/>
    </row>
    <row r="66" spans="2:43" x14ac:dyDescent="0.25">
      <c r="B66" s="57" t="str">
        <f>IFERROR(INDEX(tblParts[Part],3)&amp;"","")</f>
        <v>Heat shield HS-330</v>
      </c>
      <c r="C66" s="35">
        <f>IF($B$66="","",SUMIFS(tblInspections[Inspected],tblInspections[Part],$B$66,tblInspections[View date],"&gt;0"))</f>
        <v>69750</v>
      </c>
      <c r="D66" s="35">
        <f>IF($B$66="","",SUMIFS(tblInspections[Defective],tblInspections[Part],$B$66,tblInspections[View date],"&gt;0"))</f>
        <v>65</v>
      </c>
      <c r="E66" s="35">
        <f>IF($B$66="","",SUMIFS(tblInspections[Defects found],tblInspections[Part],$B$66,tblInspections[View date],"&gt;0"))</f>
        <v>74</v>
      </c>
      <c r="F66" s="36">
        <f>IF($B$66="","",IF((SUMIFS(tblInspections[Inspected],tblInspections[Part],$B$66,tblInspections[View date],"&gt;0"))=0,"",(SUMIFS(tblInspections[Defective],tblInspections[Part],$B$66,tblInspections[View date],"&gt;0"))/(SUMIFS(tblInspections[Inspected],tblInspections[Part],$B$66,tblInspections[View date],"&gt;0"))))</f>
        <v>0.000931899641577061</v>
      </c>
      <c r="G66" s="35">
        <f>IF($B$66="","",IF((SUMIFS(tblInspections[Inspected],tblInspections[Part],$B$66,tblInspections[View date],"&gt;0"))=0,"",(SUMIFS(tblInspections[Defective],tblInspections[Part],$B$66,tblInspections[View date],"&gt;0")*1000000)/(SUMIFS(tblInspections[Inspected],tblInspections[Part],$B$66,tblInspections[View date],"&gt;0"))))</f>
        <v>931.899641577061</v>
      </c>
      <c r="H66" s="55">
        <f>TargetPPM</f>
        <v>1500</v>
      </c>
      <c r="I66" s="38">
        <f>IF($B$66="","",IF((SUMIFS(tblInspections[Inspected],tblInspections[Part],$B$66,tblInspections[View date],"&gt;0"))=0,"",(SUMIFS(tblInspections[Defects found],tblInspections[Part],$B$66,tblInspections[View date],"&gt;0"))/(SUMIFS(tblInspections[Inspected],tblInspections[Part],$B$66,tblInspections[View date],"&gt;0"))))</f>
        <v>0.00106093189964158</v>
      </c>
      <c r="J66" s="35">
        <f>IF($B$66="","",IF((SUMIFS(tblInspections[Opportunities checked],tblInspections[Part],$B$66,tblInspections[View date],"&gt;0"))=0,"",(SUMIFS(tblInspections[Defects found],tblInspections[Part],$B$66,tblInspections[View date],"&gt;0")*1000000)/(SUMIFS(tblInspections[Opportunities checked],tblInspections[Part],$B$66,tblInspections[View date],"&gt;0"))))</f>
        <v>212.186379928315</v>
      </c>
      <c r="K66" s="37" t="str">
        <f>IF($B$66="","",IF(NOT(ISNUMBER($G$66)),"",IF($G$66&lt;=TargetPPM,"On target",IF($G$66&lt;=TargetPPM*1.05,"Near target","Above target"))))</f>
        <v>On target</v>
      </c>
      <c r="L66" s="37"/>
    </row>
    <row r="67" spans="2:43" x14ac:dyDescent="0.25">
      <c r="B67" s="57" t="str">
        <f>IFERROR(INDEX(tblParts[Part],4)&amp;"","")</f>
        <v>Tray clip BC-77</v>
      </c>
      <c r="C67" s="35">
        <f>IF($B$67="","",SUMIFS(tblInspections[Inspected],tblInspections[Part],$B$67,tblInspections[View date],"&gt;0"))</f>
        <v>90520</v>
      </c>
      <c r="D67" s="35">
        <f>IF($B$67="","",SUMIFS(tblInspections[Defective],tblInspections[Part],$B$67,tblInspections[View date],"&gt;0"))</f>
        <v>147</v>
      </c>
      <c r="E67" s="35">
        <f>IF($B$67="","",SUMIFS(tblInspections[Defects found],tblInspections[Part],$B$67,tblInspections[View date],"&gt;0"))</f>
        <v>169</v>
      </c>
      <c r="F67" s="36">
        <f>IF($B$67="","",IF((SUMIFS(tblInspections[Inspected],tblInspections[Part],$B$67,tblInspections[View date],"&gt;0"))=0,"",(SUMIFS(tblInspections[Defective],tblInspections[Part],$B$67,tblInspections[View date],"&gt;0"))/(SUMIFS(tblInspections[Inspected],tblInspections[Part],$B$67,tblInspections[View date],"&gt;0"))))</f>
        <v>0.00162395050817499</v>
      </c>
      <c r="G67" s="35">
        <f>IF($B$67="","",IF((SUMIFS(tblInspections[Inspected],tblInspections[Part],$B$67,tblInspections[View date],"&gt;0"))=0,"",(SUMIFS(tblInspections[Defective],tblInspections[Part],$B$67,tblInspections[View date],"&gt;0")*1000000)/(SUMIFS(tblInspections[Inspected],tblInspections[Part],$B$67,tblInspections[View date],"&gt;0"))))</f>
        <v>1623.95050817499</v>
      </c>
      <c r="H67" s="55">
        <f>TargetPPM</f>
        <v>1500</v>
      </c>
      <c r="I67" s="38">
        <f>IF($B$67="","",IF((SUMIFS(tblInspections[Inspected],tblInspections[Part],$B$67,tblInspections[View date],"&gt;0"))=0,"",(SUMIFS(tblInspections[Defects found],tblInspections[Part],$B$67,tblInspections[View date],"&gt;0"))/(SUMIFS(tblInspections[Inspected],tblInspections[Part],$B$67,tblInspections[View date],"&gt;0"))))</f>
        <v>0.00186699072028281</v>
      </c>
      <c r="J67" s="35">
        <f>IF($B$67="","",IF((SUMIFS(tblInspections[Opportunities checked],tblInspections[Part],$B$67,tblInspections[View date],"&gt;0"))=0,"",(SUMIFS(tblInspections[Defects found],tblInspections[Part],$B$67,tblInspections[View date],"&gt;0")*1000000)/(SUMIFS(tblInspections[Opportunities checked],tblInspections[Part],$B$67,tblInspections[View date],"&gt;0"))))</f>
        <v>466.747680070703</v>
      </c>
      <c r="K67" s="37" t="str">
        <f>IF($B$67="","",IF(NOT(ISNUMBER($G$67)),"",IF($G$67&lt;=TargetPPM,"On target",IF($G$67&lt;=TargetPPM*1.05,"Near target","Above target"))))</f>
        <v>Above target</v>
      </c>
      <c r="L67" s="37"/>
    </row>
    <row r="69" spans="2:43" x14ac:dyDescent="0.25">
      <c r="B69" s="30" t="s">
        <v>278</v>
      </c>
      <c r="C69" s="30"/>
      <c r="D69" s="30"/>
      <c r="E69" s="30"/>
      <c r="F69" s="30"/>
      <c r="G69" s="30"/>
      <c r="H69" s="30"/>
      <c r="I69" s="30"/>
      <c r="J69" s="30"/>
      <c r="K69" s="30"/>
    </row>
    <row r="70" spans="2:43" ht="30" customHeight="1" x14ac:dyDescent="0.25">
      <c r="B70" s="53" t="s">
        <v>64</v>
      </c>
      <c r="C70" s="32" t="str">
        <f>IFERROR(INDEX(tblDefectTypes[Defect type],1)&amp;"","")</f>
        <v>Burr</v>
      </c>
      <c r="D70" s="32" t="str">
        <f>IFERROR(INDEX(tblDefectTypes[Defect type],2)&amp;"","")</f>
        <v>Pierce</v>
      </c>
      <c r="E70" s="32" t="str">
        <f>IFERROR(INDEX(tblDefectTypes[Defect type],3)&amp;"","")</f>
        <v>Dimension</v>
      </c>
      <c r="F70" s="32" t="str">
        <f>IFERROR(INDEX(tblDefectTypes[Defect type],4)&amp;"","")</f>
        <v>Split</v>
      </c>
      <c r="G70" s="32" t="str">
        <f>IFERROR(INDEX(tblDefectTypes[Defect type],5)&amp;"","")</f>
        <v>Wrinkle</v>
      </c>
      <c r="H70" s="32" t="str">
        <f>IFERROR(INDEX(tblDefectTypes[Defect type],6)&amp;"","")</f>
        <v>Scratch or dent</v>
      </c>
      <c r="I70" s="32" t="str">
        <f>IFERROR(INDEX(tblDefectTypes[Defect type],7)&amp;"","")</f>
        <v>Coating</v>
      </c>
      <c r="J70" s="32" t="str">
        <f>IFERROR(INDEX(tblDefectTypes[Defect type],8)&amp;"","")</f>
        <v>Other</v>
      </c>
      <c r="K70" s="32" t="s">
        <v>279</v>
      </c>
    </row>
    <row r="71" spans="2:43" x14ac:dyDescent="0.25">
      <c r="B71" s="57" t="str">
        <f>IFERROR(INDEX(tblParts[Part],1)&amp;"","")</f>
        <v>Seat bracket SB-204</v>
      </c>
      <c r="C71" s="58">
        <f>IF(OR($B$71="",$C$70=""),"",SUMIFS(tblDefects[Count],tblDefects[Part],$B$71,tblDefects[Defect type],$C$70,tblDefects[View date],"&gt;0"))</f>
        <v>29</v>
      </c>
      <c r="D71" s="58">
        <f>IF(OR($B$71="",$D$70=""),"",SUMIFS(tblDefects[Count],tblDefects[Part],$B$71,tblDefects[Defect type],$D$70,tblDefects[View date],"&gt;0"))</f>
        <v>0</v>
      </c>
      <c r="E71" s="58">
        <f>IF(OR($B$71="",$E$70=""),"",SUMIFS(tblDefects[Count],tblDefects[Part],$B$71,tblDefects[Defect type],$E$70,tblDefects[View date],"&gt;0"))</f>
        <v>14</v>
      </c>
      <c r="F71" s="58">
        <f>IF(OR($B$71="",$F$70=""),"",SUMIFS(tblDefects[Count],tblDefects[Part],$B$71,tblDefects[Defect type],$F$70,tblDefects[View date],"&gt;0"))</f>
        <v>0</v>
      </c>
      <c r="G71" s="58">
        <f>IF(OR($B$71="",$G$70=""),"",SUMIFS(tblDefects[Count],tblDefects[Part],$B$71,tblDefects[Defect type],$G$70,tblDefects[View date],"&gt;0"))</f>
        <v>0</v>
      </c>
      <c r="H71" s="58">
        <f>IF(OR($B$71="",$H$70=""),"",SUMIFS(tblDefects[Count],tblDefects[Part],$B$71,tblDefects[Defect type],$H$70,tblDefects[View date],"&gt;0"))</f>
        <v>12</v>
      </c>
      <c r="I71" s="58">
        <f>IF(OR($B$71="",$I$70=""),"",SUMIFS(tblDefects[Count],tblDefects[Part],$B$71,tblDefects[Defect type],$I$70,tblDefects[View date],"&gt;0"))</f>
        <v>0</v>
      </c>
      <c r="J71" s="58">
        <f>IF(OR($B$71="",$J$70=""),"",SUMIFS(tblDefects[Count],tblDefects[Part],$B$71,tblDefects[Defect type],$J$70,tblDefects[View date],"&gt;0"))</f>
        <v>5</v>
      </c>
      <c r="K71" s="59">
        <f>IF($B$71="","",SUM($C$71:$J$71))</f>
        <v>60</v>
      </c>
    </row>
    <row r="72" spans="2:43" x14ac:dyDescent="0.25">
      <c r="B72" s="57" t="str">
        <f>IFERROR(INDEX(tblParts[Part],2)&amp;"","")</f>
        <v>Hinge plate HP-118</v>
      </c>
      <c r="C72" s="58">
        <f>IF(OR($B$72="",$C$70=""),"",SUMIFS(tblDefects[Count],tblDefects[Part],$B$72,tblDefects[Defect type],$C$70,tblDefects[View date],"&gt;0"))</f>
        <v>22</v>
      </c>
      <c r="D72" s="58">
        <f>IF(OR($B$72="",$D$70=""),"",SUMIFS(tblDefects[Count],tblDefects[Part],$B$72,tblDefects[Defect type],$D$70,tblDefects[View date],"&gt;0"))</f>
        <v>59</v>
      </c>
      <c r="E72" s="58">
        <f>IF(OR($B$72="",$E$70=""),"",SUMIFS(tblDefects[Count],tblDefects[Part],$B$72,tblDefects[Defect type],$E$70,tblDefects[View date],"&gt;0"))</f>
        <v>19</v>
      </c>
      <c r="F72" s="58">
        <f>IF(OR($B$72="",$F$70=""),"",SUMIFS(tblDefects[Count],tblDefects[Part],$B$72,tblDefects[Defect type],$F$70,tblDefects[View date],"&gt;0"))</f>
        <v>0</v>
      </c>
      <c r="G72" s="58">
        <f>IF(OR($B$72="",$G$70=""),"",SUMIFS(tblDefects[Count],tblDefects[Part],$B$72,tblDefects[Defect type],$G$70,tblDefects[View date],"&gt;0"))</f>
        <v>0</v>
      </c>
      <c r="H72" s="58">
        <f>IF(OR($B$72="",$H$70=""),"",SUMIFS(tblDefects[Count],tblDefects[Part],$B$72,tblDefects[Defect type],$H$70,tblDefects[View date],"&gt;0"))</f>
        <v>9</v>
      </c>
      <c r="I72" s="58">
        <f>IF(OR($B$72="",$I$70=""),"",SUMIFS(tblDefects[Count],tblDefects[Part],$B$72,tblDefects[Defect type],$I$70,tblDefects[View date],"&gt;0"))</f>
        <v>0</v>
      </c>
      <c r="J72" s="58">
        <f>IF(OR($B$72="",$J$70=""),"",SUMIFS(tblDefects[Count],tblDefects[Part],$B$72,tblDefects[Defect type],$J$70,tblDefects[View date],"&gt;0"))</f>
        <v>0</v>
      </c>
      <c r="K72" s="59">
        <f>IF($B$72="","",SUM($C$72:$J$72))</f>
        <v>109</v>
      </c>
    </row>
    <row r="73" spans="2:43" x14ac:dyDescent="0.25">
      <c r="B73" s="57" t="str">
        <f>IFERROR(INDEX(tblParts[Part],3)&amp;"","")</f>
        <v>Heat shield HS-330</v>
      </c>
      <c r="C73" s="58">
        <f>IF(OR($B$73="",$C$70=""),"",SUMIFS(tblDefects[Count],tblDefects[Part],$B$73,tblDefects[Defect type],$C$70,tblDefects[View date],"&gt;0"))</f>
        <v>0</v>
      </c>
      <c r="D73" s="58">
        <f>IF(OR($B$73="",$D$70=""),"",SUMIFS(tblDefects[Count],tblDefects[Part],$B$73,tblDefects[Defect type],$D$70,tblDefects[View date],"&gt;0"))</f>
        <v>0</v>
      </c>
      <c r="E73" s="58">
        <f>IF(OR($B$73="",$E$70=""),"",SUMIFS(tblDefects[Count],tblDefects[Part],$B$73,tblDefects[Defect type],$E$70,tblDefects[View date],"&gt;0"))</f>
        <v>0</v>
      </c>
      <c r="F73" s="58">
        <f>IF(OR($B$73="",$F$70=""),"",SUMIFS(tblDefects[Count],tblDefects[Part],$B$73,tblDefects[Defect type],$F$70,tblDefects[View date],"&gt;0"))</f>
        <v>37</v>
      </c>
      <c r="G73" s="58">
        <f>IF(OR($B$73="",$G$70=""),"",SUMIFS(tblDefects[Count],tblDefects[Part],$B$73,tblDefects[Defect type],$G$70,tblDefects[View date],"&gt;0"))</f>
        <v>22</v>
      </c>
      <c r="H73" s="58">
        <f>IF(OR($B$73="",$H$70=""),"",SUMIFS(tblDefects[Count],tblDefects[Part],$B$73,tblDefects[Defect type],$H$70,tblDefects[View date],"&gt;0"))</f>
        <v>15</v>
      </c>
      <c r="I73" s="58">
        <f>IF(OR($B$73="",$I$70=""),"",SUMIFS(tblDefects[Count],tblDefects[Part],$B$73,tblDefects[Defect type],$I$70,tblDefects[View date],"&gt;0"))</f>
        <v>0</v>
      </c>
      <c r="J73" s="58">
        <f>IF(OR($B$73="",$J$70=""),"",SUMIFS(tblDefects[Count],tblDefects[Part],$B$73,tblDefects[Defect type],$J$70,tblDefects[View date],"&gt;0"))</f>
        <v>0</v>
      </c>
      <c r="K73" s="59">
        <f>IF($B$73="","",SUM($C$73:$J$73))</f>
        <v>74</v>
      </c>
    </row>
    <row r="74" spans="2:43" x14ac:dyDescent="0.25">
      <c r="B74" s="57" t="str">
        <f>IFERROR(INDEX(tblParts[Part],4)&amp;"","")</f>
        <v>Tray clip BC-77</v>
      </c>
      <c r="C74" s="58">
        <f>IF(OR($B$74="",$C$70=""),"",SUMIFS(tblDefects[Count],tblDefects[Part],$B$74,tblDefects[Defect type],$C$70,tblDefects[View date],"&gt;0"))</f>
        <v>61</v>
      </c>
      <c r="D74" s="58">
        <f>IF(OR($B$74="",$D$70=""),"",SUMIFS(tblDefects[Count],tblDefects[Part],$B$74,tblDefects[Defect type],$D$70,tblDefects[View date],"&gt;0"))</f>
        <v>0</v>
      </c>
      <c r="E74" s="58">
        <f>IF(OR($B$74="",$E$70=""),"",SUMIFS(tblDefects[Count],tblDefects[Part],$B$74,tblDefects[Defect type],$E$70,tblDefects[View date],"&gt;0"))</f>
        <v>0</v>
      </c>
      <c r="F74" s="58">
        <f>IF(OR($B$74="",$F$70=""),"",SUMIFS(tblDefects[Count],tblDefects[Part],$B$74,tblDefects[Defect type],$F$70,tblDefects[View date],"&gt;0"))</f>
        <v>0</v>
      </c>
      <c r="G74" s="58">
        <f>IF(OR($B$74="",$G$70=""),"",SUMIFS(tblDefects[Count],tblDefects[Part],$B$74,tblDefects[Defect type],$G$70,tblDefects[View date],"&gt;0"))</f>
        <v>0</v>
      </c>
      <c r="H74" s="58">
        <f>IF(OR($B$74="",$H$70=""),"",SUMIFS(tblDefects[Count],tblDefects[Part],$B$74,tblDefects[Defect type],$H$70,tblDefects[View date],"&gt;0"))</f>
        <v>0</v>
      </c>
      <c r="I74" s="58">
        <f>IF(OR($B$74="",$I$70=""),"",SUMIFS(tblDefects[Count],tblDefects[Part],$B$74,tblDefects[Defect type],$I$70,tblDefects[View date],"&gt;0"))</f>
        <v>94</v>
      </c>
      <c r="J74" s="58">
        <f>IF(OR($B$74="",$J$70=""),"",SUMIFS(tblDefects[Count],tblDefects[Part],$B$74,tblDefects[Defect type],$J$70,tblDefects[View date],"&gt;0"))</f>
        <v>14</v>
      </c>
      <c r="K74" s="59">
        <f>IF($B$74="","",SUM($C$74:$J$74))</f>
        <v>169</v>
      </c>
    </row>
    <row r="75" spans="2:43" x14ac:dyDescent="0.25">
      <c r="B75" s="60" t="s">
        <v>279</v>
      </c>
      <c r="C75" s="61">
        <f>IF($C$70="","",SUM($C$71:$C$74))</f>
        <v>112</v>
      </c>
      <c r="D75" s="61">
        <f>IF($D$70="","",SUM($D$71:$D$74))</f>
        <v>59</v>
      </c>
      <c r="E75" s="61">
        <f>IF($E$70="","",SUM($E$71:$E$74))</f>
        <v>33</v>
      </c>
      <c r="F75" s="61">
        <f>IF($F$70="","",SUM($F$71:$F$74))</f>
        <v>37</v>
      </c>
      <c r="G75" s="61">
        <f>IF($G$70="","",SUM($G$71:$G$74))</f>
        <v>22</v>
      </c>
      <c r="H75" s="61">
        <f>IF($H$70="","",SUM($H$71:$H$74))</f>
        <v>36</v>
      </c>
      <c r="I75" s="61">
        <f>IF($I$70="","",SUM($I$71:$I$74))</f>
        <v>94</v>
      </c>
      <c r="J75" s="61">
        <f>IF($J$70="","",SUM($J$71:$J$74))</f>
        <v>19</v>
      </c>
      <c r="K75" s="60"/>
    </row>
    <row r="77" spans="2:43" x14ac:dyDescent="0.25">
      <c r="B77" s="30" t="s">
        <v>280</v>
      </c>
      <c r="C77" s="30"/>
      <c r="D77" s="30"/>
      <c r="E77" s="30"/>
      <c r="F77" s="30"/>
      <c r="G77" s="30"/>
    </row>
    <row r="78" spans="2:43" ht="20" customHeight="1" x14ac:dyDescent="0.25">
      <c r="B78" s="32" t="s">
        <v>281</v>
      </c>
      <c r="C78" s="53" t="s">
        <v>67</v>
      </c>
      <c r="D78" s="53"/>
      <c r="E78" s="32" t="s">
        <v>282</v>
      </c>
      <c r="F78" s="32" t="s">
        <v>283</v>
      </c>
      <c r="G78" s="32" t="s">
        <v>284</v>
      </c>
      <c r="AO78" s="7" t="s">
        <v>285</v>
      </c>
      <c r="AP78" s="7" t="s">
        <v>286</v>
      </c>
      <c r="AQ78" s="7" t="s">
        <v>287</v>
      </c>
    </row>
    <row r="79" spans="2:43" x14ac:dyDescent="0.25">
      <c r="B79" s="31"/>
      <c r="C79" s="31"/>
      <c r="D79" s="31"/>
      <c r="E79" s="31" t="s">
        <v>126</v>
      </c>
      <c r="F79" s="31" t="s">
        <v>276</v>
      </c>
      <c r="G79" s="31" t="s">
        <v>276</v>
      </c>
    </row>
    <row r="80" spans="2:43" x14ac:dyDescent="0.25">
      <c r="B80" s="62">
        <v>1</v>
      </c>
      <c r="C80" s="42" t="str">
        <f>IF(INDEX($AP$80:$AP$87,MATCH(1,$AQ$80:$AQ$87,0))&lt;0,"",INDEX($AO$80:$AO$87,MATCH(1,$AQ$80:$AQ$87,0)))</f>
        <v>Burr</v>
      </c>
      <c r="D80" s="42"/>
      <c r="E80" s="35">
        <f>IF($C$80="","",INDEX($AP$80:$AP$87,MATCH(1,$AQ$80:$AQ$87,0)))</f>
        <v>112</v>
      </c>
      <c r="F80" s="63">
        <f>IF(OR($C$80="",$E$88=0),"",$E$80/$E$88)</f>
        <v>0.271844660194175</v>
      </c>
      <c r="G80" s="63">
        <f>IF(OR($C$80="",$E$88=0),"",SUM($E$80:$E$80)/$E$88)</f>
        <v>0.271844660194175</v>
      </c>
      <c r="AO80" s="11" t="str">
        <f>IFERROR(INDEX(tblDefectTypes[Defect type],1)&amp;"","")</f>
        <v>Burr</v>
      </c>
      <c r="AP80" s="64">
        <f>IF($AO$80="",-1,SUMIFS(tblDefects[Count],tblDefects[Defect type],$AO$80,tblDefects[View date],"&gt;0"))</f>
        <v>112</v>
      </c>
      <c r="AQ80" s="64">
        <f>COUNTIF($AP$80:$AP$87,"&gt;"&amp;$AP$80)+COUNTIF($AP$80:$AP$80,$AP$80)</f>
        <v>1</v>
      </c>
    </row>
    <row r="81" spans="2:43" x14ac:dyDescent="0.25">
      <c r="B81" s="62">
        <v>2</v>
      </c>
      <c r="C81" s="42" t="str">
        <f>IF(INDEX($AP$80:$AP$87,MATCH(2,$AQ$80:$AQ$87,0))&lt;0,"",INDEX($AO$80:$AO$87,MATCH(2,$AQ$80:$AQ$87,0)))</f>
        <v>Coating</v>
      </c>
      <c r="D81" s="42"/>
      <c r="E81" s="35">
        <f>IF($C$81="","",INDEX($AP$80:$AP$87,MATCH(2,$AQ$80:$AQ$87,0)))</f>
        <v>94</v>
      </c>
      <c r="F81" s="63">
        <f>IF(OR($C$81="",$E$88=0),"",$E$81/$E$88)</f>
        <v>0.228155339805825</v>
      </c>
      <c r="G81" s="63">
        <f>IF(OR($C$81="",$E$88=0),"",SUM($E$80:$E$81)/$E$88)</f>
        <v>0.5</v>
      </c>
      <c r="AO81" s="11" t="str">
        <f>IFERROR(INDEX(tblDefectTypes[Defect type],2)&amp;"","")</f>
        <v>Pierce</v>
      </c>
      <c r="AP81" s="64">
        <f>IF($AO$81="",-1,SUMIFS(tblDefects[Count],tblDefects[Defect type],$AO$81,tblDefects[View date],"&gt;0"))</f>
        <v>59</v>
      </c>
      <c r="AQ81" s="64">
        <f>COUNTIF($AP$80:$AP$87,"&gt;"&amp;$AP$81)+COUNTIF($AP$80:$AP$81,$AP$81)</f>
        <v>3</v>
      </c>
    </row>
    <row r="82" spans="2:43" x14ac:dyDescent="0.25">
      <c r="B82" s="62">
        <v>3</v>
      </c>
      <c r="C82" s="42" t="str">
        <f>IF(INDEX($AP$80:$AP$87,MATCH(3,$AQ$80:$AQ$87,0))&lt;0,"",INDEX($AO$80:$AO$87,MATCH(3,$AQ$80:$AQ$87,0)))</f>
        <v>Pierce</v>
      </c>
      <c r="D82" s="42"/>
      <c r="E82" s="35">
        <f>IF($C$82="","",INDEX($AP$80:$AP$87,MATCH(3,$AQ$80:$AQ$87,0)))</f>
        <v>59</v>
      </c>
      <c r="F82" s="63">
        <f>IF(OR($C$82="",$E$88=0),"",$E$82/$E$88)</f>
        <v>0.143203883495146</v>
      </c>
      <c r="G82" s="63">
        <f>IF(OR($C$82="",$E$88=0),"",SUM($E$80:$E$82)/$E$88)</f>
        <v>0.643203883495146</v>
      </c>
      <c r="AO82" s="11" t="str">
        <f>IFERROR(INDEX(tblDefectTypes[Defect type],3)&amp;"","")</f>
        <v>Dimension</v>
      </c>
      <c r="AP82" s="64">
        <f>IF($AO$82="",-1,SUMIFS(tblDefects[Count],tblDefects[Defect type],$AO$82,tblDefects[View date],"&gt;0"))</f>
        <v>33</v>
      </c>
      <c r="AQ82" s="64">
        <f>COUNTIF($AP$80:$AP$87,"&gt;"&amp;$AP$82)+COUNTIF($AP$80:$AP$82,$AP$82)</f>
        <v>6</v>
      </c>
    </row>
    <row r="83" spans="2:43" x14ac:dyDescent="0.25">
      <c r="B83" s="62">
        <v>4</v>
      </c>
      <c r="C83" s="42" t="str">
        <f>IF(INDEX($AP$80:$AP$87,MATCH(4,$AQ$80:$AQ$87,0))&lt;0,"",INDEX($AO$80:$AO$87,MATCH(4,$AQ$80:$AQ$87,0)))</f>
        <v>Split</v>
      </c>
      <c r="D83" s="42"/>
      <c r="E83" s="35">
        <f>IF($C$83="","",INDEX($AP$80:$AP$87,MATCH(4,$AQ$80:$AQ$87,0)))</f>
        <v>37</v>
      </c>
      <c r="F83" s="63">
        <f>IF(OR($C$83="",$E$88=0),"",$E$83/$E$88)</f>
        <v>0.0898058252427185</v>
      </c>
      <c r="G83" s="63">
        <f>IF(OR($C$83="",$E$88=0),"",SUM($E$80:$E$83)/$E$88)</f>
        <v>0.733009708737864</v>
      </c>
      <c r="AO83" s="11" t="str">
        <f>IFERROR(INDEX(tblDefectTypes[Defect type],4)&amp;"","")</f>
        <v>Split</v>
      </c>
      <c r="AP83" s="64">
        <f>IF($AO$83="",-1,SUMIFS(tblDefects[Count],tblDefects[Defect type],$AO$83,tblDefects[View date],"&gt;0"))</f>
        <v>37</v>
      </c>
      <c r="AQ83" s="64">
        <f>COUNTIF($AP$80:$AP$87,"&gt;"&amp;$AP$83)+COUNTIF($AP$80:$AP$83,$AP$83)</f>
        <v>4</v>
      </c>
    </row>
    <row r="84" spans="2:43" x14ac:dyDescent="0.25">
      <c r="B84" s="62">
        <v>5</v>
      </c>
      <c r="C84" s="42" t="str">
        <f>IF(INDEX($AP$80:$AP$87,MATCH(5,$AQ$80:$AQ$87,0))&lt;0,"",INDEX($AO$80:$AO$87,MATCH(5,$AQ$80:$AQ$87,0)))</f>
        <v>Scratch or dent</v>
      </c>
      <c r="D84" s="42"/>
      <c r="E84" s="35">
        <f>IF($C$84="","",INDEX($AP$80:$AP$87,MATCH(5,$AQ$80:$AQ$87,0)))</f>
        <v>36</v>
      </c>
      <c r="F84" s="63">
        <f>IF(OR($C$84="",$E$88=0),"",$E$84/$E$88)</f>
        <v>0.087378640776699</v>
      </c>
      <c r="G84" s="63">
        <f>IF(OR($C$84="",$E$88=0),"",SUM($E$80:$E$84)/$E$88)</f>
        <v>0.820388349514563</v>
      </c>
      <c r="AO84" s="11" t="str">
        <f>IFERROR(INDEX(tblDefectTypes[Defect type],5)&amp;"","")</f>
        <v>Wrinkle</v>
      </c>
      <c r="AP84" s="64">
        <f>IF($AO$84="",-1,SUMIFS(tblDefects[Count],tblDefects[Defect type],$AO$84,tblDefects[View date],"&gt;0"))</f>
        <v>22</v>
      </c>
      <c r="AQ84" s="64">
        <f>COUNTIF($AP$80:$AP$87,"&gt;"&amp;$AP$84)+COUNTIF($AP$80:$AP$84,$AP$84)</f>
        <v>7</v>
      </c>
    </row>
    <row r="85" spans="2:43" x14ac:dyDescent="0.25">
      <c r="B85" s="62">
        <v>6</v>
      </c>
      <c r="C85" s="42" t="str">
        <f>IF(INDEX($AP$80:$AP$87,MATCH(6,$AQ$80:$AQ$87,0))&lt;0,"",INDEX($AO$80:$AO$87,MATCH(6,$AQ$80:$AQ$87,0)))</f>
        <v>Dimension</v>
      </c>
      <c r="D85" s="42"/>
      <c r="E85" s="35">
        <f>IF($C$85="","",INDEX($AP$80:$AP$87,MATCH(6,$AQ$80:$AQ$87,0)))</f>
        <v>33</v>
      </c>
      <c r="F85" s="63">
        <f>IF(OR($C$85="",$E$88=0),"",$E$85/$E$88)</f>
        <v>0.0800970873786408</v>
      </c>
      <c r="G85" s="63">
        <f>IF(OR($C$85="",$E$88=0),"",SUM($E$80:$E$85)/$E$88)</f>
        <v>0.900485436893204</v>
      </c>
      <c r="AO85" s="11" t="str">
        <f>IFERROR(INDEX(tblDefectTypes[Defect type],6)&amp;"","")</f>
        <v>Scratch or dent</v>
      </c>
      <c r="AP85" s="64">
        <f>IF($AO$85="",-1,SUMIFS(tblDefects[Count],tblDefects[Defect type],$AO$85,tblDefects[View date],"&gt;0"))</f>
        <v>36</v>
      </c>
      <c r="AQ85" s="64">
        <f>COUNTIF($AP$80:$AP$87,"&gt;"&amp;$AP$85)+COUNTIF($AP$80:$AP$85,$AP$85)</f>
        <v>5</v>
      </c>
    </row>
    <row r="86" spans="2:43" x14ac:dyDescent="0.25">
      <c r="B86" s="62">
        <v>7</v>
      </c>
      <c r="C86" s="42" t="str">
        <f>IF(INDEX($AP$80:$AP$87,MATCH(7,$AQ$80:$AQ$87,0))&lt;0,"",INDEX($AO$80:$AO$87,MATCH(7,$AQ$80:$AQ$87,0)))</f>
        <v>Wrinkle</v>
      </c>
      <c r="D86" s="42"/>
      <c r="E86" s="35">
        <f>IF($C$86="","",INDEX($AP$80:$AP$87,MATCH(7,$AQ$80:$AQ$87,0)))</f>
        <v>22</v>
      </c>
      <c r="F86" s="63">
        <f>IF(OR($C$86="",$E$88=0),"",$E$86/$E$88)</f>
        <v>0.0533980582524272</v>
      </c>
      <c r="G86" s="63">
        <f>IF(OR($C$86="",$E$88=0),"",SUM($E$80:$E$86)/$E$88)</f>
        <v>0.953883495145631</v>
      </c>
      <c r="AO86" s="11" t="str">
        <f>IFERROR(INDEX(tblDefectTypes[Defect type],7)&amp;"","")</f>
        <v>Coating</v>
      </c>
      <c r="AP86" s="64">
        <f>IF($AO$86="",-1,SUMIFS(tblDefects[Count],tblDefects[Defect type],$AO$86,tblDefects[View date],"&gt;0"))</f>
        <v>94</v>
      </c>
      <c r="AQ86" s="64">
        <f>COUNTIF($AP$80:$AP$87,"&gt;"&amp;$AP$86)+COUNTIF($AP$80:$AP$86,$AP$86)</f>
        <v>2</v>
      </c>
    </row>
    <row r="87" spans="2:43" x14ac:dyDescent="0.25">
      <c r="B87" s="62">
        <v>8</v>
      </c>
      <c r="C87" s="42" t="str">
        <f>IF(INDEX($AP$80:$AP$87,MATCH(8,$AQ$80:$AQ$87,0))&lt;0,"",INDEX($AO$80:$AO$87,MATCH(8,$AQ$80:$AQ$87,0)))</f>
        <v>Other</v>
      </c>
      <c r="D87" s="42"/>
      <c r="E87" s="35">
        <f>IF($C$87="","",INDEX($AP$80:$AP$87,MATCH(8,$AQ$80:$AQ$87,0)))</f>
        <v>19</v>
      </c>
      <c r="F87" s="63">
        <f>IF(OR($C$87="",$E$88=0),"",$E$87/$E$88)</f>
        <v>0.0461165048543689</v>
      </c>
      <c r="G87" s="63">
        <f>IF(OR($C$87="",$E$88=0),"",SUM($E$80:$E$87)/$E$88)</f>
        <v>1</v>
      </c>
      <c r="AO87" s="11" t="str">
        <f>IFERROR(INDEX(tblDefectTypes[Defect type],8)&amp;"","")</f>
        <v>Other</v>
      </c>
      <c r="AP87" s="64">
        <f>IF($AO$87="",-1,SUMIFS(tblDefects[Count],tblDefects[Defect type],$AO$87,tblDefects[View date],"&gt;0"))</f>
        <v>19</v>
      </c>
      <c r="AQ87" s="64">
        <f>COUNTIF($AP$80:$AP$87,"&gt;"&amp;$AP$87)+COUNTIF($AP$80:$AP$87,$AP$87)</f>
        <v>8</v>
      </c>
    </row>
    <row r="88" spans="2:43" x14ac:dyDescent="0.25">
      <c r="B88" s="60"/>
      <c r="C88" s="60" t="s">
        <v>279</v>
      </c>
      <c r="D88" s="60"/>
      <c r="E88" s="61">
        <f>SUMIF($AP$80:$AP$87,"&gt;0")</f>
        <v>412</v>
      </c>
      <c r="F88" s="60"/>
      <c r="G88" s="60"/>
    </row>
    <row r="89" spans="2:43" ht="8" customHeight="1" x14ac:dyDescent="0.25"/>
    <row r="90" spans="2:43" ht="26.76" customHeight="1" x14ac:dyDescent="0.25">
      <c r="B90" s="21" t="s">
        <v>288</v>
      </c>
      <c r="C90" s="21"/>
      <c r="D90" s="21"/>
      <c r="E90" s="21"/>
      <c r="F90" s="21"/>
      <c r="G90" s="21"/>
      <c r="H90" s="21"/>
      <c r="I90" s="21"/>
      <c r="J90" s="21"/>
      <c r="K90" s="21"/>
      <c r="L90" s="21"/>
    </row>
    <row r="91" spans="2:43" x14ac:dyDescent="0.25">
      <c r="B91" s="65">
        <f>IF(OR(COUNTA(tblParts[Part])&gt;4,COUNTA(tblDefectTypes[Defect type])&gt;8),"Setup lists are longer than the Dashboard blocks: some parts or defect types are not shown.","")</f>
        <v/>
      </c>
      <c r="C91" s="65"/>
      <c r="D91" s="65"/>
      <c r="E91" s="65"/>
      <c r="F91" s="65"/>
      <c r="G91" s="65"/>
      <c r="H91" s="65"/>
      <c r="I91" s="65"/>
      <c r="J91" s="65"/>
      <c r="K91" s="65"/>
      <c r="L91" s="65"/>
    </row>
  </sheetData>
  <sheetProtection sheet="1" formatColumns="0" formatRows="0"/>
  <mergeCells count="62">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K51"/>
    <mergeCell ref="B61:L61"/>
    <mergeCell ref="K62:L62"/>
    <mergeCell ref="K63:L63"/>
    <mergeCell ref="K64:L64"/>
    <mergeCell ref="K65:L65"/>
    <mergeCell ref="K66:L66"/>
    <mergeCell ref="K67:L67"/>
    <mergeCell ref="B69:K69"/>
    <mergeCell ref="B77:G77"/>
    <mergeCell ref="C78:D78"/>
    <mergeCell ref="C79:D79"/>
    <mergeCell ref="C80:D80"/>
    <mergeCell ref="C81:D81"/>
    <mergeCell ref="C82:D82"/>
    <mergeCell ref="C83:D83"/>
    <mergeCell ref="C84:D84"/>
    <mergeCell ref="C85:D85"/>
    <mergeCell ref="C86:D86"/>
    <mergeCell ref="C87:D87"/>
    <mergeCell ref="C88:D88"/>
    <mergeCell ref="B90:L90"/>
    <mergeCell ref="B91:L91"/>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80:E87">
    <cfRule type="dataBar" priority="47">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G54:G59">
    <cfRule type="expression" dxfId="3" priority="21" stopIfTrue="1">
      <formula>AND(ISNUMBER(G54),G54&lt;=(TargetPPM))</formula>
    </cfRule>
    <cfRule type="expression" dxfId="4" priority="22" stopIfTrue="1">
      <formula>AND(ISNUMBER(G54),G54&lt;=(TargetPPM)*(1+0.05))</formula>
    </cfRule>
    <cfRule type="expression" dxfId="5" priority="23">
      <formula>ISNUMBER(G54)</formula>
    </cfRule>
  </conditionalFormatting>
  <conditionalFormatting sqref="G64:G67">
    <cfRule type="expression" dxfId="3" priority="24" stopIfTrue="1">
      <formula>AND(ISNUMBER(G64),G64&lt;=(TargetPPM))</formula>
    </cfRule>
    <cfRule type="expression" dxfId="4" priority="25" stopIfTrue="1">
      <formula>AND(ISNUMBER(G64),G64&lt;=(TargetPPM)*(1+0.05))</formula>
    </cfRule>
    <cfRule type="expression" dxfId="5" priority="26">
      <formula>ISNUMBER(G64)</formula>
    </cfRule>
  </conditionalFormatting>
  <conditionalFormatting sqref="K64:K67">
    <cfRule type="cellIs" dxfId="0" priority="27" operator="equal">
      <formula>"On target"</formula>
    </cfRule>
    <cfRule type="cellIs" dxfId="0" priority="28" operator="equal">
      <formula>"PASS"</formula>
    </cfRule>
    <cfRule type="cellIs" dxfId="0" priority="29" operator="equal">
      <formula>"OK"</formula>
    </cfRule>
    <cfRule type="cellIs" dxfId="0" priority="30" operator="equal">
      <formula>"Within limits"</formula>
    </cfRule>
    <cfRule type="cellIs" dxfId="0" priority="31" operator="equal">
      <formula>"Under capacity"</formula>
    </cfRule>
    <cfRule type="cellIs" dxfId="0" priority="32" operator="equal">
      <formula>"Complete"</formula>
    </cfRule>
    <cfRule type="cellIs" dxfId="0" priority="33" operator="equal">
      <formula>"Yes"</formula>
    </cfRule>
    <cfRule type="cellIs" dxfId="1" priority="34" operator="equal">
      <formula>"Near target"</formula>
    </cfRule>
    <cfRule type="cellIs" dxfId="1" priority="35" operator="equal">
      <formula>"Check"</formula>
    </cfRule>
    <cfRule type="cellIs" dxfId="1" priority="36" operator="equal">
      <formula>"Due soon"</formula>
    </cfRule>
    <cfRule type="cellIs" dxfId="1" priority="37" operator="equal">
      <formula>"Near capacity"</formula>
    </cfRule>
    <cfRule type="cellIs" dxfId="1" priority="38" operator="equal">
      <formula>"In progress"</formula>
    </cfRule>
    <cfRule type="cellIs" dxfId="1" priority="39" operator="equal">
      <formula>"Partial"</formula>
    </cfRule>
    <cfRule type="cellIs" dxfId="2" priority="40" operator="equal">
      <formula>"Below target"</formula>
    </cfRule>
    <cfRule type="cellIs" dxfId="2" priority="41" operator="equal">
      <formula>"Above target"</formula>
    </cfRule>
    <cfRule type="cellIs" dxfId="2" priority="42" operator="equal">
      <formula>"FAIL"</formula>
    </cfRule>
    <cfRule type="cellIs" dxfId="2" priority="43" operator="equal">
      <formula>"Over capacity"</formula>
    </cfRule>
    <cfRule type="cellIs" dxfId="2" priority="44" operator="equal">
      <formula>"Overdue"</formula>
    </cfRule>
    <cfRule type="cellIs" dxfId="2" priority="45" operator="equal">
      <formula>"Out of limits"</formula>
    </cfRule>
    <cfRule type="cellIs" dxfId="2" priority="46" operator="equal">
      <formula>"No"</formula>
    </cfRule>
  </conditionalFormatting>
  <dataValidations count="3">
    <dataValidation type="list" allowBlank="1" showInputMessage="1" showErrorMessage="1" errorTitle="Check this entry" error="Pick from the list (edit the list on Setup: Parts)." promptTitle="Part" prompt="Leave blank for all parts. Pick from the list (edit the list on Setup: Parts)." sqref="C4">
      <formula1>Parts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Defect Rate Tracker&amp;R&amp;8&amp;A</oddHeader>
    <oddFooter>&amp;L&amp;8mfgcalcs.com - free manufacturing templates&amp;R&amp;8Page &amp;P of &amp;N</oddFooter>
  </headerFooter>
  <rowBreaks count="3" manualBreakCount="3">
    <brk id="28" max="16383" man="1"/>
    <brk id="50" max="16383" man="1"/>
    <brk id="76"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E80:E87</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289</v>
      </c>
      <c r="C4" s="8"/>
      <c r="D4" s="8"/>
    </row>
    <row r="5" spans="1:4" ht="5" customHeight="1"/>
    <row r="6" spans="1:4" ht="55.8" customHeight="1">
      <c r="B6" s="10" t="s">
        <v>290</v>
      </c>
      <c r="C6" s="10"/>
      <c r="D6" s="10"/>
    </row>
    <row r="8" spans="1:4" ht="21" customHeight="1">
      <c r="B8" s="8" t="s">
        <v>291</v>
      </c>
      <c r="C8" s="8"/>
      <c r="D8" s="8"/>
    </row>
    <row r="9" spans="1:4" ht="5" customHeight="1"/>
    <row r="10" spans="1:4" ht="20" customHeight="1">
      <c r="B10" s="53" t="s">
        <v>292</v>
      </c>
      <c r="C10" s="53" t="s">
        <v>293</v>
      </c>
      <c r="D10" s="32" t="s">
        <v>294</v>
      </c>
    </row>
    <row r="11" spans="1:4" ht="30.4" customHeight="1">
      <c r="B11" s="66" t="s">
        <v>114</v>
      </c>
      <c r="C11" s="67" t="s">
        <v>295</v>
      </c>
      <c r="D11" s="68" t="s">
        <v>126</v>
      </c>
    </row>
    <row r="12" spans="1:4" ht="17.2" customHeight="1">
      <c r="B12" s="66" t="s">
        <v>115</v>
      </c>
      <c r="C12" s="67" t="s">
        <v>296</v>
      </c>
      <c r="D12" s="68" t="s">
        <v>127</v>
      </c>
    </row>
    <row r="13" spans="1:4" ht="17.2" customHeight="1">
      <c r="B13" s="66" t="s">
        <v>116</v>
      </c>
      <c r="C13" s="67" t="s">
        <v>297</v>
      </c>
      <c r="D13" s="68" t="s">
        <v>276</v>
      </c>
    </row>
    <row r="14" spans="1:4" ht="17.2" customHeight="1">
      <c r="B14" s="66" t="s">
        <v>117</v>
      </c>
      <c r="C14" s="67" t="s">
        <v>298</v>
      </c>
      <c r="D14" s="68" t="s">
        <v>74</v>
      </c>
    </row>
    <row r="15" spans="1:4" ht="30.4" customHeight="1">
      <c r="B15" s="66" t="s">
        <v>118</v>
      </c>
      <c r="C15" s="67" t="s">
        <v>299</v>
      </c>
      <c r="D15" s="68" t="s">
        <v>300</v>
      </c>
    </row>
    <row r="16" spans="1:4" ht="17.2" customHeight="1">
      <c r="B16" s="66" t="s">
        <v>119</v>
      </c>
      <c r="C16" s="67" t="s">
        <v>301</v>
      </c>
      <c r="D16" s="68" t="s">
        <v>128</v>
      </c>
    </row>
    <row r="17" spans="2:4" ht="17.2" customHeight="1">
      <c r="B17" s="66" t="s">
        <v>120</v>
      </c>
      <c r="C17" s="67" t="s">
        <v>302</v>
      </c>
      <c r="D17" s="68" t="s">
        <v>129</v>
      </c>
    </row>
    <row r="18" spans="2:4" ht="43.6" customHeight="1">
      <c r="B18" s="66" t="s">
        <v>303</v>
      </c>
      <c r="C18" s="67" t="s">
        <v>304</v>
      </c>
      <c r="D18" s="68" t="s">
        <v>300</v>
      </c>
    </row>
    <row r="19" spans="2:4" ht="43.6" customHeight="1">
      <c r="B19" s="66" t="s">
        <v>305</v>
      </c>
      <c r="C19" s="67" t="s">
        <v>306</v>
      </c>
      <c r="D19" s="68" t="s">
        <v>307</v>
      </c>
    </row>
    <row r="21" spans="2:4" ht="21" customHeight="1">
      <c r="B21" s="8" t="s">
        <v>308</v>
      </c>
      <c r="C21" s="8"/>
      <c r="D21" s="8"/>
    </row>
    <row r="22" spans="2:4" ht="5" customHeight="1"/>
    <row r="23" spans="2:4" ht="29.4" customHeight="1">
      <c r="B23" s="26" t="s">
        <v>57</v>
      </c>
      <c r="C23" s="10" t="s">
        <v>309</v>
      </c>
      <c r="D23" s="10"/>
    </row>
    <row r="24" spans="2:4" ht="29.4" customHeight="1">
      <c r="B24" s="26" t="s">
        <v>57</v>
      </c>
      <c r="C24" s="10" t="s">
        <v>310</v>
      </c>
      <c r="D24" s="10"/>
    </row>
    <row r="25" spans="2:4" ht="29.4" customHeight="1">
      <c r="B25" s="26" t="s">
        <v>57</v>
      </c>
      <c r="C25" s="10" t="s">
        <v>311</v>
      </c>
      <c r="D25" s="10"/>
    </row>
    <row r="27" spans="2:4" ht="21" customHeight="1">
      <c r="B27" s="8" t="s">
        <v>312</v>
      </c>
      <c r="C27" s="8"/>
      <c r="D27" s="8"/>
    </row>
    <row r="28" spans="2:4" ht="5" customHeight="1"/>
    <row r="29" spans="2:4" ht="42.6" customHeight="1">
      <c r="B29" s="26" t="s">
        <v>57</v>
      </c>
      <c r="C29" s="10" t="s">
        <v>313</v>
      </c>
      <c r="D29" s="10"/>
    </row>
    <row r="30" spans="2:4" ht="29.4" customHeight="1">
      <c r="B30" s="26" t="s">
        <v>57</v>
      </c>
      <c r="C30" s="10" t="s">
        <v>314</v>
      </c>
      <c r="D30" s="10"/>
    </row>
    <row r="31" spans="2:4" ht="29.4" customHeight="1">
      <c r="B31" s="26" t="s">
        <v>57</v>
      </c>
      <c r="C31" s="10" t="s">
        <v>315</v>
      </c>
      <c r="D31" s="10"/>
    </row>
    <row r="33" spans="2:4" ht="21" customHeight="1">
      <c r="B33" s="8" t="s">
        <v>316</v>
      </c>
      <c r="C33" s="8"/>
      <c r="D33" s="8"/>
    </row>
    <row r="34" spans="2:4" ht="5" customHeight="1"/>
    <row r="35" spans="2:4" ht="69" customHeight="1">
      <c r="B35" s="10" t="s">
        <v>317</v>
      </c>
      <c r="C35" s="10"/>
      <c r="D35" s="10"/>
    </row>
    <row r="36" spans="2:4">
      <c r="B36" s="24" t="s">
        <v>318</v>
      </c>
      <c r="C36" s="24"/>
      <c r="D36" s="24"/>
    </row>
    <row r="38" spans="2:4" ht="21" customHeight="1">
      <c r="B38" s="8" t="s">
        <v>44</v>
      </c>
      <c r="C38" s="8"/>
      <c r="D38" s="8"/>
    </row>
    <row r="39" spans="2:4" ht="5" customHeight="1"/>
    <row r="40" spans="2:4" ht="42.6" customHeight="1">
      <c r="B40" s="10" t="s">
        <v>319</v>
      </c>
      <c r="C40" s="10"/>
      <c r="D40" s="10"/>
    </row>
    <row r="42" spans="2:4" ht="21" customHeight="1">
      <c r="B42" s="8" t="s">
        <v>320</v>
      </c>
      <c r="C42" s="8"/>
      <c r="D42" s="8"/>
    </row>
    <row r="43" spans="2:4" ht="5" customHeight="1"/>
    <row r="44" spans="2:4" ht="16.2" customHeight="1">
      <c r="B44" s="26" t="s">
        <v>57</v>
      </c>
      <c r="C44" s="10" t="s">
        <v>321</v>
      </c>
      <c r="D44" s="10"/>
    </row>
    <row r="45" spans="2:4" ht="29.4" customHeight="1">
      <c r="B45" s="26" t="s">
        <v>57</v>
      </c>
      <c r="C45" s="10" t="s">
        <v>322</v>
      </c>
      <c r="D45" s="10"/>
    </row>
    <row r="46" spans="2:4" ht="16.2" customHeight="1">
      <c r="B46" s="26" t="s">
        <v>57</v>
      </c>
      <c r="C46" s="10" t="s">
        <v>323</v>
      </c>
      <c r="D46" s="10"/>
    </row>
    <row r="47" spans="2:4">
      <c r="B47" s="21" t="s">
        <v>324</v>
      </c>
      <c r="C47" s="21"/>
      <c r="D47" s="21"/>
    </row>
    <row r="49" spans="2:4" ht="21" customHeight="1">
      <c r="B49" s="8" t="s">
        <v>325</v>
      </c>
      <c r="C49" s="8"/>
      <c r="D49" s="8"/>
    </row>
    <row r="50" spans="2:4" ht="5" customHeight="1"/>
    <row r="51" spans="2:4">
      <c r="B51" s="53" t="s">
        <v>52</v>
      </c>
      <c r="C51" s="53" t="s">
        <v>326</v>
      </c>
      <c r="D51" s="32" t="s">
        <v>110</v>
      </c>
    </row>
    <row r="52" spans="2:4" ht="16.2" customHeight="1">
      <c r="B52" s="69" t="s">
        <v>327</v>
      </c>
      <c r="C52" s="70" t="s">
        <v>328</v>
      </c>
      <c r="D52" s="71" t="s">
        <v>329</v>
      </c>
    </row>
    <row r="54" spans="2:4">
      <c r="B54" s="21" t="s">
        <v>63</v>
      </c>
      <c r="C54" s="21"/>
      <c r="D54" s="21"/>
    </row>
  </sheetData>
  <sheetProtection sheet="1" formatColumns="0" formatRows="0"/>
  <mergeCells count="25">
    <mergeCell ref="A1:D1"/>
    <mergeCell ref="B2:C2"/>
    <mergeCell ref="B4:D4"/>
    <mergeCell ref="B6:D6"/>
    <mergeCell ref="B8:D8"/>
    <mergeCell ref="B21:D21"/>
    <mergeCell ref="C23:D23"/>
    <mergeCell ref="C24:D24"/>
    <mergeCell ref="C25:D25"/>
    <mergeCell ref="B27:D27"/>
    <mergeCell ref="C29:D29"/>
    <mergeCell ref="C30:D30"/>
    <mergeCell ref="C31:D31"/>
    <mergeCell ref="B33:D33"/>
    <mergeCell ref="B35:D35"/>
    <mergeCell ref="B36:D36"/>
    <mergeCell ref="B38:D38"/>
    <mergeCell ref="B40:D40"/>
    <mergeCell ref="B42:D42"/>
    <mergeCell ref="C44:D44"/>
    <mergeCell ref="C45:D45"/>
    <mergeCell ref="C46:D46"/>
    <mergeCell ref="B47:D47"/>
    <mergeCell ref="B49:D49"/>
    <mergeCell ref="B54:D54"/>
  </mergeCells>
  <hyperlinks>
    <hyperlink ref="D2" r:id="rId1" tooltip="Free manufacturing calculators and templates"/>
    <hyperlink ref="B36" r:id="rId2"/>
  </hyperlinks>
  <printOptions horizontalCentered="1"/>
  <pageMargins left="0.4" right="0.4" top="0.7" bottom="0.65" header="0.3" footer="0.3"/>
  <pageSetup fitToHeight="0" orientation="portrait"/>
  <headerFooter>
    <oddHeader>&amp;L&amp;8MFG Calcs - Defect Rate Tracker&amp;R&amp;8&amp;A</oddHeader>
    <oddFooter>&amp;L&amp;8mfgcalcs.com - free manufacturing templates&amp;R&amp;8Page &amp;P of &amp;N</oddFooter>
  </headerFooter>
  <rowBreaks count="1" manualBreakCount="1">
    <brk id="26"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Q53"/>
  <sheetViews>
    <sheetView showGridLines="0" workbookViewId="0"/>
  </sheetViews>
  <sheetFormatPr defaultRowHeight="15"/>
  <cols>
    <col min="1" max="1" width="2.7109375" customWidth="1"/>
    <col min="2" max="19" width="12.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30</v>
      </c>
      <c r="C2" s="2"/>
      <c r="D2" s="2"/>
      <c r="E2" s="2"/>
      <c r="F2" s="2"/>
      <c r="G2" s="2"/>
      <c r="H2" s="2"/>
      <c r="I2" s="2"/>
      <c r="J2" s="2"/>
      <c r="K2" s="2"/>
      <c r="L2" s="2"/>
      <c r="M2" s="2"/>
      <c r="N2" s="2"/>
      <c r="O2" s="2"/>
      <c r="P2" s="2"/>
      <c r="Q2" s="3" t="s">
        <v>2</v>
      </c>
    </row>
    <row r="3" spans="1:17" ht="6" customHeight="1"/>
    <row r="4" spans="1:17" ht="30" customHeight="1">
      <c r="B4" s="72" t="s">
        <v>330</v>
      </c>
      <c r="C4" s="72"/>
      <c r="D4" s="22" t="str">
        <f>IF(COUNTIF($K$11:$K$23,"PASS")=13,"PASS","FAIL")</f>
        <v>PASS</v>
      </c>
      <c r="E4" s="22"/>
      <c r="F4" s="23" t="str">
        <f>COUNTIF($K$11:$K$23,"PASS")&amp;" of 13 checks pass"</f>
        <v>13 of 13 checks pass</v>
      </c>
      <c r="G4" s="23"/>
      <c r="H4" s="23"/>
      <c r="I4" s="23"/>
      <c r="J4" s="23"/>
    </row>
    <row r="6" spans="1:17" ht="29.4" customHeight="1">
      <c r="B6" s="10" t="s">
        <v>331</v>
      </c>
      <c r="C6" s="10"/>
      <c r="D6" s="10"/>
      <c r="E6" s="10"/>
      <c r="F6" s="10"/>
      <c r="G6" s="10"/>
      <c r="H6" s="10"/>
      <c r="I6" s="10"/>
      <c r="J6" s="10"/>
      <c r="K6" s="10"/>
      <c r="L6" s="10"/>
    </row>
    <row r="8" spans="1:17" ht="21" customHeight="1">
      <c r="B8" s="8" t="s">
        <v>332</v>
      </c>
      <c r="C8" s="8"/>
      <c r="D8" s="8"/>
      <c r="E8" s="8"/>
      <c r="F8" s="8"/>
      <c r="G8" s="8"/>
      <c r="H8" s="8"/>
      <c r="I8" s="8"/>
      <c r="J8" s="8"/>
      <c r="K8" s="8"/>
      <c r="L8" s="8"/>
    </row>
    <row r="9" spans="1:17" ht="5" customHeight="1"/>
    <row r="10" spans="1:17" ht="30" customHeight="1">
      <c r="B10" s="32" t="s">
        <v>333</v>
      </c>
      <c r="C10" s="53" t="s">
        <v>122</v>
      </c>
      <c r="D10" s="53"/>
      <c r="E10" s="53"/>
      <c r="F10" s="53"/>
      <c r="G10" s="32" t="s">
        <v>334</v>
      </c>
      <c r="H10" s="32" t="s">
        <v>335</v>
      </c>
      <c r="I10" s="32" t="s">
        <v>336</v>
      </c>
      <c r="J10" s="32" t="s">
        <v>337</v>
      </c>
      <c r="K10" s="32" t="s">
        <v>338</v>
      </c>
    </row>
    <row r="11" spans="1:17" ht="29.4" customHeight="1">
      <c r="B11" s="62">
        <v>1</v>
      </c>
      <c r="C11" s="70" t="s">
        <v>339</v>
      </c>
      <c r="D11" s="70"/>
      <c r="E11" s="70"/>
      <c r="F11" s="70"/>
      <c r="G11" s="55">
        <v>18</v>
      </c>
      <c r="H11" s="35">
        <f>$G$42</f>
        <v>18</v>
      </c>
      <c r="I11" s="73">
        <f>IF(AND(ISNUMBER($G$11),ISNUMBER($H$11)),ABS($H$11-$G$11),"")</f>
        <v>0</v>
      </c>
      <c r="J11" s="74">
        <v>1E-09</v>
      </c>
      <c r="K11" s="37" t="str">
        <f>IF(AND(ISNUMBER($G$11),ISNUMBER($H$11)),IF(ABS($H$11-$G$11)&lt;=$J$11,"PASS","FAIL"),"FAIL")</f>
        <v>PASS</v>
      </c>
    </row>
    <row r="12" spans="1:17" ht="16.2" customHeight="1">
      <c r="B12" s="62">
        <v>2</v>
      </c>
      <c r="C12" s="70" t="s">
        <v>340</v>
      </c>
      <c r="D12" s="70"/>
      <c r="E12" s="70"/>
      <c r="F12" s="70"/>
      <c r="G12" s="55">
        <v>20000</v>
      </c>
      <c r="H12" s="35">
        <f>$I$42</f>
        <v>20000</v>
      </c>
      <c r="I12" s="73">
        <f>IF(AND(ISNUMBER($G$12),ISNUMBER($H$12)),ABS($H$12-$G$12),"")</f>
        <v>0</v>
      </c>
      <c r="J12" s="74">
        <v>1E-09</v>
      </c>
      <c r="K12" s="37" t="str">
        <f>IF(AND(ISNUMBER($G$12),ISNUMBER($H$12)),IF(ABS($H$12-$G$12)&lt;=$J$12,"PASS","FAIL"),"FAIL")</f>
        <v>PASS</v>
      </c>
    </row>
    <row r="13" spans="1:17" ht="16.2" customHeight="1">
      <c r="B13" s="62">
        <v>3</v>
      </c>
      <c r="C13" s="70" t="s">
        <v>341</v>
      </c>
      <c r="D13" s="70"/>
      <c r="E13" s="70"/>
      <c r="F13" s="70"/>
      <c r="G13" s="75">
        <v>900</v>
      </c>
      <c r="H13" s="76">
        <f>$N$42</f>
        <v>900</v>
      </c>
      <c r="I13" s="73">
        <f>IF(AND(ISNUMBER($G$13),ISNUMBER($H$13)),ABS($H$13-$G$13),"")</f>
        <v>0</v>
      </c>
      <c r="J13" s="74">
        <v>1E-09</v>
      </c>
      <c r="K13" s="37" t="str">
        <f>IF(AND(ISNUMBER($G$13),ISNUMBER($H$13)),IF(ABS($H$13-$G$13)&lt;=$J$13,"PASS","FAIL"),"FAIL")</f>
        <v>PASS</v>
      </c>
    </row>
    <row r="14" spans="1:17" ht="16.2" customHeight="1">
      <c r="B14" s="62">
        <v>4</v>
      </c>
      <c r="C14" s="70" t="s">
        <v>342</v>
      </c>
      <c r="D14" s="70"/>
      <c r="E14" s="70"/>
      <c r="F14" s="70"/>
      <c r="G14" s="77">
        <v>0.0036</v>
      </c>
      <c r="H14" s="38">
        <f>$M$42</f>
        <v>0.0036</v>
      </c>
      <c r="I14" s="73">
        <f>IF(AND(ISNUMBER($G$14),ISNUMBER($H$14)),ABS($H$14-$G$14),"")</f>
        <v>0</v>
      </c>
      <c r="J14" s="74">
        <v>1E-09</v>
      </c>
      <c r="K14" s="37" t="str">
        <f>IF(AND(ISNUMBER($G$14),ISNUMBER($H$14)),IF(ABS($H$14-$G$14)&lt;=$J$14,"PASS","FAIL"),"FAIL")</f>
        <v>PASS</v>
      </c>
    </row>
    <row r="15" spans="1:17" ht="16.2" customHeight="1">
      <c r="B15" s="62">
        <v>5</v>
      </c>
      <c r="C15" s="70" t="s">
        <v>343</v>
      </c>
      <c r="D15" s="70"/>
      <c r="E15" s="70"/>
      <c r="F15" s="70"/>
      <c r="G15" s="75">
        <v>3000</v>
      </c>
      <c r="H15" s="76">
        <f>$K$42</f>
        <v>3000</v>
      </c>
      <c r="I15" s="73">
        <f>IF(AND(ISNUMBER($G$15),ISNUMBER($H$15)),ABS($H$15-$G$15),"")</f>
        <v>0</v>
      </c>
      <c r="J15" s="74">
        <v>1E-09</v>
      </c>
      <c r="K15" s="37" t="str">
        <f>IF(AND(ISNUMBER($G$15),ISNUMBER($H$15)),IF(ABS($H$15-$G$15)&lt;=$J$15,"PASS","FAIL"),"FAIL")</f>
        <v>PASS</v>
      </c>
    </row>
    <row r="16" spans="1:17" ht="16.2" customHeight="1">
      <c r="B16" s="62">
        <v>6</v>
      </c>
      <c r="C16" s="70" t="s">
        <v>344</v>
      </c>
      <c r="D16" s="70"/>
      <c r="E16" s="70"/>
      <c r="F16" s="70"/>
      <c r="G16" s="78">
        <v>0.003</v>
      </c>
      <c r="H16" s="36">
        <f>$J$42</f>
        <v>0.003</v>
      </c>
      <c r="I16" s="73">
        <f>IF(AND(ISNUMBER($G$16),ISNUMBER($H$16)),ABS($H$16-$G$16),"")</f>
        <v>0</v>
      </c>
      <c r="J16" s="74">
        <v>1E-09</v>
      </c>
      <c r="K16" s="37" t="str">
        <f>IF(AND(ISNUMBER($G$16),ISNUMBER($H$16)),IF(ABS($H$16-$G$16)&lt;=$J$16,"PASS","FAIL"),"FAIL")</f>
        <v>PASS</v>
      </c>
    </row>
    <row r="17" spans="2:12" ht="16.2" customHeight="1">
      <c r="B17" s="62">
        <v>7</v>
      </c>
      <c r="C17" s="70" t="s">
        <v>345</v>
      </c>
      <c r="D17" s="70"/>
      <c r="E17" s="70"/>
      <c r="F17" s="70"/>
      <c r="G17" s="69" t="s">
        <v>346</v>
      </c>
      <c r="H17" s="42" t="str">
        <f>$L$42</f>
        <v>Above target</v>
      </c>
      <c r="I17" s="42"/>
      <c r="J17" s="71" t="s">
        <v>347</v>
      </c>
      <c r="K17" s="37" t="str">
        <f>IF($H$17&amp;""=$G$17&amp;"","PASS","FAIL")</f>
        <v>PASS</v>
      </c>
    </row>
    <row r="18" spans="2:12" ht="16.2" customHeight="1">
      <c r="B18" s="62">
        <v>8</v>
      </c>
      <c r="C18" s="70" t="s">
        <v>348</v>
      </c>
      <c r="D18" s="70"/>
      <c r="E18" s="70"/>
      <c r="F18" s="70"/>
      <c r="G18" s="69" t="s">
        <v>349</v>
      </c>
      <c r="H18" s="42" t="str">
        <f>$L$43</f>
        <v>On target</v>
      </c>
      <c r="I18" s="42"/>
      <c r="J18" s="71" t="s">
        <v>347</v>
      </c>
      <c r="K18" s="37" t="str">
        <f>IF($H$18&amp;""=$G$18&amp;"","PASS","FAIL")</f>
        <v>PASS</v>
      </c>
    </row>
    <row r="19" spans="2:12" ht="16.2" customHeight="1">
      <c r="B19" s="62">
        <v>9</v>
      </c>
      <c r="C19" s="70" t="s">
        <v>350</v>
      </c>
      <c r="D19" s="70"/>
      <c r="E19" s="70"/>
      <c r="F19" s="70"/>
      <c r="G19" s="69" t="s">
        <v>351</v>
      </c>
      <c r="H19" s="42" t="str">
        <f>$P$44</f>
        <v>Fewer defects logged than defective units</v>
      </c>
      <c r="I19" s="42"/>
      <c r="J19" s="71" t="s">
        <v>347</v>
      </c>
      <c r="K19" s="37" t="str">
        <f>IF($H$19&amp;""=$G$19&amp;"","PASS","FAIL")</f>
        <v>PASS</v>
      </c>
    </row>
    <row r="20" spans="2:12" ht="16.2" customHeight="1">
      <c r="B20" s="62">
        <v>10</v>
      </c>
      <c r="C20" s="70" t="s">
        <v>352</v>
      </c>
      <c r="D20" s="70"/>
      <c r="E20" s="70"/>
      <c r="F20" s="70"/>
      <c r="G20" s="69" t="s">
        <v>353</v>
      </c>
      <c r="H20" s="42" t="str">
        <f>$H$53</f>
        <v>Lot ID not on Inspection Log</v>
      </c>
      <c r="I20" s="42"/>
      <c r="J20" s="71" t="s">
        <v>347</v>
      </c>
      <c r="K20" s="37" t="str">
        <f>IF($H$20&amp;""=$G$20&amp;"","PASS","FAIL")</f>
        <v>PASS</v>
      </c>
    </row>
    <row r="21" spans="2:12" ht="16.2" customHeight="1">
      <c r="B21" s="62">
        <v>11</v>
      </c>
      <c r="C21" s="70" t="s">
        <v>354</v>
      </c>
      <c r="D21" s="70"/>
      <c r="E21" s="70"/>
      <c r="F21" s="70"/>
      <c r="G21" s="75">
        <v>2676.056338028169</v>
      </c>
      <c r="H21" s="76">
        <f>IF((SUMIFS(tblVerifyInspections[Inspected],tblVerifyInspections[View date],"&gt;0"))=0,"",(SUMIFS(tblVerifyInspections[Defective],tblVerifyInspections[View date],"&gt;0")*1000000)/(SUMIFS(tblVerifyInspections[Inspected],tblVerifyInspections[View date],"&gt;0")))</f>
        <v>2676.05633802817</v>
      </c>
      <c r="I21" s="73">
        <f>IF(AND(ISNUMBER($G$21),ISNUMBER($H$21)),ABS($H$21-$G$21),"")</f>
        <v>0</v>
      </c>
      <c r="J21" s="74">
        <v>1E-06</v>
      </c>
      <c r="K21" s="37" t="str">
        <f>IF(AND(ISNUMBER($G$21),ISNUMBER($H$21)),IF(ABS($H$21-$G$21)&lt;=$J$21,"PASS","FAIL"),"FAIL")</f>
        <v>PASS</v>
      </c>
    </row>
    <row r="22" spans="2:12" ht="16.2" customHeight="1">
      <c r="B22" s="62">
        <v>12</v>
      </c>
      <c r="C22" s="70" t="s">
        <v>355</v>
      </c>
      <c r="D22" s="70"/>
      <c r="E22" s="70"/>
      <c r="F22" s="70"/>
      <c r="G22" s="77">
        <v>0.002816901408450704</v>
      </c>
      <c r="H22" s="38">
        <f>IF((SUMIFS(tblVerifyInspections[Inspected],tblVerifyInspections[View date],"&gt;0"))=0,"",(SUMIFS(tblVerifyInspections[Defects found],tblVerifyInspections[View date],"&gt;0"))/(SUMIFS(tblVerifyInspections[Inspected],tblVerifyInspections[View date],"&gt;0")))</f>
        <v>0.0028169014084507</v>
      </c>
      <c r="I22" s="73">
        <f>IF(AND(ISNUMBER($G$22),ISNUMBER($H$22)),ABS($H$22-$G$22),"")</f>
        <v>0</v>
      </c>
      <c r="J22" s="74">
        <v>1E-09</v>
      </c>
      <c r="K22" s="37" t="str">
        <f>IF(AND(ISNUMBER($G$22),ISNUMBER($H$22)),IF(ABS($H$22-$G$22)&lt;=$J$22,"PASS","FAIL"),"FAIL")</f>
        <v>PASS</v>
      </c>
    </row>
    <row r="23" spans="2:12" ht="16.2" customHeight="1">
      <c r="B23" s="62">
        <v>13</v>
      </c>
      <c r="C23" s="70" t="s">
        <v>356</v>
      </c>
      <c r="D23" s="70"/>
      <c r="E23" s="70"/>
      <c r="F23" s="70"/>
      <c r="G23" s="75">
        <v>613.4969325153374</v>
      </c>
      <c r="H23" s="76">
        <f>IF((SUMIFS(tblVerifyInspections[Opportunities checked],tblVerifyInspections[View date],"&gt;0"))=0,"",(SUMIFS(tblVerifyInspections[Defects found],tblVerifyInspections[View date],"&gt;0")*1000000)/(SUMIFS(tblVerifyInspections[Opportunities checked],tblVerifyInspections[View date],"&gt;0")))</f>
        <v>613.496932515337</v>
      </c>
      <c r="I23" s="73">
        <f>IF(AND(ISNUMBER($G$23),ISNUMBER($H$23)),ABS($H$23-$G$23),"")</f>
        <v>0</v>
      </c>
      <c r="J23" s="74">
        <v>1E-06</v>
      </c>
      <c r="K23" s="37" t="str">
        <f>IF(AND(ISNUMBER($G$23),ISNUMBER($H$23)),IF(ABS($H$23-$G$23)&lt;=$J$23,"PASS","FAIL"),"FAIL")</f>
        <v>PASS</v>
      </c>
    </row>
    <row r="25" spans="2:12" ht="21" customHeight="1">
      <c r="B25" s="8" t="s">
        <v>357</v>
      </c>
      <c r="C25" s="8"/>
      <c r="D25" s="8"/>
      <c r="E25" s="8"/>
      <c r="F25" s="8"/>
      <c r="G25" s="8"/>
      <c r="H25" s="8"/>
      <c r="I25" s="8"/>
      <c r="J25" s="8"/>
      <c r="K25" s="8"/>
      <c r="L25" s="8"/>
    </row>
    <row r="26" spans="2:12" ht="5" customHeight="1"/>
    <row r="27" spans="2:12">
      <c r="B27" s="21" t="s">
        <v>358</v>
      </c>
      <c r="C27" s="21"/>
      <c r="D27" s="21"/>
      <c r="E27" s="21"/>
      <c r="F27" s="21"/>
      <c r="G27" s="21"/>
      <c r="H27" s="21"/>
      <c r="I27" s="21"/>
      <c r="J27" s="21"/>
      <c r="K27" s="21"/>
      <c r="L27" s="21"/>
    </row>
    <row r="28" spans="2:12">
      <c r="B28" s="30" t="s">
        <v>359</v>
      </c>
      <c r="C28" s="30"/>
      <c r="D28" s="30"/>
      <c r="E28" s="30"/>
      <c r="F28" s="30"/>
    </row>
    <row r="29" spans="2:12">
      <c r="B29" s="27" t="s">
        <v>360</v>
      </c>
      <c r="C29" s="27"/>
      <c r="D29" s="27"/>
      <c r="E29" s="55">
        <v>0</v>
      </c>
      <c r="F29" s="7"/>
    </row>
    <row r="30" spans="2:12">
      <c r="B30" s="27" t="s">
        <v>361</v>
      </c>
      <c r="C30" s="27"/>
      <c r="D30" s="27"/>
      <c r="E30" s="55">
        <v>2958465</v>
      </c>
      <c r="F30" s="7"/>
    </row>
    <row r="31" spans="2:12">
      <c r="B31" s="27" t="s">
        <v>362</v>
      </c>
      <c r="C31" s="27"/>
      <c r="D31" s="27"/>
      <c r="E31" s="69" t="s">
        <v>131</v>
      </c>
      <c r="F31" s="69"/>
    </row>
    <row r="32" spans="2:12">
      <c r="B32" s="27" t="s">
        <v>274</v>
      </c>
      <c r="C32" s="27"/>
      <c r="D32" s="27"/>
      <c r="E32" s="55">
        <v>500</v>
      </c>
      <c r="F32" s="7"/>
    </row>
    <row r="34" spans="2:17">
      <c r="B34" s="30" t="s">
        <v>363</v>
      </c>
      <c r="C34" s="30"/>
      <c r="D34" s="30"/>
      <c r="E34" s="30"/>
      <c r="F34" s="30"/>
      <c r="G34" s="30"/>
      <c r="H34" s="30"/>
      <c r="I34" s="30"/>
      <c r="J34" s="30"/>
      <c r="K34" s="30"/>
      <c r="L34" s="30"/>
    </row>
    <row r="35" spans="2:17" ht="20" customHeight="1">
      <c r="B35" s="32" t="s">
        <v>67</v>
      </c>
      <c r="C35" s="32" t="s">
        <v>68</v>
      </c>
      <c r="D35" s="32" t="s">
        <v>69</v>
      </c>
    </row>
    <row r="36" spans="2:17">
      <c r="B36" s="69" t="s">
        <v>89</v>
      </c>
      <c r="C36" s="69" t="s">
        <v>90</v>
      </c>
      <c r="D36" s="69" t="s">
        <v>364</v>
      </c>
    </row>
    <row r="37" spans="2:17">
      <c r="B37" s="69" t="s">
        <v>92</v>
      </c>
      <c r="C37" s="69" t="s">
        <v>93</v>
      </c>
      <c r="D37" s="69" t="s">
        <v>364</v>
      </c>
    </row>
    <row r="39" spans="2:17">
      <c r="B39" s="30" t="s">
        <v>365</v>
      </c>
      <c r="C39" s="30"/>
      <c r="D39" s="30"/>
      <c r="E39" s="30"/>
      <c r="F39" s="30"/>
      <c r="G39" s="30"/>
      <c r="H39" s="30"/>
      <c r="I39" s="30"/>
      <c r="J39" s="30"/>
      <c r="K39" s="30"/>
      <c r="L39" s="30"/>
    </row>
    <row r="40" spans="2:17" ht="14" customHeight="1">
      <c r="B40" s="31"/>
      <c r="C40" s="31"/>
      <c r="D40" s="31"/>
      <c r="E40" s="31" t="s">
        <v>125</v>
      </c>
      <c r="F40" s="31" t="s">
        <v>125</v>
      </c>
      <c r="G40" s="31" t="s">
        <v>126</v>
      </c>
      <c r="H40" s="31" t="s">
        <v>79</v>
      </c>
      <c r="I40" s="31" t="s">
        <v>127</v>
      </c>
      <c r="J40" s="31"/>
      <c r="K40" s="31" t="s">
        <v>74</v>
      </c>
      <c r="L40" s="31"/>
      <c r="M40" s="31" t="s">
        <v>128</v>
      </c>
      <c r="N40" s="31" t="s">
        <v>129</v>
      </c>
      <c r="O40" s="31"/>
      <c r="P40" s="31"/>
      <c r="Q40" s="31"/>
    </row>
    <row r="41" spans="2:17" ht="32" customHeight="1">
      <c r="B41" s="32" t="s">
        <v>110</v>
      </c>
      <c r="C41" s="32" t="s">
        <v>111</v>
      </c>
      <c r="D41" s="32" t="s">
        <v>64</v>
      </c>
      <c r="E41" s="32" t="s">
        <v>112</v>
      </c>
      <c r="F41" s="32" t="s">
        <v>113</v>
      </c>
      <c r="G41" s="32" t="s">
        <v>114</v>
      </c>
      <c r="H41" s="32" t="s">
        <v>65</v>
      </c>
      <c r="I41" s="32" t="s">
        <v>115</v>
      </c>
      <c r="J41" s="32" t="s">
        <v>116</v>
      </c>
      <c r="K41" s="32" t="s">
        <v>117</v>
      </c>
      <c r="L41" s="32" t="s">
        <v>118</v>
      </c>
      <c r="M41" s="32" t="s">
        <v>119</v>
      </c>
      <c r="N41" s="32" t="s">
        <v>120</v>
      </c>
      <c r="O41" s="32" t="s">
        <v>121</v>
      </c>
      <c r="P41" s="32" t="s">
        <v>122</v>
      </c>
      <c r="Q41" s="32" t="s">
        <v>123</v>
      </c>
    </row>
    <row r="42" spans="2:17">
      <c r="B42" s="79">
        <v>46027</v>
      </c>
      <c r="C42" s="69" t="s">
        <v>366</v>
      </c>
      <c r="D42" s="69" t="s">
        <v>367</v>
      </c>
      <c r="E42" s="55">
        <v>5000</v>
      </c>
      <c r="F42" s="55">
        <v>15</v>
      </c>
      <c r="G42" s="35">
        <f>IF(tblVerifyInspections[[#This Row],[Date]]="","",SUMIFS(tblVerifyDefects[Count],tblVerifyDefects[Lot ID],tblVerifyInspections[[#This Row],[Lot ID]]))</f>
        <v>18</v>
      </c>
      <c r="H42" s="55">
        <v>4</v>
      </c>
      <c r="I42" s="35">
        <f>IF(tblVerifyInspections[[#This Row],[Date]]="","",IF(tblVerifyInspections[[#This Row],[Opportunities]]="","",tblVerifyInspections[[#This Row],[Inspected]]*tblVerifyInspections[[#This Row],[Opportunities]]))</f>
        <v>20000</v>
      </c>
      <c r="J42" s="36">
        <f>IF(tblVerifyInspections[[#This Row],[Date]]="","",IF(tblVerifyInspections[[#This Row],[Inspected]]&gt;0,tblVerifyInspections[[#This Row],[Defective]]/tblVerifyInspections[[#This Row],[Inspected]],""))</f>
        <v>0.003</v>
      </c>
      <c r="K42" s="35">
        <f>IF(tblVerifyInspections[[#This Row],[Date]]="","",IF(tblVerifyInspections[[#This Row],[Inspected]]&gt;0,tblVerifyInspections[[#This Row],[Defective]]/tblVerifyInspections[[#This Row],[Inspected]]*1000000,""))</f>
        <v>3000</v>
      </c>
      <c r="L42" s="37" t="str">
        <f>IF(NOT(ISNUMBER(tblVerifyInspections[[#This Row],[PPM defective]])),"",IF(tblVerifyInspections[[#This Row],[PPM defective]]&lt;=$E$32,"On target",IF(tblVerifyInspections[[#This Row],[PPM defective]]&lt;=$E$32*(1+0.05),"Near target","Above target")))</f>
        <v>Above target</v>
      </c>
      <c r="M42" s="38">
        <f>IF(tblVerifyInspections[[#This Row],[Date]]="","",IF(tblVerifyInspections[[#This Row],[Inspected]]&gt;0,tblVerifyInspections[[#This Row],[Defects found]]/tblVerifyInspections[[#This Row],[Inspected]],""))</f>
        <v>0.0036</v>
      </c>
      <c r="N42" s="35">
        <f>IF(tblVerifyInspections[[#This Row],[Date]]="","",IF(N(tblVerifyInspections[[#This Row],[Opportunities checked]])&gt;0,tblVerifyInspections[[#This Row],[Defects found]]/tblVerifyInspections[[#This Row],[Opportunities checked]]*1000000,""))</f>
        <v>900</v>
      </c>
      <c r="O42" s="39">
        <f>IF(tblVerifyInspections[[#This Row],[Date]]="","",IF(AND(tblVerifyInspections[[#This Row],[Date]]&gt;=$E$29,tblVerifyInspections[[#This Row],[Date]]&lt;=$E$30,OR($E$31="",tblVerifyInspections[[#This Row],[Part]]=$E$31)),tblVerifyInspections[[#This Row],[Date]],""))</f>
        <v>46027</v>
      </c>
      <c r="P42" s="40" t="str">
        <f>IF(tblVerifyInspections[[#This Row],[Date]]="","",IF(tblVerifyInspections[[#This Row],[Lot ID]]="","Missing lot id",IF(tblVerifyInspections[[#This Row],[Part]]="","Missing part",IF(tblVerifyInspections[[#This Row],[Inspected]]="","Missing inspected",IF(tblVerifyInspections[[#This Row],[Defective]]="","Missing defective",IF(tblVerifyInspections[[#This Row],[Opportunities]]="","Part not on Setup list",IF(tblVerifyInspections[[#This Row],[Defective]]&gt;tblVerifyInspections[[#This Row],[Inspected]],"Defective &gt; inspected",IF(tblVerifyInspections[[#This Row],[Defects found]]&lt;tblVerifyInspections[[#This Row],[Defective]],"Fewer defects logged than defective units",IF(COUNTIF(tblVerifyInspections[Lot ID],tblVerifyInspections[[#This Row],[Lot ID]])&gt;1,"Duplicate lot ID","OK")))))))))</f>
        <v>OK</v>
      </c>
      <c r="Q42" s="69"/>
    </row>
    <row r="43" spans="2:17">
      <c r="B43" s="79">
        <v>46027</v>
      </c>
      <c r="C43" s="69" t="s">
        <v>368</v>
      </c>
      <c r="D43" s="69" t="s">
        <v>369</v>
      </c>
      <c r="E43" s="55">
        <v>2000</v>
      </c>
      <c r="F43" s="55">
        <v>1</v>
      </c>
      <c r="G43" s="35">
        <f>IF(tblVerifyInspections[[#This Row],[Date]]="","",SUMIFS(tblVerifyDefects[Count],tblVerifyDefects[Lot ID],tblVerifyInspections[[#This Row],[Lot ID]]))</f>
        <v>1</v>
      </c>
      <c r="H43" s="55">
        <v>6</v>
      </c>
      <c r="I43" s="35">
        <f>IF(tblVerifyInspections[[#This Row],[Date]]="","",IF(tblVerifyInspections[[#This Row],[Opportunities]]="","",tblVerifyInspections[[#This Row],[Inspected]]*tblVerifyInspections[[#This Row],[Opportunities]]))</f>
        <v>12000</v>
      </c>
      <c r="J43" s="36">
        <f>IF(tblVerifyInspections[[#This Row],[Date]]="","",IF(tblVerifyInspections[[#This Row],[Inspected]]&gt;0,tblVerifyInspections[[#This Row],[Defective]]/tblVerifyInspections[[#This Row],[Inspected]],""))</f>
        <v>0.0005</v>
      </c>
      <c r="K43" s="35">
        <f>IF(tblVerifyInspections[[#This Row],[Date]]="","",IF(tblVerifyInspections[[#This Row],[Inspected]]&gt;0,tblVerifyInspections[[#This Row],[Defective]]/tblVerifyInspections[[#This Row],[Inspected]]*1000000,""))</f>
        <v>500</v>
      </c>
      <c r="L43" s="37" t="str">
        <f>IF(NOT(ISNUMBER(tblVerifyInspections[[#This Row],[PPM defective]])),"",IF(tblVerifyInspections[[#This Row],[PPM defective]]&lt;=$E$32,"On target",IF(tblVerifyInspections[[#This Row],[PPM defective]]&lt;=$E$32*(1+0.05),"Near target","Above target")))</f>
        <v>On target</v>
      </c>
      <c r="M43" s="38">
        <f>IF(tblVerifyInspections[[#This Row],[Date]]="","",IF(tblVerifyInspections[[#This Row],[Inspected]]&gt;0,tblVerifyInspections[[#This Row],[Defects found]]/tblVerifyInspections[[#This Row],[Inspected]],""))</f>
        <v>0.0005</v>
      </c>
      <c r="N43" s="35">
        <f>IF(tblVerifyInspections[[#This Row],[Date]]="","",IF(N(tblVerifyInspections[[#This Row],[Opportunities checked]])&gt;0,tblVerifyInspections[[#This Row],[Defects found]]/tblVerifyInspections[[#This Row],[Opportunities checked]]*1000000,""))</f>
        <v>83.3333333333333</v>
      </c>
      <c r="O43" s="39">
        <f>IF(tblVerifyInspections[[#This Row],[Date]]="","",IF(AND(tblVerifyInspections[[#This Row],[Date]]&gt;=$E$29,tblVerifyInspections[[#This Row],[Date]]&lt;=$E$30,OR($E$31="",tblVerifyInspections[[#This Row],[Part]]=$E$31)),tblVerifyInspections[[#This Row],[Date]],""))</f>
        <v>46027</v>
      </c>
      <c r="P43" s="40" t="str">
        <f>IF(tblVerifyInspections[[#This Row],[Date]]="","",IF(tblVerifyInspections[[#This Row],[Lot ID]]="","Missing lot id",IF(tblVerifyInspections[[#This Row],[Part]]="","Missing part",IF(tblVerifyInspections[[#This Row],[Inspected]]="","Missing inspected",IF(tblVerifyInspections[[#This Row],[Defective]]="","Missing defective",IF(tblVerifyInspections[[#This Row],[Opportunities]]="","Part not on Setup list",IF(tblVerifyInspections[[#This Row],[Defective]]&gt;tblVerifyInspections[[#This Row],[Inspected]],"Defective &gt; inspected",IF(tblVerifyInspections[[#This Row],[Defects found]]&lt;tblVerifyInspections[[#This Row],[Defective]],"Fewer defects logged than defective units",IF(COUNTIF(tblVerifyInspections[Lot ID],tblVerifyInspections[[#This Row],[Lot ID]])&gt;1,"Duplicate lot ID","OK")))))))))</f>
        <v>OK</v>
      </c>
      <c r="Q43" s="69"/>
    </row>
    <row r="44" spans="2:17">
      <c r="B44" s="79">
        <v>46028</v>
      </c>
      <c r="C44" s="69" t="s">
        <v>370</v>
      </c>
      <c r="D44" s="69" t="s">
        <v>369</v>
      </c>
      <c r="E44" s="55">
        <v>100</v>
      </c>
      <c r="F44" s="55">
        <v>3</v>
      </c>
      <c r="G44" s="35">
        <f>IF(tblVerifyInspections[[#This Row],[Date]]="","",SUMIFS(tblVerifyDefects[Count],tblVerifyDefects[Lot ID],tblVerifyInspections[[#This Row],[Lot ID]]))</f>
        <v>1</v>
      </c>
      <c r="H44" s="55">
        <v>6</v>
      </c>
      <c r="I44" s="35">
        <f>IF(tblVerifyInspections[[#This Row],[Date]]="","",IF(tblVerifyInspections[[#This Row],[Opportunities]]="","",tblVerifyInspections[[#This Row],[Inspected]]*tblVerifyInspections[[#This Row],[Opportunities]]))</f>
        <v>600</v>
      </c>
      <c r="J44" s="36">
        <f>IF(tblVerifyInspections[[#This Row],[Date]]="","",IF(tblVerifyInspections[[#This Row],[Inspected]]&gt;0,tblVerifyInspections[[#This Row],[Defective]]/tblVerifyInspections[[#This Row],[Inspected]],""))</f>
        <v>0.03</v>
      </c>
      <c r="K44" s="35">
        <f>IF(tblVerifyInspections[[#This Row],[Date]]="","",IF(tblVerifyInspections[[#This Row],[Inspected]]&gt;0,tblVerifyInspections[[#This Row],[Defective]]/tblVerifyInspections[[#This Row],[Inspected]]*1000000,""))</f>
        <v>30000</v>
      </c>
      <c r="L44" s="37" t="str">
        <f>IF(NOT(ISNUMBER(tblVerifyInspections[[#This Row],[PPM defective]])),"",IF(tblVerifyInspections[[#This Row],[PPM defective]]&lt;=$E$32,"On target",IF(tblVerifyInspections[[#This Row],[PPM defective]]&lt;=$E$32*(1+0.05),"Near target","Above target")))</f>
        <v>Above target</v>
      </c>
      <c r="M44" s="38">
        <f>IF(tblVerifyInspections[[#This Row],[Date]]="","",IF(tblVerifyInspections[[#This Row],[Inspected]]&gt;0,tblVerifyInspections[[#This Row],[Defects found]]/tblVerifyInspections[[#This Row],[Inspected]],""))</f>
        <v>0.01</v>
      </c>
      <c r="N44" s="35">
        <f>IF(tblVerifyInspections[[#This Row],[Date]]="","",IF(N(tblVerifyInspections[[#This Row],[Opportunities checked]])&gt;0,tblVerifyInspections[[#This Row],[Defects found]]/tblVerifyInspections[[#This Row],[Opportunities checked]]*1000000,""))</f>
        <v>1666.66666666667</v>
      </c>
      <c r="O44" s="39">
        <f>IF(tblVerifyInspections[[#This Row],[Date]]="","",IF(AND(tblVerifyInspections[[#This Row],[Date]]&gt;=$E$29,tblVerifyInspections[[#This Row],[Date]]&lt;=$E$30,OR($E$31="",tblVerifyInspections[[#This Row],[Part]]=$E$31)),tblVerifyInspections[[#This Row],[Date]],""))</f>
        <v>46028</v>
      </c>
      <c r="P44" s="40" t="str">
        <f>IF(tblVerifyInspections[[#This Row],[Date]]="","",IF(tblVerifyInspections[[#This Row],[Lot ID]]="","Missing lot id",IF(tblVerifyInspections[[#This Row],[Part]]="","Missing part",IF(tblVerifyInspections[[#This Row],[Inspected]]="","Missing inspected",IF(tblVerifyInspections[[#This Row],[Defective]]="","Missing defective",IF(tblVerifyInspections[[#This Row],[Opportunities]]="","Part not on Setup list",IF(tblVerifyInspections[[#This Row],[Defective]]&gt;tblVerifyInspections[[#This Row],[Inspected]],"Defective &gt; inspected",IF(tblVerifyInspections[[#This Row],[Defects found]]&lt;tblVerifyInspections[[#This Row],[Defective]],"Fewer defects logged than defective units",IF(COUNTIF(tblVerifyInspections[Lot ID],tblVerifyInspections[[#This Row],[Lot ID]])&gt;1,"Duplicate lot ID","OK")))))))))</f>
        <v>Fewer defects logged than defective units</v>
      </c>
      <c r="Q44" s="69"/>
    </row>
    <row r="46" spans="2:17">
      <c r="B46" s="30" t="s">
        <v>371</v>
      </c>
      <c r="C46" s="30"/>
      <c r="D46" s="30"/>
      <c r="E46" s="30"/>
      <c r="F46" s="30"/>
      <c r="G46" s="30"/>
      <c r="H46" s="30"/>
      <c r="I46" s="30"/>
      <c r="J46" s="30"/>
      <c r="K46" s="30"/>
      <c r="L46" s="30"/>
    </row>
    <row r="47" spans="2:17" ht="14" customHeight="1">
      <c r="B47" s="31"/>
      <c r="C47" s="31"/>
      <c r="D47" s="31" t="s">
        <v>126</v>
      </c>
      <c r="E47" s="31"/>
      <c r="F47" s="31"/>
      <c r="G47" s="31"/>
      <c r="H47" s="31"/>
      <c r="I47" s="31"/>
    </row>
    <row r="48" spans="2:17" ht="20" customHeight="1">
      <c r="B48" s="32" t="s">
        <v>111</v>
      </c>
      <c r="C48" s="32" t="s">
        <v>67</v>
      </c>
      <c r="D48" s="32" t="s">
        <v>253</v>
      </c>
      <c r="E48" s="32" t="s">
        <v>110</v>
      </c>
      <c r="F48" s="32" t="s">
        <v>64</v>
      </c>
      <c r="G48" s="32" t="s">
        <v>121</v>
      </c>
      <c r="H48" s="32" t="s">
        <v>122</v>
      </c>
      <c r="I48" s="32" t="s">
        <v>123</v>
      </c>
    </row>
    <row r="49" spans="2:9">
      <c r="B49" s="69" t="s">
        <v>366</v>
      </c>
      <c r="C49" s="69" t="s">
        <v>89</v>
      </c>
      <c r="D49" s="55">
        <v>12</v>
      </c>
      <c r="E49" s="79">
        <v>46027</v>
      </c>
      <c r="F49" s="69" t="s">
        <v>367</v>
      </c>
      <c r="G49" s="79">
        <v>46027</v>
      </c>
      <c r="H49" s="40" t="str">
        <f>IF(tblVerifyDefects[[#This Row],[Lot ID]]="","",IF(tblVerifyDefects[[#This Row],[Lot ID]]="","Missing lot id",IF(tblVerifyDefects[[#This Row],[Defect type]]="","Missing defect type",IF(tblVerifyDefects[[#This Row],[Count]]="","Missing count",IF(tblVerifyDefects[[#This Row],[Part]]="","Lot ID not on Inspection Log",IF(COUNTIF(tblVerifyDefectTypes[Defect type],tblVerifyDefects[[#This Row],[Defect type]])=0,"Defect type not on Setup list","OK"))))))</f>
        <v>OK</v>
      </c>
      <c r="I49" s="69"/>
    </row>
    <row r="50" spans="2:9">
      <c r="B50" s="69" t="s">
        <v>366</v>
      </c>
      <c r="C50" s="69" t="s">
        <v>92</v>
      </c>
      <c r="D50" s="55">
        <v>6</v>
      </c>
      <c r="E50" s="79">
        <v>46027</v>
      </c>
      <c r="F50" s="69" t="s">
        <v>367</v>
      </c>
      <c r="G50" s="79">
        <v>46027</v>
      </c>
      <c r="H50" s="40" t="str">
        <f>IF(tblVerifyDefects[[#This Row],[Lot ID]]="","",IF(tblVerifyDefects[[#This Row],[Lot ID]]="","Missing lot id",IF(tblVerifyDefects[[#This Row],[Defect type]]="","Missing defect type",IF(tblVerifyDefects[[#This Row],[Count]]="","Missing count",IF(tblVerifyDefects[[#This Row],[Part]]="","Lot ID not on Inspection Log",IF(COUNTIF(tblVerifyDefectTypes[Defect type],tblVerifyDefects[[#This Row],[Defect type]])=0,"Defect type not on Setup list","OK"))))))</f>
        <v>OK</v>
      </c>
      <c r="I50" s="69"/>
    </row>
    <row r="51" spans="2:9">
      <c r="B51" s="69" t="s">
        <v>368</v>
      </c>
      <c r="C51" s="69" t="s">
        <v>89</v>
      </c>
      <c r="D51" s="55">
        <v>1</v>
      </c>
      <c r="E51" s="79">
        <v>46027</v>
      </c>
      <c r="F51" s="69" t="s">
        <v>369</v>
      </c>
      <c r="G51" s="79">
        <v>46027</v>
      </c>
      <c r="H51" s="40" t="str">
        <f>IF(tblVerifyDefects[[#This Row],[Lot ID]]="","",IF(tblVerifyDefects[[#This Row],[Lot ID]]="","Missing lot id",IF(tblVerifyDefects[[#This Row],[Defect type]]="","Missing defect type",IF(tblVerifyDefects[[#This Row],[Count]]="","Missing count",IF(tblVerifyDefects[[#This Row],[Part]]="","Lot ID not on Inspection Log",IF(COUNTIF(tblVerifyDefectTypes[Defect type],tblVerifyDefects[[#This Row],[Defect type]])=0,"Defect type not on Setup list","OK"))))))</f>
        <v>OK</v>
      </c>
      <c r="I51" s="69"/>
    </row>
    <row r="52" spans="2:9">
      <c r="B52" s="69" t="s">
        <v>370</v>
      </c>
      <c r="C52" s="69" t="s">
        <v>92</v>
      </c>
      <c r="D52" s="55">
        <v>1</v>
      </c>
      <c r="E52" s="79">
        <v>46028</v>
      </c>
      <c r="F52" s="69" t="s">
        <v>369</v>
      </c>
      <c r="G52" s="79">
        <v>46028</v>
      </c>
      <c r="H52" s="40" t="str">
        <f>IF(tblVerifyDefects[[#This Row],[Lot ID]]="","",IF(tblVerifyDefects[[#This Row],[Lot ID]]="","Missing lot id",IF(tblVerifyDefects[[#This Row],[Defect type]]="","Missing defect type",IF(tblVerifyDefects[[#This Row],[Count]]="","Missing count",IF(tblVerifyDefects[[#This Row],[Part]]="","Lot ID not on Inspection Log",IF(COUNTIF(tblVerifyDefectTypes[Defect type],tblVerifyDefects[[#This Row],[Defect type]])=0,"Defect type not on Setup list","OK"))))))</f>
        <v>OK</v>
      </c>
      <c r="I52" s="69"/>
    </row>
    <row r="53" spans="2:9">
      <c r="B53" s="69" t="s">
        <v>372</v>
      </c>
      <c r="C53" s="69" t="s">
        <v>89</v>
      </c>
      <c r="D53" s="55">
        <v>2</v>
      </c>
      <c r="E53" s="79" t="s">
        <v>131</v>
      </c>
      <c r="F53" s="69" t="s">
        <v>131</v>
      </c>
      <c r="G53" s="79" t="s">
        <v>131</v>
      </c>
      <c r="H53" s="40" t="str">
        <f>IF(tblVerifyDefects[[#This Row],[Lot ID]]="","",IF(tblVerifyDefects[[#This Row],[Lot ID]]="","Missing lot id",IF(tblVerifyDefects[[#This Row],[Defect type]]="","Missing defect type",IF(tblVerifyDefects[[#This Row],[Count]]="","Missing count",IF(tblVerifyDefects[[#This Row],[Part]]="","Lot ID not on Inspection Log",IF(COUNTIF(tblVerifyDefectTypes[Defect type],tblVerifyDefects[[#This Row],[Defect type]])=0,"Defect type not on Setup list","OK"))))))</f>
        <v>Lot ID not on Inspection Log</v>
      </c>
      <c r="I53" s="69"/>
    </row>
  </sheetData>
  <sheetProtection sheet="1" formatColumns="0" formatRows="0"/>
  <mergeCells count="32">
    <mergeCell ref="A1:Q1"/>
    <mergeCell ref="B2:P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B25:L25"/>
    <mergeCell ref="B27:L27"/>
    <mergeCell ref="B28:F28"/>
    <mergeCell ref="B29:D29"/>
    <mergeCell ref="B30:D30"/>
    <mergeCell ref="B31:D31"/>
    <mergeCell ref="E31:F31"/>
    <mergeCell ref="B32:D32"/>
    <mergeCell ref="B34:L34"/>
    <mergeCell ref="B39:L39"/>
    <mergeCell ref="B46:L46"/>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49:H53">
    <cfRule type="expression" dxfId="3" priority="43">
      <formula>$H49="OK"</formula>
    </cfRule>
    <cfRule type="expression" dxfId="1" priority="44">
      <formula>AND($H49&lt;&gt;"",$H49&lt;&gt;"OK")</formula>
    </cfRule>
  </conditionalFormatting>
  <conditionalFormatting sqref="K11:K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P42:P44">
    <cfRule type="expression" dxfId="3" priority="41">
      <formula>$P42="OK"</formula>
    </cfRule>
    <cfRule type="expression" dxfId="1" priority="42">
      <formula>AND($P42&lt;&gt;"",$P42&lt;&gt;"OK")</formula>
    </cfRule>
  </conditionalFormatting>
  <hyperlinks>
    <hyperlink ref="Q2" r:id="rId1" tooltip="Free manufacturing calculators and templates"/>
  </hyperlinks>
  <printOptions horizontalCentered="1"/>
  <pageMargins left="0.4" right="0.4" top="0.7" bottom="0.65" header="0.3" footer="0.3"/>
  <pageSetup fitToHeight="0" orientation="landscape"/>
  <headerFooter>
    <oddHeader>&amp;L&amp;8MFG Calcs - Defect Rate Tracker&amp;R&amp;8&amp;A</oddHeader>
    <oddFooter>&amp;L&amp;8mfgcalcs.com - free manufacturing templates&amp;R&amp;8Page &amp;P of &amp;N</oddFooter>
  </headerFooter>
  <rowBreaks count="1" manualBreakCount="1">
    <brk id="38"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25</vt:i4>
      </vt:variant>
    </vt:vector>
  </HeadingPairs>
  <TitlesOfParts>
    <vt:vector size="32" baseType="lpstr">
      <vt:lpstr>Start Here</vt:lpstr>
      <vt:lpstr>Setup</vt:lpstr>
      <vt:lpstr>Inspection Log</vt:lpstr>
      <vt:lpstr>Defect Log</vt:lpstr>
      <vt:lpstr>Dashboard</vt:lpstr>
      <vt:lpstr>Method</vt:lpstr>
      <vt:lpstr>Verify</vt:lpstr>
      <vt:lpstr>DashFrom</vt:lpstr>
      <vt:lpstr>DashPart</vt:lpstr>
      <vt:lpstr>DashTo</vt:lpstr>
      <vt:lpstr>KpiDefective</vt:lpstr>
      <vt:lpstr>KpiDefects</vt:lpstr>
      <vt:lpstr>KpiDPMO</vt:lpstr>
      <vt:lpstr>KpiDPU</vt:lpstr>
      <vt:lpstr>KpiInspected</vt:lpstr>
      <vt:lpstr>KpiPPM</vt:lpstr>
      <vt:lpstr>KpiRate</vt:lpstr>
      <vt:lpstr>KpiTop</vt:lpstr>
      <vt:lpstr>PlantName</vt:lpstr>
      <vt:lpstr>Dashboard!Print_Area</vt:lpstr>
      <vt:lpstr>'Defect Log'!Print_Area</vt:lpstr>
      <vt:lpstr>'Inspection Log'!Print_Area</vt:lpstr>
      <vt:lpstr>Method!Print_Area</vt:lpstr>
      <vt:lpstr>Setup!Print_Area</vt:lpstr>
      <vt:lpstr>'Start Here'!Print_Area</vt:lpstr>
      <vt:lpstr>Verify!Print_Area</vt:lpstr>
      <vt:lpstr>'Defect Log'!Print_Titles</vt:lpstr>
      <vt:lpstr>'Inspection Log'!Print_Titles</vt:lpstr>
      <vt:lpstr>Method!Print_Titles</vt:lpstr>
      <vt:lpstr>SelfCheck</vt:lpstr>
      <vt:lpstr>SelfCheckSummary</vt:lpstr>
      <vt:lpstr>TargetPPM</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Defect Rate Tracker - free Excel template from MFG Calcs</dc:title>
  <dc:subject>Log inspection lots and the defects found, and see defect rate, PPM, DPU, DPMO and the top defect types by part and week.</dc:subject>
  <dc:creator>MFG Calcs</dc:creator>
  <cp:keywords>defect rate, PPM, parts per million, DPU, DPMO, defect Pareto, inspection log, quality scorecard</cp:keywords>
  <dc:description>https://www.mfgcalcs.com/templates/defect-rate-tracker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defect-rate-tracker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https://www.mfgcalcs.com/templates/defect-rate-tracker</vt:lpwstr>
  </property>
  <property fmtid="{D5CDD505-2E9C-101B-9397-08002B2CF9AE}" pid="7" name="Template sheet roles">
    <vt:lpwstr>Start Here=start;Setup=setup;Inspection Log=work;Defect Log=work;Dashboard=dashboard;Method=method;Verify=verify</vt:lpwstr>
  </property>
</Properties>
</file>