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Forecast Log" sheetId="3" r:id="rId3"/>
    <sheet name="Dashboard" sheetId="4" r:id="rId4"/>
    <sheet name="Method" sheetId="5" r:id="rId5"/>
    <sheet name="Verify" sheetId="6" r:id="rId6"/>
  </sheets>
  <definedNames>
    <definedName name="DashFrom">Dashboard!$G$4</definedName>
    <definedName name="DashSku">Dashboard!$C$4</definedName>
    <definedName name="DashTo">Dashboard!$K$4</definedName>
    <definedName name="FFrom">IF(DashFrom="",0,DashFrom)</definedName>
    <definedName name="FTo">IF(DashTo="",2958465,DashTo)</definedName>
    <definedName name="KpiAcc">Dashboard!$B$8</definedName>
    <definedName name="KpiBias">Dashboard!$G$8</definedName>
    <definedName name="KpiFva">Dashboard!$J$8</definedName>
    <definedName name="KpiHit">Dashboard!$D$8</definedName>
    <definedName name="PlantName">Setup!$C$6</definedName>
    <definedName name="_xlnm.Print_Area" localSheetId="3">Dashboard!$A$1:$L$61</definedName>
    <definedName name="_xlnm.Print_Area" localSheetId="2">'Forecast Log'!$A$1:$N$119</definedName>
    <definedName name="_xlnm.Print_Area" localSheetId="4">Method!$A$1:$D$58</definedName>
    <definedName name="_xlnm.Print_Area" localSheetId="1">Setup!$A$1:$F$25</definedName>
    <definedName name="_xlnm.Print_Area" localSheetId="0">'Start Here'!$A$1:$F$55</definedName>
    <definedName name="_xlnm.Print_Area" localSheetId="5">Verify!$A$1:$N$65</definedName>
    <definedName name="_xlnm.Print_Titles" localSheetId="2">'Forecast Log'!$1:$5</definedName>
    <definedName name="_xlnm.Print_Titles" localSheetId="4">Method!$1:$2</definedName>
    <definedName name="SelfCheck">Verify!$D$4</definedName>
    <definedName name="SelfCheckSummary">Verify!$F$4</definedName>
    <definedName name="Skus">tblSkus[SKU]</definedName>
    <definedName name="TargetAcc">Setup!$C$8</definedName>
    <definedName name="TargetHit">Setup!$C$9</definedName>
    <definedName name="Tolerance">Setup!$C$7</definedName>
    <definedName name="Window">Setup!$C$10</definedName>
  </definedNames>
  <calcPr calcId="124519" fullCalcOnLoad="1"/>
</workbook>
</file>

<file path=xl/sharedStrings.xml><?xml version="1.0" encoding="utf-8"?>
<sst xmlns="http://schemas.openxmlformats.org/spreadsheetml/2006/main" count="610" uniqueCount="237">
  <si>
    <t>Demand Forecast</t>
  </si>
  <si>
    <t>Read this first: what the workbook does and how to use it.</t>
  </si>
  <si>
    <t>mfgcalcs.com</t>
  </si>
  <si>
    <t>Log each SKU's monthly forecast and actual demand, and see accuracy, bias, hit rate and whether your forecast beats a simple moving average.</t>
  </si>
  <si>
    <t>For: Demand planners, S&amp;OP leads, production planners and supply-chain managers.</t>
  </si>
  <si>
    <t>Version 1.0.0  ·  updated 15 October 2026</t>
  </si>
  <si>
    <t>Quick start</t>
  </si>
  <si>
    <t>1.</t>
  </si>
  <si>
    <t>On Setup, set your tolerance band, accuracy and hit-rate targets and the baseline window, then list your SKUs.</t>
  </si>
  <si>
    <t>2.</t>
  </si>
  <si>
    <t>On Forecast Log, add one row per SKU per month with your forecast; type the actual demand when the month closes.</t>
  </si>
  <si>
    <t>3.</t>
  </si>
  <si>
    <t>Read the Check column: anything other than OK names the problem in words.</t>
  </si>
  <si>
    <t>4.</t>
  </si>
  <si>
    <t>Open the Dashboard for accuracy, bias and forecast value added by month and SKU, and a suggested baseline for next month.</t>
  </si>
  <si>
    <t>What is in this workbook</t>
  </si>
  <si>
    <t>Start Here</t>
  </si>
  <si>
    <t>Setup</t>
  </si>
  <si>
    <t>Tolerance band, targets, the baseline window and the SKU list.</t>
  </si>
  <si>
    <t>Forecast Log</t>
  </si>
  <si>
    <t>One row per SKU per month: your forecast, and the actual demand once the month closes.</t>
  </si>
  <si>
    <t>Dashboard</t>
  </si>
  <si>
    <t>Forecast accuracy, bias, hit rate and value added by month and SKU, and a suggested baseline for next month.</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</si>
  <si>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</si>
  <si>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</si>
  <si>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</si>
  <si>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</si>
  <si>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</si>
  <si>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</si>
  <si>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</si>
  <si>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</si>
  <si>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</si>
  <si>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</si>
  <si>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</si>
  <si>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</si>
  <si>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</si>
  <si>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</si>
  <si>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</si>
  <si>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</si>
  <si>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</si>
  <si>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</si>
  <si>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</si>
  <si>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</si>
  <si>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Forecast Accuracy Calculator on mfgcalcs.com</t>
  </si>
  <si>
    <t>Latest version</t>
  </si>
  <si>
    <t>mfgcalcs.com/templates/demand-forecast</t>
  </si>
  <si>
    <t>More free templates</t>
  </si>
  <si>
    <t>mfgcalcs.com/templates</t>
  </si>
  <si>
    <t>Version</t>
  </si>
  <si>
    <t>1.0.0 (updated 15 October 2026)</t>
  </si>
  <si>
    <t>About the example data</t>
  </si>
  <si>
    <t>Every number already in this workbook is example data for Kestrel Valves, a fictional business invented for this template, so the dashboard and charts show something meaningful on day one. It covers eight SKUs over twelve closed months (October 2025 to September 2026) and three open months,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</si>
  <si>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</si>
  <si>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</si>
  <si>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</si>
  <si>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</si>
  <si>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</si>
  <si>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</si>
  <si>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</si>
  <si>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</si>
  <si>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SKU</t>
  </si>
  <si>
    <t>Description</t>
  </si>
  <si>
    <t>Family</t>
  </si>
  <si>
    <t>Notes</t>
  </si>
  <si>
    <t>Plant and targets</t>
  </si>
  <si>
    <t>Company or plant</t>
  </si>
  <si>
    <t>Kestrel Valves (example)</t>
  </si>
  <si>
    <t>Tolerance band (+/-)</t>
  </si>
  <si>
    <t>% of actual</t>
  </si>
  <si>
    <t>Forecast accuracy target (1 - WAPE)</t>
  </si>
  <si>
    <t>%</t>
  </si>
  <si>
    <t>Hit-rate target</t>
  </si>
  <si>
    <t>Baseline: moving average of</t>
  </si>
  <si>
    <t>months</t>
  </si>
  <si>
    <t>Targets are yours to set; nothing in this workbook assumes an industry benchmark. Accuracy and hit rate within 5% below their target show 'Near target'.</t>
  </si>
  <si>
    <t>SKUs (feeds the dropdown on the log)</t>
  </si>
  <si>
    <t>SKUs (example)</t>
  </si>
  <si>
    <t>BV-050</t>
  </si>
  <si>
    <t>Brass ball valve 1/2 in</t>
  </si>
  <si>
    <t>Ball valves</t>
  </si>
  <si>
    <t>Steady runner</t>
  </si>
  <si>
    <t>BV-100</t>
  </si>
  <si>
    <t>Brass ball valve 1 in</t>
  </si>
  <si>
    <t>GV-200</t>
  </si>
  <si>
    <t>Gate valve 2 in, cast iron</t>
  </si>
  <si>
    <t>Gate valves</t>
  </si>
  <si>
    <t>Project-driven</t>
  </si>
  <si>
    <t>IV-075</t>
  </si>
  <si>
    <t>Irrigation valve 3/4 in</t>
  </si>
  <si>
    <t>Irrigation</t>
  </si>
  <si>
    <t>Spring peak</t>
  </si>
  <si>
    <t>IV-150</t>
  </si>
  <si>
    <t>Irrigation valve 1-1/2 in</t>
  </si>
  <si>
    <t>CV-040</t>
  </si>
  <si>
    <t>Check valve 40 mm</t>
  </si>
  <si>
    <t>Check valves</t>
  </si>
  <si>
    <t>Sales over-forecasts</t>
  </si>
  <si>
    <t>SV-025</t>
  </si>
  <si>
    <t>Solenoid valve 1/4 in</t>
  </si>
  <si>
    <t>Solenoid</t>
  </si>
  <si>
    <t>Launched Apr 2026</t>
  </si>
  <si>
    <t>PR-010</t>
  </si>
  <si>
    <t>Pressure regulator kit</t>
  </si>
  <si>
    <t>Spares</t>
  </si>
  <si>
    <t>Lumpy service demand</t>
  </si>
  <si>
    <t>Month</t>
  </si>
  <si>
    <t>Forecast (units)</t>
  </si>
  <si>
    <t>Actual (units)</t>
  </si>
  <si>
    <t>Error (units)</t>
  </si>
  <si>
    <t>Abs error (units)</t>
  </si>
  <si>
    <t>Abs % error</t>
  </si>
  <si>
    <t>Within tolerance</t>
  </si>
  <si>
    <t>Baseline (units)</t>
  </si>
  <si>
    <t>Baseline abs error (units)</t>
  </si>
  <si>
    <t>View date</t>
  </si>
  <si>
    <t>Check</t>
  </si>
  <si>
    <t>Example data for Kestrel Valves (fictional). Rows without an actual are open months. Replace it with your own: select the example rows, right-click, Delete &gt; Table Rows.</t>
  </si>
  <si>
    <t/>
  </si>
  <si>
    <t>Launch month</t>
  </si>
  <si>
    <t>Unplanned project order</t>
  </si>
  <si>
    <t>From month</t>
  </si>
  <si>
    <t>To month</t>
  </si>
  <si>
    <t>FORECAST ACCURACY (1 - WAPE)</t>
  </si>
  <si>
    <t>HIT RATE WITHIN TOLERANCE</t>
  </si>
  <si>
    <t>BIAS (+ = OVER-FORECAST)</t>
  </si>
  <si>
    <t>VALUE ADDED VS MOVING AVERAGE</t>
  </si>
  <si>
    <t>Sum of errors / sum of actuals</t>
  </si>
  <si>
    <t>Accuracy points gained over the baseline</t>
  </si>
  <si>
    <t>By SKU (months in view) and next month</t>
  </si>
  <si>
    <t>Accuracy</t>
  </si>
  <si>
    <t>Bias</t>
  </si>
  <si>
    <t>Hit rate</t>
  </si>
  <si>
    <t>Value added</t>
  </si>
  <si>
    <t>Accuracy status</t>
  </si>
  <si>
    <t>Last closed month</t>
  </si>
  <si>
    <t>Baseline next month</t>
  </si>
  <si>
    <t>Your next forecast</t>
  </si>
  <si>
    <t>Accuracy target</t>
  </si>
  <si>
    <t>By month (closed months score; open months show the forecast only)</t>
  </si>
  <si>
    <t>The Dashboard shows the 8 SKUs of the Setup list and the last 15 months in view. If you add SKUs, extend the 'By SKU' block (see Method) or they will not appear here.</t>
  </si>
  <si>
    <t>What this workbook calculates</t>
  </si>
  <si>
    <t>Every SKU-month is scored when its actual demand is known. Error is forecast minus actual, so positive means over-forecast. Accuracy is 1 - WAPE: one minus the sum of absolute errors over the sum of actuals, formed from sums so that large SKUs weigh more than small ones and a zero-demand month does not divide by zero. Bias is the signed sum of errors over the sum of actuals. The baseline is a naive moving average of the previous N closed months; forecast value added (FVA) is how many accuracy points your forecast gains over that baseline on the same SKU-months.</t>
  </si>
  <si>
    <t>Calculations</t>
  </si>
  <si>
    <t>Quantity</t>
  </si>
  <si>
    <t>How it is calculated</t>
  </si>
  <si>
    <t>Units</t>
  </si>
  <si>
    <t>Error</t>
  </si>
  <si>
    <t>Forecast - actual (positive = over-forecast).</t>
  </si>
  <si>
    <t>units</t>
  </si>
  <si>
    <t>Absolute error</t>
  </si>
  <si>
    <t>|Forecast - actual|.</t>
  </si>
  <si>
    <t>Absolute % error</t>
  </si>
  <si>
    <t>|Forecast - actual| / actual; blank when actual is 0.</t>
  </si>
  <si>
    <t>Yes when |forecast - actual| &lt;= tolerance x actual, else No. Open months are blank.</t>
  </si>
  <si>
    <t>Yes/No</t>
  </si>
  <si>
    <t>Baseline</t>
  </si>
  <si>
    <t>Average actual of the previous N closed months of the same SKU (N on Setup); blank until all N exist.</t>
  </si>
  <si>
    <t>Baseline absolute error</t>
  </si>
  <si>
    <t>|Baseline - actual| where both exist.</t>
  </si>
  <si>
    <t>Accuracy (1 - WAPE)</t>
  </si>
  <si>
    <t>1 - sum of absolute errors / sum of actuals over the closed rows in view, floored at 0.</t>
  </si>
  <si>
    <t>Sum of errors / sum of actuals over the closed rows in view.</t>
  </si>
  <si>
    <t>Rows within tolerance / closed rows in view (the live calculator's accuracy rate).</t>
  </si>
  <si>
    <t>Forecast value added</t>
  </si>
  <si>
    <t>(Sum of baseline abs errors - sum of forecast abs errors) / sum of actuals, over closed rows that have a baseline: accuracy points gained over the moving average.</t>
  </si>
  <si>
    <t>% points</t>
  </si>
  <si>
    <t>Per SKU: the average actual of the last N closed months, as a starting point for the next forecast, next to the forecast already logged.</t>
  </si>
  <si>
    <t>Assumptions</t>
  </si>
  <si>
    <t>Actual demand uses one definition every month (orders received, or shipments plus lost sales); shipments alone hide unmet demand.</t>
  </si>
  <si>
    <t>The forecast logged is the one supply planning acted on, at the lag you care about (for example the forecast frozen one month ahead).</t>
  </si>
  <si>
    <t>One row per SKU per month, dated the 1st; months with no demand are logged as 0, not left out, so the baseline sees them.</t>
  </si>
  <si>
    <t>Limitations</t>
  </si>
  <si>
    <t>The baseline is a simple moving average: it lags trends and seasonality on purpose. It is a yardstick, not a recommended model.</t>
  </si>
  <si>
    <t>Accuracy and bias are volume-weighted; a small SKU with a poor forecast barely moves the totals. Read the By SKU table too.</t>
  </si>
  <si>
    <t>Monthly buckets only; weekly or daily accuracy needs a weekly log.</t>
  </si>
  <si>
    <t>The Dashboard has fixed blocks for 8 SKUs and the last 15 months in view; longer lists need the blocks extended (a warning appears).</t>
  </si>
  <si>
    <t>Agreement with the live calculator</t>
  </si>
  <si>
    <t>The live Forecast Accuracy calculator takes the number of forecast periods that landed within tolerance, the number evaluated and a target, and returns the accuracy rate (hits / periods x 100) and the gap to target. This workbook's hit rate is exactly that count over the closed rows of the log, with the tolerance band set on Setup; it adds WAPE accuracy, bias and value added. The build checks the reference against the calculator's engine for its default example (210 of 250 periods, target 85%) and for the example log's own counts.</t>
  </si>
  <si>
    <t>Open the Forecast Accuracy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</si>
  <si>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</si>
  <si>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</si>
  <si>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Hyndman, R.J. and Athanasopoulos, G., Forecasting: Principles and Practice, 3rd ed., OTexts (accuracy measures, scaled and percentage errors).</t>
  </si>
  <si>
    <t>Gilliland, M., The Business Forecasting Deal, Wiley, 2010 (forecast value added against a naive forecast).</t>
  </si>
  <si>
    <t>ASCM/APICS Dictionary: forecast error, mean absolute percentage error, tracking signal and bias, by definition.</t>
  </si>
  <si>
    <t>MFG Calcs Forecast Accuracy calculator (forecast-accuracy): periods within tolerance / periods evaluated.</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</si>
  <si>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</si>
  <si>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</si>
  <si>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</si>
  <si>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</si>
  <si>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</si>
  <si>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</si>
  <si>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</si>
  <si>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</si>
  <si>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</si>
  <si>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</si>
  <si>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</si>
  <si>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</si>
  <si>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</si>
  <si>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</si>
  <si>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</si>
  <si>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</si>
  <si>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A-1 month 2: error (forecast - actual)</t>
  </si>
  <si>
    <t>A-1 month 2: absolute % error</t>
  </si>
  <si>
    <t>A-1 month 2: within 20% tolerance</t>
  </si>
  <si>
    <t>Yes</t>
  </si>
  <si>
    <t>exact</t>
  </si>
  <si>
    <t>A-1 month 4: within 20% tolerance (edge)</t>
  </si>
  <si>
    <t>A-1 month 4: 3-month baseline</t>
  </si>
  <si>
    <t>A-1 month 4: baseline abs error</t>
  </si>
  <si>
    <t>A-1 month 5 (open): error blank</t>
  </si>
  <si>
    <t>B-2 month 1: actual 0, forecast 20: not within tolerance</t>
  </si>
  <si>
    <t>No</t>
  </si>
  <si>
    <t>B-2 month 1: % error blank when actual is 0</t>
  </si>
  <si>
    <t>C-3: Check reports SKU not on list</t>
  </si>
  <si>
    <t>SKU not on Setup list</t>
  </si>
  <si>
    <t>All closed rows: accuracy 1 - WAPE (Dashboard formula)</t>
  </si>
  <si>
    <t>All closed rows: bias (Dashboard formula)</t>
  </si>
  <si>
    <t>All closed rows: hit rate (Dashboard formula)</t>
  </si>
  <si>
    <t>Forecast value added (Dashboard formula)</t>
  </si>
  <si>
    <t>A-1: baseline for next month (avg of months 2-4)</t>
  </si>
  <si>
    <t>A-1: your next forecast (month 5)</t>
  </si>
  <si>
    <t>Fixed test inputs</t>
  </si>
  <si>
    <t>White cells are fixed test inputs; blue cells are the workbook's formulas evaluated on them.</t>
  </si>
  <si>
    <t>Parameters</t>
  </si>
  <si>
    <t>Filter: from (0 = no limit)</t>
  </si>
  <si>
    <t>Filter: to (2958465 = no limit)</t>
  </si>
  <si>
    <t>Filter: SKU (blank = all)</t>
  </si>
  <si>
    <t>Tolerance band</t>
  </si>
  <si>
    <t>Baseline window (months)</t>
  </si>
  <si>
    <t>Test SKU list</t>
  </si>
  <si>
    <t>A-1</t>
  </si>
  <si>
    <t>Test</t>
  </si>
  <si>
    <t>T</t>
  </si>
  <si>
    <t>B-2</t>
  </si>
  <si>
    <t>Test log (A-1 has a baseline in month 4; month 5 is open; C-3 is not on the list)</t>
  </si>
  <si>
    <t>C-3</t>
  </si>
  <si>
    <t>Test By SKU block</t>
  </si>
</sst>
</file>

<file path=xl/styles.xml><?xml version="1.0" encoding="utf-8"?>
<styleSheet xmlns="http://schemas.openxmlformats.org/spreadsheetml/2006/main">
  <numFmts count="11">
    <numFmt numFmtId="164" formatCode="0%"/>
    <numFmt numFmtId="165" formatCode="0.0%"/>
    <numFmt numFmtId="166" formatCode="#,##0"/>
    <numFmt numFmtId="167" formatCode="d mmm yyyy"/>
    <numFmt numFmtId="168" formatCode="+#,##0;-#,##0;0"/>
    <numFmt numFmtId="169" formatCode="#,##0.0"/>
    <numFmt numFmtId="170" formatCode="+0.0%;-0.0%;0.0%"/>
    <numFmt numFmtId="171" formatCode="&quot;Target &quot;0.0%"/>
    <numFmt numFmtId="172" formatCode="mmm yyyy"/>
    <numFmt numFmtId="173" formatCode="0.0E+00"/>
    <numFmt numFmtId="174"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9"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20" fillId="4" borderId="3" xfId="0" applyFont="1" applyFill="1" applyBorder="1" applyAlignment="1">
      <alignment vertical="center"/>
    </xf>
    <xf numFmtId="167"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70" fontId="4"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70"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165" fontId="10" fillId="0" borderId="9" xfId="0" applyNumberFormat="1" applyFont="1" applyBorder="1" applyAlignment="1">
      <alignment vertical="center"/>
    </xf>
    <xf numFmtId="172" fontId="9"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0" fontId="10" fillId="4" borderId="3" xfId="0" applyFont="1" applyFill="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Forecast vs actual demand by month</a:t>
            </a:r>
          </a:p>
        </c:rich>
      </c:tx>
      <c:layout/>
    </c:title>
    <c:plotArea>
      <c:layout/>
      <c:barChart>
        <c:barDir val="col"/>
        <c:grouping val="clustered"/>
        <c:ser>
          <c:idx val="0"/>
          <c:order val="0"/>
          <c:tx>
            <c:v>Actual</c:v>
          </c:tx>
          <c:spPr>
            <a:solidFill>
              <a:srgbClr val="3B64D8"/>
            </a:solidFill>
            <a:ln w="9525">
              <a:solidFill>
                <a:srgbClr val="FFFFFF"/>
              </a:solidFill>
            </a:ln>
          </c:spPr>
          <c:cat>
            <c:numRef>
              <c:f>Dashboard!$B$43:$B$57</c:f>
              <c:numCache>
                <c:formatCode>General</c:formatCode>
                <c:ptCount val="15"/>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pt idx="12">
                  <c:v>46296</c:v>
                </c:pt>
                <c:pt idx="13">
                  <c:v>46327</c:v>
                </c:pt>
                <c:pt idx="14">
                  <c:v>46357</c:v>
                </c:pt>
              </c:numCache>
            </c:numRef>
          </c:cat>
          <c:val>
            <c:numRef>
              <c:f>Dashboard!$D$43:$D$57</c:f>
              <c:numCache>
                <c:formatCode>General</c:formatCode>
                <c:ptCount val="15"/>
                <c:pt idx="0">
                  <c:v>3039</c:v>
                </c:pt>
                <c:pt idx="1">
                  <c:v>3251</c:v>
                </c:pt>
                <c:pt idx="2">
                  <c:v>3224</c:v>
                </c:pt>
                <c:pt idx="3">
                  <c:v>3075</c:v>
                </c:pt>
                <c:pt idx="4">
                  <c:v>3302</c:v>
                </c:pt>
                <c:pt idx="5">
                  <c:v>3647</c:v>
                </c:pt>
                <c:pt idx="6">
                  <c:v>4216</c:v>
                </c:pt>
                <c:pt idx="7">
                  <c:v>4397</c:v>
                </c:pt>
                <c:pt idx="8">
                  <c:v>4210</c:v>
                </c:pt>
                <c:pt idx="9">
                  <c:v>3468</c:v>
                </c:pt>
                <c:pt idx="10">
                  <c:v>3393</c:v>
                </c:pt>
                <c:pt idx="11">
                  <c:v>3499</c:v>
                </c:pt>
                <c:pt idx="12">
                  <c:v>0</c:v>
                </c:pt>
                <c:pt idx="13">
                  <c:v>0</c:v>
                </c:pt>
                <c:pt idx="14">
                  <c:v>0</c:v>
                </c:pt>
              </c:numCache>
            </c:numRef>
          </c:val>
        </c:ser>
        <c:gapWidth val="60"/>
        <c:overlap val="-10"/>
        <c:axId val="50010001"/>
        <c:axId val="50010002"/>
      </c:barChart>
      <c:lineChart>
        <c:grouping val="standard"/>
        <c:ser>
          <c:idx val="1"/>
          <c:order val="1"/>
          <c:tx>
            <c:v>Forecast</c:v>
          </c:tx>
          <c:spPr>
            <a:ln w="28575">
              <a:solidFill>
                <a:srgbClr val="E8702A"/>
              </a:solidFill>
            </a:ln>
          </c:spPr>
          <c:marker>
            <c:symbol val="circle"/>
            <c:size val="5"/>
            <c:spPr>
              <a:solidFill>
                <a:srgbClr val="E8702A"/>
              </a:solidFill>
              <a:ln>
                <a:solidFill>
                  <a:srgbClr val="E8702A"/>
                </a:solidFill>
              </a:ln>
            </c:spPr>
          </c:marker>
          <c:cat>
            <c:numRef>
              <c:f>Dashboard!$B$43:$B$57</c:f>
              <c:numCache>
                <c:formatCode>General</c:formatCode>
                <c:ptCount val="15"/>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pt idx="12">
                  <c:v>46296</c:v>
                </c:pt>
                <c:pt idx="13">
                  <c:v>46327</c:v>
                </c:pt>
                <c:pt idx="14">
                  <c:v>46357</c:v>
                </c:pt>
              </c:numCache>
            </c:numRef>
          </c:cat>
          <c:val>
            <c:numRef>
              <c:f>Dashboard!$C$43:$C$57</c:f>
              <c:numCache>
                <c:formatCode>General</c:formatCode>
                <c:ptCount val="15"/>
                <c:pt idx="0">
                  <c:v>3130</c:v>
                </c:pt>
                <c:pt idx="1">
                  <c:v>3310</c:v>
                </c:pt>
                <c:pt idx="2">
                  <c:v>3120</c:v>
                </c:pt>
                <c:pt idx="3">
                  <c:v>3250</c:v>
                </c:pt>
                <c:pt idx="4">
                  <c:v>3180</c:v>
                </c:pt>
                <c:pt idx="5">
                  <c:v>3780</c:v>
                </c:pt>
                <c:pt idx="6">
                  <c:v>4490</c:v>
                </c:pt>
                <c:pt idx="7">
                  <c:v>4630</c:v>
                </c:pt>
                <c:pt idx="8">
                  <c:v>4170</c:v>
                </c:pt>
                <c:pt idx="9">
                  <c:v>3510</c:v>
                </c:pt>
                <c:pt idx="10">
                  <c:v>3560</c:v>
                </c:pt>
                <c:pt idx="11">
                  <c:v>3550</c:v>
                </c:pt>
                <c:pt idx="12">
                  <c:v>3600</c:v>
                </c:pt>
                <c:pt idx="13">
                  <c:v>3630</c:v>
                </c:pt>
                <c:pt idx="14">
                  <c:v>3490</c:v>
                </c:pt>
              </c:numCache>
            </c:numRef>
          </c:val>
        </c:ser>
        <c:marker val="1"/>
        <c:axId val="50010001"/>
        <c:axId val="50010002"/>
      </c:lineChart>
      <c:catAx>
        <c:axId val="50010001"/>
        <c:scaling>
          <c:orientation val="minMax"/>
        </c:scaling>
        <c:axPos val="b"/>
        <c:numFmt formatCode="mmm 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Forecast accuracy by SKU</a:t>
            </a:r>
          </a:p>
        </c:rich>
      </c:tx>
      <c:layout/>
    </c:title>
    <c:plotArea>
      <c:layout/>
      <c:barChart>
        <c:barDir val="col"/>
        <c:grouping val="clustered"/>
        <c:ser>
          <c:idx val="0"/>
          <c:order val="0"/>
          <c:tx>
            <c:v>Accuracy</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Dashboard!$B$32:$B$39</c:f>
              <c:strCache>
                <c:ptCount val="8"/>
                <c:pt idx="0">
                  <c:v>BV-050</c:v>
                </c:pt>
                <c:pt idx="1">
                  <c:v>BV-100</c:v>
                </c:pt>
                <c:pt idx="2">
                  <c:v>GV-200</c:v>
                </c:pt>
                <c:pt idx="3">
                  <c:v>IV-075</c:v>
                </c:pt>
                <c:pt idx="4">
                  <c:v>IV-150</c:v>
                </c:pt>
                <c:pt idx="5">
                  <c:v>CV-040</c:v>
                </c:pt>
                <c:pt idx="6">
                  <c:v>SV-025</c:v>
                </c:pt>
                <c:pt idx="7">
                  <c:v>PR-010</c:v>
                </c:pt>
              </c:strCache>
            </c:strRef>
          </c:cat>
          <c:val>
            <c:numRef>
              <c:f>Dashboard!$D$32:$D$39</c:f>
              <c:numCache>
                <c:formatCode>General</c:formatCode>
                <c:ptCount val="8"/>
                <c:pt idx="0">
                  <c:v>0.958290528046024</c:v>
                </c:pt>
                <c:pt idx="1">
                  <c:v>0.945435897435897</c:v>
                </c:pt>
                <c:pt idx="2">
                  <c:v>0.773109243697479</c:v>
                </c:pt>
                <c:pt idx="3">
                  <c:v>0.917141049968374</c:v>
                </c:pt>
                <c:pt idx="4">
                  <c:v>0.896291640477687</c:v>
                </c:pt>
                <c:pt idx="5">
                  <c:v>0.771565163167741</c:v>
                </c:pt>
                <c:pt idx="6">
                  <c:v>0.885245901639344</c:v>
                </c:pt>
                <c:pt idx="7">
                  <c:v>0.613562970936491</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strRef>
              <c:f>Dashboard!$B$32:$B$39</c:f>
              <c:strCache>
                <c:ptCount val="8"/>
                <c:pt idx="0">
                  <c:v>BV-050</c:v>
                </c:pt>
                <c:pt idx="1">
                  <c:v>BV-100</c:v>
                </c:pt>
                <c:pt idx="2">
                  <c:v>GV-200</c:v>
                </c:pt>
                <c:pt idx="3">
                  <c:v>IV-075</c:v>
                </c:pt>
                <c:pt idx="4">
                  <c:v>IV-150</c:v>
                </c:pt>
                <c:pt idx="5">
                  <c:v>CV-040</c:v>
                </c:pt>
                <c:pt idx="6">
                  <c:v>SV-025</c:v>
                </c:pt>
                <c:pt idx="7">
                  <c:v>PR-010</c:v>
                </c:pt>
              </c:strCache>
            </c:strRef>
          </c:cat>
          <c:val>
            <c:numRef>
              <c:f>Dashboard!$L$32:$L$39</c:f>
              <c:numCache>
                <c:formatCode>General</c:formatCode>
                <c:ptCount val="8"/>
                <c:pt idx="0">
                  <c:v>0.8</c:v>
                </c:pt>
                <c:pt idx="1">
                  <c:v>0.8</c:v>
                </c:pt>
                <c:pt idx="2">
                  <c:v>0.8</c:v>
                </c:pt>
                <c:pt idx="3">
                  <c:v>0.8</c:v>
                </c:pt>
                <c:pt idx="4">
                  <c:v>0.8</c:v>
                </c:pt>
                <c:pt idx="5">
                  <c:v>0.8</c:v>
                </c:pt>
                <c:pt idx="6">
                  <c:v>0.8</c:v>
                </c:pt>
                <c:pt idx="7">
                  <c:v>0.8</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Bias by SKU (+ = over-forecast)</a:t>
            </a:r>
          </a:p>
        </c:rich>
      </c:tx>
      <c:layout/>
    </c:title>
    <c:plotArea>
      <c:layout/>
      <c:barChart>
        <c:barDir val="bar"/>
        <c:grouping val="clustered"/>
        <c:ser>
          <c:idx val="0"/>
          <c:order val="0"/>
          <c:tx>
            <c:v>Bias</c:v>
          </c:tx>
          <c:spPr>
            <a:solidFill>
              <a:srgbClr val="3B64D8"/>
            </a:solidFill>
            <a:ln w="9525">
              <a:solidFill>
                <a:srgbClr val="FFFFFF"/>
              </a:solidFill>
            </a:ln>
          </c:spPr>
          <c:cat>
            <c:strRef>
              <c:f>Dashboard!$B$32:$B$39</c:f>
              <c:strCache>
                <c:ptCount val="8"/>
                <c:pt idx="0">
                  <c:v>BV-050</c:v>
                </c:pt>
                <c:pt idx="1">
                  <c:v>BV-100</c:v>
                </c:pt>
                <c:pt idx="2">
                  <c:v>GV-200</c:v>
                </c:pt>
                <c:pt idx="3">
                  <c:v>IV-075</c:v>
                </c:pt>
                <c:pt idx="4">
                  <c:v>IV-150</c:v>
                </c:pt>
                <c:pt idx="5">
                  <c:v>CV-040</c:v>
                </c:pt>
                <c:pt idx="6">
                  <c:v>SV-025</c:v>
                </c:pt>
                <c:pt idx="7">
                  <c:v>PR-010</c:v>
                </c:pt>
              </c:strCache>
            </c:strRef>
          </c:cat>
          <c:val>
            <c:numRef>
              <c:f>Dashboard!$E$32:$E$39</c:f>
              <c:numCache>
                <c:formatCode>General</c:formatCode>
                <c:ptCount val="8"/>
                <c:pt idx="0">
                  <c:v>-0.0076022190260941</c:v>
                </c:pt>
                <c:pt idx="1">
                  <c:v>-0.0164102564102564</c:v>
                </c:pt>
                <c:pt idx="2">
                  <c:v>-0.0546218487394958</c:v>
                </c:pt>
                <c:pt idx="3">
                  <c:v>0.0183428209993675</c:v>
                </c:pt>
                <c:pt idx="4">
                  <c:v>0.0119421747328724</c:v>
                </c:pt>
                <c:pt idx="5">
                  <c:v>0.228434836832259</c:v>
                </c:pt>
                <c:pt idx="6">
                  <c:v>-0.0245901639344262</c:v>
                </c:pt>
                <c:pt idx="7">
                  <c:v>0.119483315392896</c:v>
                </c:pt>
              </c:numCache>
            </c:numRef>
          </c:val>
        </c:ser>
        <c:gapWidth val="60"/>
        <c:overlap val="-10"/>
        <c:axId val="50030001"/>
        <c:axId val="50030002"/>
      </c:barChart>
      <c:catAx>
        <c:axId val="50030001"/>
        <c:scaling>
          <c:orientation val="maxMin"/>
        </c:scaling>
        <c:axPos val="l"/>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scaling>
        <c:axPos val="t"/>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actual demand per month with the forecast as a line; the last months are open and show the forecast only."/>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Column chart of forecast accuracy (1 - WAPE) for each SKU over the months in view, with the accurac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38100</xdr:colOff>
      <xdr:row>40</xdr:row>
      <xdr:rowOff>38100</xdr:rowOff>
    </xdr:from>
    <xdr:to>
      <xdr:col>11</xdr:col>
      <xdr:colOff>676275</xdr:colOff>
      <xdr:row>56</xdr:row>
      <xdr:rowOff>161925</xdr:rowOff>
    </xdr:to>
    <xdr:graphicFrame macro="">
      <xdr:nvGraphicFramePr>
        <xdr:cNvPr id="4" name="Chart 3" descr="Bar chart of forecast bias for each SKU: positive bars are over-forecast, negative bars under-forecas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Skus" displayName="tblSkus" ref="B17:E25" totalsRowShown="0">
  <autoFilter ref="B17:E25"/>
  <tableColumns count="4">
    <tableColumn id="1" name="SKU"/>
    <tableColumn id="2" name="Description"/>
    <tableColumn id="3" name="Family"/>
    <tableColumn id="4" name="Notes"/>
  </tableColumns>
  <tableStyleInfo name="TableStyleLight1" showFirstColumn="0" showLastColumn="0" showRowStripes="0" showColumnStripes="0"/>
</table>
</file>

<file path=xl/tables/table2.xml><?xml version="1.0" encoding="utf-8"?>
<table xmlns="http://schemas.openxmlformats.org/spreadsheetml/2006/main" id="2" name="tblForecasts" displayName="tblForecasts" ref="B5:N119" totalsRowShown="0">
  <autoFilter ref="B5:N119"/>
  <tableColumns count="13">
    <tableColumn id="1" name="Month"/>
    <tableColumn id="2" name="SKU"/>
    <tableColumn id="3" name="Forecast (units)"/>
    <tableColumn id="4" name="Actual (units)"/>
    <tableColumn id="5" name="Error (units)">
      <calculatedColumnFormula>IF(tblForecasts[[#This Row],[Month]]="","",IF(tblForecasts[[#This Row],[Actual (units)]]="","",tblForecasts[[#This Row],[Forecast (units)]]-tblForecasts[[#This Row],[Actual (units)]]))</calculatedColumnFormula>
    </tableColumn>
    <tableColumn id="6" name="Abs error (units)">
      <calculatedColumnFormula>IF(tblForecasts[[#This Row],[Month]]="","",IF(tblForecasts[[#This Row],[Actual (units)]]="","",ABS(tblForecasts[[#This Row],[Forecast (units)]]-tblForecasts[[#This Row],[Actual (units)]])))</calculatedColumnFormula>
    </tableColumn>
    <tableColumn id="7" name="Abs % error">
      <calculatedColumnFormula>IF(tblForecasts[[#This Row],[Month]]="","",IF(OR(tblForecasts[[#This Row],[Actual (units)]]="",tblForecasts[[#This Row],[Actual (units)]]=0),"",ABS(tblForecasts[[#This Row],[Forecast (units)]]-tblForecasts[[#This Row],[Actual (units)]])/tblForecasts[[#This Row],[Actual (units)]]))</calculatedColumnFormula>
    </tableColumn>
    <tableColumn id="8" name="Within tolerance">
      <calculatedColumnFormula>IF(tblForecasts[[#This Row],[Month]]="","",IF(tblForecasts[[#This Row],[Actual (units)]]="","",IF(ABS(tblForecasts[[#This Row],[Forecast (units)]]-tblForecasts[[#This Row],[Actual (units)]])&lt;=Tolerance*tblForecasts[[#This Row],[Actual (units)]],"Yes","No")))</calculatedColumnFormula>
    </tableColumn>
    <tableColumn id="9" name="Baseline (units)">
      <calculatedColumnFormula>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calculatedColumnFormula>
    </tableColumn>
    <tableColumn id="10" name="Baseline abs error (units)">
      <calculatedColumnFormula>IF(tblForecasts[[#This Row],[Month]]="","",IF(OR(tblForecasts[[#This Row],[Actual (units)]]="",NOT(ISNUMBER(tblForecasts[[#This Row],[Baseline (units)]]))),"",ABS(tblForecasts[[#This Row],[Baseline (units)]]-tblForecasts[[#This Row],[Actual (units)]])))</calculatedColumnFormula>
    </tableColumn>
    <tableColumn id="11" name="View date">
      <calculatedColumnFormula>IF(tblForecasts[[#This Row],[Month]]="","",IF(AND(tblForecasts[[#This Row],[Month]]&gt;=FFrom,tblForecasts[[#This Row],[Month]]&lt;=FTo,OR(DashSku="",tblForecasts[[#This Row],[SKU]]=DashSku)),tblForecasts[[#This Row],[Month]],""))</calculatedColumnFormula>
    </tableColumn>
    <tableColumn id="12" name="Check">
      <calculatedColumnFormula>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calculatedColumnFormula>
    </tableColumn>
    <tableColumn id="13" name="Notes"/>
  </tableColumns>
  <tableStyleInfo name="TableStyleLight1" showFirstColumn="0" showLastColumn="0" showRowStripes="0" showColumnStripes="0"/>
</table>
</file>

<file path=xl/tables/table3.xml><?xml version="1.0" encoding="utf-8"?>
<table xmlns="http://schemas.openxmlformats.org/spreadsheetml/2006/main" id="3" name="tblVerifySkus" displayName="tblVerifySkus" ref="B41:E43" totalsRowShown="0">
  <tableColumns count="4">
    <tableColumn id="1" name="SKU"/>
    <tableColumn id="2" name="Description"/>
    <tableColumn id="3" name="Family"/>
    <tableColumn id="4" name="Notes"/>
  </tableColumns>
  <tableStyleInfo name="TableStyleLight1" showFirstColumn="0" showLastColumn="0" showRowStripes="0" showColumnStripes="0"/>
</table>
</file>

<file path=xl/tables/table4.xml><?xml version="1.0" encoding="utf-8"?>
<table xmlns="http://schemas.openxmlformats.org/spreadsheetml/2006/main" id="4" name="tblVerifyForecasts" displayName="tblVerifyForecasts" ref="B46:N54" totalsRowShown="0">
  <tableColumns count="13">
    <tableColumn id="1" name="Month"/>
    <tableColumn id="2" name="SKU"/>
    <tableColumn id="3" name="Forecast (units)"/>
    <tableColumn id="4" name="Actual (units)"/>
    <tableColumn id="5" name="Error (units)">
      <calculatedColumnFormula>IF(tblVerifyForecasts[[#This Row],[Month]]="","",IF(tblVerifyForecasts[[#This Row],[Actual (units)]]="","",tblVerifyForecasts[[#This Row],[Forecast (units)]]-tblVerifyForecasts[[#This Row],[Actual (units)]]))</calculatedColumnFormula>
    </tableColumn>
    <tableColumn id="6" name="Abs error (units)">
      <calculatedColumnFormula>IF(tblVerifyForecasts[[#This Row],[Month]]="","",IF(tblVerifyForecasts[[#This Row],[Actual (units)]]="","",ABS(tblVerifyForecasts[[#This Row],[Forecast (units)]]-tblVerifyForecasts[[#This Row],[Actual (units)]])))</calculatedColumnFormula>
    </tableColumn>
    <tableColumn id="7" name="Abs % error">
      <calculatedColumnFormula>IF(tblVerifyForecasts[[#This Row],[Month]]="","",IF(OR(tblVerifyForecasts[[#This Row],[Actual (units)]]="",tblVerifyForecasts[[#This Row],[Actual (units)]]=0),"",ABS(tblVerifyForecasts[[#This Row],[Forecast (units)]]-tblVerifyForecasts[[#This Row],[Actual (units)]])/tblVerifyForecasts[[#This Row],[Actual (units)]]))</calculatedColumnFormula>
    </tableColumn>
    <tableColumn id="8" name="Within tolerance">
      <calculatedColumnFormula>IF(tblVerifyForecasts[[#This Row],[Month]]="","",IF(tblVerifyForecasts[[#This Row],[Actual (units)]]="","",IF(ABS(tblVerifyForecasts[[#This Row],[Forecast (units)]]-tblVerifyForecasts[[#This Row],[Actual (units)]])&lt;=$E$35*tblVerifyForecasts[[#This Row],[Actual (units)]],"Yes","No")))</calculatedColumnFormula>
    </tableColumn>
    <tableColumn id="9" name="Baseline (units)">
      <calculatedColumnFormula>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calculatedColumnFormula>
    </tableColumn>
    <tableColumn id="10" name="Baseline abs error (units)">
      <calculatedColumnFormula>IF(tblVerifyForecasts[[#This Row],[Month]]="","",IF(OR(tblVerifyForecasts[[#This Row],[Actual (units)]]="",NOT(ISNUMBER(tblVerifyForecasts[[#This Row],[Baseline (units)]]))),"",ABS(tblVerifyForecasts[[#This Row],[Baseline (units)]]-tblVerifyForecasts[[#This Row],[Actual (units)]])))</calculatedColumnFormula>
    </tableColumn>
    <tableColumn id="11" name="View date">
      <calculatedColumnFormula>IF(tblVerifyForecasts[[#This Row],[Month]]="","",IF(AND(tblVerifyForecasts[[#This Row],[Month]]&gt;=$E$32,tblVerifyForecasts[[#This Row],[Month]]&lt;=$E$33,OR($E$34="",tblVerifyForecasts[[#This Row],[SKU]]=$E$34)),tblVerifyForecasts[[#This Row],[Month]],""))</calculatedColumnFormula>
    </tableColumn>
    <tableColumn id="12" name="Check">
      <calculatedColumnFormula>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calculatedColumnFormula>
    </tableColumn>
    <tableColumn id="1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mand-forecast" TargetMode="External"/><Relationship Id="rId2" Type="http://schemas.openxmlformats.org/officeDocument/2006/relationships/hyperlink" Target="https://www.mfgcalcs.com/calculators/sop-demand-planning-forecasting/forecast-accuracy?utm_source=mfgcalcs-template&amp;utm_medium=xlsx&amp;utm_campaign=demand-forecast" TargetMode="External"/><Relationship Id="rId3" Type="http://schemas.openxmlformats.org/officeDocument/2006/relationships/hyperlink" Target="https://www.mfgcalcs.com/templates/demand-forecast?utm_source=mfgcalcs-template&amp;utm_medium=xlsx&amp;utm_campaign=demand-forecast" TargetMode="External"/><Relationship Id="rId4" Type="http://schemas.openxmlformats.org/officeDocument/2006/relationships/hyperlink" Target="https://www.mfgcalcs.com/templates?utm_source=mfgcalcs-template&amp;utm_medium=xlsx&amp;utm_campaign=demand-foreca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mand-forecast"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mand-forecast"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mand-foreca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mand-forecast" TargetMode="External"/><Relationship Id="rId2" Type="http://schemas.openxmlformats.org/officeDocument/2006/relationships/hyperlink" Target="https://www.mfgcalcs.com/calculators/sop-demand-planning-forecasting/forecast-accuracy?utm_source=mfgcalcs-template&amp;utm_medium=xlsx&amp;utm_campaign=demand-foreca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demand-forecast"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15.2"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16 of 16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Forecast Log'!A1" tooltip="Go to Forecast Log" display="Forecast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Demand Forecast&amp;R&amp;8&amp;A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25"/>
  <sheetViews>
    <sheetView showGridLines="0" workbookViewId="0"/>
  </sheetViews>
  <sheetFormatPr defaultRowHeight="15"/>
  <cols>
    <col min="1" max="1" width="2.7109375" customWidth="1"/>
    <col min="2" max="2" width="32.7109375" customWidth="1"/>
    <col min="3" max="3" width="14.7109375" customWidth="1"/>
    <col min="4" max="4" width="10.7109375" customWidth="1"/>
    <col min="5" max="5" width="30.7109375" customWidth="1"/>
    <col min="6" max="6" width="26.7109375" customWidth="1"/>
  </cols>
  <sheetData>
    <row r="1" spans="1:6" ht="30" customHeight="1">
      <c r="A1" s="1" t="s">
        <v>0</v>
      </c>
      <c r="B1" s="1"/>
      <c r="C1" s="1"/>
      <c r="D1" s="1"/>
      <c r="E1" s="1"/>
      <c r="F1" s="1"/>
    </row>
    <row r="2" spans="1:6" ht="21" customHeight="1">
      <c r="B2" s="2" t="s">
        <v>18</v>
      </c>
      <c r="C2" s="2"/>
      <c r="D2" s="2"/>
      <c r="E2" s="2"/>
      <c r="F2" s="3" t="s">
        <v>2</v>
      </c>
    </row>
    <row r="3" spans="1:6" ht="6" customHeight="1"/>
    <row r="4" spans="1:6" ht="21" customHeight="1">
      <c r="B4" s="8" t="s">
        <v>64</v>
      </c>
      <c r="C4" s="8"/>
      <c r="D4" s="8"/>
      <c r="E4" s="8"/>
      <c r="F4" s="8"/>
    </row>
    <row r="5" spans="1:6" ht="5" customHeight="1"/>
    <row r="6" spans="1:6">
      <c r="B6" s="27" t="s">
        <v>65</v>
      </c>
      <c r="C6" s="28" t="s">
        <v>66</v>
      </c>
      <c r="D6" s="28"/>
    </row>
    <row r="7" spans="1:6">
      <c r="B7" s="27" t="s">
        <v>67</v>
      </c>
      <c r="C7" s="29">
        <v>0.2</v>
      </c>
      <c r="D7" s="7" t="s">
        <v>68</v>
      </c>
    </row>
    <row r="8" spans="1:6">
      <c r="B8" s="27" t="s">
        <v>69</v>
      </c>
      <c r="C8" s="30">
        <v>0.8</v>
      </c>
      <c r="D8" s="7" t="s">
        <v>70</v>
      </c>
    </row>
    <row r="9" spans="1:6">
      <c r="B9" s="27" t="s">
        <v>71</v>
      </c>
      <c r="C9" s="30">
        <v>0.85</v>
      </c>
      <c r="D9" s="7" t="s">
        <v>70</v>
      </c>
    </row>
    <row r="10" spans="1:6">
      <c r="B10" s="27" t="s">
        <v>72</v>
      </c>
      <c r="C10" s="31">
        <v>3</v>
      </c>
      <c r="D10" s="7" t="s">
        <v>73</v>
      </c>
    </row>
    <row r="12" spans="1:6" ht="35.4" customHeight="1">
      <c r="B12" s="25" t="s">
        <v>74</v>
      </c>
      <c r="C12" s="25"/>
      <c r="D12" s="25"/>
      <c r="E12" s="25"/>
      <c r="F12" s="25"/>
    </row>
    <row r="14" spans="1:6" ht="21" customHeight="1">
      <c r="B14" s="8" t="s">
        <v>75</v>
      </c>
      <c r="C14" s="8"/>
      <c r="D14" s="8"/>
      <c r="E14" s="8"/>
      <c r="F14" s="8"/>
    </row>
    <row r="15" spans="1:6" ht="5" customHeight="1"/>
    <row r="16" spans="1:6">
      <c r="B16" s="32" t="s">
        <v>76</v>
      </c>
      <c r="C16" s="32"/>
      <c r="D16" s="32"/>
      <c r="E16" s="32"/>
    </row>
    <row r="17" spans="2:5" ht="20" customHeight="1">
      <c r="B17" s="33" t="s">
        <v>60</v>
      </c>
      <c r="C17" s="33" t="s">
        <v>61</v>
      </c>
      <c r="D17" s="33" t="s">
        <v>62</v>
      </c>
      <c r="E17" s="33" t="s">
        <v>63</v>
      </c>
    </row>
    <row r="18" spans="2:5">
      <c r="B18" s="28" t="s">
        <v>77</v>
      </c>
      <c r="C18" s="28" t="s">
        <v>78</v>
      </c>
      <c r="D18" s="28" t="s">
        <v>79</v>
      </c>
      <c r="E18" s="28" t="s">
        <v>80</v>
      </c>
    </row>
    <row r="19" spans="2:5">
      <c r="B19" s="28" t="s">
        <v>81</v>
      </c>
      <c r="C19" s="28" t="s">
        <v>82</v>
      </c>
      <c r="D19" s="28" t="s">
        <v>79</v>
      </c>
      <c r="E19" s="28" t="s">
        <v>80</v>
      </c>
    </row>
    <row r="20" spans="2:5">
      <c r="B20" s="28" t="s">
        <v>83</v>
      </c>
      <c r="C20" s="28" t="s">
        <v>84</v>
      </c>
      <c r="D20" s="28" t="s">
        <v>85</v>
      </c>
      <c r="E20" s="28" t="s">
        <v>86</v>
      </c>
    </row>
    <row r="21" spans="2:5">
      <c r="B21" s="28" t="s">
        <v>87</v>
      </c>
      <c r="C21" s="28" t="s">
        <v>88</v>
      </c>
      <c r="D21" s="28" t="s">
        <v>89</v>
      </c>
      <c r="E21" s="28" t="s">
        <v>90</v>
      </c>
    </row>
    <row r="22" spans="2:5">
      <c r="B22" s="28" t="s">
        <v>91</v>
      </c>
      <c r="C22" s="28" t="s">
        <v>92</v>
      </c>
      <c r="D22" s="28" t="s">
        <v>89</v>
      </c>
      <c r="E22" s="28" t="s">
        <v>90</v>
      </c>
    </row>
    <row r="23" spans="2:5">
      <c r="B23" s="28" t="s">
        <v>93</v>
      </c>
      <c r="C23" s="28" t="s">
        <v>94</v>
      </c>
      <c r="D23" s="28" t="s">
        <v>95</v>
      </c>
      <c r="E23" s="28" t="s">
        <v>96</v>
      </c>
    </row>
    <row r="24" spans="2:5">
      <c r="B24" s="28" t="s">
        <v>97</v>
      </c>
      <c r="C24" s="28" t="s">
        <v>98</v>
      </c>
      <c r="D24" s="28" t="s">
        <v>99</v>
      </c>
      <c r="E24" s="28" t="s">
        <v>100</v>
      </c>
    </row>
    <row r="25" spans="2:5">
      <c r="B25" s="28" t="s">
        <v>101</v>
      </c>
      <c r="C25" s="28" t="s">
        <v>102</v>
      </c>
      <c r="D25" s="28" t="s">
        <v>103</v>
      </c>
      <c r="E25" s="28" t="s">
        <v>104</v>
      </c>
    </row>
  </sheetData>
  <mergeCells count="7">
    <mergeCell ref="A1:F1"/>
    <mergeCell ref="B2:E2"/>
    <mergeCell ref="B4:F4"/>
    <mergeCell ref="C6:D6"/>
    <mergeCell ref="B12:F12"/>
    <mergeCell ref="B14:F14"/>
    <mergeCell ref="B16:E16"/>
  </mergeCells>
  <dataValidations count="9">
    <dataValidation type="textLength" allowBlank="1" showInputMessage="1" showErrorMessage="1" errorTitle="Check this entry" error="Text up to 80 characters." promptTitle="Company or plant" prompt="Text up to 80 characters." sqref="C6">
      <formula1>0</formula1>
      <formula2>80</formula2>
    </dataValidation>
    <dataValidation type="decimal" allowBlank="1" showInputMessage="1" showErrorMessage="1" errorTitle="Check this entry" error="Enter a percentage from 0% to 100% (type 85% or 0.85)." promptTitle="Tolerance band (+/-)" prompt="A month is within tolerance when |forecast - actual| &lt;= this share of actual. 20% means 80 to 120 units are a hit when 100 sell. Enter a percentage from 0% to 100% (type 85% or 0.85)." sqref="C7">
      <formula1>0</formula1>
      <formula2>1</formula2>
    </dataValidation>
    <dataValidation type="decimal" allowBlank="1" showInputMessage="1" showErrorMessage="1" errorTitle="Check this entry" error="Enter a percentage from 0% to 100% (type 85% or 0.85)." promptTitle="Forecast accuracy target (1 -..." prompt="Your own target for 1 - (sum of absolute errors / sum of actuals). Enter a percentage from 0% to 100% (type 85% or 0.85)." sqref="C8">
      <formula1>0</formula1>
      <formula2>1</formula2>
    </dataValidation>
    <dataValidation type="decimal" allowBlank="1" showInputMessage="1" showErrorMessage="1" errorTitle="Check this entry" error="Enter a percentage from 0% to 100% (type 85% or 0.85)." promptTitle="Hit-rate target" prompt="Your own target for the share of SKU-months within the tolerance band. Enter a percentage from 0% to 100% (type 85% or 0.85)." sqref="C9">
      <formula1>0</formula1>
      <formula2>1</formula2>
    </dataValidation>
    <dataValidation type="whole" allowBlank="1" showInputMessage="1" showErrorMessage="1" errorTitle="Check this entry" error="Enter a whole number from 1 to 12." promptTitle="Baseline: moving average of" prompt="The naive baseline for each SKU-month is the average actual of this many previous closed months. Forecast value added compares your forecast with it. Enter a whole number from 1 to 12." sqref="C10">
      <formula1>1</formula1>
      <formula2>12</formula2>
    </dataValidation>
    <dataValidation type="textLength" allowBlank="1" showInputMessage="1" showErrorMessage="1" errorTitle="Check this entry" error="Text up to 40 characters." promptTitle="SKU" prompt="Text up to 40 characters." sqref="B18:B125">
      <formula1>0</formula1>
      <formula2>40</formula2>
    </dataValidation>
    <dataValidation type="textLength" allowBlank="1" showInputMessage="1" showErrorMessage="1" errorTitle="Check this entry" error="Text up to 80 characters." promptTitle="Description" prompt="Text up to 80 characters." sqref="C18:C125">
      <formula1>0</formula1>
      <formula2>80</formula2>
    </dataValidation>
    <dataValidation type="textLength" allowBlank="1" showInputMessage="1" showErrorMessage="1" errorTitle="Check this entry" error="Text up to 40 characters." promptTitle="Family" prompt="Text up to 40 characters." sqref="D18:D125">
      <formula1>0</formula1>
      <formula2>40</formula2>
    </dataValidation>
    <dataValidation type="textLength" allowBlank="1" showInputMessage="1" showErrorMessage="1" errorTitle="Check this entry" error="Text up to 120 characters." promptTitle="Notes" prompt="Text up to 120 characters." sqref="E18:E125">
      <formula1>0</formula1>
      <formula2>120</formula2>
    </dataValidation>
  </dataValidations>
  <hyperlinks>
    <hyperlink ref="F2" r:id="rId1" tooltip="Free manufacturing calculators and templates"/>
  </hyperlinks>
  <pageMargins left="0.4" right="0.4" top="0.7" bottom="0.65" header="0.3" footer="0.3"/>
  <pageSetup fitToHeight="0" orientation="landscape"/>
  <headerFooter>
    <oddHeader>&amp;L&amp;8MFG Calcs - Demand Forecast&amp;R&amp;8&amp;A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N11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2.28515625" customWidth="1"/>
    <col min="3" max="5" width="10.7109375" customWidth="1"/>
    <col min="6" max="7" width="10.28515625" customWidth="1"/>
    <col min="8" max="8" width="9.7109375" customWidth="1"/>
    <col min="9" max="10" width="10.7109375" customWidth="1"/>
    <col min="11" max="11" width="11.28515625" customWidth="1"/>
    <col min="12" max="12" width="12.28515625" customWidth="1"/>
    <col min="13" max="13" width="22.7109375" customWidth="1"/>
    <col min="14" max="14" width="24.7109375" customWidth="1"/>
  </cols>
  <sheetData>
    <row r="1" spans="1:14" ht="30" customHeight="1">
      <c r="A1" s="1" t="s">
        <v>0</v>
      </c>
      <c r="B1" s="1"/>
      <c r="C1" s="1"/>
      <c r="D1" s="1"/>
      <c r="E1" s="1"/>
      <c r="F1" s="1"/>
      <c r="G1" s="1"/>
      <c r="H1" s="1"/>
      <c r="I1" s="1"/>
      <c r="J1" s="1"/>
      <c r="K1" s="1"/>
      <c r="L1" s="1"/>
      <c r="M1" s="1"/>
      <c r="N1" s="1"/>
    </row>
    <row r="2" spans="1:14" ht="21" customHeight="1">
      <c r="B2" s="2" t="s">
        <v>20</v>
      </c>
      <c r="C2" s="2"/>
      <c r="D2" s="2"/>
      <c r="E2" s="2"/>
      <c r="F2" s="2"/>
      <c r="G2" s="2"/>
      <c r="H2" s="2"/>
      <c r="I2" s="2"/>
      <c r="J2" s="2"/>
      <c r="K2" s="2"/>
      <c r="L2" s="2"/>
      <c r="M2" s="2"/>
      <c r="N2" s="3" t="s">
        <v>2</v>
      </c>
    </row>
    <row r="3" spans="1:14" ht="6" customHeight="1"/>
    <row r="4" spans="1:14" ht="29.76" customHeight="1">
      <c r="B4" s="34" t="s">
        <v>116</v>
      </c>
      <c r="C4" s="34"/>
      <c r="D4" s="34"/>
      <c r="E4" s="34"/>
      <c r="F4" s="34"/>
      <c r="G4" s="34"/>
      <c r="H4" s="34"/>
      <c r="I4" s="34"/>
      <c r="J4" s="34"/>
      <c r="K4" s="34"/>
      <c r="L4" s="34"/>
      <c r="M4" s="34"/>
      <c r="N4" s="34"/>
    </row>
    <row r="5" spans="1:14" ht="45.5" customHeight="1">
      <c r="B5" s="33" t="s">
        <v>105</v>
      </c>
      <c r="C5" s="33" t="s">
        <v>60</v>
      </c>
      <c r="D5" s="33" t="s">
        <v>106</v>
      </c>
      <c r="E5" s="33" t="s">
        <v>107</v>
      </c>
      <c r="F5" s="33" t="s">
        <v>108</v>
      </c>
      <c r="G5" s="33" t="s">
        <v>109</v>
      </c>
      <c r="H5" s="33" t="s">
        <v>110</v>
      </c>
      <c r="I5" s="33" t="s">
        <v>111</v>
      </c>
      <c r="J5" s="33" t="s">
        <v>112</v>
      </c>
      <c r="K5" s="33" t="s">
        <v>113</v>
      </c>
      <c r="L5" s="33" t="s">
        <v>114</v>
      </c>
      <c r="M5" s="33" t="s">
        <v>115</v>
      </c>
      <c r="N5" s="33" t="s">
        <v>63</v>
      </c>
    </row>
    <row r="6" spans="1:14">
      <c r="B6" s="35">
        <v>45931</v>
      </c>
      <c r="C6" s="28" t="s">
        <v>77</v>
      </c>
      <c r="D6" s="31">
        <v>1160</v>
      </c>
      <c r="E6" s="31">
        <v>1082</v>
      </c>
      <c r="F6" s="36">
        <f>IF(tblForecasts[[#This Row],[Month]]="","",IF(tblForecasts[[#This Row],[Actual (units)]]="","",tblForecasts[[#This Row],[Forecast (units)]]-tblForecasts[[#This Row],[Actual (units)]]))</f>
        <v>78</v>
      </c>
      <c r="G6" s="37">
        <f>IF(tblForecasts[[#This Row],[Month]]="","",IF(tblForecasts[[#This Row],[Actual (units)]]="","",ABS(tblForecasts[[#This Row],[Forecast (units)]]-tblForecasts[[#This Row],[Actual (units)]])))</f>
        <v>78</v>
      </c>
      <c r="H6" s="38">
        <f>IF(tblForecasts[[#This Row],[Month]]="","",IF(OR(tblForecasts[[#This Row],[Actual (units)]]="",tblForecasts[[#This Row],[Actual (units)]]=0),"",ABS(tblForecasts[[#This Row],[Forecast (units)]]-tblForecasts[[#This Row],[Actual (units)]])/tblForecasts[[#This Row],[Actual (units)]]))</f>
        <v>0.0720887245841035</v>
      </c>
      <c r="I6" s="39" t="str">
        <f>IF(tblForecasts[[#This Row],[Month]]="","",IF(tblForecasts[[#This Row],[Actual (units)]]="","",IF(ABS(tblForecasts[[#This Row],[Forecast (units)]]-tblForecasts[[#This Row],[Actual (units)]])&lt;=Tolerance*tblForecasts[[#This Row],[Actual (units)]],"Yes","No")))</f>
        <v>Yes</v>
      </c>
      <c r="J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6" s="40">
        <f>IF(tblForecasts[[#This Row],[Month]]="","",IF(OR(tblForecasts[[#This Row],[Actual (units)]]="",NOT(ISNUMBER(tblForecasts[[#This Row],[Baseline (units)]]))),"",ABS(tblForecasts[[#This Row],[Baseline (units)]]-tblForecasts[[#This Row],[Actual (units)]])))</f>
        <v/>
      </c>
      <c r="L6" s="41">
        <f>IF(tblForecasts[[#This Row],[Month]]="","",IF(AND(tblForecasts[[#This Row],[Month]]&gt;=FFrom,tblForecasts[[#This Row],[Month]]&lt;=FTo,OR(DashSku="",tblForecasts[[#This Row],[SKU]]=DashSku)),tblForecasts[[#This Row],[Month]],""))</f>
        <v>45931</v>
      </c>
      <c r="M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 s="28" t="s">
        <v>117</v>
      </c>
    </row>
    <row r="7" spans="1:14">
      <c r="B7" s="35">
        <v>45931</v>
      </c>
      <c r="C7" s="28" t="s">
        <v>81</v>
      </c>
      <c r="D7" s="31">
        <v>770</v>
      </c>
      <c r="E7" s="31">
        <v>836</v>
      </c>
      <c r="F7" s="36">
        <f>IF(tblForecasts[[#This Row],[Month]]="","",IF(tblForecasts[[#This Row],[Actual (units)]]="","",tblForecasts[[#This Row],[Forecast (units)]]-tblForecasts[[#This Row],[Actual (units)]]))</f>
        <v>-66</v>
      </c>
      <c r="G7" s="37">
        <f>IF(tblForecasts[[#This Row],[Month]]="","",IF(tblForecasts[[#This Row],[Actual (units)]]="","",ABS(tblForecasts[[#This Row],[Forecast (units)]]-tblForecasts[[#This Row],[Actual (units)]])))</f>
        <v>66</v>
      </c>
      <c r="H7" s="38">
        <f>IF(tblForecasts[[#This Row],[Month]]="","",IF(OR(tblForecasts[[#This Row],[Actual (units)]]="",tblForecasts[[#This Row],[Actual (units)]]=0),"",ABS(tblForecasts[[#This Row],[Forecast (units)]]-tblForecasts[[#This Row],[Actual (units)]])/tblForecasts[[#This Row],[Actual (units)]]))</f>
        <v>0.0789473684210526</v>
      </c>
      <c r="I7" s="39" t="str">
        <f>IF(tblForecasts[[#This Row],[Month]]="","",IF(tblForecasts[[#This Row],[Actual (units)]]="","",IF(ABS(tblForecasts[[#This Row],[Forecast (units)]]-tblForecasts[[#This Row],[Actual (units)]])&lt;=Tolerance*tblForecasts[[#This Row],[Actual (units)]],"Yes","No")))</f>
        <v>Yes</v>
      </c>
      <c r="J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7" s="40">
        <f>IF(tblForecasts[[#This Row],[Month]]="","",IF(OR(tblForecasts[[#This Row],[Actual (units)]]="",NOT(ISNUMBER(tblForecasts[[#This Row],[Baseline (units)]]))),"",ABS(tblForecasts[[#This Row],[Baseline (units)]]-tblForecasts[[#This Row],[Actual (units)]])))</f>
        <v/>
      </c>
      <c r="L7" s="41">
        <f>IF(tblForecasts[[#This Row],[Month]]="","",IF(AND(tblForecasts[[#This Row],[Month]]&gt;=FFrom,tblForecasts[[#This Row],[Month]]&lt;=FTo,OR(DashSku="",tblForecasts[[#This Row],[SKU]]=DashSku)),tblForecasts[[#This Row],[Month]],""))</f>
        <v>45931</v>
      </c>
      <c r="M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 s="28" t="s">
        <v>117</v>
      </c>
    </row>
    <row r="8" spans="1:14">
      <c r="B8" s="35">
        <v>45931</v>
      </c>
      <c r="C8" s="28" t="s">
        <v>83</v>
      </c>
      <c r="D8" s="31">
        <v>170</v>
      </c>
      <c r="E8" s="31">
        <v>147</v>
      </c>
      <c r="F8" s="36">
        <f>IF(tblForecasts[[#This Row],[Month]]="","",IF(tblForecasts[[#This Row],[Actual (units)]]="","",tblForecasts[[#This Row],[Forecast (units)]]-tblForecasts[[#This Row],[Actual (units)]]))</f>
        <v>23</v>
      </c>
      <c r="G8" s="37">
        <f>IF(tblForecasts[[#This Row],[Month]]="","",IF(tblForecasts[[#This Row],[Actual (units)]]="","",ABS(tblForecasts[[#This Row],[Forecast (units)]]-tblForecasts[[#This Row],[Actual (units)]])))</f>
        <v>23</v>
      </c>
      <c r="H8" s="38">
        <f>IF(tblForecasts[[#This Row],[Month]]="","",IF(OR(tblForecasts[[#This Row],[Actual (units)]]="",tblForecasts[[#This Row],[Actual (units)]]=0),"",ABS(tblForecasts[[#This Row],[Forecast (units)]]-tblForecasts[[#This Row],[Actual (units)]])/tblForecasts[[#This Row],[Actual (units)]]))</f>
        <v>0.156462585034014</v>
      </c>
      <c r="I8" s="39" t="str">
        <f>IF(tblForecasts[[#This Row],[Month]]="","",IF(tblForecasts[[#This Row],[Actual (units)]]="","",IF(ABS(tblForecasts[[#This Row],[Forecast (units)]]-tblForecasts[[#This Row],[Actual (units)]])&lt;=Tolerance*tblForecasts[[#This Row],[Actual (units)]],"Yes","No")))</f>
        <v>Yes</v>
      </c>
      <c r="J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8" s="40">
        <f>IF(tblForecasts[[#This Row],[Month]]="","",IF(OR(tblForecasts[[#This Row],[Actual (units)]]="",NOT(ISNUMBER(tblForecasts[[#This Row],[Baseline (units)]]))),"",ABS(tblForecasts[[#This Row],[Baseline (units)]]-tblForecasts[[#This Row],[Actual (units)]])))</f>
        <v/>
      </c>
      <c r="L8" s="41">
        <f>IF(tblForecasts[[#This Row],[Month]]="","",IF(AND(tblForecasts[[#This Row],[Month]]&gt;=FFrom,tblForecasts[[#This Row],[Month]]&lt;=FTo,OR(DashSku="",tblForecasts[[#This Row],[SKU]]=DashSku)),tblForecasts[[#This Row],[Month]],""))</f>
        <v>45931</v>
      </c>
      <c r="M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 s="28" t="s">
        <v>117</v>
      </c>
    </row>
    <row r="9" spans="1:14">
      <c r="B9" s="35">
        <v>45931</v>
      </c>
      <c r="C9" s="28" t="s">
        <v>87</v>
      </c>
      <c r="D9" s="31">
        <v>320</v>
      </c>
      <c r="E9" s="31">
        <v>306</v>
      </c>
      <c r="F9" s="36">
        <f>IF(tblForecasts[[#This Row],[Month]]="","",IF(tblForecasts[[#This Row],[Actual (units)]]="","",tblForecasts[[#This Row],[Forecast (units)]]-tblForecasts[[#This Row],[Actual (units)]]))</f>
        <v>14</v>
      </c>
      <c r="G9" s="37">
        <f>IF(tblForecasts[[#This Row],[Month]]="","",IF(tblForecasts[[#This Row],[Actual (units)]]="","",ABS(tblForecasts[[#This Row],[Forecast (units)]]-tblForecasts[[#This Row],[Actual (units)]])))</f>
        <v>14</v>
      </c>
      <c r="H9" s="38">
        <f>IF(tblForecasts[[#This Row],[Month]]="","",IF(OR(tblForecasts[[#This Row],[Actual (units)]]="",tblForecasts[[#This Row],[Actual (units)]]=0),"",ABS(tblForecasts[[#This Row],[Forecast (units)]]-tblForecasts[[#This Row],[Actual (units)]])/tblForecasts[[#This Row],[Actual (units)]]))</f>
        <v>0.0457516339869281</v>
      </c>
      <c r="I9" s="39" t="str">
        <f>IF(tblForecasts[[#This Row],[Month]]="","",IF(tblForecasts[[#This Row],[Actual (units)]]="","",IF(ABS(tblForecasts[[#This Row],[Forecast (units)]]-tblForecasts[[#This Row],[Actual (units)]])&lt;=Tolerance*tblForecasts[[#This Row],[Actual (units)]],"Yes","No")))</f>
        <v>Yes</v>
      </c>
      <c r="J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9" s="40">
        <f>IF(tblForecasts[[#This Row],[Month]]="","",IF(OR(tblForecasts[[#This Row],[Actual (units)]]="",NOT(ISNUMBER(tblForecasts[[#This Row],[Baseline (units)]]))),"",ABS(tblForecasts[[#This Row],[Baseline (units)]]-tblForecasts[[#This Row],[Actual (units)]])))</f>
        <v/>
      </c>
      <c r="L9" s="41">
        <f>IF(tblForecasts[[#This Row],[Month]]="","",IF(AND(tblForecasts[[#This Row],[Month]]&gt;=FFrom,tblForecasts[[#This Row],[Month]]&lt;=FTo,OR(DashSku="",tblForecasts[[#This Row],[SKU]]=DashSku)),tblForecasts[[#This Row],[Month]],""))</f>
        <v>45931</v>
      </c>
      <c r="M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 s="28" t="s">
        <v>117</v>
      </c>
    </row>
    <row r="10" spans="1:14">
      <c r="B10" s="35">
        <v>45931</v>
      </c>
      <c r="C10" s="28" t="s">
        <v>91</v>
      </c>
      <c r="D10" s="31">
        <v>170</v>
      </c>
      <c r="E10" s="31">
        <v>146</v>
      </c>
      <c r="F10" s="36">
        <f>IF(tblForecasts[[#This Row],[Month]]="","",IF(tblForecasts[[#This Row],[Actual (units)]]="","",tblForecasts[[#This Row],[Forecast (units)]]-tblForecasts[[#This Row],[Actual (units)]]))</f>
        <v>24</v>
      </c>
      <c r="G10" s="37">
        <f>IF(tblForecasts[[#This Row],[Month]]="","",IF(tblForecasts[[#This Row],[Actual (units)]]="","",ABS(tblForecasts[[#This Row],[Forecast (units)]]-tblForecasts[[#This Row],[Actual (units)]])))</f>
        <v>24</v>
      </c>
      <c r="H10" s="38">
        <f>IF(tblForecasts[[#This Row],[Month]]="","",IF(OR(tblForecasts[[#This Row],[Actual (units)]]="",tblForecasts[[#This Row],[Actual (units)]]=0),"",ABS(tblForecasts[[#This Row],[Forecast (units)]]-tblForecasts[[#This Row],[Actual (units)]])/tblForecasts[[#This Row],[Actual (units)]]))</f>
        <v>0.164383561643836</v>
      </c>
      <c r="I10" s="39" t="str">
        <f>IF(tblForecasts[[#This Row],[Month]]="","",IF(tblForecasts[[#This Row],[Actual (units)]]="","",IF(ABS(tblForecasts[[#This Row],[Forecast (units)]]-tblForecasts[[#This Row],[Actual (units)]])&lt;=Tolerance*tblForecasts[[#This Row],[Actual (units)]],"Yes","No")))</f>
        <v>Yes</v>
      </c>
      <c r="J1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0" s="40">
        <f>IF(tblForecasts[[#This Row],[Month]]="","",IF(OR(tblForecasts[[#This Row],[Actual (units)]]="",NOT(ISNUMBER(tblForecasts[[#This Row],[Baseline (units)]]))),"",ABS(tblForecasts[[#This Row],[Baseline (units)]]-tblForecasts[[#This Row],[Actual (units)]])))</f>
        <v/>
      </c>
      <c r="L10" s="41">
        <f>IF(tblForecasts[[#This Row],[Month]]="","",IF(AND(tblForecasts[[#This Row],[Month]]&gt;=FFrom,tblForecasts[[#This Row],[Month]]&lt;=FTo,OR(DashSku="",tblForecasts[[#This Row],[SKU]]=DashSku)),tblForecasts[[#This Row],[Month]],""))</f>
        <v>45931</v>
      </c>
      <c r="M1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 s="28" t="s">
        <v>117</v>
      </c>
    </row>
    <row r="11" spans="1:14">
      <c r="B11" s="35">
        <v>45931</v>
      </c>
      <c r="C11" s="28" t="s">
        <v>93</v>
      </c>
      <c r="D11" s="31">
        <v>470</v>
      </c>
      <c r="E11" s="31">
        <v>436</v>
      </c>
      <c r="F11" s="36">
        <f>IF(tblForecasts[[#This Row],[Month]]="","",IF(tblForecasts[[#This Row],[Actual (units)]]="","",tblForecasts[[#This Row],[Forecast (units)]]-tblForecasts[[#This Row],[Actual (units)]]))</f>
        <v>34</v>
      </c>
      <c r="G11" s="37">
        <f>IF(tblForecasts[[#This Row],[Month]]="","",IF(tblForecasts[[#This Row],[Actual (units)]]="","",ABS(tblForecasts[[#This Row],[Forecast (units)]]-tblForecasts[[#This Row],[Actual (units)]])))</f>
        <v>34</v>
      </c>
      <c r="H11" s="38">
        <f>IF(tblForecasts[[#This Row],[Month]]="","",IF(OR(tblForecasts[[#This Row],[Actual (units)]]="",tblForecasts[[#This Row],[Actual (units)]]=0),"",ABS(tblForecasts[[#This Row],[Forecast (units)]]-tblForecasts[[#This Row],[Actual (units)]])/tblForecasts[[#This Row],[Actual (units)]]))</f>
        <v>0.0779816513761468</v>
      </c>
      <c r="I11" s="39" t="str">
        <f>IF(tblForecasts[[#This Row],[Month]]="","",IF(tblForecasts[[#This Row],[Actual (units)]]="","",IF(ABS(tblForecasts[[#This Row],[Forecast (units)]]-tblForecasts[[#This Row],[Actual (units)]])&lt;=Tolerance*tblForecasts[[#This Row],[Actual (units)]],"Yes","No")))</f>
        <v>Yes</v>
      </c>
      <c r="J1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 s="40">
        <f>IF(tblForecasts[[#This Row],[Month]]="","",IF(OR(tblForecasts[[#This Row],[Actual (units)]]="",NOT(ISNUMBER(tblForecasts[[#This Row],[Baseline (units)]]))),"",ABS(tblForecasts[[#This Row],[Baseline (units)]]-tblForecasts[[#This Row],[Actual (units)]])))</f>
        <v/>
      </c>
      <c r="L11" s="41">
        <f>IF(tblForecasts[[#This Row],[Month]]="","",IF(AND(tblForecasts[[#This Row],[Month]]&gt;=FFrom,tblForecasts[[#This Row],[Month]]&lt;=FTo,OR(DashSku="",tblForecasts[[#This Row],[SKU]]=DashSku)),tblForecasts[[#This Row],[Month]],""))</f>
        <v>45931</v>
      </c>
      <c r="M1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 s="28" t="s">
        <v>117</v>
      </c>
    </row>
    <row r="12" spans="1:14">
      <c r="B12" s="35">
        <v>45931</v>
      </c>
      <c r="C12" s="28" t="s">
        <v>101</v>
      </c>
      <c r="D12" s="31">
        <v>70</v>
      </c>
      <c r="E12" s="31">
        <v>86</v>
      </c>
      <c r="F12" s="36">
        <f>IF(tblForecasts[[#This Row],[Month]]="","",IF(tblForecasts[[#This Row],[Actual (units)]]="","",tblForecasts[[#This Row],[Forecast (units)]]-tblForecasts[[#This Row],[Actual (units)]]))</f>
        <v>-16</v>
      </c>
      <c r="G12" s="37">
        <f>IF(tblForecasts[[#This Row],[Month]]="","",IF(tblForecasts[[#This Row],[Actual (units)]]="","",ABS(tblForecasts[[#This Row],[Forecast (units)]]-tblForecasts[[#This Row],[Actual (units)]])))</f>
        <v>16</v>
      </c>
      <c r="H12" s="38">
        <f>IF(tblForecasts[[#This Row],[Month]]="","",IF(OR(tblForecasts[[#This Row],[Actual (units)]]="",tblForecasts[[#This Row],[Actual (units)]]=0),"",ABS(tblForecasts[[#This Row],[Forecast (units)]]-tblForecasts[[#This Row],[Actual (units)]])/tblForecasts[[#This Row],[Actual (units)]]))</f>
        <v>0.186046511627907</v>
      </c>
      <c r="I12" s="39" t="str">
        <f>IF(tblForecasts[[#This Row],[Month]]="","",IF(tblForecasts[[#This Row],[Actual (units)]]="","",IF(ABS(tblForecasts[[#This Row],[Forecast (units)]]-tblForecasts[[#This Row],[Actual (units)]])&lt;=Tolerance*tblForecasts[[#This Row],[Actual (units)]],"Yes","No")))</f>
        <v>Yes</v>
      </c>
      <c r="J1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2" s="40">
        <f>IF(tblForecasts[[#This Row],[Month]]="","",IF(OR(tblForecasts[[#This Row],[Actual (units)]]="",NOT(ISNUMBER(tblForecasts[[#This Row],[Baseline (units)]]))),"",ABS(tblForecasts[[#This Row],[Baseline (units)]]-tblForecasts[[#This Row],[Actual (units)]])))</f>
        <v/>
      </c>
      <c r="L12" s="41">
        <f>IF(tblForecasts[[#This Row],[Month]]="","",IF(AND(tblForecasts[[#This Row],[Month]]&gt;=FFrom,tblForecasts[[#This Row],[Month]]&lt;=FTo,OR(DashSku="",tblForecasts[[#This Row],[SKU]]=DashSku)),tblForecasts[[#This Row],[Month]],""))</f>
        <v>45931</v>
      </c>
      <c r="M1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2" s="28" t="s">
        <v>117</v>
      </c>
    </row>
    <row r="13" spans="1:14">
      <c r="B13" s="35">
        <v>45962</v>
      </c>
      <c r="C13" s="28" t="s">
        <v>77</v>
      </c>
      <c r="D13" s="31">
        <v>1290</v>
      </c>
      <c r="E13" s="31">
        <v>1319</v>
      </c>
      <c r="F13" s="36">
        <f>IF(tblForecasts[[#This Row],[Month]]="","",IF(tblForecasts[[#This Row],[Actual (units)]]="","",tblForecasts[[#This Row],[Forecast (units)]]-tblForecasts[[#This Row],[Actual (units)]]))</f>
        <v>-29</v>
      </c>
      <c r="G13" s="37">
        <f>IF(tblForecasts[[#This Row],[Month]]="","",IF(tblForecasts[[#This Row],[Actual (units)]]="","",ABS(tblForecasts[[#This Row],[Forecast (units)]]-tblForecasts[[#This Row],[Actual (units)]])))</f>
        <v>29</v>
      </c>
      <c r="H13" s="38">
        <f>IF(tblForecasts[[#This Row],[Month]]="","",IF(OR(tblForecasts[[#This Row],[Actual (units)]]="",tblForecasts[[#This Row],[Actual (units)]]=0),"",ABS(tblForecasts[[#This Row],[Forecast (units)]]-tblForecasts[[#This Row],[Actual (units)]])/tblForecasts[[#This Row],[Actual (units)]]))</f>
        <v>0.021986353297953</v>
      </c>
      <c r="I13" s="39" t="str">
        <f>IF(tblForecasts[[#This Row],[Month]]="","",IF(tblForecasts[[#This Row],[Actual (units)]]="","",IF(ABS(tblForecasts[[#This Row],[Forecast (units)]]-tblForecasts[[#This Row],[Actual (units)]])&lt;=Tolerance*tblForecasts[[#This Row],[Actual (units)]],"Yes","No")))</f>
        <v>Yes</v>
      </c>
      <c r="J1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3" s="40">
        <f>IF(tblForecasts[[#This Row],[Month]]="","",IF(OR(tblForecasts[[#This Row],[Actual (units)]]="",NOT(ISNUMBER(tblForecasts[[#This Row],[Baseline (units)]]))),"",ABS(tblForecasts[[#This Row],[Baseline (units)]]-tblForecasts[[#This Row],[Actual (units)]])))</f>
        <v/>
      </c>
      <c r="L13" s="41">
        <f>IF(tblForecasts[[#This Row],[Month]]="","",IF(AND(tblForecasts[[#This Row],[Month]]&gt;=FFrom,tblForecasts[[#This Row],[Month]]&lt;=FTo,OR(DashSku="",tblForecasts[[#This Row],[SKU]]=DashSku)),tblForecasts[[#This Row],[Month]],""))</f>
        <v>45962</v>
      </c>
      <c r="M1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3" s="28" t="s">
        <v>117</v>
      </c>
    </row>
    <row r="14" spans="1:14">
      <c r="B14" s="35">
        <v>45962</v>
      </c>
      <c r="C14" s="28" t="s">
        <v>81</v>
      </c>
      <c r="D14" s="31">
        <v>770</v>
      </c>
      <c r="E14" s="31">
        <v>791</v>
      </c>
      <c r="F14" s="36">
        <f>IF(tblForecasts[[#This Row],[Month]]="","",IF(tblForecasts[[#This Row],[Actual (units)]]="","",tblForecasts[[#This Row],[Forecast (units)]]-tblForecasts[[#This Row],[Actual (units)]]))</f>
        <v>-21</v>
      </c>
      <c r="G14" s="37">
        <f>IF(tblForecasts[[#This Row],[Month]]="","",IF(tblForecasts[[#This Row],[Actual (units)]]="","",ABS(tblForecasts[[#This Row],[Forecast (units)]]-tblForecasts[[#This Row],[Actual (units)]])))</f>
        <v>21</v>
      </c>
      <c r="H14" s="38">
        <f>IF(tblForecasts[[#This Row],[Month]]="","",IF(OR(tblForecasts[[#This Row],[Actual (units)]]="",tblForecasts[[#This Row],[Actual (units)]]=0),"",ABS(tblForecasts[[#This Row],[Forecast (units)]]-tblForecasts[[#This Row],[Actual (units)]])/tblForecasts[[#This Row],[Actual (units)]]))</f>
        <v>0.0265486725663717</v>
      </c>
      <c r="I14" s="39" t="str">
        <f>IF(tblForecasts[[#This Row],[Month]]="","",IF(tblForecasts[[#This Row],[Actual (units)]]="","",IF(ABS(tblForecasts[[#This Row],[Forecast (units)]]-tblForecasts[[#This Row],[Actual (units)]])&lt;=Tolerance*tblForecasts[[#This Row],[Actual (units)]],"Yes","No")))</f>
        <v>Yes</v>
      </c>
      <c r="J1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4" s="40">
        <f>IF(tblForecasts[[#This Row],[Month]]="","",IF(OR(tblForecasts[[#This Row],[Actual (units)]]="",NOT(ISNUMBER(tblForecasts[[#This Row],[Baseline (units)]]))),"",ABS(tblForecasts[[#This Row],[Baseline (units)]]-tblForecasts[[#This Row],[Actual (units)]])))</f>
        <v/>
      </c>
      <c r="L14" s="41">
        <f>IF(tblForecasts[[#This Row],[Month]]="","",IF(AND(tblForecasts[[#This Row],[Month]]&gt;=FFrom,tblForecasts[[#This Row],[Month]]&lt;=FTo,OR(DashSku="",tblForecasts[[#This Row],[SKU]]=DashSku)),tblForecasts[[#This Row],[Month]],""))</f>
        <v>45962</v>
      </c>
      <c r="M1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4" s="28" t="s">
        <v>117</v>
      </c>
    </row>
    <row r="15" spans="1:14">
      <c r="B15" s="35">
        <v>45962</v>
      </c>
      <c r="C15" s="28" t="s">
        <v>83</v>
      </c>
      <c r="D15" s="31">
        <v>150</v>
      </c>
      <c r="E15" s="31">
        <v>175</v>
      </c>
      <c r="F15" s="36">
        <f>IF(tblForecasts[[#This Row],[Month]]="","",IF(tblForecasts[[#This Row],[Actual (units)]]="","",tblForecasts[[#This Row],[Forecast (units)]]-tblForecasts[[#This Row],[Actual (units)]]))</f>
        <v>-25</v>
      </c>
      <c r="G15" s="37">
        <f>IF(tblForecasts[[#This Row],[Month]]="","",IF(tblForecasts[[#This Row],[Actual (units)]]="","",ABS(tblForecasts[[#This Row],[Forecast (units)]]-tblForecasts[[#This Row],[Actual (units)]])))</f>
        <v>25</v>
      </c>
      <c r="H15" s="38">
        <f>IF(tblForecasts[[#This Row],[Month]]="","",IF(OR(tblForecasts[[#This Row],[Actual (units)]]="",tblForecasts[[#This Row],[Actual (units)]]=0),"",ABS(tblForecasts[[#This Row],[Forecast (units)]]-tblForecasts[[#This Row],[Actual (units)]])/tblForecasts[[#This Row],[Actual (units)]]))</f>
        <v>0.142857142857143</v>
      </c>
      <c r="I15" s="39" t="str">
        <f>IF(tblForecasts[[#This Row],[Month]]="","",IF(tblForecasts[[#This Row],[Actual (units)]]="","",IF(ABS(tblForecasts[[#This Row],[Forecast (units)]]-tblForecasts[[#This Row],[Actual (units)]])&lt;=Tolerance*tblForecasts[[#This Row],[Actual (units)]],"Yes","No")))</f>
        <v>Yes</v>
      </c>
      <c r="J1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5" s="40">
        <f>IF(tblForecasts[[#This Row],[Month]]="","",IF(OR(tblForecasts[[#This Row],[Actual (units)]]="",NOT(ISNUMBER(tblForecasts[[#This Row],[Baseline (units)]]))),"",ABS(tblForecasts[[#This Row],[Baseline (units)]]-tblForecasts[[#This Row],[Actual (units)]])))</f>
        <v/>
      </c>
      <c r="L15" s="41">
        <f>IF(tblForecasts[[#This Row],[Month]]="","",IF(AND(tblForecasts[[#This Row],[Month]]&gt;=FFrom,tblForecasts[[#This Row],[Month]]&lt;=FTo,OR(DashSku="",tblForecasts[[#This Row],[SKU]]=DashSku)),tblForecasts[[#This Row],[Month]],""))</f>
        <v>45962</v>
      </c>
      <c r="M1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5" s="28" t="s">
        <v>117</v>
      </c>
    </row>
    <row r="16" spans="1:14">
      <c r="B16" s="35">
        <v>45962</v>
      </c>
      <c r="C16" s="28" t="s">
        <v>87</v>
      </c>
      <c r="D16" s="31">
        <v>320</v>
      </c>
      <c r="E16" s="31">
        <v>364</v>
      </c>
      <c r="F16" s="36">
        <f>IF(tblForecasts[[#This Row],[Month]]="","",IF(tblForecasts[[#This Row],[Actual (units)]]="","",tblForecasts[[#This Row],[Forecast (units)]]-tblForecasts[[#This Row],[Actual (units)]]))</f>
        <v>-44</v>
      </c>
      <c r="G16" s="37">
        <f>IF(tblForecasts[[#This Row],[Month]]="","",IF(tblForecasts[[#This Row],[Actual (units)]]="","",ABS(tblForecasts[[#This Row],[Forecast (units)]]-tblForecasts[[#This Row],[Actual (units)]])))</f>
        <v>44</v>
      </c>
      <c r="H16" s="38">
        <f>IF(tblForecasts[[#This Row],[Month]]="","",IF(OR(tblForecasts[[#This Row],[Actual (units)]]="",tblForecasts[[#This Row],[Actual (units)]]=0),"",ABS(tblForecasts[[#This Row],[Forecast (units)]]-tblForecasts[[#This Row],[Actual (units)]])/tblForecasts[[#This Row],[Actual (units)]]))</f>
        <v>0.120879120879121</v>
      </c>
      <c r="I16" s="39" t="str">
        <f>IF(tblForecasts[[#This Row],[Month]]="","",IF(tblForecasts[[#This Row],[Actual (units)]]="","",IF(ABS(tblForecasts[[#This Row],[Forecast (units)]]-tblForecasts[[#This Row],[Actual (units)]])&lt;=Tolerance*tblForecasts[[#This Row],[Actual (units)]],"Yes","No")))</f>
        <v>Yes</v>
      </c>
      <c r="J1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6" s="40">
        <f>IF(tblForecasts[[#This Row],[Month]]="","",IF(OR(tblForecasts[[#This Row],[Actual (units)]]="",NOT(ISNUMBER(tblForecasts[[#This Row],[Baseline (units)]]))),"",ABS(tblForecasts[[#This Row],[Baseline (units)]]-tblForecasts[[#This Row],[Actual (units)]])))</f>
        <v/>
      </c>
      <c r="L16" s="41">
        <f>IF(tblForecasts[[#This Row],[Month]]="","",IF(AND(tblForecasts[[#This Row],[Month]]&gt;=FFrom,tblForecasts[[#This Row],[Month]]&lt;=FTo,OR(DashSku="",tblForecasts[[#This Row],[SKU]]=DashSku)),tblForecasts[[#This Row],[Month]],""))</f>
        <v>45962</v>
      </c>
      <c r="M1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6" s="28" t="s">
        <v>117</v>
      </c>
    </row>
    <row r="17" spans="2:14">
      <c r="B17" s="35">
        <v>45962</v>
      </c>
      <c r="C17" s="28" t="s">
        <v>91</v>
      </c>
      <c r="D17" s="31">
        <v>180</v>
      </c>
      <c r="E17" s="31">
        <v>167</v>
      </c>
      <c r="F17" s="36">
        <f>IF(tblForecasts[[#This Row],[Month]]="","",IF(tblForecasts[[#This Row],[Actual (units)]]="","",tblForecasts[[#This Row],[Forecast (units)]]-tblForecasts[[#This Row],[Actual (units)]]))</f>
        <v>13</v>
      </c>
      <c r="G17" s="37">
        <f>IF(tblForecasts[[#This Row],[Month]]="","",IF(tblForecasts[[#This Row],[Actual (units)]]="","",ABS(tblForecasts[[#This Row],[Forecast (units)]]-tblForecasts[[#This Row],[Actual (units)]])))</f>
        <v>13</v>
      </c>
      <c r="H17" s="38">
        <f>IF(tblForecasts[[#This Row],[Month]]="","",IF(OR(tblForecasts[[#This Row],[Actual (units)]]="",tblForecasts[[#This Row],[Actual (units)]]=0),"",ABS(tblForecasts[[#This Row],[Forecast (units)]]-tblForecasts[[#This Row],[Actual (units)]])/tblForecasts[[#This Row],[Actual (units)]]))</f>
        <v>0.0778443113772455</v>
      </c>
      <c r="I17" s="39" t="str">
        <f>IF(tblForecasts[[#This Row],[Month]]="","",IF(tblForecasts[[#This Row],[Actual (units)]]="","",IF(ABS(tblForecasts[[#This Row],[Forecast (units)]]-tblForecasts[[#This Row],[Actual (units)]])&lt;=Tolerance*tblForecasts[[#This Row],[Actual (units)]],"Yes","No")))</f>
        <v>Yes</v>
      </c>
      <c r="J1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7" s="40">
        <f>IF(tblForecasts[[#This Row],[Month]]="","",IF(OR(tblForecasts[[#This Row],[Actual (units)]]="",NOT(ISNUMBER(tblForecasts[[#This Row],[Baseline (units)]]))),"",ABS(tblForecasts[[#This Row],[Baseline (units)]]-tblForecasts[[#This Row],[Actual (units)]])))</f>
        <v/>
      </c>
      <c r="L17" s="41">
        <f>IF(tblForecasts[[#This Row],[Month]]="","",IF(AND(tblForecasts[[#This Row],[Month]]&gt;=FFrom,tblForecasts[[#This Row],[Month]]&lt;=FTo,OR(DashSku="",tblForecasts[[#This Row],[SKU]]=DashSku)),tblForecasts[[#This Row],[Month]],""))</f>
        <v>45962</v>
      </c>
      <c r="M1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7" s="28" t="s">
        <v>117</v>
      </c>
    </row>
    <row r="18" spans="2:14">
      <c r="B18" s="35">
        <v>45962</v>
      </c>
      <c r="C18" s="28" t="s">
        <v>93</v>
      </c>
      <c r="D18" s="31">
        <v>530</v>
      </c>
      <c r="E18" s="31">
        <v>353</v>
      </c>
      <c r="F18" s="36">
        <f>IF(tblForecasts[[#This Row],[Month]]="","",IF(tblForecasts[[#This Row],[Actual (units)]]="","",tblForecasts[[#This Row],[Forecast (units)]]-tblForecasts[[#This Row],[Actual (units)]]))</f>
        <v>177</v>
      </c>
      <c r="G18" s="37">
        <f>IF(tblForecasts[[#This Row],[Month]]="","",IF(tblForecasts[[#This Row],[Actual (units)]]="","",ABS(tblForecasts[[#This Row],[Forecast (units)]]-tblForecasts[[#This Row],[Actual (units)]])))</f>
        <v>177</v>
      </c>
      <c r="H18" s="38">
        <f>IF(tblForecasts[[#This Row],[Month]]="","",IF(OR(tblForecasts[[#This Row],[Actual (units)]]="",tblForecasts[[#This Row],[Actual (units)]]=0),"",ABS(tblForecasts[[#This Row],[Forecast (units)]]-tblForecasts[[#This Row],[Actual (units)]])/tblForecasts[[#This Row],[Actual (units)]]))</f>
        <v>0.501416430594901</v>
      </c>
      <c r="I18" s="39" t="str">
        <f>IF(tblForecasts[[#This Row],[Month]]="","",IF(tblForecasts[[#This Row],[Actual (units)]]="","",IF(ABS(tblForecasts[[#This Row],[Forecast (units)]]-tblForecasts[[#This Row],[Actual (units)]])&lt;=Tolerance*tblForecasts[[#This Row],[Actual (units)]],"Yes","No")))</f>
        <v>No</v>
      </c>
      <c r="J1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8" s="40">
        <f>IF(tblForecasts[[#This Row],[Month]]="","",IF(OR(tblForecasts[[#This Row],[Actual (units)]]="",NOT(ISNUMBER(tblForecasts[[#This Row],[Baseline (units)]]))),"",ABS(tblForecasts[[#This Row],[Baseline (units)]]-tblForecasts[[#This Row],[Actual (units)]])))</f>
        <v/>
      </c>
      <c r="L18" s="41">
        <f>IF(tblForecasts[[#This Row],[Month]]="","",IF(AND(tblForecasts[[#This Row],[Month]]&gt;=FFrom,tblForecasts[[#This Row],[Month]]&lt;=FTo,OR(DashSku="",tblForecasts[[#This Row],[SKU]]=DashSku)),tblForecasts[[#This Row],[Month]],""))</f>
        <v>45962</v>
      </c>
      <c r="M1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8" s="28" t="s">
        <v>117</v>
      </c>
    </row>
    <row r="19" spans="2:14">
      <c r="B19" s="35">
        <v>45962</v>
      </c>
      <c r="C19" s="28" t="s">
        <v>101</v>
      </c>
      <c r="D19" s="31">
        <v>70</v>
      </c>
      <c r="E19" s="31">
        <v>82</v>
      </c>
      <c r="F19" s="36">
        <f>IF(tblForecasts[[#This Row],[Month]]="","",IF(tblForecasts[[#This Row],[Actual (units)]]="","",tblForecasts[[#This Row],[Forecast (units)]]-tblForecasts[[#This Row],[Actual (units)]]))</f>
        <v>-12</v>
      </c>
      <c r="G19" s="37">
        <f>IF(tblForecasts[[#This Row],[Month]]="","",IF(tblForecasts[[#This Row],[Actual (units)]]="","",ABS(tblForecasts[[#This Row],[Forecast (units)]]-tblForecasts[[#This Row],[Actual (units)]])))</f>
        <v>12</v>
      </c>
      <c r="H19" s="38">
        <f>IF(tblForecasts[[#This Row],[Month]]="","",IF(OR(tblForecasts[[#This Row],[Actual (units)]]="",tblForecasts[[#This Row],[Actual (units)]]=0),"",ABS(tblForecasts[[#This Row],[Forecast (units)]]-tblForecasts[[#This Row],[Actual (units)]])/tblForecasts[[#This Row],[Actual (units)]]))</f>
        <v>0.146341463414634</v>
      </c>
      <c r="I19" s="39" t="str">
        <f>IF(tblForecasts[[#This Row],[Month]]="","",IF(tblForecasts[[#This Row],[Actual (units)]]="","",IF(ABS(tblForecasts[[#This Row],[Forecast (units)]]-tblForecasts[[#This Row],[Actual (units)]])&lt;=Tolerance*tblForecasts[[#This Row],[Actual (units)]],"Yes","No")))</f>
        <v>Yes</v>
      </c>
      <c r="J1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9" s="40">
        <f>IF(tblForecasts[[#This Row],[Month]]="","",IF(OR(tblForecasts[[#This Row],[Actual (units)]]="",NOT(ISNUMBER(tblForecasts[[#This Row],[Baseline (units)]]))),"",ABS(tblForecasts[[#This Row],[Baseline (units)]]-tblForecasts[[#This Row],[Actual (units)]])))</f>
        <v/>
      </c>
      <c r="L19" s="41">
        <f>IF(tblForecasts[[#This Row],[Month]]="","",IF(AND(tblForecasts[[#This Row],[Month]]&gt;=FFrom,tblForecasts[[#This Row],[Month]]&lt;=FTo,OR(DashSku="",tblForecasts[[#This Row],[SKU]]=DashSku)),tblForecasts[[#This Row],[Month]],""))</f>
        <v>45962</v>
      </c>
      <c r="M1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9" s="28" t="s">
        <v>117</v>
      </c>
    </row>
    <row r="20" spans="2:14">
      <c r="B20" s="35">
        <v>45992</v>
      </c>
      <c r="C20" s="28" t="s">
        <v>77</v>
      </c>
      <c r="D20" s="31">
        <v>1110</v>
      </c>
      <c r="E20" s="31">
        <v>1273</v>
      </c>
      <c r="F20" s="36">
        <f>IF(tblForecasts[[#This Row],[Month]]="","",IF(tblForecasts[[#This Row],[Actual (units)]]="","",tblForecasts[[#This Row],[Forecast (units)]]-tblForecasts[[#This Row],[Actual (units)]]))</f>
        <v>-163</v>
      </c>
      <c r="G20" s="37">
        <f>IF(tblForecasts[[#This Row],[Month]]="","",IF(tblForecasts[[#This Row],[Actual (units)]]="","",ABS(tblForecasts[[#This Row],[Forecast (units)]]-tblForecasts[[#This Row],[Actual (units)]])))</f>
        <v>163</v>
      </c>
      <c r="H20" s="38">
        <f>IF(tblForecasts[[#This Row],[Month]]="","",IF(OR(tblForecasts[[#This Row],[Actual (units)]]="",tblForecasts[[#This Row],[Actual (units)]]=0),"",ABS(tblForecasts[[#This Row],[Forecast (units)]]-tblForecasts[[#This Row],[Actual (units)]])/tblForecasts[[#This Row],[Actual (units)]]))</f>
        <v>0.128043990573449</v>
      </c>
      <c r="I20" s="39" t="str">
        <f>IF(tblForecasts[[#This Row],[Month]]="","",IF(tblForecasts[[#This Row],[Actual (units)]]="","",IF(ABS(tblForecasts[[#This Row],[Forecast (units)]]-tblForecasts[[#This Row],[Actual (units)]])&lt;=Tolerance*tblForecasts[[#This Row],[Actual (units)]],"Yes","No")))</f>
        <v>Yes</v>
      </c>
      <c r="J2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20" s="40">
        <f>IF(tblForecasts[[#This Row],[Month]]="","",IF(OR(tblForecasts[[#This Row],[Actual (units)]]="",NOT(ISNUMBER(tblForecasts[[#This Row],[Baseline (units)]]))),"",ABS(tblForecasts[[#This Row],[Baseline (units)]]-tblForecasts[[#This Row],[Actual (units)]])))</f>
        <v/>
      </c>
      <c r="L20" s="41">
        <f>IF(tblForecasts[[#This Row],[Month]]="","",IF(AND(tblForecasts[[#This Row],[Month]]&gt;=FFrom,tblForecasts[[#This Row],[Month]]&lt;=FTo,OR(DashSku="",tblForecasts[[#This Row],[SKU]]=DashSku)),tblForecasts[[#This Row],[Month]],""))</f>
        <v>45992</v>
      </c>
      <c r="M2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0" s="28" t="s">
        <v>117</v>
      </c>
    </row>
    <row r="21" spans="2:14">
      <c r="B21" s="35">
        <v>45992</v>
      </c>
      <c r="C21" s="28" t="s">
        <v>81</v>
      </c>
      <c r="D21" s="31">
        <v>820</v>
      </c>
      <c r="E21" s="31">
        <v>786</v>
      </c>
      <c r="F21" s="36">
        <f>IF(tblForecasts[[#This Row],[Month]]="","",IF(tblForecasts[[#This Row],[Actual (units)]]="","",tblForecasts[[#This Row],[Forecast (units)]]-tblForecasts[[#This Row],[Actual (units)]]))</f>
        <v>34</v>
      </c>
      <c r="G21" s="37">
        <f>IF(tblForecasts[[#This Row],[Month]]="","",IF(tblForecasts[[#This Row],[Actual (units)]]="","",ABS(tblForecasts[[#This Row],[Forecast (units)]]-tblForecasts[[#This Row],[Actual (units)]])))</f>
        <v>34</v>
      </c>
      <c r="H21" s="38">
        <f>IF(tblForecasts[[#This Row],[Month]]="","",IF(OR(tblForecasts[[#This Row],[Actual (units)]]="",tblForecasts[[#This Row],[Actual (units)]]=0),"",ABS(tblForecasts[[#This Row],[Forecast (units)]]-tblForecasts[[#This Row],[Actual (units)]])/tblForecasts[[#This Row],[Actual (units)]]))</f>
        <v>0.0432569974554707</v>
      </c>
      <c r="I21" s="39" t="str">
        <f>IF(tblForecasts[[#This Row],[Month]]="","",IF(tblForecasts[[#This Row],[Actual (units)]]="","",IF(ABS(tblForecasts[[#This Row],[Forecast (units)]]-tblForecasts[[#This Row],[Actual (units)]])&lt;=Tolerance*tblForecasts[[#This Row],[Actual (units)]],"Yes","No")))</f>
        <v>Yes</v>
      </c>
      <c r="J2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21" s="40">
        <f>IF(tblForecasts[[#This Row],[Month]]="","",IF(OR(tblForecasts[[#This Row],[Actual (units)]]="",NOT(ISNUMBER(tblForecasts[[#This Row],[Baseline (units)]]))),"",ABS(tblForecasts[[#This Row],[Baseline (units)]]-tblForecasts[[#This Row],[Actual (units)]])))</f>
        <v/>
      </c>
      <c r="L21" s="41">
        <f>IF(tblForecasts[[#This Row],[Month]]="","",IF(AND(tblForecasts[[#This Row],[Month]]&gt;=FFrom,tblForecasts[[#This Row],[Month]]&lt;=FTo,OR(DashSku="",tblForecasts[[#This Row],[SKU]]=DashSku)),tblForecasts[[#This Row],[Month]],""))</f>
        <v>45992</v>
      </c>
      <c r="M2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1" s="28" t="s">
        <v>117</v>
      </c>
    </row>
    <row r="22" spans="2:14">
      <c r="B22" s="35">
        <v>45992</v>
      </c>
      <c r="C22" s="28" t="s">
        <v>83</v>
      </c>
      <c r="D22" s="31">
        <v>120</v>
      </c>
      <c r="E22" s="31">
        <v>184</v>
      </c>
      <c r="F22" s="36">
        <f>IF(tblForecasts[[#This Row],[Month]]="","",IF(tblForecasts[[#This Row],[Actual (units)]]="","",tblForecasts[[#This Row],[Forecast (units)]]-tblForecasts[[#This Row],[Actual (units)]]))</f>
        <v>-64</v>
      </c>
      <c r="G22" s="37">
        <f>IF(tblForecasts[[#This Row],[Month]]="","",IF(tblForecasts[[#This Row],[Actual (units)]]="","",ABS(tblForecasts[[#This Row],[Forecast (units)]]-tblForecasts[[#This Row],[Actual (units)]])))</f>
        <v>64</v>
      </c>
      <c r="H22" s="38">
        <f>IF(tblForecasts[[#This Row],[Month]]="","",IF(OR(tblForecasts[[#This Row],[Actual (units)]]="",tblForecasts[[#This Row],[Actual (units)]]=0),"",ABS(tblForecasts[[#This Row],[Forecast (units)]]-tblForecasts[[#This Row],[Actual (units)]])/tblForecasts[[#This Row],[Actual (units)]]))</f>
        <v>0.347826086956522</v>
      </c>
      <c r="I22" s="39" t="str">
        <f>IF(tblForecasts[[#This Row],[Month]]="","",IF(tblForecasts[[#This Row],[Actual (units)]]="","",IF(ABS(tblForecasts[[#This Row],[Forecast (units)]]-tblForecasts[[#This Row],[Actual (units)]])&lt;=Tolerance*tblForecasts[[#This Row],[Actual (units)]],"Yes","No")))</f>
        <v>No</v>
      </c>
      <c r="J2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22" s="40">
        <f>IF(tblForecasts[[#This Row],[Month]]="","",IF(OR(tblForecasts[[#This Row],[Actual (units)]]="",NOT(ISNUMBER(tblForecasts[[#This Row],[Baseline (units)]]))),"",ABS(tblForecasts[[#This Row],[Baseline (units)]]-tblForecasts[[#This Row],[Actual (units)]])))</f>
        <v/>
      </c>
      <c r="L22" s="41">
        <f>IF(tblForecasts[[#This Row],[Month]]="","",IF(AND(tblForecasts[[#This Row],[Month]]&gt;=FFrom,tblForecasts[[#This Row],[Month]]&lt;=FTo,OR(DashSku="",tblForecasts[[#This Row],[SKU]]=DashSku)),tblForecasts[[#This Row],[Month]],""))</f>
        <v>45992</v>
      </c>
      <c r="M2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2" s="28" t="s">
        <v>117</v>
      </c>
    </row>
    <row r="23" spans="2:14">
      <c r="B23" s="35">
        <v>45992</v>
      </c>
      <c r="C23" s="28" t="s">
        <v>87</v>
      </c>
      <c r="D23" s="31">
        <v>350</v>
      </c>
      <c r="E23" s="31">
        <v>315</v>
      </c>
      <c r="F23" s="36">
        <f>IF(tblForecasts[[#This Row],[Month]]="","",IF(tblForecasts[[#This Row],[Actual (units)]]="","",tblForecasts[[#This Row],[Forecast (units)]]-tblForecasts[[#This Row],[Actual (units)]]))</f>
        <v>35</v>
      </c>
      <c r="G23" s="37">
        <f>IF(tblForecasts[[#This Row],[Month]]="","",IF(tblForecasts[[#This Row],[Actual (units)]]="","",ABS(tblForecasts[[#This Row],[Forecast (units)]]-tblForecasts[[#This Row],[Actual (units)]])))</f>
        <v>35</v>
      </c>
      <c r="H23" s="38">
        <f>IF(tblForecasts[[#This Row],[Month]]="","",IF(OR(tblForecasts[[#This Row],[Actual (units)]]="",tblForecasts[[#This Row],[Actual (units)]]=0),"",ABS(tblForecasts[[#This Row],[Forecast (units)]]-tblForecasts[[#This Row],[Actual (units)]])/tblForecasts[[#This Row],[Actual (units)]]))</f>
        <v>0.111111111111111</v>
      </c>
      <c r="I23" s="39" t="str">
        <f>IF(tblForecasts[[#This Row],[Month]]="","",IF(tblForecasts[[#This Row],[Actual (units)]]="","",IF(ABS(tblForecasts[[#This Row],[Forecast (units)]]-tblForecasts[[#This Row],[Actual (units)]])&lt;=Tolerance*tblForecasts[[#This Row],[Actual (units)]],"Yes","No")))</f>
        <v>Yes</v>
      </c>
      <c r="J2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23" s="40">
        <f>IF(tblForecasts[[#This Row],[Month]]="","",IF(OR(tblForecasts[[#This Row],[Actual (units)]]="",NOT(ISNUMBER(tblForecasts[[#This Row],[Baseline (units)]]))),"",ABS(tblForecasts[[#This Row],[Baseline (units)]]-tblForecasts[[#This Row],[Actual (units)]])))</f>
        <v/>
      </c>
      <c r="L23" s="41">
        <f>IF(tblForecasts[[#This Row],[Month]]="","",IF(AND(tblForecasts[[#This Row],[Month]]&gt;=FFrom,tblForecasts[[#This Row],[Month]]&lt;=FTo,OR(DashSku="",tblForecasts[[#This Row],[SKU]]=DashSku)),tblForecasts[[#This Row],[Month]],""))</f>
        <v>45992</v>
      </c>
      <c r="M2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3" s="28" t="s">
        <v>117</v>
      </c>
    </row>
    <row r="24" spans="2:14">
      <c r="B24" s="35">
        <v>45992</v>
      </c>
      <c r="C24" s="28" t="s">
        <v>91</v>
      </c>
      <c r="D24" s="31">
        <v>180</v>
      </c>
      <c r="E24" s="31">
        <v>171</v>
      </c>
      <c r="F24" s="36">
        <f>IF(tblForecasts[[#This Row],[Month]]="","",IF(tblForecasts[[#This Row],[Actual (units)]]="","",tblForecasts[[#This Row],[Forecast (units)]]-tblForecasts[[#This Row],[Actual (units)]]))</f>
        <v>9</v>
      </c>
      <c r="G24" s="37">
        <f>IF(tblForecasts[[#This Row],[Month]]="","",IF(tblForecasts[[#This Row],[Actual (units)]]="","",ABS(tblForecasts[[#This Row],[Forecast (units)]]-tblForecasts[[#This Row],[Actual (units)]])))</f>
        <v>9</v>
      </c>
      <c r="H24" s="38">
        <f>IF(tblForecasts[[#This Row],[Month]]="","",IF(OR(tblForecasts[[#This Row],[Actual (units)]]="",tblForecasts[[#This Row],[Actual (units)]]=0),"",ABS(tblForecasts[[#This Row],[Forecast (units)]]-tblForecasts[[#This Row],[Actual (units)]])/tblForecasts[[#This Row],[Actual (units)]]))</f>
        <v>0.0526315789473684</v>
      </c>
      <c r="I24" s="39" t="str">
        <f>IF(tblForecasts[[#This Row],[Month]]="","",IF(tblForecasts[[#This Row],[Actual (units)]]="","",IF(ABS(tblForecasts[[#This Row],[Forecast (units)]]-tblForecasts[[#This Row],[Actual (units)]])&lt;=Tolerance*tblForecasts[[#This Row],[Actual (units)]],"Yes","No")))</f>
        <v>Yes</v>
      </c>
      <c r="J2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24" s="40">
        <f>IF(tblForecasts[[#This Row],[Month]]="","",IF(OR(tblForecasts[[#This Row],[Actual (units)]]="",NOT(ISNUMBER(tblForecasts[[#This Row],[Baseline (units)]]))),"",ABS(tblForecasts[[#This Row],[Baseline (units)]]-tblForecasts[[#This Row],[Actual (units)]])))</f>
        <v/>
      </c>
      <c r="L24" s="41">
        <f>IF(tblForecasts[[#This Row],[Month]]="","",IF(AND(tblForecasts[[#This Row],[Month]]&gt;=FFrom,tblForecasts[[#This Row],[Month]]&lt;=FTo,OR(DashSku="",tblForecasts[[#This Row],[SKU]]=DashSku)),tblForecasts[[#This Row],[Month]],""))</f>
        <v>45992</v>
      </c>
      <c r="M2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4" s="28" t="s">
        <v>117</v>
      </c>
    </row>
    <row r="25" spans="2:14">
      <c r="B25" s="35">
        <v>45992</v>
      </c>
      <c r="C25" s="28" t="s">
        <v>93</v>
      </c>
      <c r="D25" s="31">
        <v>470</v>
      </c>
      <c r="E25" s="31">
        <v>433</v>
      </c>
      <c r="F25" s="36">
        <f>IF(tblForecasts[[#This Row],[Month]]="","",IF(tblForecasts[[#This Row],[Actual (units)]]="","",tblForecasts[[#This Row],[Forecast (units)]]-tblForecasts[[#This Row],[Actual (units)]]))</f>
        <v>37</v>
      </c>
      <c r="G25" s="37">
        <f>IF(tblForecasts[[#This Row],[Month]]="","",IF(tblForecasts[[#This Row],[Actual (units)]]="","",ABS(tblForecasts[[#This Row],[Forecast (units)]]-tblForecasts[[#This Row],[Actual (units)]])))</f>
        <v>37</v>
      </c>
      <c r="H25" s="38">
        <f>IF(tblForecasts[[#This Row],[Month]]="","",IF(OR(tblForecasts[[#This Row],[Actual (units)]]="",tblForecasts[[#This Row],[Actual (units)]]=0),"",ABS(tblForecasts[[#This Row],[Forecast (units)]]-tblForecasts[[#This Row],[Actual (units)]])/tblForecasts[[#This Row],[Actual (units)]]))</f>
        <v>0.0854503464203233</v>
      </c>
      <c r="I25" s="39" t="str">
        <f>IF(tblForecasts[[#This Row],[Month]]="","",IF(tblForecasts[[#This Row],[Actual (units)]]="","",IF(ABS(tblForecasts[[#This Row],[Forecast (units)]]-tblForecasts[[#This Row],[Actual (units)]])&lt;=Tolerance*tblForecasts[[#This Row],[Actual (units)]],"Yes","No")))</f>
        <v>Yes</v>
      </c>
      <c r="J2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25" s="40">
        <f>IF(tblForecasts[[#This Row],[Month]]="","",IF(OR(tblForecasts[[#This Row],[Actual (units)]]="",NOT(ISNUMBER(tblForecasts[[#This Row],[Baseline (units)]]))),"",ABS(tblForecasts[[#This Row],[Baseline (units)]]-tblForecasts[[#This Row],[Actual (units)]])))</f>
        <v/>
      </c>
      <c r="L25" s="41">
        <f>IF(tblForecasts[[#This Row],[Month]]="","",IF(AND(tblForecasts[[#This Row],[Month]]&gt;=FFrom,tblForecasts[[#This Row],[Month]]&lt;=FTo,OR(DashSku="",tblForecasts[[#This Row],[SKU]]=DashSku)),tblForecasts[[#This Row],[Month]],""))</f>
        <v>45992</v>
      </c>
      <c r="M2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5" s="28" t="s">
        <v>117</v>
      </c>
    </row>
    <row r="26" spans="2:14">
      <c r="B26" s="35">
        <v>45992</v>
      </c>
      <c r="C26" s="28" t="s">
        <v>101</v>
      </c>
      <c r="D26" s="31">
        <v>70</v>
      </c>
      <c r="E26" s="31">
        <v>62</v>
      </c>
      <c r="F26" s="36">
        <f>IF(tblForecasts[[#This Row],[Month]]="","",IF(tblForecasts[[#This Row],[Actual (units)]]="","",tblForecasts[[#This Row],[Forecast (units)]]-tblForecasts[[#This Row],[Actual (units)]]))</f>
        <v>8</v>
      </c>
      <c r="G26" s="37">
        <f>IF(tblForecasts[[#This Row],[Month]]="","",IF(tblForecasts[[#This Row],[Actual (units)]]="","",ABS(tblForecasts[[#This Row],[Forecast (units)]]-tblForecasts[[#This Row],[Actual (units)]])))</f>
        <v>8</v>
      </c>
      <c r="H26" s="38">
        <f>IF(tblForecasts[[#This Row],[Month]]="","",IF(OR(tblForecasts[[#This Row],[Actual (units)]]="",tblForecasts[[#This Row],[Actual (units)]]=0),"",ABS(tblForecasts[[#This Row],[Forecast (units)]]-tblForecasts[[#This Row],[Actual (units)]])/tblForecasts[[#This Row],[Actual (units)]]))</f>
        <v>0.129032258064516</v>
      </c>
      <c r="I26" s="39" t="str">
        <f>IF(tblForecasts[[#This Row],[Month]]="","",IF(tblForecasts[[#This Row],[Actual (units)]]="","",IF(ABS(tblForecasts[[#This Row],[Forecast (units)]]-tblForecasts[[#This Row],[Actual (units)]])&lt;=Tolerance*tblForecasts[[#This Row],[Actual (units)]],"Yes","No")))</f>
        <v>Yes</v>
      </c>
      <c r="J2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26" s="40">
        <f>IF(tblForecasts[[#This Row],[Month]]="","",IF(OR(tblForecasts[[#This Row],[Actual (units)]]="",NOT(ISNUMBER(tblForecasts[[#This Row],[Baseline (units)]]))),"",ABS(tblForecasts[[#This Row],[Baseline (units)]]-tblForecasts[[#This Row],[Actual (units)]])))</f>
        <v/>
      </c>
      <c r="L26" s="41">
        <f>IF(tblForecasts[[#This Row],[Month]]="","",IF(AND(tblForecasts[[#This Row],[Month]]&gt;=FFrom,tblForecasts[[#This Row],[Month]]&lt;=FTo,OR(DashSku="",tblForecasts[[#This Row],[SKU]]=DashSku)),tblForecasts[[#This Row],[Month]],""))</f>
        <v>45992</v>
      </c>
      <c r="M2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6" s="28" t="s">
        <v>117</v>
      </c>
    </row>
    <row r="27" spans="2:14">
      <c r="B27" s="35">
        <v>46023</v>
      </c>
      <c r="C27" s="28" t="s">
        <v>77</v>
      </c>
      <c r="D27" s="31">
        <v>1190</v>
      </c>
      <c r="E27" s="31">
        <v>1174</v>
      </c>
      <c r="F27" s="36">
        <f>IF(tblForecasts[[#This Row],[Month]]="","",IF(tblForecasts[[#This Row],[Actual (units)]]="","",tblForecasts[[#This Row],[Forecast (units)]]-tblForecasts[[#This Row],[Actual (units)]]))</f>
        <v>16</v>
      </c>
      <c r="G27" s="37">
        <f>IF(tblForecasts[[#This Row],[Month]]="","",IF(tblForecasts[[#This Row],[Actual (units)]]="","",ABS(tblForecasts[[#This Row],[Forecast (units)]]-tblForecasts[[#This Row],[Actual (units)]])))</f>
        <v>16</v>
      </c>
      <c r="H27" s="38">
        <f>IF(tblForecasts[[#This Row],[Month]]="","",IF(OR(tblForecasts[[#This Row],[Actual (units)]]="",tblForecasts[[#This Row],[Actual (units)]]=0),"",ABS(tblForecasts[[#This Row],[Forecast (units)]]-tblForecasts[[#This Row],[Actual (units)]])/tblForecasts[[#This Row],[Actual (units)]]))</f>
        <v>0.0136286201022147</v>
      </c>
      <c r="I27" s="39" t="str">
        <f>IF(tblForecasts[[#This Row],[Month]]="","",IF(tblForecasts[[#This Row],[Actual (units)]]="","",IF(ABS(tblForecasts[[#This Row],[Forecast (units)]]-tblForecasts[[#This Row],[Actual (units)]])&lt;=Tolerance*tblForecasts[[#This Row],[Actual (units)]],"Yes","No")))</f>
        <v>Yes</v>
      </c>
      <c r="J2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1224.66666666667</v>
      </c>
      <c r="K27" s="40">
        <f>IF(tblForecasts[[#This Row],[Month]]="","",IF(OR(tblForecasts[[#This Row],[Actual (units)]]="",NOT(ISNUMBER(tblForecasts[[#This Row],[Baseline (units)]]))),"",ABS(tblForecasts[[#This Row],[Baseline (units)]]-tblForecasts[[#This Row],[Actual (units)]])))</f>
        <v>50.6666666666667</v>
      </c>
      <c r="L27" s="41">
        <f>IF(tblForecasts[[#This Row],[Month]]="","",IF(AND(tblForecasts[[#This Row],[Month]]&gt;=FFrom,tblForecasts[[#This Row],[Month]]&lt;=FTo,OR(DashSku="",tblForecasts[[#This Row],[SKU]]=DashSku)),tblForecasts[[#This Row],[Month]],""))</f>
        <v>46023</v>
      </c>
      <c r="M2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7" s="28" t="s">
        <v>117</v>
      </c>
    </row>
    <row r="28" spans="2:14">
      <c r="B28" s="35">
        <v>46023</v>
      </c>
      <c r="C28" s="28" t="s">
        <v>81</v>
      </c>
      <c r="D28" s="31">
        <v>820</v>
      </c>
      <c r="E28" s="31">
        <v>795</v>
      </c>
      <c r="F28" s="36">
        <f>IF(tblForecasts[[#This Row],[Month]]="","",IF(tblForecasts[[#This Row],[Actual (units)]]="","",tblForecasts[[#This Row],[Forecast (units)]]-tblForecasts[[#This Row],[Actual (units)]]))</f>
        <v>25</v>
      </c>
      <c r="G28" s="37">
        <f>IF(tblForecasts[[#This Row],[Month]]="","",IF(tblForecasts[[#This Row],[Actual (units)]]="","",ABS(tblForecasts[[#This Row],[Forecast (units)]]-tblForecasts[[#This Row],[Actual (units)]])))</f>
        <v>25</v>
      </c>
      <c r="H28" s="38">
        <f>IF(tblForecasts[[#This Row],[Month]]="","",IF(OR(tblForecasts[[#This Row],[Actual (units)]]="",tblForecasts[[#This Row],[Actual (units)]]=0),"",ABS(tblForecasts[[#This Row],[Forecast (units)]]-tblForecasts[[#This Row],[Actual (units)]])/tblForecasts[[#This Row],[Actual (units)]]))</f>
        <v>0.0314465408805031</v>
      </c>
      <c r="I28" s="39" t="str">
        <f>IF(tblForecasts[[#This Row],[Month]]="","",IF(tblForecasts[[#This Row],[Actual (units)]]="","",IF(ABS(tblForecasts[[#This Row],[Forecast (units)]]-tblForecasts[[#This Row],[Actual (units)]])&lt;=Tolerance*tblForecasts[[#This Row],[Actual (units)]],"Yes","No")))</f>
        <v>Yes</v>
      </c>
      <c r="J2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804.333333333333</v>
      </c>
      <c r="K28" s="40">
        <f>IF(tblForecasts[[#This Row],[Month]]="","",IF(OR(tblForecasts[[#This Row],[Actual (units)]]="",NOT(ISNUMBER(tblForecasts[[#This Row],[Baseline (units)]]))),"",ABS(tblForecasts[[#This Row],[Baseline (units)]]-tblForecasts[[#This Row],[Actual (units)]])))</f>
        <v>9.33333333333337</v>
      </c>
      <c r="L28" s="41">
        <f>IF(tblForecasts[[#This Row],[Month]]="","",IF(AND(tblForecasts[[#This Row],[Month]]&gt;=FFrom,tblForecasts[[#This Row],[Month]]&lt;=FTo,OR(DashSku="",tblForecasts[[#This Row],[SKU]]=DashSku)),tblForecasts[[#This Row],[Month]],""))</f>
        <v>46023</v>
      </c>
      <c r="M2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8" s="28" t="s">
        <v>117</v>
      </c>
    </row>
    <row r="29" spans="2:14">
      <c r="B29" s="35">
        <v>46023</v>
      </c>
      <c r="C29" s="28" t="s">
        <v>83</v>
      </c>
      <c r="D29" s="31">
        <v>130</v>
      </c>
      <c r="E29" s="31">
        <v>189</v>
      </c>
      <c r="F29" s="36">
        <f>IF(tblForecasts[[#This Row],[Month]]="","",IF(tblForecasts[[#This Row],[Actual (units)]]="","",tblForecasts[[#This Row],[Forecast (units)]]-tblForecasts[[#This Row],[Actual (units)]]))</f>
        <v>-59</v>
      </c>
      <c r="G29" s="37">
        <f>IF(tblForecasts[[#This Row],[Month]]="","",IF(tblForecasts[[#This Row],[Actual (units)]]="","",ABS(tblForecasts[[#This Row],[Forecast (units)]]-tblForecasts[[#This Row],[Actual (units)]])))</f>
        <v>59</v>
      </c>
      <c r="H29" s="38">
        <f>IF(tblForecasts[[#This Row],[Month]]="","",IF(OR(tblForecasts[[#This Row],[Actual (units)]]="",tblForecasts[[#This Row],[Actual (units)]]=0),"",ABS(tblForecasts[[#This Row],[Forecast (units)]]-tblForecasts[[#This Row],[Actual (units)]])/tblForecasts[[#This Row],[Actual (units)]]))</f>
        <v>0.312169312169312</v>
      </c>
      <c r="I29" s="39" t="str">
        <f>IF(tblForecasts[[#This Row],[Month]]="","",IF(tblForecasts[[#This Row],[Actual (units)]]="","",IF(ABS(tblForecasts[[#This Row],[Forecast (units)]]-tblForecasts[[#This Row],[Actual (units)]])&lt;=Tolerance*tblForecasts[[#This Row],[Actual (units)]],"Yes","No")))</f>
        <v>No</v>
      </c>
      <c r="J2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168.666666666667</v>
      </c>
      <c r="K29" s="40">
        <f>IF(tblForecasts[[#This Row],[Month]]="","",IF(OR(tblForecasts[[#This Row],[Actual (units)]]="",NOT(ISNUMBER(tblForecasts[[#This Row],[Baseline (units)]]))),"",ABS(tblForecasts[[#This Row],[Baseline (units)]]-tblForecasts[[#This Row],[Actual (units)]])))</f>
        <v>20.3333333333333</v>
      </c>
      <c r="L29" s="41">
        <f>IF(tblForecasts[[#This Row],[Month]]="","",IF(AND(tblForecasts[[#This Row],[Month]]&gt;=FFrom,tblForecasts[[#This Row],[Month]]&lt;=FTo,OR(DashSku="",tblForecasts[[#This Row],[SKU]]=DashSku)),tblForecasts[[#This Row],[Month]],""))</f>
        <v>46023</v>
      </c>
      <c r="M2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29" s="28" t="s">
        <v>117</v>
      </c>
    </row>
    <row r="30" spans="2:14">
      <c r="B30" s="35">
        <v>46023</v>
      </c>
      <c r="C30" s="28" t="s">
        <v>87</v>
      </c>
      <c r="D30" s="31">
        <v>340</v>
      </c>
      <c r="E30" s="31">
        <v>350</v>
      </c>
      <c r="F30" s="36">
        <f>IF(tblForecasts[[#This Row],[Month]]="","",IF(tblForecasts[[#This Row],[Actual (units)]]="","",tblForecasts[[#This Row],[Forecast (units)]]-tblForecasts[[#This Row],[Actual (units)]]))</f>
        <v>-10</v>
      </c>
      <c r="G30" s="37">
        <f>IF(tblForecasts[[#This Row],[Month]]="","",IF(tblForecasts[[#This Row],[Actual (units)]]="","",ABS(tblForecasts[[#This Row],[Forecast (units)]]-tblForecasts[[#This Row],[Actual (units)]])))</f>
        <v>10</v>
      </c>
      <c r="H30" s="38">
        <f>IF(tblForecasts[[#This Row],[Month]]="","",IF(OR(tblForecasts[[#This Row],[Actual (units)]]="",tblForecasts[[#This Row],[Actual (units)]]=0),"",ABS(tblForecasts[[#This Row],[Forecast (units)]]-tblForecasts[[#This Row],[Actual (units)]])/tblForecasts[[#This Row],[Actual (units)]]))</f>
        <v>0.0285714285714286</v>
      </c>
      <c r="I30" s="39" t="str">
        <f>IF(tblForecasts[[#This Row],[Month]]="","",IF(tblForecasts[[#This Row],[Actual (units)]]="","",IF(ABS(tblForecasts[[#This Row],[Forecast (units)]]-tblForecasts[[#This Row],[Actual (units)]])&lt;=Tolerance*tblForecasts[[#This Row],[Actual (units)]],"Yes","No")))</f>
        <v>Yes</v>
      </c>
      <c r="J3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328.333333333333</v>
      </c>
      <c r="K30" s="40">
        <f>IF(tblForecasts[[#This Row],[Month]]="","",IF(OR(tblForecasts[[#This Row],[Actual (units)]]="",NOT(ISNUMBER(tblForecasts[[#This Row],[Baseline (units)]]))),"",ABS(tblForecasts[[#This Row],[Baseline (units)]]-tblForecasts[[#This Row],[Actual (units)]])))</f>
        <v>21.6666666666667</v>
      </c>
      <c r="L30" s="41">
        <f>IF(tblForecasts[[#This Row],[Month]]="","",IF(AND(tblForecasts[[#This Row],[Month]]&gt;=FFrom,tblForecasts[[#This Row],[Month]]&lt;=FTo,OR(DashSku="",tblForecasts[[#This Row],[SKU]]=DashSku)),tblForecasts[[#This Row],[Month]],""))</f>
        <v>46023</v>
      </c>
      <c r="M3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0" s="28" t="s">
        <v>117</v>
      </c>
    </row>
    <row r="31" spans="2:14">
      <c r="B31" s="35">
        <v>46023</v>
      </c>
      <c r="C31" s="28" t="s">
        <v>91</v>
      </c>
      <c r="D31" s="31">
        <v>160</v>
      </c>
      <c r="E31" s="31">
        <v>154</v>
      </c>
      <c r="F31" s="36">
        <f>IF(tblForecasts[[#This Row],[Month]]="","",IF(tblForecasts[[#This Row],[Actual (units)]]="","",tblForecasts[[#This Row],[Forecast (units)]]-tblForecasts[[#This Row],[Actual (units)]]))</f>
        <v>6</v>
      </c>
      <c r="G31" s="37">
        <f>IF(tblForecasts[[#This Row],[Month]]="","",IF(tblForecasts[[#This Row],[Actual (units)]]="","",ABS(tblForecasts[[#This Row],[Forecast (units)]]-tblForecasts[[#This Row],[Actual (units)]])))</f>
        <v>6</v>
      </c>
      <c r="H31" s="38">
        <f>IF(tblForecasts[[#This Row],[Month]]="","",IF(OR(tblForecasts[[#This Row],[Actual (units)]]="",tblForecasts[[#This Row],[Actual (units)]]=0),"",ABS(tblForecasts[[#This Row],[Forecast (units)]]-tblForecasts[[#This Row],[Actual (units)]])/tblForecasts[[#This Row],[Actual (units)]]))</f>
        <v>0.038961038961039</v>
      </c>
      <c r="I31" s="39" t="str">
        <f>IF(tblForecasts[[#This Row],[Month]]="","",IF(tblForecasts[[#This Row],[Actual (units)]]="","",IF(ABS(tblForecasts[[#This Row],[Forecast (units)]]-tblForecasts[[#This Row],[Actual (units)]])&lt;=Tolerance*tblForecasts[[#This Row],[Actual (units)]],"Yes","No")))</f>
        <v>Yes</v>
      </c>
      <c r="J3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161.333333333333</v>
      </c>
      <c r="K31" s="40">
        <f>IF(tblForecasts[[#This Row],[Month]]="","",IF(OR(tblForecasts[[#This Row],[Actual (units)]]="",NOT(ISNUMBER(tblForecasts[[#This Row],[Baseline (units)]]))),"",ABS(tblForecasts[[#This Row],[Baseline (units)]]-tblForecasts[[#This Row],[Actual (units)]])))</f>
        <v>7.33333333333334</v>
      </c>
      <c r="L31" s="41">
        <f>IF(tblForecasts[[#This Row],[Month]]="","",IF(AND(tblForecasts[[#This Row],[Month]]&gt;=FFrom,tblForecasts[[#This Row],[Month]]&lt;=FTo,OR(DashSku="",tblForecasts[[#This Row],[SKU]]=DashSku)),tblForecasts[[#This Row],[Month]],""))</f>
        <v>46023</v>
      </c>
      <c r="M3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1" s="28" t="s">
        <v>117</v>
      </c>
    </row>
    <row r="32" spans="2:14">
      <c r="B32" s="35">
        <v>46023</v>
      </c>
      <c r="C32" s="28" t="s">
        <v>93</v>
      </c>
      <c r="D32" s="31">
        <v>500</v>
      </c>
      <c r="E32" s="31">
        <v>359</v>
      </c>
      <c r="F32" s="36">
        <f>IF(tblForecasts[[#This Row],[Month]]="","",IF(tblForecasts[[#This Row],[Actual (units)]]="","",tblForecasts[[#This Row],[Forecast (units)]]-tblForecasts[[#This Row],[Actual (units)]]))</f>
        <v>141</v>
      </c>
      <c r="G32" s="37">
        <f>IF(tblForecasts[[#This Row],[Month]]="","",IF(tblForecasts[[#This Row],[Actual (units)]]="","",ABS(tblForecasts[[#This Row],[Forecast (units)]]-tblForecasts[[#This Row],[Actual (units)]])))</f>
        <v>141</v>
      </c>
      <c r="H32" s="38">
        <f>IF(tblForecasts[[#This Row],[Month]]="","",IF(OR(tblForecasts[[#This Row],[Actual (units)]]="",tblForecasts[[#This Row],[Actual (units)]]=0),"",ABS(tblForecasts[[#This Row],[Forecast (units)]]-tblForecasts[[#This Row],[Actual (units)]])/tblForecasts[[#This Row],[Actual (units)]]))</f>
        <v>0.392757660167131</v>
      </c>
      <c r="I32" s="39" t="str">
        <f>IF(tblForecasts[[#This Row],[Month]]="","",IF(tblForecasts[[#This Row],[Actual (units)]]="","",IF(ABS(tblForecasts[[#This Row],[Forecast (units)]]-tblForecasts[[#This Row],[Actual (units)]])&lt;=Tolerance*tblForecasts[[#This Row],[Actual (units)]],"Yes","No")))</f>
        <v>No</v>
      </c>
      <c r="J3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407.333333333333</v>
      </c>
      <c r="K32" s="40">
        <f>IF(tblForecasts[[#This Row],[Month]]="","",IF(OR(tblForecasts[[#This Row],[Actual (units)]]="",NOT(ISNUMBER(tblForecasts[[#This Row],[Baseline (units)]]))),"",ABS(tblForecasts[[#This Row],[Baseline (units)]]-tblForecasts[[#This Row],[Actual (units)]])))</f>
        <v>48.3333333333333</v>
      </c>
      <c r="L32" s="41">
        <f>IF(tblForecasts[[#This Row],[Month]]="","",IF(AND(tblForecasts[[#This Row],[Month]]&gt;=FFrom,tblForecasts[[#This Row],[Month]]&lt;=FTo,OR(DashSku="",tblForecasts[[#This Row],[SKU]]=DashSku)),tblForecasts[[#This Row],[Month]],""))</f>
        <v>46023</v>
      </c>
      <c r="M3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2" s="28" t="s">
        <v>117</v>
      </c>
    </row>
    <row r="33" spans="2:14">
      <c r="B33" s="35">
        <v>46023</v>
      </c>
      <c r="C33" s="28" t="s">
        <v>101</v>
      </c>
      <c r="D33" s="31">
        <v>110</v>
      </c>
      <c r="E33" s="31">
        <v>54</v>
      </c>
      <c r="F33" s="36">
        <f>IF(tblForecasts[[#This Row],[Month]]="","",IF(tblForecasts[[#This Row],[Actual (units)]]="","",tblForecasts[[#This Row],[Forecast (units)]]-tblForecasts[[#This Row],[Actual (units)]]))</f>
        <v>56</v>
      </c>
      <c r="G33" s="37">
        <f>IF(tblForecasts[[#This Row],[Month]]="","",IF(tblForecasts[[#This Row],[Actual (units)]]="","",ABS(tblForecasts[[#This Row],[Forecast (units)]]-tblForecasts[[#This Row],[Actual (units)]])))</f>
        <v>56</v>
      </c>
      <c r="H33" s="38">
        <f>IF(tblForecasts[[#This Row],[Month]]="","",IF(OR(tblForecasts[[#This Row],[Actual (units)]]="",tblForecasts[[#This Row],[Actual (units)]]=0),"",ABS(tblForecasts[[#This Row],[Forecast (units)]]-tblForecasts[[#This Row],[Actual (units)]])/tblForecasts[[#This Row],[Actual (units)]]))</f>
        <v>1.03703703703704</v>
      </c>
      <c r="I33" s="39" t="str">
        <f>IF(tblForecasts[[#This Row],[Month]]="","",IF(tblForecasts[[#This Row],[Actual (units)]]="","",IF(ABS(tblForecasts[[#This Row],[Forecast (units)]]-tblForecasts[[#This Row],[Actual (units)]])&lt;=Tolerance*tblForecasts[[#This Row],[Actual (units)]],"Yes","No")))</f>
        <v>No</v>
      </c>
      <c r="J3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76.6666666666667</v>
      </c>
      <c r="K33" s="40">
        <f>IF(tblForecasts[[#This Row],[Month]]="","",IF(OR(tblForecasts[[#This Row],[Actual (units)]]="",NOT(ISNUMBER(tblForecasts[[#This Row],[Baseline (units)]]))),"",ABS(tblForecasts[[#This Row],[Baseline (units)]]-tblForecasts[[#This Row],[Actual (units)]])))</f>
        <v>22.6666666666667</v>
      </c>
      <c r="L33" s="41">
        <f>IF(tblForecasts[[#This Row],[Month]]="","",IF(AND(tblForecasts[[#This Row],[Month]]&gt;=FFrom,tblForecasts[[#This Row],[Month]]&lt;=FTo,OR(DashSku="",tblForecasts[[#This Row],[SKU]]=DashSku)),tblForecasts[[#This Row],[Month]],""))</f>
        <v>46023</v>
      </c>
      <c r="M3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3" s="28" t="s">
        <v>117</v>
      </c>
    </row>
    <row r="34" spans="2:14">
      <c r="B34" s="35">
        <v>46054</v>
      </c>
      <c r="C34" s="28" t="s">
        <v>77</v>
      </c>
      <c r="D34" s="31">
        <v>1180</v>
      </c>
      <c r="E34" s="31">
        <v>1266</v>
      </c>
      <c r="F34" s="36">
        <f>IF(tblForecasts[[#This Row],[Month]]="","",IF(tblForecasts[[#This Row],[Actual (units)]]="","",tblForecasts[[#This Row],[Forecast (units)]]-tblForecasts[[#This Row],[Actual (units)]]))</f>
        <v>-86</v>
      </c>
      <c r="G34" s="37">
        <f>IF(tblForecasts[[#This Row],[Month]]="","",IF(tblForecasts[[#This Row],[Actual (units)]]="","",ABS(tblForecasts[[#This Row],[Forecast (units)]]-tblForecasts[[#This Row],[Actual (units)]])))</f>
        <v>86</v>
      </c>
      <c r="H34" s="38">
        <f>IF(tblForecasts[[#This Row],[Month]]="","",IF(OR(tblForecasts[[#This Row],[Actual (units)]]="",tblForecasts[[#This Row],[Actual (units)]]=0),"",ABS(tblForecasts[[#This Row],[Forecast (units)]]-tblForecasts[[#This Row],[Actual (units)]])/tblForecasts[[#This Row],[Actual (units)]]))</f>
        <v>0.0679304897314376</v>
      </c>
      <c r="I34" s="39" t="str">
        <f>IF(tblForecasts[[#This Row],[Month]]="","",IF(tblForecasts[[#This Row],[Actual (units)]]="","",IF(ABS(tblForecasts[[#This Row],[Forecast (units)]]-tblForecasts[[#This Row],[Actual (units)]])&lt;=Tolerance*tblForecasts[[#This Row],[Actual (units)]],"Yes","No")))</f>
        <v>Yes</v>
      </c>
      <c r="J3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1255.33333333333</v>
      </c>
      <c r="K34" s="40">
        <f>IF(tblForecasts[[#This Row],[Month]]="","",IF(OR(tblForecasts[[#This Row],[Actual (units)]]="",NOT(ISNUMBER(tblForecasts[[#This Row],[Baseline (units)]]))),"",ABS(tblForecasts[[#This Row],[Baseline (units)]]-tblForecasts[[#This Row],[Actual (units)]])))</f>
        <v>10.6666666666667</v>
      </c>
      <c r="L34" s="41">
        <f>IF(tblForecasts[[#This Row],[Month]]="","",IF(AND(tblForecasts[[#This Row],[Month]]&gt;=FFrom,tblForecasts[[#This Row],[Month]]&lt;=FTo,OR(DashSku="",tblForecasts[[#This Row],[SKU]]=DashSku)),tblForecasts[[#This Row],[Month]],""))</f>
        <v>46054</v>
      </c>
      <c r="M3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4" s="28" t="s">
        <v>117</v>
      </c>
    </row>
    <row r="35" spans="2:14">
      <c r="B35" s="35">
        <v>46054</v>
      </c>
      <c r="C35" s="28" t="s">
        <v>81</v>
      </c>
      <c r="D35" s="31">
        <v>750</v>
      </c>
      <c r="E35" s="31">
        <v>873</v>
      </c>
      <c r="F35" s="36">
        <f>IF(tblForecasts[[#This Row],[Month]]="","",IF(tblForecasts[[#This Row],[Actual (units)]]="","",tblForecasts[[#This Row],[Forecast (units)]]-tblForecasts[[#This Row],[Actual (units)]]))</f>
        <v>-123</v>
      </c>
      <c r="G35" s="37">
        <f>IF(tblForecasts[[#This Row],[Month]]="","",IF(tblForecasts[[#This Row],[Actual (units)]]="","",ABS(tblForecasts[[#This Row],[Forecast (units)]]-tblForecasts[[#This Row],[Actual (units)]])))</f>
        <v>123</v>
      </c>
      <c r="H35" s="38">
        <f>IF(tblForecasts[[#This Row],[Month]]="","",IF(OR(tblForecasts[[#This Row],[Actual (units)]]="",tblForecasts[[#This Row],[Actual (units)]]=0),"",ABS(tblForecasts[[#This Row],[Forecast (units)]]-tblForecasts[[#This Row],[Actual (units)]])/tblForecasts[[#This Row],[Actual (units)]]))</f>
        <v>0.140893470790378</v>
      </c>
      <c r="I35" s="39" t="str">
        <f>IF(tblForecasts[[#This Row],[Month]]="","",IF(tblForecasts[[#This Row],[Actual (units)]]="","",IF(ABS(tblForecasts[[#This Row],[Forecast (units)]]-tblForecasts[[#This Row],[Actual (units)]])&lt;=Tolerance*tblForecasts[[#This Row],[Actual (units)]],"Yes","No")))</f>
        <v>Yes</v>
      </c>
      <c r="J3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790.666666666667</v>
      </c>
      <c r="K35" s="40">
        <f>IF(tblForecasts[[#This Row],[Month]]="","",IF(OR(tblForecasts[[#This Row],[Actual (units)]]="",NOT(ISNUMBER(tblForecasts[[#This Row],[Baseline (units)]]))),"",ABS(tblForecasts[[#This Row],[Baseline (units)]]-tblForecasts[[#This Row],[Actual (units)]])))</f>
        <v>82.3333333333334</v>
      </c>
      <c r="L35" s="41">
        <f>IF(tblForecasts[[#This Row],[Month]]="","",IF(AND(tblForecasts[[#This Row],[Month]]&gt;=FFrom,tblForecasts[[#This Row],[Month]]&lt;=FTo,OR(DashSku="",tblForecasts[[#This Row],[SKU]]=DashSku)),tblForecasts[[#This Row],[Month]],""))</f>
        <v>46054</v>
      </c>
      <c r="M3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5" s="28" t="s">
        <v>117</v>
      </c>
    </row>
    <row r="36" spans="2:14">
      <c r="B36" s="35">
        <v>46054</v>
      </c>
      <c r="C36" s="28" t="s">
        <v>83</v>
      </c>
      <c r="D36" s="31">
        <v>150</v>
      </c>
      <c r="E36" s="31">
        <v>184</v>
      </c>
      <c r="F36" s="36">
        <f>IF(tblForecasts[[#This Row],[Month]]="","",IF(tblForecasts[[#This Row],[Actual (units)]]="","",tblForecasts[[#This Row],[Forecast (units)]]-tblForecasts[[#This Row],[Actual (units)]]))</f>
        <v>-34</v>
      </c>
      <c r="G36" s="37">
        <f>IF(tblForecasts[[#This Row],[Month]]="","",IF(tblForecasts[[#This Row],[Actual (units)]]="","",ABS(tblForecasts[[#This Row],[Forecast (units)]]-tblForecasts[[#This Row],[Actual (units)]])))</f>
        <v>34</v>
      </c>
      <c r="H36" s="38">
        <f>IF(tblForecasts[[#This Row],[Month]]="","",IF(OR(tblForecasts[[#This Row],[Actual (units)]]="",tblForecasts[[#This Row],[Actual (units)]]=0),"",ABS(tblForecasts[[#This Row],[Forecast (units)]]-tblForecasts[[#This Row],[Actual (units)]])/tblForecasts[[#This Row],[Actual (units)]]))</f>
        <v>0.184782608695652</v>
      </c>
      <c r="I36" s="39" t="str">
        <f>IF(tblForecasts[[#This Row],[Month]]="","",IF(tblForecasts[[#This Row],[Actual (units)]]="","",IF(ABS(tblForecasts[[#This Row],[Forecast (units)]]-tblForecasts[[#This Row],[Actual (units)]])&lt;=Tolerance*tblForecasts[[#This Row],[Actual (units)]],"Yes","No")))</f>
        <v>Yes</v>
      </c>
      <c r="J3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182.666666666667</v>
      </c>
      <c r="K36" s="40">
        <f>IF(tblForecasts[[#This Row],[Month]]="","",IF(OR(tblForecasts[[#This Row],[Actual (units)]]="",NOT(ISNUMBER(tblForecasts[[#This Row],[Baseline (units)]]))),"",ABS(tblForecasts[[#This Row],[Baseline (units)]]-tblForecasts[[#This Row],[Actual (units)]])))</f>
        <v>1.33333333333334</v>
      </c>
      <c r="L36" s="41">
        <f>IF(tblForecasts[[#This Row],[Month]]="","",IF(AND(tblForecasts[[#This Row],[Month]]&gt;=FFrom,tblForecasts[[#This Row],[Month]]&lt;=FTo,OR(DashSku="",tblForecasts[[#This Row],[SKU]]=DashSku)),tblForecasts[[#This Row],[Month]],""))</f>
        <v>46054</v>
      </c>
      <c r="M3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6" s="28" t="s">
        <v>117</v>
      </c>
    </row>
    <row r="37" spans="2:14">
      <c r="B37" s="35">
        <v>46054</v>
      </c>
      <c r="C37" s="28" t="s">
        <v>87</v>
      </c>
      <c r="D37" s="31">
        <v>330</v>
      </c>
      <c r="E37" s="31">
        <v>295</v>
      </c>
      <c r="F37" s="36">
        <f>IF(tblForecasts[[#This Row],[Month]]="","",IF(tblForecasts[[#This Row],[Actual (units)]]="","",tblForecasts[[#This Row],[Forecast (units)]]-tblForecasts[[#This Row],[Actual (units)]]))</f>
        <v>35</v>
      </c>
      <c r="G37" s="37">
        <f>IF(tblForecasts[[#This Row],[Month]]="","",IF(tblForecasts[[#This Row],[Actual (units)]]="","",ABS(tblForecasts[[#This Row],[Forecast (units)]]-tblForecasts[[#This Row],[Actual (units)]])))</f>
        <v>35</v>
      </c>
      <c r="H37" s="38">
        <f>IF(tblForecasts[[#This Row],[Month]]="","",IF(OR(tblForecasts[[#This Row],[Actual (units)]]="",tblForecasts[[#This Row],[Actual (units)]]=0),"",ABS(tblForecasts[[#This Row],[Forecast (units)]]-tblForecasts[[#This Row],[Actual (units)]])/tblForecasts[[#This Row],[Actual (units)]]))</f>
        <v>0.11864406779661</v>
      </c>
      <c r="I37" s="39" t="str">
        <f>IF(tblForecasts[[#This Row],[Month]]="","",IF(tblForecasts[[#This Row],[Actual (units)]]="","",IF(ABS(tblForecasts[[#This Row],[Forecast (units)]]-tblForecasts[[#This Row],[Actual (units)]])&lt;=Tolerance*tblForecasts[[#This Row],[Actual (units)]],"Yes","No")))</f>
        <v>Yes</v>
      </c>
      <c r="J3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343</v>
      </c>
      <c r="K37" s="40">
        <f>IF(tblForecasts[[#This Row],[Month]]="","",IF(OR(tblForecasts[[#This Row],[Actual (units)]]="",NOT(ISNUMBER(tblForecasts[[#This Row],[Baseline (units)]]))),"",ABS(tblForecasts[[#This Row],[Baseline (units)]]-tblForecasts[[#This Row],[Actual (units)]])))</f>
        <v>48</v>
      </c>
      <c r="L37" s="41">
        <f>IF(tblForecasts[[#This Row],[Month]]="","",IF(AND(tblForecasts[[#This Row],[Month]]&gt;=FFrom,tblForecasts[[#This Row],[Month]]&lt;=FTo,OR(DashSku="",tblForecasts[[#This Row],[SKU]]=DashSku)),tblForecasts[[#This Row],[Month]],""))</f>
        <v>46054</v>
      </c>
      <c r="M3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7" s="28" t="s">
        <v>117</v>
      </c>
    </row>
    <row r="38" spans="2:14">
      <c r="B38" s="35">
        <v>46054</v>
      </c>
      <c r="C38" s="28" t="s">
        <v>91</v>
      </c>
      <c r="D38" s="31">
        <v>160</v>
      </c>
      <c r="E38" s="31">
        <v>171</v>
      </c>
      <c r="F38" s="36">
        <f>IF(tblForecasts[[#This Row],[Month]]="","",IF(tblForecasts[[#This Row],[Actual (units)]]="","",tblForecasts[[#This Row],[Forecast (units)]]-tblForecasts[[#This Row],[Actual (units)]]))</f>
        <v>-11</v>
      </c>
      <c r="G38" s="37">
        <f>IF(tblForecasts[[#This Row],[Month]]="","",IF(tblForecasts[[#This Row],[Actual (units)]]="","",ABS(tblForecasts[[#This Row],[Forecast (units)]]-tblForecasts[[#This Row],[Actual (units)]])))</f>
        <v>11</v>
      </c>
      <c r="H38" s="38">
        <f>IF(tblForecasts[[#This Row],[Month]]="","",IF(OR(tblForecasts[[#This Row],[Actual (units)]]="",tblForecasts[[#This Row],[Actual (units)]]=0),"",ABS(tblForecasts[[#This Row],[Forecast (units)]]-tblForecasts[[#This Row],[Actual (units)]])/tblForecasts[[#This Row],[Actual (units)]]))</f>
        <v>0.064327485380117</v>
      </c>
      <c r="I38" s="39" t="str">
        <f>IF(tblForecasts[[#This Row],[Month]]="","",IF(tblForecasts[[#This Row],[Actual (units)]]="","",IF(ABS(tblForecasts[[#This Row],[Forecast (units)]]-tblForecasts[[#This Row],[Actual (units)]])&lt;=Tolerance*tblForecasts[[#This Row],[Actual (units)]],"Yes","No")))</f>
        <v>Yes</v>
      </c>
      <c r="J3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164</v>
      </c>
      <c r="K38" s="40">
        <f>IF(tblForecasts[[#This Row],[Month]]="","",IF(OR(tblForecasts[[#This Row],[Actual (units)]]="",NOT(ISNUMBER(tblForecasts[[#This Row],[Baseline (units)]]))),"",ABS(tblForecasts[[#This Row],[Baseline (units)]]-tblForecasts[[#This Row],[Actual (units)]])))</f>
        <v>7</v>
      </c>
      <c r="L38" s="41">
        <f>IF(tblForecasts[[#This Row],[Month]]="","",IF(AND(tblForecasts[[#This Row],[Month]]&gt;=FFrom,tblForecasts[[#This Row],[Month]]&lt;=FTo,OR(DashSku="",tblForecasts[[#This Row],[SKU]]=DashSku)),tblForecasts[[#This Row],[Month]],""))</f>
        <v>46054</v>
      </c>
      <c r="M3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8" s="28" t="s">
        <v>117</v>
      </c>
    </row>
    <row r="39" spans="2:14">
      <c r="B39" s="35">
        <v>46054</v>
      </c>
      <c r="C39" s="28" t="s">
        <v>93</v>
      </c>
      <c r="D39" s="31">
        <v>510</v>
      </c>
      <c r="E39" s="31">
        <v>447</v>
      </c>
      <c r="F39" s="36">
        <f>IF(tblForecasts[[#This Row],[Month]]="","",IF(tblForecasts[[#This Row],[Actual (units)]]="","",tblForecasts[[#This Row],[Forecast (units)]]-tblForecasts[[#This Row],[Actual (units)]]))</f>
        <v>63</v>
      </c>
      <c r="G39" s="37">
        <f>IF(tblForecasts[[#This Row],[Month]]="","",IF(tblForecasts[[#This Row],[Actual (units)]]="","",ABS(tblForecasts[[#This Row],[Forecast (units)]]-tblForecasts[[#This Row],[Actual (units)]])))</f>
        <v>63</v>
      </c>
      <c r="H39" s="38">
        <f>IF(tblForecasts[[#This Row],[Month]]="","",IF(OR(tblForecasts[[#This Row],[Actual (units)]]="",tblForecasts[[#This Row],[Actual (units)]]=0),"",ABS(tblForecasts[[#This Row],[Forecast (units)]]-tblForecasts[[#This Row],[Actual (units)]])/tblForecasts[[#This Row],[Actual (units)]]))</f>
        <v>0.140939597315436</v>
      </c>
      <c r="I39" s="39" t="str">
        <f>IF(tblForecasts[[#This Row],[Month]]="","",IF(tblForecasts[[#This Row],[Actual (units)]]="","",IF(ABS(tblForecasts[[#This Row],[Forecast (units)]]-tblForecasts[[#This Row],[Actual (units)]])&lt;=Tolerance*tblForecasts[[#This Row],[Actual (units)]],"Yes","No")))</f>
        <v>Yes</v>
      </c>
      <c r="J3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381.666666666667</v>
      </c>
      <c r="K39" s="40">
        <f>IF(tblForecasts[[#This Row],[Month]]="","",IF(OR(tblForecasts[[#This Row],[Actual (units)]]="",NOT(ISNUMBER(tblForecasts[[#This Row],[Baseline (units)]]))),"",ABS(tblForecasts[[#This Row],[Baseline (units)]]-tblForecasts[[#This Row],[Actual (units)]])))</f>
        <v>65.3333333333333</v>
      </c>
      <c r="L39" s="41">
        <f>IF(tblForecasts[[#This Row],[Month]]="","",IF(AND(tblForecasts[[#This Row],[Month]]&gt;=FFrom,tblForecasts[[#This Row],[Month]]&lt;=FTo,OR(DashSku="",tblForecasts[[#This Row],[SKU]]=DashSku)),tblForecasts[[#This Row],[Month]],""))</f>
        <v>46054</v>
      </c>
      <c r="M3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39" s="28" t="s">
        <v>117</v>
      </c>
    </row>
    <row r="40" spans="2:14">
      <c r="B40" s="35">
        <v>46054</v>
      </c>
      <c r="C40" s="28" t="s">
        <v>101</v>
      </c>
      <c r="D40" s="31">
        <v>100</v>
      </c>
      <c r="E40" s="31">
        <v>66</v>
      </c>
      <c r="F40" s="36">
        <f>IF(tblForecasts[[#This Row],[Month]]="","",IF(tblForecasts[[#This Row],[Actual (units)]]="","",tblForecasts[[#This Row],[Forecast (units)]]-tblForecasts[[#This Row],[Actual (units)]]))</f>
        <v>34</v>
      </c>
      <c r="G40" s="37">
        <f>IF(tblForecasts[[#This Row],[Month]]="","",IF(tblForecasts[[#This Row],[Actual (units)]]="","",ABS(tblForecasts[[#This Row],[Forecast (units)]]-tblForecasts[[#This Row],[Actual (units)]])))</f>
        <v>34</v>
      </c>
      <c r="H40" s="38">
        <f>IF(tblForecasts[[#This Row],[Month]]="","",IF(OR(tblForecasts[[#This Row],[Actual (units)]]="",tblForecasts[[#This Row],[Actual (units)]]=0),"",ABS(tblForecasts[[#This Row],[Forecast (units)]]-tblForecasts[[#This Row],[Actual (units)]])/tblForecasts[[#This Row],[Actual (units)]]))</f>
        <v>0.515151515151515</v>
      </c>
      <c r="I40" s="39" t="str">
        <f>IF(tblForecasts[[#This Row],[Month]]="","",IF(tblForecasts[[#This Row],[Actual (units)]]="","",IF(ABS(tblForecasts[[#This Row],[Forecast (units)]]-tblForecasts[[#This Row],[Actual (units)]])&lt;=Tolerance*tblForecasts[[#This Row],[Actual (units)]],"Yes","No")))</f>
        <v>No</v>
      </c>
      <c r="J4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66</v>
      </c>
      <c r="K40" s="40">
        <f>IF(tblForecasts[[#This Row],[Month]]="","",IF(OR(tblForecasts[[#This Row],[Actual (units)]]="",NOT(ISNUMBER(tblForecasts[[#This Row],[Baseline (units)]]))),"",ABS(tblForecasts[[#This Row],[Baseline (units)]]-tblForecasts[[#This Row],[Actual (units)]])))</f>
        <v>0</v>
      </c>
      <c r="L40" s="41">
        <f>IF(tblForecasts[[#This Row],[Month]]="","",IF(AND(tblForecasts[[#This Row],[Month]]&gt;=FFrom,tblForecasts[[#This Row],[Month]]&lt;=FTo,OR(DashSku="",tblForecasts[[#This Row],[SKU]]=DashSku)),tblForecasts[[#This Row],[Month]],""))</f>
        <v>46054</v>
      </c>
      <c r="M4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0" s="28" t="s">
        <v>117</v>
      </c>
    </row>
    <row r="41" spans="2:14">
      <c r="B41" s="35">
        <v>46082</v>
      </c>
      <c r="C41" s="28" t="s">
        <v>77</v>
      </c>
      <c r="D41" s="31">
        <v>1210</v>
      </c>
      <c r="E41" s="31">
        <v>1253</v>
      </c>
      <c r="F41" s="36">
        <f>IF(tblForecasts[[#This Row],[Month]]="","",IF(tblForecasts[[#This Row],[Actual (units)]]="","",tblForecasts[[#This Row],[Forecast (units)]]-tblForecasts[[#This Row],[Actual (units)]]))</f>
        <v>-43</v>
      </c>
      <c r="G41" s="37">
        <f>IF(tblForecasts[[#This Row],[Month]]="","",IF(tblForecasts[[#This Row],[Actual (units)]]="","",ABS(tblForecasts[[#This Row],[Forecast (units)]]-tblForecasts[[#This Row],[Actual (units)]])))</f>
        <v>43</v>
      </c>
      <c r="H41" s="38">
        <f>IF(tblForecasts[[#This Row],[Month]]="","",IF(OR(tblForecasts[[#This Row],[Actual (units)]]="",tblForecasts[[#This Row],[Actual (units)]]=0),"",ABS(tblForecasts[[#This Row],[Forecast (units)]]-tblForecasts[[#This Row],[Actual (units)]])/tblForecasts[[#This Row],[Actual (units)]]))</f>
        <v>0.034317637669593</v>
      </c>
      <c r="I41" s="39" t="str">
        <f>IF(tblForecasts[[#This Row],[Month]]="","",IF(tblForecasts[[#This Row],[Actual (units)]]="","",IF(ABS(tblForecasts[[#This Row],[Forecast (units)]]-tblForecasts[[#This Row],[Actual (units)]])&lt;=Tolerance*tblForecasts[[#This Row],[Actual (units)]],"Yes","No")))</f>
        <v>Yes</v>
      </c>
      <c r="J4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1237.66666666667</v>
      </c>
      <c r="K41" s="40">
        <f>IF(tblForecasts[[#This Row],[Month]]="","",IF(OR(tblForecasts[[#This Row],[Actual (units)]]="",NOT(ISNUMBER(tblForecasts[[#This Row],[Baseline (units)]]))),"",ABS(tblForecasts[[#This Row],[Baseline (units)]]-tblForecasts[[#This Row],[Actual (units)]])))</f>
        <v>15.3333333333333</v>
      </c>
      <c r="L41" s="41">
        <f>IF(tblForecasts[[#This Row],[Month]]="","",IF(AND(tblForecasts[[#This Row],[Month]]&gt;=FFrom,tblForecasts[[#This Row],[Month]]&lt;=FTo,OR(DashSku="",tblForecasts[[#This Row],[SKU]]=DashSku)),tblForecasts[[#This Row],[Month]],""))</f>
        <v>46082</v>
      </c>
      <c r="M4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1" s="28" t="s">
        <v>117</v>
      </c>
    </row>
    <row r="42" spans="2:14">
      <c r="B42" s="35">
        <v>46082</v>
      </c>
      <c r="C42" s="28" t="s">
        <v>81</v>
      </c>
      <c r="D42" s="31">
        <v>820</v>
      </c>
      <c r="E42" s="31">
        <v>847</v>
      </c>
      <c r="F42" s="36">
        <f>IF(tblForecasts[[#This Row],[Month]]="","",IF(tblForecasts[[#This Row],[Actual (units)]]="","",tblForecasts[[#This Row],[Forecast (units)]]-tblForecasts[[#This Row],[Actual (units)]]))</f>
        <v>-27</v>
      </c>
      <c r="G42" s="37">
        <f>IF(tblForecasts[[#This Row],[Month]]="","",IF(tblForecasts[[#This Row],[Actual (units)]]="","",ABS(tblForecasts[[#This Row],[Forecast (units)]]-tblForecasts[[#This Row],[Actual (units)]])))</f>
        <v>27</v>
      </c>
      <c r="H42" s="38">
        <f>IF(tblForecasts[[#This Row],[Month]]="","",IF(OR(tblForecasts[[#This Row],[Actual (units)]]="",tblForecasts[[#This Row],[Actual (units)]]=0),"",ABS(tblForecasts[[#This Row],[Forecast (units)]]-tblForecasts[[#This Row],[Actual (units)]])/tblForecasts[[#This Row],[Actual (units)]]))</f>
        <v>0.0318772136953955</v>
      </c>
      <c r="I42" s="39" t="str">
        <f>IF(tblForecasts[[#This Row],[Month]]="","",IF(tblForecasts[[#This Row],[Actual (units)]]="","",IF(ABS(tblForecasts[[#This Row],[Forecast (units)]]-tblForecasts[[#This Row],[Actual (units)]])&lt;=Tolerance*tblForecasts[[#This Row],[Actual (units)]],"Yes","No")))</f>
        <v>Yes</v>
      </c>
      <c r="J4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818</v>
      </c>
      <c r="K42" s="40">
        <f>IF(tblForecasts[[#This Row],[Month]]="","",IF(OR(tblForecasts[[#This Row],[Actual (units)]]="",NOT(ISNUMBER(tblForecasts[[#This Row],[Baseline (units)]]))),"",ABS(tblForecasts[[#This Row],[Baseline (units)]]-tblForecasts[[#This Row],[Actual (units)]])))</f>
        <v>29</v>
      </c>
      <c r="L42" s="41">
        <f>IF(tblForecasts[[#This Row],[Month]]="","",IF(AND(tblForecasts[[#This Row],[Month]]&gt;=FFrom,tblForecasts[[#This Row],[Month]]&lt;=FTo,OR(DashSku="",tblForecasts[[#This Row],[SKU]]=DashSku)),tblForecasts[[#This Row],[Month]],""))</f>
        <v>46082</v>
      </c>
      <c r="M4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2" s="28" t="s">
        <v>117</v>
      </c>
    </row>
    <row r="43" spans="2:14">
      <c r="B43" s="35">
        <v>46082</v>
      </c>
      <c r="C43" s="28" t="s">
        <v>83</v>
      </c>
      <c r="D43" s="31">
        <v>160</v>
      </c>
      <c r="E43" s="31">
        <v>126</v>
      </c>
      <c r="F43" s="36">
        <f>IF(tblForecasts[[#This Row],[Month]]="","",IF(tblForecasts[[#This Row],[Actual (units)]]="","",tblForecasts[[#This Row],[Forecast (units)]]-tblForecasts[[#This Row],[Actual (units)]]))</f>
        <v>34</v>
      </c>
      <c r="G43" s="37">
        <f>IF(tblForecasts[[#This Row],[Month]]="","",IF(tblForecasts[[#This Row],[Actual (units)]]="","",ABS(tblForecasts[[#This Row],[Forecast (units)]]-tblForecasts[[#This Row],[Actual (units)]])))</f>
        <v>34</v>
      </c>
      <c r="H43" s="38">
        <f>IF(tblForecasts[[#This Row],[Month]]="","",IF(OR(tblForecasts[[#This Row],[Actual (units)]]="",tblForecasts[[#This Row],[Actual (units)]]=0),"",ABS(tblForecasts[[#This Row],[Forecast (units)]]-tblForecasts[[#This Row],[Actual (units)]])/tblForecasts[[#This Row],[Actual (units)]]))</f>
        <v>0.26984126984127</v>
      </c>
      <c r="I43" s="39" t="str">
        <f>IF(tblForecasts[[#This Row],[Month]]="","",IF(tblForecasts[[#This Row],[Actual (units)]]="","",IF(ABS(tblForecasts[[#This Row],[Forecast (units)]]-tblForecasts[[#This Row],[Actual (units)]])&lt;=Tolerance*tblForecasts[[#This Row],[Actual (units)]],"Yes","No")))</f>
        <v>No</v>
      </c>
      <c r="J4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185.666666666667</v>
      </c>
      <c r="K43" s="40">
        <f>IF(tblForecasts[[#This Row],[Month]]="","",IF(OR(tblForecasts[[#This Row],[Actual (units)]]="",NOT(ISNUMBER(tblForecasts[[#This Row],[Baseline (units)]]))),"",ABS(tblForecasts[[#This Row],[Baseline (units)]]-tblForecasts[[#This Row],[Actual (units)]])))</f>
        <v>59.6666666666667</v>
      </c>
      <c r="L43" s="41">
        <f>IF(tblForecasts[[#This Row],[Month]]="","",IF(AND(tblForecasts[[#This Row],[Month]]&gt;=FFrom,tblForecasts[[#This Row],[Month]]&lt;=FTo,OR(DashSku="",tblForecasts[[#This Row],[SKU]]=DashSku)),tblForecasts[[#This Row],[Month]],""))</f>
        <v>46082</v>
      </c>
      <c r="M4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3" s="28" t="s">
        <v>117</v>
      </c>
    </row>
    <row r="44" spans="2:14">
      <c r="B44" s="35">
        <v>46082</v>
      </c>
      <c r="C44" s="28" t="s">
        <v>87</v>
      </c>
      <c r="D44" s="31">
        <v>690</v>
      </c>
      <c r="E44" s="31">
        <v>688</v>
      </c>
      <c r="F44" s="36">
        <f>IF(tblForecasts[[#This Row],[Month]]="","",IF(tblForecasts[[#This Row],[Actual (units)]]="","",tblForecasts[[#This Row],[Forecast (units)]]-tblForecasts[[#This Row],[Actual (units)]]))</f>
        <v>2</v>
      </c>
      <c r="G44" s="37">
        <f>IF(tblForecasts[[#This Row],[Month]]="","",IF(tblForecasts[[#This Row],[Actual (units)]]="","",ABS(tblForecasts[[#This Row],[Forecast (units)]]-tblForecasts[[#This Row],[Actual (units)]])))</f>
        <v>2</v>
      </c>
      <c r="H44" s="38">
        <f>IF(tblForecasts[[#This Row],[Month]]="","",IF(OR(tblForecasts[[#This Row],[Actual (units)]]="",tblForecasts[[#This Row],[Actual (units)]]=0),"",ABS(tblForecasts[[#This Row],[Forecast (units)]]-tblForecasts[[#This Row],[Actual (units)]])/tblForecasts[[#This Row],[Actual (units)]]))</f>
        <v>0.00290697674418605</v>
      </c>
      <c r="I44" s="39" t="str">
        <f>IF(tblForecasts[[#This Row],[Month]]="","",IF(tblForecasts[[#This Row],[Actual (units)]]="","",IF(ABS(tblForecasts[[#This Row],[Forecast (units)]]-tblForecasts[[#This Row],[Actual (units)]])&lt;=Tolerance*tblForecasts[[#This Row],[Actual (units)]],"Yes","No")))</f>
        <v>Yes</v>
      </c>
      <c r="J4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320</v>
      </c>
      <c r="K44" s="40">
        <f>IF(tblForecasts[[#This Row],[Month]]="","",IF(OR(tblForecasts[[#This Row],[Actual (units)]]="",NOT(ISNUMBER(tblForecasts[[#This Row],[Baseline (units)]]))),"",ABS(tblForecasts[[#This Row],[Baseline (units)]]-tblForecasts[[#This Row],[Actual (units)]])))</f>
        <v>368</v>
      </c>
      <c r="L44" s="41">
        <f>IF(tblForecasts[[#This Row],[Month]]="","",IF(AND(tblForecasts[[#This Row],[Month]]&gt;=FFrom,tblForecasts[[#This Row],[Month]]&lt;=FTo,OR(DashSku="",tblForecasts[[#This Row],[SKU]]=DashSku)),tblForecasts[[#This Row],[Month]],""))</f>
        <v>46082</v>
      </c>
      <c r="M4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4" s="28" t="s">
        <v>117</v>
      </c>
    </row>
    <row r="45" spans="2:14">
      <c r="B45" s="35">
        <v>46082</v>
      </c>
      <c r="C45" s="28" t="s">
        <v>91</v>
      </c>
      <c r="D45" s="31">
        <v>330</v>
      </c>
      <c r="E45" s="31">
        <v>298</v>
      </c>
      <c r="F45" s="36">
        <f>IF(tblForecasts[[#This Row],[Month]]="","",IF(tblForecasts[[#This Row],[Actual (units)]]="","",tblForecasts[[#This Row],[Forecast (units)]]-tblForecasts[[#This Row],[Actual (units)]]))</f>
        <v>32</v>
      </c>
      <c r="G45" s="37">
        <f>IF(tblForecasts[[#This Row],[Month]]="","",IF(tblForecasts[[#This Row],[Actual (units)]]="","",ABS(tblForecasts[[#This Row],[Forecast (units)]]-tblForecasts[[#This Row],[Actual (units)]])))</f>
        <v>32</v>
      </c>
      <c r="H45" s="38">
        <f>IF(tblForecasts[[#This Row],[Month]]="","",IF(OR(tblForecasts[[#This Row],[Actual (units)]]="",tblForecasts[[#This Row],[Actual (units)]]=0),"",ABS(tblForecasts[[#This Row],[Forecast (units)]]-tblForecasts[[#This Row],[Actual (units)]])/tblForecasts[[#This Row],[Actual (units)]]))</f>
        <v>0.10738255033557</v>
      </c>
      <c r="I45" s="39" t="str">
        <f>IF(tblForecasts[[#This Row],[Month]]="","",IF(tblForecasts[[#This Row],[Actual (units)]]="","",IF(ABS(tblForecasts[[#This Row],[Forecast (units)]]-tblForecasts[[#This Row],[Actual (units)]])&lt;=Tolerance*tblForecasts[[#This Row],[Actual (units)]],"Yes","No")))</f>
        <v>Yes</v>
      </c>
      <c r="J4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165.333333333333</v>
      </c>
      <c r="K45" s="40">
        <f>IF(tblForecasts[[#This Row],[Month]]="","",IF(OR(tblForecasts[[#This Row],[Actual (units)]]="",NOT(ISNUMBER(tblForecasts[[#This Row],[Baseline (units)]]))),"",ABS(tblForecasts[[#This Row],[Baseline (units)]]-tblForecasts[[#This Row],[Actual (units)]])))</f>
        <v>132.666666666667</v>
      </c>
      <c r="L45" s="41">
        <f>IF(tblForecasts[[#This Row],[Month]]="","",IF(AND(tblForecasts[[#This Row],[Month]]&gt;=FFrom,tblForecasts[[#This Row],[Month]]&lt;=FTo,OR(DashSku="",tblForecasts[[#This Row],[SKU]]=DashSku)),tblForecasts[[#This Row],[Month]],""))</f>
        <v>46082</v>
      </c>
      <c r="M4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5" s="28" t="s">
        <v>117</v>
      </c>
    </row>
    <row r="46" spans="2:14">
      <c r="B46" s="35">
        <v>46082</v>
      </c>
      <c r="C46" s="28" t="s">
        <v>93</v>
      </c>
      <c r="D46" s="31">
        <v>480</v>
      </c>
      <c r="E46" s="31">
        <v>380</v>
      </c>
      <c r="F46" s="36">
        <f>IF(tblForecasts[[#This Row],[Month]]="","",IF(tblForecasts[[#This Row],[Actual (units)]]="","",tblForecasts[[#This Row],[Forecast (units)]]-tblForecasts[[#This Row],[Actual (units)]]))</f>
        <v>100</v>
      </c>
      <c r="G46" s="37">
        <f>IF(tblForecasts[[#This Row],[Month]]="","",IF(tblForecasts[[#This Row],[Actual (units)]]="","",ABS(tblForecasts[[#This Row],[Forecast (units)]]-tblForecasts[[#This Row],[Actual (units)]])))</f>
        <v>100</v>
      </c>
      <c r="H46" s="38">
        <f>IF(tblForecasts[[#This Row],[Month]]="","",IF(OR(tblForecasts[[#This Row],[Actual (units)]]="",tblForecasts[[#This Row],[Actual (units)]]=0),"",ABS(tblForecasts[[#This Row],[Forecast (units)]]-tblForecasts[[#This Row],[Actual (units)]])/tblForecasts[[#This Row],[Actual (units)]]))</f>
        <v>0.263157894736842</v>
      </c>
      <c r="I46" s="39" t="str">
        <f>IF(tblForecasts[[#This Row],[Month]]="","",IF(tblForecasts[[#This Row],[Actual (units)]]="","",IF(ABS(tblForecasts[[#This Row],[Forecast (units)]]-tblForecasts[[#This Row],[Actual (units)]])&lt;=Tolerance*tblForecasts[[#This Row],[Actual (units)]],"Yes","No")))</f>
        <v>No</v>
      </c>
      <c r="J4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413</v>
      </c>
      <c r="K46" s="40">
        <f>IF(tblForecasts[[#This Row],[Month]]="","",IF(OR(tblForecasts[[#This Row],[Actual (units)]]="",NOT(ISNUMBER(tblForecasts[[#This Row],[Baseline (units)]]))),"",ABS(tblForecasts[[#This Row],[Baseline (units)]]-tblForecasts[[#This Row],[Actual (units)]])))</f>
        <v>33</v>
      </c>
      <c r="L46" s="41">
        <f>IF(tblForecasts[[#This Row],[Month]]="","",IF(AND(tblForecasts[[#This Row],[Month]]&gt;=FFrom,tblForecasts[[#This Row],[Month]]&lt;=FTo,OR(DashSku="",tblForecasts[[#This Row],[SKU]]=DashSku)),tblForecasts[[#This Row],[Month]],""))</f>
        <v>46082</v>
      </c>
      <c r="M4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6" s="28" t="s">
        <v>117</v>
      </c>
    </row>
    <row r="47" spans="2:14">
      <c r="B47" s="35">
        <v>46082</v>
      </c>
      <c r="C47" s="28" t="s">
        <v>101</v>
      </c>
      <c r="D47" s="31">
        <v>90</v>
      </c>
      <c r="E47" s="31">
        <v>55</v>
      </c>
      <c r="F47" s="36">
        <f>IF(tblForecasts[[#This Row],[Month]]="","",IF(tblForecasts[[#This Row],[Actual (units)]]="","",tblForecasts[[#This Row],[Forecast (units)]]-tblForecasts[[#This Row],[Actual (units)]]))</f>
        <v>35</v>
      </c>
      <c r="G47" s="37">
        <f>IF(tblForecasts[[#This Row],[Month]]="","",IF(tblForecasts[[#This Row],[Actual (units)]]="","",ABS(tblForecasts[[#This Row],[Forecast (units)]]-tblForecasts[[#This Row],[Actual (units)]])))</f>
        <v>35</v>
      </c>
      <c r="H47" s="38">
        <f>IF(tblForecasts[[#This Row],[Month]]="","",IF(OR(tblForecasts[[#This Row],[Actual (units)]]="",tblForecasts[[#This Row],[Actual (units)]]=0),"",ABS(tblForecasts[[#This Row],[Forecast (units)]]-tblForecasts[[#This Row],[Actual (units)]])/tblForecasts[[#This Row],[Actual (units)]]))</f>
        <v>0.636363636363636</v>
      </c>
      <c r="I47" s="39" t="str">
        <f>IF(tblForecasts[[#This Row],[Month]]="","",IF(tblForecasts[[#This Row],[Actual (units)]]="","",IF(ABS(tblForecasts[[#This Row],[Forecast (units)]]-tblForecasts[[#This Row],[Actual (units)]])&lt;=Tolerance*tblForecasts[[#This Row],[Actual (units)]],"Yes","No")))</f>
        <v>No</v>
      </c>
      <c r="J4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60.6666666666667</v>
      </c>
      <c r="K47" s="40">
        <f>IF(tblForecasts[[#This Row],[Month]]="","",IF(OR(tblForecasts[[#This Row],[Actual (units)]]="",NOT(ISNUMBER(tblForecasts[[#This Row],[Baseline (units)]]))),"",ABS(tblForecasts[[#This Row],[Baseline (units)]]-tblForecasts[[#This Row],[Actual (units)]])))</f>
        <v>5.66666666666666</v>
      </c>
      <c r="L47" s="41">
        <f>IF(tblForecasts[[#This Row],[Month]]="","",IF(AND(tblForecasts[[#This Row],[Month]]&gt;=FFrom,tblForecasts[[#This Row],[Month]]&lt;=FTo,OR(DashSku="",tblForecasts[[#This Row],[SKU]]=DashSku)),tblForecasts[[#This Row],[Month]],""))</f>
        <v>46082</v>
      </c>
      <c r="M4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7" s="28" t="s">
        <v>117</v>
      </c>
    </row>
    <row r="48" spans="2:14">
      <c r="B48" s="35">
        <v>46113</v>
      </c>
      <c r="C48" s="28" t="s">
        <v>77</v>
      </c>
      <c r="D48" s="31">
        <v>1280</v>
      </c>
      <c r="E48" s="31">
        <v>1184</v>
      </c>
      <c r="F48" s="36">
        <f>IF(tblForecasts[[#This Row],[Month]]="","",IF(tblForecasts[[#This Row],[Actual (units)]]="","",tblForecasts[[#This Row],[Forecast (units)]]-tblForecasts[[#This Row],[Actual (units)]]))</f>
        <v>96</v>
      </c>
      <c r="G48" s="37">
        <f>IF(tblForecasts[[#This Row],[Month]]="","",IF(tblForecasts[[#This Row],[Actual (units)]]="","",ABS(tblForecasts[[#This Row],[Forecast (units)]]-tblForecasts[[#This Row],[Actual (units)]])))</f>
        <v>96</v>
      </c>
      <c r="H48" s="38">
        <f>IF(tblForecasts[[#This Row],[Month]]="","",IF(OR(tblForecasts[[#This Row],[Actual (units)]]="",tblForecasts[[#This Row],[Actual (units)]]=0),"",ABS(tblForecasts[[#This Row],[Forecast (units)]]-tblForecasts[[#This Row],[Actual (units)]])/tblForecasts[[#This Row],[Actual (units)]]))</f>
        <v>0.0810810810810811</v>
      </c>
      <c r="I48" s="39" t="str">
        <f>IF(tblForecasts[[#This Row],[Month]]="","",IF(tblForecasts[[#This Row],[Actual (units)]]="","",IF(ABS(tblForecasts[[#This Row],[Forecast (units)]]-tblForecasts[[#This Row],[Actual (units)]])&lt;=Tolerance*tblForecasts[[#This Row],[Actual (units)]],"Yes","No")))</f>
        <v>Yes</v>
      </c>
      <c r="J4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1231</v>
      </c>
      <c r="K48" s="40">
        <f>IF(tblForecasts[[#This Row],[Month]]="","",IF(OR(tblForecasts[[#This Row],[Actual (units)]]="",NOT(ISNUMBER(tblForecasts[[#This Row],[Baseline (units)]]))),"",ABS(tblForecasts[[#This Row],[Baseline (units)]]-tblForecasts[[#This Row],[Actual (units)]])))</f>
        <v>47</v>
      </c>
      <c r="L48" s="41">
        <f>IF(tblForecasts[[#This Row],[Month]]="","",IF(AND(tblForecasts[[#This Row],[Month]]&gt;=FFrom,tblForecasts[[#This Row],[Month]]&lt;=FTo,OR(DashSku="",tblForecasts[[#This Row],[SKU]]=DashSku)),tblForecasts[[#This Row],[Month]],""))</f>
        <v>46113</v>
      </c>
      <c r="M4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8" s="28" t="s">
        <v>117</v>
      </c>
    </row>
    <row r="49" spans="2:14">
      <c r="B49" s="35">
        <v>46113</v>
      </c>
      <c r="C49" s="28" t="s">
        <v>81</v>
      </c>
      <c r="D49" s="31">
        <v>810</v>
      </c>
      <c r="E49" s="31">
        <v>798</v>
      </c>
      <c r="F49" s="36">
        <f>IF(tblForecasts[[#This Row],[Month]]="","",IF(tblForecasts[[#This Row],[Actual (units)]]="","",tblForecasts[[#This Row],[Forecast (units)]]-tblForecasts[[#This Row],[Actual (units)]]))</f>
        <v>12</v>
      </c>
      <c r="G49" s="37">
        <f>IF(tblForecasts[[#This Row],[Month]]="","",IF(tblForecasts[[#This Row],[Actual (units)]]="","",ABS(tblForecasts[[#This Row],[Forecast (units)]]-tblForecasts[[#This Row],[Actual (units)]])))</f>
        <v>12</v>
      </c>
      <c r="H49" s="38">
        <f>IF(tblForecasts[[#This Row],[Month]]="","",IF(OR(tblForecasts[[#This Row],[Actual (units)]]="",tblForecasts[[#This Row],[Actual (units)]]=0),"",ABS(tblForecasts[[#This Row],[Forecast (units)]]-tblForecasts[[#This Row],[Actual (units)]])/tblForecasts[[#This Row],[Actual (units)]]))</f>
        <v>0.0150375939849624</v>
      </c>
      <c r="I49" s="39" t="str">
        <f>IF(tblForecasts[[#This Row],[Month]]="","",IF(tblForecasts[[#This Row],[Actual (units)]]="","",IF(ABS(tblForecasts[[#This Row],[Forecast (units)]]-tblForecasts[[#This Row],[Actual (units)]])&lt;=Tolerance*tblForecasts[[#This Row],[Actual (units)]],"Yes","No")))</f>
        <v>Yes</v>
      </c>
      <c r="J4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838.333333333333</v>
      </c>
      <c r="K49" s="40">
        <f>IF(tblForecasts[[#This Row],[Month]]="","",IF(OR(tblForecasts[[#This Row],[Actual (units)]]="",NOT(ISNUMBER(tblForecasts[[#This Row],[Baseline (units)]]))),"",ABS(tblForecasts[[#This Row],[Baseline (units)]]-tblForecasts[[#This Row],[Actual (units)]])))</f>
        <v>40.3333333333334</v>
      </c>
      <c r="L49" s="41">
        <f>IF(tblForecasts[[#This Row],[Month]]="","",IF(AND(tblForecasts[[#This Row],[Month]]&gt;=FFrom,tblForecasts[[#This Row],[Month]]&lt;=FTo,OR(DashSku="",tblForecasts[[#This Row],[SKU]]=DashSku)),tblForecasts[[#This Row],[Month]],""))</f>
        <v>46113</v>
      </c>
      <c r="M4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49" s="28" t="s">
        <v>117</v>
      </c>
    </row>
    <row r="50" spans="2:14">
      <c r="B50" s="35">
        <v>46113</v>
      </c>
      <c r="C50" s="28" t="s">
        <v>83</v>
      </c>
      <c r="D50" s="31">
        <v>180</v>
      </c>
      <c r="E50" s="31">
        <v>142</v>
      </c>
      <c r="F50" s="36">
        <f>IF(tblForecasts[[#This Row],[Month]]="","",IF(tblForecasts[[#This Row],[Actual (units)]]="","",tblForecasts[[#This Row],[Forecast (units)]]-tblForecasts[[#This Row],[Actual (units)]]))</f>
        <v>38</v>
      </c>
      <c r="G50" s="37">
        <f>IF(tblForecasts[[#This Row],[Month]]="","",IF(tblForecasts[[#This Row],[Actual (units)]]="","",ABS(tblForecasts[[#This Row],[Forecast (units)]]-tblForecasts[[#This Row],[Actual (units)]])))</f>
        <v>38</v>
      </c>
      <c r="H50" s="38">
        <f>IF(tblForecasts[[#This Row],[Month]]="","",IF(OR(tblForecasts[[#This Row],[Actual (units)]]="",tblForecasts[[#This Row],[Actual (units)]]=0),"",ABS(tblForecasts[[#This Row],[Forecast (units)]]-tblForecasts[[#This Row],[Actual (units)]])/tblForecasts[[#This Row],[Actual (units)]]))</f>
        <v>0.267605633802817</v>
      </c>
      <c r="I50" s="39" t="str">
        <f>IF(tblForecasts[[#This Row],[Month]]="","",IF(tblForecasts[[#This Row],[Actual (units)]]="","",IF(ABS(tblForecasts[[#This Row],[Forecast (units)]]-tblForecasts[[#This Row],[Actual (units)]])&lt;=Tolerance*tblForecasts[[#This Row],[Actual (units)]],"Yes","No")))</f>
        <v>No</v>
      </c>
      <c r="J5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166.333333333333</v>
      </c>
      <c r="K50" s="40">
        <f>IF(tblForecasts[[#This Row],[Month]]="","",IF(OR(tblForecasts[[#This Row],[Actual (units)]]="",NOT(ISNUMBER(tblForecasts[[#This Row],[Baseline (units)]]))),"",ABS(tblForecasts[[#This Row],[Baseline (units)]]-tblForecasts[[#This Row],[Actual (units)]])))</f>
        <v>24.3333333333333</v>
      </c>
      <c r="L50" s="41">
        <f>IF(tblForecasts[[#This Row],[Month]]="","",IF(AND(tblForecasts[[#This Row],[Month]]&gt;=FFrom,tblForecasts[[#This Row],[Month]]&lt;=FTo,OR(DashSku="",tblForecasts[[#This Row],[SKU]]=DashSku)),tblForecasts[[#This Row],[Month]],""))</f>
        <v>46113</v>
      </c>
      <c r="M5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0" s="28" t="s">
        <v>117</v>
      </c>
    </row>
    <row r="51" spans="2:14">
      <c r="B51" s="35">
        <v>46113</v>
      </c>
      <c r="C51" s="28" t="s">
        <v>87</v>
      </c>
      <c r="D51" s="31">
        <v>990</v>
      </c>
      <c r="E51" s="31">
        <v>998</v>
      </c>
      <c r="F51" s="36">
        <f>IF(tblForecasts[[#This Row],[Month]]="","",IF(tblForecasts[[#This Row],[Actual (units)]]="","",tblForecasts[[#This Row],[Forecast (units)]]-tblForecasts[[#This Row],[Actual (units)]]))</f>
        <v>-8</v>
      </c>
      <c r="G51" s="37">
        <f>IF(tblForecasts[[#This Row],[Month]]="","",IF(tblForecasts[[#This Row],[Actual (units)]]="","",ABS(tblForecasts[[#This Row],[Forecast (units)]]-tblForecasts[[#This Row],[Actual (units)]])))</f>
        <v>8</v>
      </c>
      <c r="H51" s="38">
        <f>IF(tblForecasts[[#This Row],[Month]]="","",IF(OR(tblForecasts[[#This Row],[Actual (units)]]="",tblForecasts[[#This Row],[Actual (units)]]=0),"",ABS(tblForecasts[[#This Row],[Forecast (units)]]-tblForecasts[[#This Row],[Actual (units)]])/tblForecasts[[#This Row],[Actual (units)]]))</f>
        <v>0.00801603206412826</v>
      </c>
      <c r="I51" s="39" t="str">
        <f>IF(tblForecasts[[#This Row],[Month]]="","",IF(tblForecasts[[#This Row],[Actual (units)]]="","",IF(ABS(tblForecasts[[#This Row],[Forecast (units)]]-tblForecasts[[#This Row],[Actual (units)]])&lt;=Tolerance*tblForecasts[[#This Row],[Actual (units)]],"Yes","No")))</f>
        <v>Yes</v>
      </c>
      <c r="J5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444.333333333333</v>
      </c>
      <c r="K51" s="40">
        <f>IF(tblForecasts[[#This Row],[Month]]="","",IF(OR(tblForecasts[[#This Row],[Actual (units)]]="",NOT(ISNUMBER(tblForecasts[[#This Row],[Baseline (units)]]))),"",ABS(tblForecasts[[#This Row],[Baseline (units)]]-tblForecasts[[#This Row],[Actual (units)]])))</f>
        <v>553.666666666667</v>
      </c>
      <c r="L51" s="41">
        <f>IF(tblForecasts[[#This Row],[Month]]="","",IF(AND(tblForecasts[[#This Row],[Month]]&gt;=FFrom,tblForecasts[[#This Row],[Month]]&lt;=FTo,OR(DashSku="",tblForecasts[[#This Row],[SKU]]=DashSku)),tblForecasts[[#This Row],[Month]],""))</f>
        <v>46113</v>
      </c>
      <c r="M5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1" s="28" t="s">
        <v>117</v>
      </c>
    </row>
    <row r="52" spans="2:14">
      <c r="B52" s="35">
        <v>46113</v>
      </c>
      <c r="C52" s="28" t="s">
        <v>91</v>
      </c>
      <c r="D52" s="31">
        <v>510</v>
      </c>
      <c r="E52" s="31">
        <v>552</v>
      </c>
      <c r="F52" s="36">
        <f>IF(tblForecasts[[#This Row],[Month]]="","",IF(tblForecasts[[#This Row],[Actual (units)]]="","",tblForecasts[[#This Row],[Forecast (units)]]-tblForecasts[[#This Row],[Actual (units)]]))</f>
        <v>-42</v>
      </c>
      <c r="G52" s="37">
        <f>IF(tblForecasts[[#This Row],[Month]]="","",IF(tblForecasts[[#This Row],[Actual (units)]]="","",ABS(tblForecasts[[#This Row],[Forecast (units)]]-tblForecasts[[#This Row],[Actual (units)]])))</f>
        <v>42</v>
      </c>
      <c r="H52" s="38">
        <f>IF(tblForecasts[[#This Row],[Month]]="","",IF(OR(tblForecasts[[#This Row],[Actual (units)]]="",tblForecasts[[#This Row],[Actual (units)]]=0),"",ABS(tblForecasts[[#This Row],[Forecast (units)]]-tblForecasts[[#This Row],[Actual (units)]])/tblForecasts[[#This Row],[Actual (units)]]))</f>
        <v>0.0760869565217391</v>
      </c>
      <c r="I52" s="39" t="str">
        <f>IF(tblForecasts[[#This Row],[Month]]="","",IF(tblForecasts[[#This Row],[Actual (units)]]="","",IF(ABS(tblForecasts[[#This Row],[Forecast (units)]]-tblForecasts[[#This Row],[Actual (units)]])&lt;=Tolerance*tblForecasts[[#This Row],[Actual (units)]],"Yes","No")))</f>
        <v>Yes</v>
      </c>
      <c r="J5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207.666666666667</v>
      </c>
      <c r="K52" s="40">
        <f>IF(tblForecasts[[#This Row],[Month]]="","",IF(OR(tblForecasts[[#This Row],[Actual (units)]]="",NOT(ISNUMBER(tblForecasts[[#This Row],[Baseline (units)]]))),"",ABS(tblForecasts[[#This Row],[Baseline (units)]]-tblForecasts[[#This Row],[Actual (units)]])))</f>
        <v>344.333333333333</v>
      </c>
      <c r="L52" s="41">
        <f>IF(tblForecasts[[#This Row],[Month]]="","",IF(AND(tblForecasts[[#This Row],[Month]]&gt;=FFrom,tblForecasts[[#This Row],[Month]]&lt;=FTo,OR(DashSku="",tblForecasts[[#This Row],[SKU]]=DashSku)),tblForecasts[[#This Row],[Month]],""))</f>
        <v>46113</v>
      </c>
      <c r="M5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2" s="28" t="s">
        <v>117</v>
      </c>
    </row>
    <row r="53" spans="2:14">
      <c r="B53" s="35">
        <v>46113</v>
      </c>
      <c r="C53" s="28" t="s">
        <v>93</v>
      </c>
      <c r="D53" s="31">
        <v>510</v>
      </c>
      <c r="E53" s="31">
        <v>371</v>
      </c>
      <c r="F53" s="36">
        <f>IF(tblForecasts[[#This Row],[Month]]="","",IF(tblForecasts[[#This Row],[Actual (units)]]="","",tblForecasts[[#This Row],[Forecast (units)]]-tblForecasts[[#This Row],[Actual (units)]]))</f>
        <v>139</v>
      </c>
      <c r="G53" s="37">
        <f>IF(tblForecasts[[#This Row],[Month]]="","",IF(tblForecasts[[#This Row],[Actual (units)]]="","",ABS(tblForecasts[[#This Row],[Forecast (units)]]-tblForecasts[[#This Row],[Actual (units)]])))</f>
        <v>139</v>
      </c>
      <c r="H53" s="38">
        <f>IF(tblForecasts[[#This Row],[Month]]="","",IF(OR(tblForecasts[[#This Row],[Actual (units)]]="",tblForecasts[[#This Row],[Actual (units)]]=0),"",ABS(tblForecasts[[#This Row],[Forecast (units)]]-tblForecasts[[#This Row],[Actual (units)]])/tblForecasts[[#This Row],[Actual (units)]]))</f>
        <v>0.37466307277628</v>
      </c>
      <c r="I53" s="39" t="str">
        <f>IF(tblForecasts[[#This Row],[Month]]="","",IF(tblForecasts[[#This Row],[Actual (units)]]="","",IF(ABS(tblForecasts[[#This Row],[Forecast (units)]]-tblForecasts[[#This Row],[Actual (units)]])&lt;=Tolerance*tblForecasts[[#This Row],[Actual (units)]],"Yes","No")))</f>
        <v>No</v>
      </c>
      <c r="J5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395.333333333333</v>
      </c>
      <c r="K53" s="40">
        <f>IF(tblForecasts[[#This Row],[Month]]="","",IF(OR(tblForecasts[[#This Row],[Actual (units)]]="",NOT(ISNUMBER(tblForecasts[[#This Row],[Baseline (units)]]))),"",ABS(tblForecasts[[#This Row],[Baseline (units)]]-tblForecasts[[#This Row],[Actual (units)]])))</f>
        <v>24.3333333333333</v>
      </c>
      <c r="L53" s="41">
        <f>IF(tblForecasts[[#This Row],[Month]]="","",IF(AND(tblForecasts[[#This Row],[Month]]&gt;=FFrom,tblForecasts[[#This Row],[Month]]&lt;=FTo,OR(DashSku="",tblForecasts[[#This Row],[SKU]]=DashSku)),tblForecasts[[#This Row],[Month]],""))</f>
        <v>46113</v>
      </c>
      <c r="M5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3" s="28" t="s">
        <v>117</v>
      </c>
    </row>
    <row r="54" spans="2:14">
      <c r="B54" s="35">
        <v>46113</v>
      </c>
      <c r="C54" s="28" t="s">
        <v>97</v>
      </c>
      <c r="D54" s="31">
        <v>120</v>
      </c>
      <c r="E54" s="31">
        <v>110</v>
      </c>
      <c r="F54" s="36">
        <f>IF(tblForecasts[[#This Row],[Month]]="","",IF(tblForecasts[[#This Row],[Actual (units)]]="","",tblForecasts[[#This Row],[Forecast (units)]]-tblForecasts[[#This Row],[Actual (units)]]))</f>
        <v>10</v>
      </c>
      <c r="G54" s="37">
        <f>IF(tblForecasts[[#This Row],[Month]]="","",IF(tblForecasts[[#This Row],[Actual (units)]]="","",ABS(tblForecasts[[#This Row],[Forecast (units)]]-tblForecasts[[#This Row],[Actual (units)]])))</f>
        <v>10</v>
      </c>
      <c r="H54" s="38">
        <f>IF(tblForecasts[[#This Row],[Month]]="","",IF(OR(tblForecasts[[#This Row],[Actual (units)]]="",tblForecasts[[#This Row],[Actual (units)]]=0),"",ABS(tblForecasts[[#This Row],[Forecast (units)]]-tblForecasts[[#This Row],[Actual (units)]])/tblForecasts[[#This Row],[Actual (units)]]))</f>
        <v>0.0909090909090909</v>
      </c>
      <c r="I54" s="39" t="str">
        <f>IF(tblForecasts[[#This Row],[Month]]="","",IF(tblForecasts[[#This Row],[Actual (units)]]="","",IF(ABS(tblForecasts[[#This Row],[Forecast (units)]]-tblForecasts[[#This Row],[Actual (units)]])&lt;=Tolerance*tblForecasts[[#This Row],[Actual (units)]],"Yes","No")))</f>
        <v>Yes</v>
      </c>
      <c r="J5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54" s="40">
        <f>IF(tblForecasts[[#This Row],[Month]]="","",IF(OR(tblForecasts[[#This Row],[Actual (units)]]="",NOT(ISNUMBER(tblForecasts[[#This Row],[Baseline (units)]]))),"",ABS(tblForecasts[[#This Row],[Baseline (units)]]-tblForecasts[[#This Row],[Actual (units)]])))</f>
        <v/>
      </c>
      <c r="L54" s="41">
        <f>IF(tblForecasts[[#This Row],[Month]]="","",IF(AND(tblForecasts[[#This Row],[Month]]&gt;=FFrom,tblForecasts[[#This Row],[Month]]&lt;=FTo,OR(DashSku="",tblForecasts[[#This Row],[SKU]]=DashSku)),tblForecasts[[#This Row],[Month]],""))</f>
        <v>46113</v>
      </c>
      <c r="M5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4" s="28" t="s">
        <v>118</v>
      </c>
    </row>
    <row r="55" spans="2:14">
      <c r="B55" s="35">
        <v>46113</v>
      </c>
      <c r="C55" s="28" t="s">
        <v>101</v>
      </c>
      <c r="D55" s="31">
        <v>90</v>
      </c>
      <c r="E55" s="31">
        <v>61</v>
      </c>
      <c r="F55" s="36">
        <f>IF(tblForecasts[[#This Row],[Month]]="","",IF(tblForecasts[[#This Row],[Actual (units)]]="","",tblForecasts[[#This Row],[Forecast (units)]]-tblForecasts[[#This Row],[Actual (units)]]))</f>
        <v>29</v>
      </c>
      <c r="G55" s="37">
        <f>IF(tblForecasts[[#This Row],[Month]]="","",IF(tblForecasts[[#This Row],[Actual (units)]]="","",ABS(tblForecasts[[#This Row],[Forecast (units)]]-tblForecasts[[#This Row],[Actual (units)]])))</f>
        <v>29</v>
      </c>
      <c r="H55" s="38">
        <f>IF(tblForecasts[[#This Row],[Month]]="","",IF(OR(tblForecasts[[#This Row],[Actual (units)]]="",tblForecasts[[#This Row],[Actual (units)]]=0),"",ABS(tblForecasts[[#This Row],[Forecast (units)]]-tblForecasts[[#This Row],[Actual (units)]])/tblForecasts[[#This Row],[Actual (units)]]))</f>
        <v>0.475409836065574</v>
      </c>
      <c r="I55" s="39" t="str">
        <f>IF(tblForecasts[[#This Row],[Month]]="","",IF(tblForecasts[[#This Row],[Actual (units)]]="","",IF(ABS(tblForecasts[[#This Row],[Forecast (units)]]-tblForecasts[[#This Row],[Actual (units)]])&lt;=Tolerance*tblForecasts[[#This Row],[Actual (units)]],"Yes","No")))</f>
        <v>No</v>
      </c>
      <c r="J5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58.3333333333333</v>
      </c>
      <c r="K55" s="40">
        <f>IF(tblForecasts[[#This Row],[Month]]="","",IF(OR(tblForecasts[[#This Row],[Actual (units)]]="",NOT(ISNUMBER(tblForecasts[[#This Row],[Baseline (units)]]))),"",ABS(tblForecasts[[#This Row],[Baseline (units)]]-tblForecasts[[#This Row],[Actual (units)]])))</f>
        <v>2.66666666666666</v>
      </c>
      <c r="L55" s="41">
        <f>IF(tblForecasts[[#This Row],[Month]]="","",IF(AND(tblForecasts[[#This Row],[Month]]&gt;=FFrom,tblForecasts[[#This Row],[Month]]&lt;=FTo,OR(DashSku="",tblForecasts[[#This Row],[SKU]]=DashSku)),tblForecasts[[#This Row],[Month]],""))</f>
        <v>46113</v>
      </c>
      <c r="M5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5" s="28" t="s">
        <v>117</v>
      </c>
    </row>
    <row r="56" spans="2:14">
      <c r="B56" s="35">
        <v>46143</v>
      </c>
      <c r="C56" s="28" t="s">
        <v>77</v>
      </c>
      <c r="D56" s="31">
        <v>1240</v>
      </c>
      <c r="E56" s="31">
        <v>1250</v>
      </c>
      <c r="F56" s="36">
        <f>IF(tblForecasts[[#This Row],[Month]]="","",IF(tblForecasts[[#This Row],[Actual (units)]]="","",tblForecasts[[#This Row],[Forecast (units)]]-tblForecasts[[#This Row],[Actual (units)]]))</f>
        <v>-10</v>
      </c>
      <c r="G56" s="37">
        <f>IF(tblForecasts[[#This Row],[Month]]="","",IF(tblForecasts[[#This Row],[Actual (units)]]="","",ABS(tblForecasts[[#This Row],[Forecast (units)]]-tblForecasts[[#This Row],[Actual (units)]])))</f>
        <v>10</v>
      </c>
      <c r="H56" s="38">
        <f>IF(tblForecasts[[#This Row],[Month]]="","",IF(OR(tblForecasts[[#This Row],[Actual (units)]]="",tblForecasts[[#This Row],[Actual (units)]]=0),"",ABS(tblForecasts[[#This Row],[Forecast (units)]]-tblForecasts[[#This Row],[Actual (units)]])/tblForecasts[[#This Row],[Actual (units)]]))</f>
        <v>0.008</v>
      </c>
      <c r="I56" s="39" t="str">
        <f>IF(tblForecasts[[#This Row],[Month]]="","",IF(tblForecasts[[#This Row],[Actual (units)]]="","",IF(ABS(tblForecasts[[#This Row],[Forecast (units)]]-tblForecasts[[#This Row],[Actual (units)]])&lt;=Tolerance*tblForecasts[[#This Row],[Actual (units)]],"Yes","No")))</f>
        <v>Yes</v>
      </c>
      <c r="J5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1234.33333333333</v>
      </c>
      <c r="K56" s="40">
        <f>IF(tblForecasts[[#This Row],[Month]]="","",IF(OR(tblForecasts[[#This Row],[Actual (units)]]="",NOT(ISNUMBER(tblForecasts[[#This Row],[Baseline (units)]]))),"",ABS(tblForecasts[[#This Row],[Baseline (units)]]-tblForecasts[[#This Row],[Actual (units)]])))</f>
        <v>15.6666666666667</v>
      </c>
      <c r="L56" s="41">
        <f>IF(tblForecasts[[#This Row],[Month]]="","",IF(AND(tblForecasts[[#This Row],[Month]]&gt;=FFrom,tblForecasts[[#This Row],[Month]]&lt;=FTo,OR(DashSku="",tblForecasts[[#This Row],[SKU]]=DashSku)),tblForecasts[[#This Row],[Month]],""))</f>
        <v>46143</v>
      </c>
      <c r="M5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6" s="28" t="s">
        <v>117</v>
      </c>
    </row>
    <row r="57" spans="2:14">
      <c r="B57" s="35">
        <v>46143</v>
      </c>
      <c r="C57" s="28" t="s">
        <v>81</v>
      </c>
      <c r="D57" s="31">
        <v>810</v>
      </c>
      <c r="E57" s="31">
        <v>728</v>
      </c>
      <c r="F57" s="36">
        <f>IF(tblForecasts[[#This Row],[Month]]="","",IF(tblForecasts[[#This Row],[Actual (units)]]="","",tblForecasts[[#This Row],[Forecast (units)]]-tblForecasts[[#This Row],[Actual (units)]]))</f>
        <v>82</v>
      </c>
      <c r="G57" s="37">
        <f>IF(tblForecasts[[#This Row],[Month]]="","",IF(tblForecasts[[#This Row],[Actual (units)]]="","",ABS(tblForecasts[[#This Row],[Forecast (units)]]-tblForecasts[[#This Row],[Actual (units)]])))</f>
        <v>82</v>
      </c>
      <c r="H57" s="38">
        <f>IF(tblForecasts[[#This Row],[Month]]="","",IF(OR(tblForecasts[[#This Row],[Actual (units)]]="",tblForecasts[[#This Row],[Actual (units)]]=0),"",ABS(tblForecasts[[#This Row],[Forecast (units)]]-tblForecasts[[#This Row],[Actual (units)]])/tblForecasts[[#This Row],[Actual (units)]]))</f>
        <v>0.112637362637363</v>
      </c>
      <c r="I57" s="39" t="str">
        <f>IF(tblForecasts[[#This Row],[Month]]="","",IF(tblForecasts[[#This Row],[Actual (units)]]="","",IF(ABS(tblForecasts[[#This Row],[Forecast (units)]]-tblForecasts[[#This Row],[Actual (units)]])&lt;=Tolerance*tblForecasts[[#This Row],[Actual (units)]],"Yes","No")))</f>
        <v>Yes</v>
      </c>
      <c r="J5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839.333333333333</v>
      </c>
      <c r="K57" s="40">
        <f>IF(tblForecasts[[#This Row],[Month]]="","",IF(OR(tblForecasts[[#This Row],[Actual (units)]]="",NOT(ISNUMBER(tblForecasts[[#This Row],[Baseline (units)]]))),"",ABS(tblForecasts[[#This Row],[Baseline (units)]]-tblForecasts[[#This Row],[Actual (units)]])))</f>
        <v>111.333333333333</v>
      </c>
      <c r="L57" s="41">
        <f>IF(tblForecasts[[#This Row],[Month]]="","",IF(AND(tblForecasts[[#This Row],[Month]]&gt;=FFrom,tblForecasts[[#This Row],[Month]]&lt;=FTo,OR(DashSku="",tblForecasts[[#This Row],[SKU]]=DashSku)),tblForecasts[[#This Row],[Month]],""))</f>
        <v>46143</v>
      </c>
      <c r="M5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7" s="28" t="s">
        <v>117</v>
      </c>
    </row>
    <row r="58" spans="2:14">
      <c r="B58" s="35">
        <v>46143</v>
      </c>
      <c r="C58" s="28" t="s">
        <v>83</v>
      </c>
      <c r="D58" s="31">
        <v>140</v>
      </c>
      <c r="E58" s="31">
        <v>151</v>
      </c>
      <c r="F58" s="36">
        <f>IF(tblForecasts[[#This Row],[Month]]="","",IF(tblForecasts[[#This Row],[Actual (units)]]="","",tblForecasts[[#This Row],[Forecast (units)]]-tblForecasts[[#This Row],[Actual (units)]]))</f>
        <v>-11</v>
      </c>
      <c r="G58" s="37">
        <f>IF(tblForecasts[[#This Row],[Month]]="","",IF(tblForecasts[[#This Row],[Actual (units)]]="","",ABS(tblForecasts[[#This Row],[Forecast (units)]]-tblForecasts[[#This Row],[Actual (units)]])))</f>
        <v>11</v>
      </c>
      <c r="H58" s="38">
        <f>IF(tblForecasts[[#This Row],[Month]]="","",IF(OR(tblForecasts[[#This Row],[Actual (units)]]="",tblForecasts[[#This Row],[Actual (units)]]=0),"",ABS(tblForecasts[[#This Row],[Forecast (units)]]-tblForecasts[[#This Row],[Actual (units)]])/tblForecasts[[#This Row],[Actual (units)]]))</f>
        <v>0.0728476821192053</v>
      </c>
      <c r="I58" s="39" t="str">
        <f>IF(tblForecasts[[#This Row],[Month]]="","",IF(tblForecasts[[#This Row],[Actual (units)]]="","",IF(ABS(tblForecasts[[#This Row],[Forecast (units)]]-tblForecasts[[#This Row],[Actual (units)]])&lt;=Tolerance*tblForecasts[[#This Row],[Actual (units)]],"Yes","No")))</f>
        <v>Yes</v>
      </c>
      <c r="J5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150.666666666667</v>
      </c>
      <c r="K58" s="40">
        <f>IF(tblForecasts[[#This Row],[Month]]="","",IF(OR(tblForecasts[[#This Row],[Actual (units)]]="",NOT(ISNUMBER(tblForecasts[[#This Row],[Baseline (units)]]))),"",ABS(tblForecasts[[#This Row],[Baseline (units)]]-tblForecasts[[#This Row],[Actual (units)]])))</f>
        <v>0.333333333333343</v>
      </c>
      <c r="L58" s="41">
        <f>IF(tblForecasts[[#This Row],[Month]]="","",IF(AND(tblForecasts[[#This Row],[Month]]&gt;=FFrom,tblForecasts[[#This Row],[Month]]&lt;=FTo,OR(DashSku="",tblForecasts[[#This Row],[SKU]]=DashSku)),tblForecasts[[#This Row],[Month]],""))</f>
        <v>46143</v>
      </c>
      <c r="M5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8" s="28" t="s">
        <v>117</v>
      </c>
    </row>
    <row r="59" spans="2:14">
      <c r="B59" s="35">
        <v>46143</v>
      </c>
      <c r="C59" s="28" t="s">
        <v>87</v>
      </c>
      <c r="D59" s="31">
        <v>1180</v>
      </c>
      <c r="E59" s="31">
        <v>986</v>
      </c>
      <c r="F59" s="36">
        <f>IF(tblForecasts[[#This Row],[Month]]="","",IF(tblForecasts[[#This Row],[Actual (units)]]="","",tblForecasts[[#This Row],[Forecast (units)]]-tblForecasts[[#This Row],[Actual (units)]]))</f>
        <v>194</v>
      </c>
      <c r="G59" s="37">
        <f>IF(tblForecasts[[#This Row],[Month]]="","",IF(tblForecasts[[#This Row],[Actual (units)]]="","",ABS(tblForecasts[[#This Row],[Forecast (units)]]-tblForecasts[[#This Row],[Actual (units)]])))</f>
        <v>194</v>
      </c>
      <c r="H59" s="38">
        <f>IF(tblForecasts[[#This Row],[Month]]="","",IF(OR(tblForecasts[[#This Row],[Actual (units)]]="",tblForecasts[[#This Row],[Actual (units)]]=0),"",ABS(tblForecasts[[#This Row],[Forecast (units)]]-tblForecasts[[#This Row],[Actual (units)]])/tblForecasts[[#This Row],[Actual (units)]]))</f>
        <v>0.196754563894523</v>
      </c>
      <c r="I59" s="39" t="str">
        <f>IF(tblForecasts[[#This Row],[Month]]="","",IF(tblForecasts[[#This Row],[Actual (units)]]="","",IF(ABS(tblForecasts[[#This Row],[Forecast (units)]]-tblForecasts[[#This Row],[Actual (units)]])&lt;=Tolerance*tblForecasts[[#This Row],[Actual (units)]],"Yes","No")))</f>
        <v>Yes</v>
      </c>
      <c r="J5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660.333333333333</v>
      </c>
      <c r="K59" s="40">
        <f>IF(tblForecasts[[#This Row],[Month]]="","",IF(OR(tblForecasts[[#This Row],[Actual (units)]]="",NOT(ISNUMBER(tblForecasts[[#This Row],[Baseline (units)]]))),"",ABS(tblForecasts[[#This Row],[Baseline (units)]]-tblForecasts[[#This Row],[Actual (units)]])))</f>
        <v>325.666666666667</v>
      </c>
      <c r="L59" s="41">
        <f>IF(tblForecasts[[#This Row],[Month]]="","",IF(AND(tblForecasts[[#This Row],[Month]]&gt;=FFrom,tblForecasts[[#This Row],[Month]]&lt;=FTo,OR(DashSku="",tblForecasts[[#This Row],[SKU]]=DashSku)),tblForecasts[[#This Row],[Month]],""))</f>
        <v>46143</v>
      </c>
      <c r="M5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59" s="28" t="s">
        <v>117</v>
      </c>
    </row>
    <row r="60" spans="2:14">
      <c r="B60" s="35">
        <v>46143</v>
      </c>
      <c r="C60" s="28" t="s">
        <v>91</v>
      </c>
      <c r="D60" s="31">
        <v>530</v>
      </c>
      <c r="E60" s="31">
        <v>619</v>
      </c>
      <c r="F60" s="36">
        <f>IF(tblForecasts[[#This Row],[Month]]="","",IF(tblForecasts[[#This Row],[Actual (units)]]="","",tblForecasts[[#This Row],[Forecast (units)]]-tblForecasts[[#This Row],[Actual (units)]]))</f>
        <v>-89</v>
      </c>
      <c r="G60" s="37">
        <f>IF(tblForecasts[[#This Row],[Month]]="","",IF(tblForecasts[[#This Row],[Actual (units)]]="","",ABS(tblForecasts[[#This Row],[Forecast (units)]]-tblForecasts[[#This Row],[Actual (units)]])))</f>
        <v>89</v>
      </c>
      <c r="H60" s="38">
        <f>IF(tblForecasts[[#This Row],[Month]]="","",IF(OR(tblForecasts[[#This Row],[Actual (units)]]="",tblForecasts[[#This Row],[Actual (units)]]=0),"",ABS(tblForecasts[[#This Row],[Forecast (units)]]-tblForecasts[[#This Row],[Actual (units)]])/tblForecasts[[#This Row],[Actual (units)]]))</f>
        <v>0.143780290791599</v>
      </c>
      <c r="I60" s="39" t="str">
        <f>IF(tblForecasts[[#This Row],[Month]]="","",IF(tblForecasts[[#This Row],[Actual (units)]]="","",IF(ABS(tblForecasts[[#This Row],[Forecast (units)]]-tblForecasts[[#This Row],[Actual (units)]])&lt;=Tolerance*tblForecasts[[#This Row],[Actual (units)]],"Yes","No")))</f>
        <v>Yes</v>
      </c>
      <c r="J6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340.333333333333</v>
      </c>
      <c r="K60" s="40">
        <f>IF(tblForecasts[[#This Row],[Month]]="","",IF(OR(tblForecasts[[#This Row],[Actual (units)]]="",NOT(ISNUMBER(tblForecasts[[#This Row],[Baseline (units)]]))),"",ABS(tblForecasts[[#This Row],[Baseline (units)]]-tblForecasts[[#This Row],[Actual (units)]])))</f>
        <v>278.666666666667</v>
      </c>
      <c r="L60" s="41">
        <f>IF(tblForecasts[[#This Row],[Month]]="","",IF(AND(tblForecasts[[#This Row],[Month]]&gt;=FFrom,tblForecasts[[#This Row],[Month]]&lt;=FTo,OR(DashSku="",tblForecasts[[#This Row],[SKU]]=DashSku)),tblForecasts[[#This Row],[Month]],""))</f>
        <v>46143</v>
      </c>
      <c r="M6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0" s="28" t="s">
        <v>117</v>
      </c>
    </row>
    <row r="61" spans="2:14">
      <c r="B61" s="35">
        <v>46143</v>
      </c>
      <c r="C61" s="28" t="s">
        <v>93</v>
      </c>
      <c r="D61" s="31">
        <v>500</v>
      </c>
      <c r="E61" s="31">
        <v>445</v>
      </c>
      <c r="F61" s="36">
        <f>IF(tblForecasts[[#This Row],[Month]]="","",IF(tblForecasts[[#This Row],[Actual (units)]]="","",tblForecasts[[#This Row],[Forecast (units)]]-tblForecasts[[#This Row],[Actual (units)]]))</f>
        <v>55</v>
      </c>
      <c r="G61" s="37">
        <f>IF(tblForecasts[[#This Row],[Month]]="","",IF(tblForecasts[[#This Row],[Actual (units)]]="","",ABS(tblForecasts[[#This Row],[Forecast (units)]]-tblForecasts[[#This Row],[Actual (units)]])))</f>
        <v>55</v>
      </c>
      <c r="H61" s="38">
        <f>IF(tblForecasts[[#This Row],[Month]]="","",IF(OR(tblForecasts[[#This Row],[Actual (units)]]="",tblForecasts[[#This Row],[Actual (units)]]=0),"",ABS(tblForecasts[[#This Row],[Forecast (units)]]-tblForecasts[[#This Row],[Actual (units)]])/tblForecasts[[#This Row],[Actual (units)]]))</f>
        <v>0.123595505617978</v>
      </c>
      <c r="I61" s="39" t="str">
        <f>IF(tblForecasts[[#This Row],[Month]]="","",IF(tblForecasts[[#This Row],[Actual (units)]]="","",IF(ABS(tblForecasts[[#This Row],[Forecast (units)]]-tblForecasts[[#This Row],[Actual (units)]])&lt;=Tolerance*tblForecasts[[#This Row],[Actual (units)]],"Yes","No")))</f>
        <v>Yes</v>
      </c>
      <c r="J6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399.333333333333</v>
      </c>
      <c r="K61" s="40">
        <f>IF(tblForecasts[[#This Row],[Month]]="","",IF(OR(tblForecasts[[#This Row],[Actual (units)]]="",NOT(ISNUMBER(tblForecasts[[#This Row],[Baseline (units)]]))),"",ABS(tblForecasts[[#This Row],[Baseline (units)]]-tblForecasts[[#This Row],[Actual (units)]])))</f>
        <v>45.6666666666667</v>
      </c>
      <c r="L61" s="41">
        <f>IF(tblForecasts[[#This Row],[Month]]="","",IF(AND(tblForecasts[[#This Row],[Month]]&gt;=FFrom,tblForecasts[[#This Row],[Month]]&lt;=FTo,OR(DashSku="",tblForecasts[[#This Row],[SKU]]=DashSku)),tblForecasts[[#This Row],[Month]],""))</f>
        <v>46143</v>
      </c>
      <c r="M6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1" s="28" t="s">
        <v>117</v>
      </c>
    </row>
    <row r="62" spans="2:14">
      <c r="B62" s="35">
        <v>46143</v>
      </c>
      <c r="C62" s="28" t="s">
        <v>97</v>
      </c>
      <c r="D62" s="31">
        <v>140</v>
      </c>
      <c r="E62" s="31">
        <v>161</v>
      </c>
      <c r="F62" s="36">
        <f>IF(tblForecasts[[#This Row],[Month]]="","",IF(tblForecasts[[#This Row],[Actual (units)]]="","",tblForecasts[[#This Row],[Forecast (units)]]-tblForecasts[[#This Row],[Actual (units)]]))</f>
        <v>-21</v>
      </c>
      <c r="G62" s="37">
        <f>IF(tblForecasts[[#This Row],[Month]]="","",IF(tblForecasts[[#This Row],[Actual (units)]]="","",ABS(tblForecasts[[#This Row],[Forecast (units)]]-tblForecasts[[#This Row],[Actual (units)]])))</f>
        <v>21</v>
      </c>
      <c r="H62" s="38">
        <f>IF(tblForecasts[[#This Row],[Month]]="","",IF(OR(tblForecasts[[#This Row],[Actual (units)]]="",tblForecasts[[#This Row],[Actual (units)]]=0),"",ABS(tblForecasts[[#This Row],[Forecast (units)]]-tblForecasts[[#This Row],[Actual (units)]])/tblForecasts[[#This Row],[Actual (units)]]))</f>
        <v>0.130434782608696</v>
      </c>
      <c r="I62" s="39" t="str">
        <f>IF(tblForecasts[[#This Row],[Month]]="","",IF(tblForecasts[[#This Row],[Actual (units)]]="","",IF(ABS(tblForecasts[[#This Row],[Forecast (units)]]-tblForecasts[[#This Row],[Actual (units)]])&lt;=Tolerance*tblForecasts[[#This Row],[Actual (units)]],"Yes","No")))</f>
        <v>Yes</v>
      </c>
      <c r="J6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62" s="40">
        <f>IF(tblForecasts[[#This Row],[Month]]="","",IF(OR(tblForecasts[[#This Row],[Actual (units)]]="",NOT(ISNUMBER(tblForecasts[[#This Row],[Baseline (units)]]))),"",ABS(tblForecasts[[#This Row],[Baseline (units)]]-tblForecasts[[#This Row],[Actual (units)]])))</f>
        <v/>
      </c>
      <c r="L62" s="41">
        <f>IF(tblForecasts[[#This Row],[Month]]="","",IF(AND(tblForecasts[[#This Row],[Month]]&gt;=FFrom,tblForecasts[[#This Row],[Month]]&lt;=FTo,OR(DashSku="",tblForecasts[[#This Row],[SKU]]=DashSku)),tblForecasts[[#This Row],[Month]],""))</f>
        <v>46143</v>
      </c>
      <c r="M6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2" s="28" t="s">
        <v>117</v>
      </c>
    </row>
    <row r="63" spans="2:14">
      <c r="B63" s="35">
        <v>46143</v>
      </c>
      <c r="C63" s="28" t="s">
        <v>101</v>
      </c>
      <c r="D63" s="31">
        <v>90</v>
      </c>
      <c r="E63" s="31">
        <v>57</v>
      </c>
      <c r="F63" s="36">
        <f>IF(tblForecasts[[#This Row],[Month]]="","",IF(tblForecasts[[#This Row],[Actual (units)]]="","",tblForecasts[[#This Row],[Forecast (units)]]-tblForecasts[[#This Row],[Actual (units)]]))</f>
        <v>33</v>
      </c>
      <c r="G63" s="37">
        <f>IF(tblForecasts[[#This Row],[Month]]="","",IF(tblForecasts[[#This Row],[Actual (units)]]="","",ABS(tblForecasts[[#This Row],[Forecast (units)]]-tblForecasts[[#This Row],[Actual (units)]])))</f>
        <v>33</v>
      </c>
      <c r="H63" s="38">
        <f>IF(tblForecasts[[#This Row],[Month]]="","",IF(OR(tblForecasts[[#This Row],[Actual (units)]]="",tblForecasts[[#This Row],[Actual (units)]]=0),"",ABS(tblForecasts[[#This Row],[Forecast (units)]]-tblForecasts[[#This Row],[Actual (units)]])/tblForecasts[[#This Row],[Actual (units)]]))</f>
        <v>0.578947368421053</v>
      </c>
      <c r="I63" s="39" t="str">
        <f>IF(tblForecasts[[#This Row],[Month]]="","",IF(tblForecasts[[#This Row],[Actual (units)]]="","",IF(ABS(tblForecasts[[#This Row],[Forecast (units)]]-tblForecasts[[#This Row],[Actual (units)]])&lt;=Tolerance*tblForecasts[[#This Row],[Actual (units)]],"Yes","No")))</f>
        <v>No</v>
      </c>
      <c r="J6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60.6666666666667</v>
      </c>
      <c r="K63" s="40">
        <f>IF(tblForecasts[[#This Row],[Month]]="","",IF(OR(tblForecasts[[#This Row],[Actual (units)]]="",NOT(ISNUMBER(tblForecasts[[#This Row],[Baseline (units)]]))),"",ABS(tblForecasts[[#This Row],[Baseline (units)]]-tblForecasts[[#This Row],[Actual (units)]])))</f>
        <v>3.66666666666666</v>
      </c>
      <c r="L63" s="41">
        <f>IF(tblForecasts[[#This Row],[Month]]="","",IF(AND(tblForecasts[[#This Row],[Month]]&gt;=FFrom,tblForecasts[[#This Row],[Month]]&lt;=FTo,OR(DashSku="",tblForecasts[[#This Row],[SKU]]=DashSku)),tblForecasts[[#This Row],[Month]],""))</f>
        <v>46143</v>
      </c>
      <c r="M6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3" s="28" t="s">
        <v>117</v>
      </c>
    </row>
    <row r="64" spans="2:14">
      <c r="B64" s="35">
        <v>46174</v>
      </c>
      <c r="C64" s="28" t="s">
        <v>77</v>
      </c>
      <c r="D64" s="31">
        <v>1220</v>
      </c>
      <c r="E64" s="31">
        <v>1249</v>
      </c>
      <c r="F64" s="36">
        <f>IF(tblForecasts[[#This Row],[Month]]="","",IF(tblForecasts[[#This Row],[Actual (units)]]="","",tblForecasts[[#This Row],[Forecast (units)]]-tblForecasts[[#This Row],[Actual (units)]]))</f>
        <v>-29</v>
      </c>
      <c r="G64" s="37">
        <f>IF(tblForecasts[[#This Row],[Month]]="","",IF(tblForecasts[[#This Row],[Actual (units)]]="","",ABS(tblForecasts[[#This Row],[Forecast (units)]]-tblForecasts[[#This Row],[Actual (units)]])))</f>
        <v>29</v>
      </c>
      <c r="H64" s="38">
        <f>IF(tblForecasts[[#This Row],[Month]]="","",IF(OR(tblForecasts[[#This Row],[Actual (units)]]="",tblForecasts[[#This Row],[Actual (units)]]=0),"",ABS(tblForecasts[[#This Row],[Forecast (units)]]-tblForecasts[[#This Row],[Actual (units)]])/tblForecasts[[#This Row],[Actual (units)]]))</f>
        <v>0.0232185748598879</v>
      </c>
      <c r="I64" s="39" t="str">
        <f>IF(tblForecasts[[#This Row],[Month]]="","",IF(tblForecasts[[#This Row],[Actual (units)]]="","",IF(ABS(tblForecasts[[#This Row],[Forecast (units)]]-tblForecasts[[#This Row],[Actual (units)]])&lt;=Tolerance*tblForecasts[[#This Row],[Actual (units)]],"Yes","No")))</f>
        <v>Yes</v>
      </c>
      <c r="J6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1229</v>
      </c>
      <c r="K64" s="40">
        <f>IF(tblForecasts[[#This Row],[Month]]="","",IF(OR(tblForecasts[[#This Row],[Actual (units)]]="",NOT(ISNUMBER(tblForecasts[[#This Row],[Baseline (units)]]))),"",ABS(tblForecasts[[#This Row],[Baseline (units)]]-tblForecasts[[#This Row],[Actual (units)]])))</f>
        <v>20</v>
      </c>
      <c r="L64" s="41">
        <f>IF(tblForecasts[[#This Row],[Month]]="","",IF(AND(tblForecasts[[#This Row],[Month]]&gt;=FFrom,tblForecasts[[#This Row],[Month]]&lt;=FTo,OR(DashSku="",tblForecasts[[#This Row],[SKU]]=DashSku)),tblForecasts[[#This Row],[Month]],""))</f>
        <v>46174</v>
      </c>
      <c r="M6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4" s="28" t="s">
        <v>117</v>
      </c>
    </row>
    <row r="65" spans="2:14">
      <c r="B65" s="35">
        <v>46174</v>
      </c>
      <c r="C65" s="28" t="s">
        <v>81</v>
      </c>
      <c r="D65" s="31">
        <v>820</v>
      </c>
      <c r="E65" s="31">
        <v>849</v>
      </c>
      <c r="F65" s="36">
        <f>IF(tblForecasts[[#This Row],[Month]]="","",IF(tblForecasts[[#This Row],[Actual (units)]]="","",tblForecasts[[#This Row],[Forecast (units)]]-tblForecasts[[#This Row],[Actual (units)]]))</f>
        <v>-29</v>
      </c>
      <c r="G65" s="37">
        <f>IF(tblForecasts[[#This Row],[Month]]="","",IF(tblForecasts[[#This Row],[Actual (units)]]="","",ABS(tblForecasts[[#This Row],[Forecast (units)]]-tblForecasts[[#This Row],[Actual (units)]])))</f>
        <v>29</v>
      </c>
      <c r="H65" s="38">
        <f>IF(tblForecasts[[#This Row],[Month]]="","",IF(OR(tblForecasts[[#This Row],[Actual (units)]]="",tblForecasts[[#This Row],[Actual (units)]]=0),"",ABS(tblForecasts[[#This Row],[Forecast (units)]]-tblForecasts[[#This Row],[Actual (units)]])/tblForecasts[[#This Row],[Actual (units)]]))</f>
        <v>0.0341578327444052</v>
      </c>
      <c r="I65" s="39" t="str">
        <f>IF(tblForecasts[[#This Row],[Month]]="","",IF(tblForecasts[[#This Row],[Actual (units)]]="","",IF(ABS(tblForecasts[[#This Row],[Forecast (units)]]-tblForecasts[[#This Row],[Actual (units)]])&lt;=Tolerance*tblForecasts[[#This Row],[Actual (units)]],"Yes","No")))</f>
        <v>Yes</v>
      </c>
      <c r="J6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791</v>
      </c>
      <c r="K65" s="40">
        <f>IF(tblForecasts[[#This Row],[Month]]="","",IF(OR(tblForecasts[[#This Row],[Actual (units)]]="",NOT(ISNUMBER(tblForecasts[[#This Row],[Baseline (units)]]))),"",ABS(tblForecasts[[#This Row],[Baseline (units)]]-tblForecasts[[#This Row],[Actual (units)]])))</f>
        <v>58</v>
      </c>
      <c r="L65" s="41">
        <f>IF(tblForecasts[[#This Row],[Month]]="","",IF(AND(tblForecasts[[#This Row],[Month]]&gt;=FFrom,tblForecasts[[#This Row],[Month]]&lt;=FTo,OR(DashSku="",tblForecasts[[#This Row],[SKU]]=DashSku)),tblForecasts[[#This Row],[Month]],""))</f>
        <v>46174</v>
      </c>
      <c r="M6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5" s="28" t="s">
        <v>117</v>
      </c>
    </row>
    <row r="66" spans="2:14">
      <c r="B66" s="35">
        <v>46174</v>
      </c>
      <c r="C66" s="28" t="s">
        <v>83</v>
      </c>
      <c r="D66" s="31">
        <v>130</v>
      </c>
      <c r="E66" s="31">
        <v>205</v>
      </c>
      <c r="F66" s="36">
        <f>IF(tblForecasts[[#This Row],[Month]]="","",IF(tblForecasts[[#This Row],[Actual (units)]]="","",tblForecasts[[#This Row],[Forecast (units)]]-tblForecasts[[#This Row],[Actual (units)]]))</f>
        <v>-75</v>
      </c>
      <c r="G66" s="37">
        <f>IF(tblForecasts[[#This Row],[Month]]="","",IF(tblForecasts[[#This Row],[Actual (units)]]="","",ABS(tblForecasts[[#This Row],[Forecast (units)]]-tblForecasts[[#This Row],[Actual (units)]])))</f>
        <v>75</v>
      </c>
      <c r="H66" s="38">
        <f>IF(tblForecasts[[#This Row],[Month]]="","",IF(OR(tblForecasts[[#This Row],[Actual (units)]]="",tblForecasts[[#This Row],[Actual (units)]]=0),"",ABS(tblForecasts[[#This Row],[Forecast (units)]]-tblForecasts[[#This Row],[Actual (units)]])/tblForecasts[[#This Row],[Actual (units)]]))</f>
        <v>0.365853658536585</v>
      </c>
      <c r="I66" s="39" t="str">
        <f>IF(tblForecasts[[#This Row],[Month]]="","",IF(tblForecasts[[#This Row],[Actual (units)]]="","",IF(ABS(tblForecasts[[#This Row],[Forecast (units)]]-tblForecasts[[#This Row],[Actual (units)]])&lt;=Tolerance*tblForecasts[[#This Row],[Actual (units)]],"Yes","No")))</f>
        <v>No</v>
      </c>
      <c r="J6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139.666666666667</v>
      </c>
      <c r="K66" s="40">
        <f>IF(tblForecasts[[#This Row],[Month]]="","",IF(OR(tblForecasts[[#This Row],[Actual (units)]]="",NOT(ISNUMBER(tblForecasts[[#This Row],[Baseline (units)]]))),"",ABS(tblForecasts[[#This Row],[Baseline (units)]]-tblForecasts[[#This Row],[Actual (units)]])))</f>
        <v>65.3333333333333</v>
      </c>
      <c r="L66" s="41">
        <f>IF(tblForecasts[[#This Row],[Month]]="","",IF(AND(tblForecasts[[#This Row],[Month]]&gt;=FFrom,tblForecasts[[#This Row],[Month]]&lt;=FTo,OR(DashSku="",tblForecasts[[#This Row],[SKU]]=DashSku)),tblForecasts[[#This Row],[Month]],""))</f>
        <v>46174</v>
      </c>
      <c r="M6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6" s="28" t="s">
        <v>119</v>
      </c>
    </row>
    <row r="67" spans="2:14">
      <c r="B67" s="35">
        <v>46174</v>
      </c>
      <c r="C67" s="28" t="s">
        <v>87</v>
      </c>
      <c r="D67" s="31">
        <v>830</v>
      </c>
      <c r="E67" s="31">
        <v>886</v>
      </c>
      <c r="F67" s="36">
        <f>IF(tblForecasts[[#This Row],[Month]]="","",IF(tblForecasts[[#This Row],[Actual (units)]]="","",tblForecasts[[#This Row],[Forecast (units)]]-tblForecasts[[#This Row],[Actual (units)]]))</f>
        <v>-56</v>
      </c>
      <c r="G67" s="37">
        <f>IF(tblForecasts[[#This Row],[Month]]="","",IF(tblForecasts[[#This Row],[Actual (units)]]="","",ABS(tblForecasts[[#This Row],[Forecast (units)]]-tblForecasts[[#This Row],[Actual (units)]])))</f>
        <v>56</v>
      </c>
      <c r="H67" s="38">
        <f>IF(tblForecasts[[#This Row],[Month]]="","",IF(OR(tblForecasts[[#This Row],[Actual (units)]]="",tblForecasts[[#This Row],[Actual (units)]]=0),"",ABS(tblForecasts[[#This Row],[Forecast (units)]]-tblForecasts[[#This Row],[Actual (units)]])/tblForecasts[[#This Row],[Actual (units)]]))</f>
        <v>0.0632054176072235</v>
      </c>
      <c r="I67" s="39" t="str">
        <f>IF(tblForecasts[[#This Row],[Month]]="","",IF(tblForecasts[[#This Row],[Actual (units)]]="","",IF(ABS(tblForecasts[[#This Row],[Forecast (units)]]-tblForecasts[[#This Row],[Actual (units)]])&lt;=Tolerance*tblForecasts[[#This Row],[Actual (units)]],"Yes","No")))</f>
        <v>Yes</v>
      </c>
      <c r="J6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890.666666666667</v>
      </c>
      <c r="K67" s="40">
        <f>IF(tblForecasts[[#This Row],[Month]]="","",IF(OR(tblForecasts[[#This Row],[Actual (units)]]="",NOT(ISNUMBER(tblForecasts[[#This Row],[Baseline (units)]]))),"",ABS(tblForecasts[[#This Row],[Baseline (units)]]-tblForecasts[[#This Row],[Actual (units)]])))</f>
        <v>4.66666666666663</v>
      </c>
      <c r="L67" s="41">
        <f>IF(tblForecasts[[#This Row],[Month]]="","",IF(AND(tblForecasts[[#This Row],[Month]]&gt;=FFrom,tblForecasts[[#This Row],[Month]]&lt;=FTo,OR(DashSku="",tblForecasts[[#This Row],[SKU]]=DashSku)),tblForecasts[[#This Row],[Month]],""))</f>
        <v>46174</v>
      </c>
      <c r="M6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7" s="28" t="s">
        <v>117</v>
      </c>
    </row>
    <row r="68" spans="2:14">
      <c r="B68" s="35">
        <v>46174</v>
      </c>
      <c r="C68" s="28" t="s">
        <v>91</v>
      </c>
      <c r="D68" s="31">
        <v>420</v>
      </c>
      <c r="E68" s="31">
        <v>360</v>
      </c>
      <c r="F68" s="36">
        <f>IF(tblForecasts[[#This Row],[Month]]="","",IF(tblForecasts[[#This Row],[Actual (units)]]="","",tblForecasts[[#This Row],[Forecast (units)]]-tblForecasts[[#This Row],[Actual (units)]]))</f>
        <v>60</v>
      </c>
      <c r="G68" s="37">
        <f>IF(tblForecasts[[#This Row],[Month]]="","",IF(tblForecasts[[#This Row],[Actual (units)]]="","",ABS(tblForecasts[[#This Row],[Forecast (units)]]-tblForecasts[[#This Row],[Actual (units)]])))</f>
        <v>60</v>
      </c>
      <c r="H68" s="38">
        <f>IF(tblForecasts[[#This Row],[Month]]="","",IF(OR(tblForecasts[[#This Row],[Actual (units)]]="",tblForecasts[[#This Row],[Actual (units)]]=0),"",ABS(tblForecasts[[#This Row],[Forecast (units)]]-tblForecasts[[#This Row],[Actual (units)]])/tblForecasts[[#This Row],[Actual (units)]]))</f>
        <v>0.166666666666667</v>
      </c>
      <c r="I68" s="39" t="str">
        <f>IF(tblForecasts[[#This Row],[Month]]="","",IF(tblForecasts[[#This Row],[Actual (units)]]="","",IF(ABS(tblForecasts[[#This Row],[Forecast (units)]]-tblForecasts[[#This Row],[Actual (units)]])&lt;=Tolerance*tblForecasts[[#This Row],[Actual (units)]],"Yes","No")))</f>
        <v>Yes</v>
      </c>
      <c r="J6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489.666666666667</v>
      </c>
      <c r="K68" s="40">
        <f>IF(tblForecasts[[#This Row],[Month]]="","",IF(OR(tblForecasts[[#This Row],[Actual (units)]]="",NOT(ISNUMBER(tblForecasts[[#This Row],[Baseline (units)]]))),"",ABS(tblForecasts[[#This Row],[Baseline (units)]]-tblForecasts[[#This Row],[Actual (units)]])))</f>
        <v>129.666666666667</v>
      </c>
      <c r="L68" s="41">
        <f>IF(tblForecasts[[#This Row],[Month]]="","",IF(AND(tblForecasts[[#This Row],[Month]]&gt;=FFrom,tblForecasts[[#This Row],[Month]]&lt;=FTo,OR(DashSku="",tblForecasts[[#This Row],[SKU]]=DashSku)),tblForecasts[[#This Row],[Month]],""))</f>
        <v>46174</v>
      </c>
      <c r="M6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8" s="28" t="s">
        <v>117</v>
      </c>
    </row>
    <row r="69" spans="2:14">
      <c r="B69" s="35">
        <v>46174</v>
      </c>
      <c r="C69" s="28" t="s">
        <v>93</v>
      </c>
      <c r="D69" s="31">
        <v>510</v>
      </c>
      <c r="E69" s="31">
        <v>355</v>
      </c>
      <c r="F69" s="36">
        <f>IF(tblForecasts[[#This Row],[Month]]="","",IF(tblForecasts[[#This Row],[Actual (units)]]="","",tblForecasts[[#This Row],[Forecast (units)]]-tblForecasts[[#This Row],[Actual (units)]]))</f>
        <v>155</v>
      </c>
      <c r="G69" s="37">
        <f>IF(tblForecasts[[#This Row],[Month]]="","",IF(tblForecasts[[#This Row],[Actual (units)]]="","",ABS(tblForecasts[[#This Row],[Forecast (units)]]-tblForecasts[[#This Row],[Actual (units)]])))</f>
        <v>155</v>
      </c>
      <c r="H69" s="38">
        <f>IF(tblForecasts[[#This Row],[Month]]="","",IF(OR(tblForecasts[[#This Row],[Actual (units)]]="",tblForecasts[[#This Row],[Actual (units)]]=0),"",ABS(tblForecasts[[#This Row],[Forecast (units)]]-tblForecasts[[#This Row],[Actual (units)]])/tblForecasts[[#This Row],[Actual (units)]]))</f>
        <v>0.436619718309859</v>
      </c>
      <c r="I69" s="39" t="str">
        <f>IF(tblForecasts[[#This Row],[Month]]="","",IF(tblForecasts[[#This Row],[Actual (units)]]="","",IF(ABS(tblForecasts[[#This Row],[Forecast (units)]]-tblForecasts[[#This Row],[Actual (units)]])&lt;=Tolerance*tblForecasts[[#This Row],[Actual (units)]],"Yes","No")))</f>
        <v>No</v>
      </c>
      <c r="J6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398.666666666667</v>
      </c>
      <c r="K69" s="40">
        <f>IF(tblForecasts[[#This Row],[Month]]="","",IF(OR(tblForecasts[[#This Row],[Actual (units)]]="",NOT(ISNUMBER(tblForecasts[[#This Row],[Baseline (units)]]))),"",ABS(tblForecasts[[#This Row],[Baseline (units)]]-tblForecasts[[#This Row],[Actual (units)]])))</f>
        <v>43.6666666666667</v>
      </c>
      <c r="L69" s="41">
        <f>IF(tblForecasts[[#This Row],[Month]]="","",IF(AND(tblForecasts[[#This Row],[Month]]&gt;=FFrom,tblForecasts[[#This Row],[Month]]&lt;=FTo,OR(DashSku="",tblForecasts[[#This Row],[SKU]]=DashSku)),tblForecasts[[#This Row],[Month]],""))</f>
        <v>46174</v>
      </c>
      <c r="M6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69" s="28" t="s">
        <v>117</v>
      </c>
    </row>
    <row r="70" spans="2:14">
      <c r="B70" s="35">
        <v>46174</v>
      </c>
      <c r="C70" s="28" t="s">
        <v>97</v>
      </c>
      <c r="D70" s="31">
        <v>170</v>
      </c>
      <c r="E70" s="31">
        <v>194</v>
      </c>
      <c r="F70" s="36">
        <f>IF(tblForecasts[[#This Row],[Month]]="","",IF(tblForecasts[[#This Row],[Actual (units)]]="","",tblForecasts[[#This Row],[Forecast (units)]]-tblForecasts[[#This Row],[Actual (units)]]))</f>
        <v>-24</v>
      </c>
      <c r="G70" s="37">
        <f>IF(tblForecasts[[#This Row],[Month]]="","",IF(tblForecasts[[#This Row],[Actual (units)]]="","",ABS(tblForecasts[[#This Row],[Forecast (units)]]-tblForecasts[[#This Row],[Actual (units)]])))</f>
        <v>24</v>
      </c>
      <c r="H70" s="38">
        <f>IF(tblForecasts[[#This Row],[Month]]="","",IF(OR(tblForecasts[[#This Row],[Actual (units)]]="",tblForecasts[[#This Row],[Actual (units)]]=0),"",ABS(tblForecasts[[#This Row],[Forecast (units)]]-tblForecasts[[#This Row],[Actual (units)]])/tblForecasts[[#This Row],[Actual (units)]]))</f>
        <v>0.123711340206186</v>
      </c>
      <c r="I70" s="39" t="str">
        <f>IF(tblForecasts[[#This Row],[Month]]="","",IF(tblForecasts[[#This Row],[Actual (units)]]="","",IF(ABS(tblForecasts[[#This Row],[Forecast (units)]]-tblForecasts[[#This Row],[Actual (units)]])&lt;=Tolerance*tblForecasts[[#This Row],[Actual (units)]],"Yes","No")))</f>
        <v>Yes</v>
      </c>
      <c r="J7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70" s="40">
        <f>IF(tblForecasts[[#This Row],[Month]]="","",IF(OR(tblForecasts[[#This Row],[Actual (units)]]="",NOT(ISNUMBER(tblForecasts[[#This Row],[Baseline (units)]]))),"",ABS(tblForecasts[[#This Row],[Baseline (units)]]-tblForecasts[[#This Row],[Actual (units)]])))</f>
        <v/>
      </c>
      <c r="L70" s="41">
        <f>IF(tblForecasts[[#This Row],[Month]]="","",IF(AND(tblForecasts[[#This Row],[Month]]&gt;=FFrom,tblForecasts[[#This Row],[Month]]&lt;=FTo,OR(DashSku="",tblForecasts[[#This Row],[SKU]]=DashSku)),tblForecasts[[#This Row],[Month]],""))</f>
        <v>46174</v>
      </c>
      <c r="M7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0" s="28" t="s">
        <v>117</v>
      </c>
    </row>
    <row r="71" spans="2:14">
      <c r="B71" s="35">
        <v>46174</v>
      </c>
      <c r="C71" s="28" t="s">
        <v>101</v>
      </c>
      <c r="D71" s="31">
        <v>70</v>
      </c>
      <c r="E71" s="31">
        <v>112</v>
      </c>
      <c r="F71" s="36">
        <f>IF(tblForecasts[[#This Row],[Month]]="","",IF(tblForecasts[[#This Row],[Actual (units)]]="","",tblForecasts[[#This Row],[Forecast (units)]]-tblForecasts[[#This Row],[Actual (units)]]))</f>
        <v>-42</v>
      </c>
      <c r="G71" s="37">
        <f>IF(tblForecasts[[#This Row],[Month]]="","",IF(tblForecasts[[#This Row],[Actual (units)]]="","",ABS(tblForecasts[[#This Row],[Forecast (units)]]-tblForecasts[[#This Row],[Actual (units)]])))</f>
        <v>42</v>
      </c>
      <c r="H71" s="38">
        <f>IF(tblForecasts[[#This Row],[Month]]="","",IF(OR(tblForecasts[[#This Row],[Actual (units)]]="",tblForecasts[[#This Row],[Actual (units)]]=0),"",ABS(tblForecasts[[#This Row],[Forecast (units)]]-tblForecasts[[#This Row],[Actual (units)]])/tblForecasts[[#This Row],[Actual (units)]]))</f>
        <v>0.375</v>
      </c>
      <c r="I71" s="39" t="str">
        <f>IF(tblForecasts[[#This Row],[Month]]="","",IF(tblForecasts[[#This Row],[Actual (units)]]="","",IF(ABS(tblForecasts[[#This Row],[Forecast (units)]]-tblForecasts[[#This Row],[Actual (units)]])&lt;=Tolerance*tblForecasts[[#This Row],[Actual (units)]],"Yes","No")))</f>
        <v>No</v>
      </c>
      <c r="J7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57.6666666666667</v>
      </c>
      <c r="K71" s="40">
        <f>IF(tblForecasts[[#This Row],[Month]]="","",IF(OR(tblForecasts[[#This Row],[Actual (units)]]="",NOT(ISNUMBER(tblForecasts[[#This Row],[Baseline (units)]]))),"",ABS(tblForecasts[[#This Row],[Baseline (units)]]-tblForecasts[[#This Row],[Actual (units)]])))</f>
        <v>54.3333333333333</v>
      </c>
      <c r="L71" s="41">
        <f>IF(tblForecasts[[#This Row],[Month]]="","",IF(AND(tblForecasts[[#This Row],[Month]]&gt;=FFrom,tblForecasts[[#This Row],[Month]]&lt;=FTo,OR(DashSku="",tblForecasts[[#This Row],[SKU]]=DashSku)),tblForecasts[[#This Row],[Month]],""))</f>
        <v>46174</v>
      </c>
      <c r="M7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1" s="28" t="s">
        <v>117</v>
      </c>
    </row>
    <row r="72" spans="2:14">
      <c r="B72" s="35">
        <v>46204</v>
      </c>
      <c r="C72" s="28" t="s">
        <v>77</v>
      </c>
      <c r="D72" s="31">
        <v>1100</v>
      </c>
      <c r="E72" s="31">
        <v>1061</v>
      </c>
      <c r="F72" s="36">
        <f>IF(tblForecasts[[#This Row],[Month]]="","",IF(tblForecasts[[#This Row],[Actual (units)]]="","",tblForecasts[[#This Row],[Forecast (units)]]-tblForecasts[[#This Row],[Actual (units)]]))</f>
        <v>39</v>
      </c>
      <c r="G72" s="37">
        <f>IF(tblForecasts[[#This Row],[Month]]="","",IF(tblForecasts[[#This Row],[Actual (units)]]="","",ABS(tblForecasts[[#This Row],[Forecast (units)]]-tblForecasts[[#This Row],[Actual (units)]])))</f>
        <v>39</v>
      </c>
      <c r="H72" s="38">
        <f>IF(tblForecasts[[#This Row],[Month]]="","",IF(OR(tblForecasts[[#This Row],[Actual (units)]]="",tblForecasts[[#This Row],[Actual (units)]]=0),"",ABS(tblForecasts[[#This Row],[Forecast (units)]]-tblForecasts[[#This Row],[Actual (units)]])/tblForecasts[[#This Row],[Actual (units)]]))</f>
        <v>0.0367577756833176</v>
      </c>
      <c r="I72" s="39" t="str">
        <f>IF(tblForecasts[[#This Row],[Month]]="","",IF(tblForecasts[[#This Row],[Actual (units)]]="","",IF(ABS(tblForecasts[[#This Row],[Forecast (units)]]-tblForecasts[[#This Row],[Actual (units)]])&lt;=Tolerance*tblForecasts[[#This Row],[Actual (units)]],"Yes","No")))</f>
        <v>Yes</v>
      </c>
      <c r="J7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1227.66666666667</v>
      </c>
      <c r="K72" s="40">
        <f>IF(tblForecasts[[#This Row],[Month]]="","",IF(OR(tblForecasts[[#This Row],[Actual (units)]]="",NOT(ISNUMBER(tblForecasts[[#This Row],[Baseline (units)]]))),"",ABS(tblForecasts[[#This Row],[Baseline (units)]]-tblForecasts[[#This Row],[Actual (units)]])))</f>
        <v>166.666666666667</v>
      </c>
      <c r="L72" s="41">
        <f>IF(tblForecasts[[#This Row],[Month]]="","",IF(AND(tblForecasts[[#This Row],[Month]]&gt;=FFrom,tblForecasts[[#This Row],[Month]]&lt;=FTo,OR(DashSku="",tblForecasts[[#This Row],[SKU]]=DashSku)),tblForecasts[[#This Row],[Month]],""))</f>
        <v>46204</v>
      </c>
      <c r="M7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2" s="28" t="s">
        <v>117</v>
      </c>
    </row>
    <row r="73" spans="2:14">
      <c r="B73" s="35">
        <v>46204</v>
      </c>
      <c r="C73" s="28" t="s">
        <v>81</v>
      </c>
      <c r="D73" s="31">
        <v>780</v>
      </c>
      <c r="E73" s="31">
        <v>843</v>
      </c>
      <c r="F73" s="36">
        <f>IF(tblForecasts[[#This Row],[Month]]="","",IF(tblForecasts[[#This Row],[Actual (units)]]="","",tblForecasts[[#This Row],[Forecast (units)]]-tblForecasts[[#This Row],[Actual (units)]]))</f>
        <v>-63</v>
      </c>
      <c r="G73" s="37">
        <f>IF(tblForecasts[[#This Row],[Month]]="","",IF(tblForecasts[[#This Row],[Actual (units)]]="","",ABS(tblForecasts[[#This Row],[Forecast (units)]]-tblForecasts[[#This Row],[Actual (units)]])))</f>
        <v>63</v>
      </c>
      <c r="H73" s="38">
        <f>IF(tblForecasts[[#This Row],[Month]]="","",IF(OR(tblForecasts[[#This Row],[Actual (units)]]="",tblForecasts[[#This Row],[Actual (units)]]=0),"",ABS(tblForecasts[[#This Row],[Forecast (units)]]-tblForecasts[[#This Row],[Actual (units)]])/tblForecasts[[#This Row],[Actual (units)]]))</f>
        <v>0.0747330960854093</v>
      </c>
      <c r="I73" s="39" t="str">
        <f>IF(tblForecasts[[#This Row],[Month]]="","",IF(tblForecasts[[#This Row],[Actual (units)]]="","",IF(ABS(tblForecasts[[#This Row],[Forecast (units)]]-tblForecasts[[#This Row],[Actual (units)]])&lt;=Tolerance*tblForecasts[[#This Row],[Actual (units)]],"Yes","No")))</f>
        <v>Yes</v>
      </c>
      <c r="J7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791.666666666667</v>
      </c>
      <c r="K73" s="40">
        <f>IF(tblForecasts[[#This Row],[Month]]="","",IF(OR(tblForecasts[[#This Row],[Actual (units)]]="",NOT(ISNUMBER(tblForecasts[[#This Row],[Baseline (units)]]))),"",ABS(tblForecasts[[#This Row],[Baseline (units)]]-tblForecasts[[#This Row],[Actual (units)]])))</f>
        <v>51.3333333333334</v>
      </c>
      <c r="L73" s="41">
        <f>IF(tblForecasts[[#This Row],[Month]]="","",IF(AND(tblForecasts[[#This Row],[Month]]&gt;=FFrom,tblForecasts[[#This Row],[Month]]&lt;=FTo,OR(DashSku="",tblForecasts[[#This Row],[SKU]]=DashSku)),tblForecasts[[#This Row],[Month]],""))</f>
        <v>46204</v>
      </c>
      <c r="M7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3" s="28" t="s">
        <v>117</v>
      </c>
    </row>
    <row r="74" spans="2:14">
      <c r="B74" s="35">
        <v>46204</v>
      </c>
      <c r="C74" s="28" t="s">
        <v>83</v>
      </c>
      <c r="D74" s="31">
        <v>170</v>
      </c>
      <c r="E74" s="31">
        <v>146</v>
      </c>
      <c r="F74" s="36">
        <f>IF(tblForecasts[[#This Row],[Month]]="","",IF(tblForecasts[[#This Row],[Actual (units)]]="","",tblForecasts[[#This Row],[Forecast (units)]]-tblForecasts[[#This Row],[Actual (units)]]))</f>
        <v>24</v>
      </c>
      <c r="G74" s="37">
        <f>IF(tblForecasts[[#This Row],[Month]]="","",IF(tblForecasts[[#This Row],[Actual (units)]]="","",ABS(tblForecasts[[#This Row],[Forecast (units)]]-tblForecasts[[#This Row],[Actual (units)]])))</f>
        <v>24</v>
      </c>
      <c r="H74" s="38">
        <f>IF(tblForecasts[[#This Row],[Month]]="","",IF(OR(tblForecasts[[#This Row],[Actual (units)]]="",tblForecasts[[#This Row],[Actual (units)]]=0),"",ABS(tblForecasts[[#This Row],[Forecast (units)]]-tblForecasts[[#This Row],[Actual (units)]])/tblForecasts[[#This Row],[Actual (units)]]))</f>
        <v>0.164383561643836</v>
      </c>
      <c r="I74" s="39" t="str">
        <f>IF(tblForecasts[[#This Row],[Month]]="","",IF(tblForecasts[[#This Row],[Actual (units)]]="","",IF(ABS(tblForecasts[[#This Row],[Forecast (units)]]-tblForecasts[[#This Row],[Actual (units)]])&lt;=Tolerance*tblForecasts[[#This Row],[Actual (units)]],"Yes","No")))</f>
        <v>Yes</v>
      </c>
      <c r="J7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166</v>
      </c>
      <c r="K74" s="40">
        <f>IF(tblForecasts[[#This Row],[Month]]="","",IF(OR(tblForecasts[[#This Row],[Actual (units)]]="",NOT(ISNUMBER(tblForecasts[[#This Row],[Baseline (units)]]))),"",ABS(tblForecasts[[#This Row],[Baseline (units)]]-tblForecasts[[#This Row],[Actual (units)]])))</f>
        <v>20</v>
      </c>
      <c r="L74" s="41">
        <f>IF(tblForecasts[[#This Row],[Month]]="","",IF(AND(tblForecasts[[#This Row],[Month]]&gt;=FFrom,tblForecasts[[#This Row],[Month]]&lt;=FTo,OR(DashSku="",tblForecasts[[#This Row],[SKU]]=DashSku)),tblForecasts[[#This Row],[Month]],""))</f>
        <v>46204</v>
      </c>
      <c r="M7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4" s="28" t="s">
        <v>117</v>
      </c>
    </row>
    <row r="75" spans="2:14">
      <c r="B75" s="35">
        <v>46204</v>
      </c>
      <c r="C75" s="28" t="s">
        <v>87</v>
      </c>
      <c r="D75" s="31">
        <v>470</v>
      </c>
      <c r="E75" s="31">
        <v>430</v>
      </c>
      <c r="F75" s="36">
        <f>IF(tblForecasts[[#This Row],[Month]]="","",IF(tblForecasts[[#This Row],[Actual (units)]]="","",tblForecasts[[#This Row],[Forecast (units)]]-tblForecasts[[#This Row],[Actual (units)]]))</f>
        <v>40</v>
      </c>
      <c r="G75" s="37">
        <f>IF(tblForecasts[[#This Row],[Month]]="","",IF(tblForecasts[[#This Row],[Actual (units)]]="","",ABS(tblForecasts[[#This Row],[Forecast (units)]]-tblForecasts[[#This Row],[Actual (units)]])))</f>
        <v>40</v>
      </c>
      <c r="H75" s="38">
        <f>IF(tblForecasts[[#This Row],[Month]]="","",IF(OR(tblForecasts[[#This Row],[Actual (units)]]="",tblForecasts[[#This Row],[Actual (units)]]=0),"",ABS(tblForecasts[[#This Row],[Forecast (units)]]-tblForecasts[[#This Row],[Actual (units)]])/tblForecasts[[#This Row],[Actual (units)]]))</f>
        <v>0.0930232558139535</v>
      </c>
      <c r="I75" s="39" t="str">
        <f>IF(tblForecasts[[#This Row],[Month]]="","",IF(tblForecasts[[#This Row],[Actual (units)]]="","",IF(ABS(tblForecasts[[#This Row],[Forecast (units)]]-tblForecasts[[#This Row],[Actual (units)]])&lt;=Tolerance*tblForecasts[[#This Row],[Actual (units)]],"Yes","No")))</f>
        <v>Yes</v>
      </c>
      <c r="J7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956.666666666667</v>
      </c>
      <c r="K75" s="40">
        <f>IF(tblForecasts[[#This Row],[Month]]="","",IF(OR(tblForecasts[[#This Row],[Actual (units)]]="",NOT(ISNUMBER(tblForecasts[[#This Row],[Baseline (units)]]))),"",ABS(tblForecasts[[#This Row],[Baseline (units)]]-tblForecasts[[#This Row],[Actual (units)]])))</f>
        <v>526.666666666667</v>
      </c>
      <c r="L75" s="41">
        <f>IF(tblForecasts[[#This Row],[Month]]="","",IF(AND(tblForecasts[[#This Row],[Month]]&gt;=FFrom,tblForecasts[[#This Row],[Month]]&lt;=FTo,OR(DashSku="",tblForecasts[[#This Row],[SKU]]=DashSku)),tblForecasts[[#This Row],[Month]],""))</f>
        <v>46204</v>
      </c>
      <c r="M7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5" s="28" t="s">
        <v>117</v>
      </c>
    </row>
    <row r="76" spans="2:14">
      <c r="B76" s="35">
        <v>46204</v>
      </c>
      <c r="C76" s="28" t="s">
        <v>91</v>
      </c>
      <c r="D76" s="31">
        <v>260</v>
      </c>
      <c r="E76" s="31">
        <v>242</v>
      </c>
      <c r="F76" s="36">
        <f>IF(tblForecasts[[#This Row],[Month]]="","",IF(tblForecasts[[#This Row],[Actual (units)]]="","",tblForecasts[[#This Row],[Forecast (units)]]-tblForecasts[[#This Row],[Actual (units)]]))</f>
        <v>18</v>
      </c>
      <c r="G76" s="37">
        <f>IF(tblForecasts[[#This Row],[Month]]="","",IF(tblForecasts[[#This Row],[Actual (units)]]="","",ABS(tblForecasts[[#This Row],[Forecast (units)]]-tblForecasts[[#This Row],[Actual (units)]])))</f>
        <v>18</v>
      </c>
      <c r="H76" s="38">
        <f>IF(tblForecasts[[#This Row],[Month]]="","",IF(OR(tblForecasts[[#This Row],[Actual (units)]]="",tblForecasts[[#This Row],[Actual (units)]]=0),"",ABS(tblForecasts[[#This Row],[Forecast (units)]]-tblForecasts[[#This Row],[Actual (units)]])/tblForecasts[[#This Row],[Actual (units)]]))</f>
        <v>0.0743801652892562</v>
      </c>
      <c r="I76" s="39" t="str">
        <f>IF(tblForecasts[[#This Row],[Month]]="","",IF(tblForecasts[[#This Row],[Actual (units)]]="","",IF(ABS(tblForecasts[[#This Row],[Forecast (units)]]-tblForecasts[[#This Row],[Actual (units)]])&lt;=Tolerance*tblForecasts[[#This Row],[Actual (units)]],"Yes","No")))</f>
        <v>Yes</v>
      </c>
      <c r="J7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510.333333333333</v>
      </c>
      <c r="K76" s="40">
        <f>IF(tblForecasts[[#This Row],[Month]]="","",IF(OR(tblForecasts[[#This Row],[Actual (units)]]="",NOT(ISNUMBER(tblForecasts[[#This Row],[Baseline (units)]]))),"",ABS(tblForecasts[[#This Row],[Baseline (units)]]-tblForecasts[[#This Row],[Actual (units)]])))</f>
        <v>268.333333333333</v>
      </c>
      <c r="L76" s="41">
        <f>IF(tblForecasts[[#This Row],[Month]]="","",IF(AND(tblForecasts[[#This Row],[Month]]&gt;=FFrom,tblForecasts[[#This Row],[Month]]&lt;=FTo,OR(DashSku="",tblForecasts[[#This Row],[SKU]]=DashSku)),tblForecasts[[#This Row],[Month]],""))</f>
        <v>46204</v>
      </c>
      <c r="M7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6" s="28" t="s">
        <v>117</v>
      </c>
    </row>
    <row r="77" spans="2:14">
      <c r="B77" s="35">
        <v>46204</v>
      </c>
      <c r="C77" s="28" t="s">
        <v>93</v>
      </c>
      <c r="D77" s="31">
        <v>460</v>
      </c>
      <c r="E77" s="31">
        <v>429</v>
      </c>
      <c r="F77" s="36">
        <f>IF(tblForecasts[[#This Row],[Month]]="","",IF(tblForecasts[[#This Row],[Actual (units)]]="","",tblForecasts[[#This Row],[Forecast (units)]]-tblForecasts[[#This Row],[Actual (units)]]))</f>
        <v>31</v>
      </c>
      <c r="G77" s="37">
        <f>IF(tblForecasts[[#This Row],[Month]]="","",IF(tblForecasts[[#This Row],[Actual (units)]]="","",ABS(tblForecasts[[#This Row],[Forecast (units)]]-tblForecasts[[#This Row],[Actual (units)]])))</f>
        <v>31</v>
      </c>
      <c r="H77" s="38">
        <f>IF(tblForecasts[[#This Row],[Month]]="","",IF(OR(tblForecasts[[#This Row],[Actual (units)]]="",tblForecasts[[#This Row],[Actual (units)]]=0),"",ABS(tblForecasts[[#This Row],[Forecast (units)]]-tblForecasts[[#This Row],[Actual (units)]])/tblForecasts[[#This Row],[Actual (units)]]))</f>
        <v>0.0722610722610723</v>
      </c>
      <c r="I77" s="39" t="str">
        <f>IF(tblForecasts[[#This Row],[Month]]="","",IF(tblForecasts[[#This Row],[Actual (units)]]="","",IF(ABS(tblForecasts[[#This Row],[Forecast (units)]]-tblForecasts[[#This Row],[Actual (units)]])&lt;=Tolerance*tblForecasts[[#This Row],[Actual (units)]],"Yes","No")))</f>
        <v>Yes</v>
      </c>
      <c r="J7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390.333333333333</v>
      </c>
      <c r="K77" s="40">
        <f>IF(tblForecasts[[#This Row],[Month]]="","",IF(OR(tblForecasts[[#This Row],[Actual (units)]]="",NOT(ISNUMBER(tblForecasts[[#This Row],[Baseline (units)]]))),"",ABS(tblForecasts[[#This Row],[Baseline (units)]]-tblForecasts[[#This Row],[Actual (units)]])))</f>
        <v>38.6666666666667</v>
      </c>
      <c r="L77" s="41">
        <f>IF(tblForecasts[[#This Row],[Month]]="","",IF(AND(tblForecasts[[#This Row],[Month]]&gt;=FFrom,tblForecasts[[#This Row],[Month]]&lt;=FTo,OR(DashSku="",tblForecasts[[#This Row],[SKU]]=DashSku)),tblForecasts[[#This Row],[Month]],""))</f>
        <v>46204</v>
      </c>
      <c r="M7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7" s="28" t="s">
        <v>117</v>
      </c>
    </row>
    <row r="78" spans="2:14">
      <c r="B78" s="35">
        <v>46204</v>
      </c>
      <c r="C78" s="28" t="s">
        <v>97</v>
      </c>
      <c r="D78" s="31">
        <v>180</v>
      </c>
      <c r="E78" s="31">
        <v>220</v>
      </c>
      <c r="F78" s="36">
        <f>IF(tblForecasts[[#This Row],[Month]]="","",IF(tblForecasts[[#This Row],[Actual (units)]]="","",tblForecasts[[#This Row],[Forecast (units)]]-tblForecasts[[#This Row],[Actual (units)]]))</f>
        <v>-40</v>
      </c>
      <c r="G78" s="37">
        <f>IF(tblForecasts[[#This Row],[Month]]="","",IF(tblForecasts[[#This Row],[Actual (units)]]="","",ABS(tblForecasts[[#This Row],[Forecast (units)]]-tblForecasts[[#This Row],[Actual (units)]])))</f>
        <v>40</v>
      </c>
      <c r="H78" s="38">
        <f>IF(tblForecasts[[#This Row],[Month]]="","",IF(OR(tblForecasts[[#This Row],[Actual (units)]]="",tblForecasts[[#This Row],[Actual (units)]]=0),"",ABS(tblForecasts[[#This Row],[Forecast (units)]]-tblForecasts[[#This Row],[Actual (units)]])/tblForecasts[[#This Row],[Actual (units)]]))</f>
        <v>0.181818181818182</v>
      </c>
      <c r="I78" s="39" t="str">
        <f>IF(tblForecasts[[#This Row],[Month]]="","",IF(tblForecasts[[#This Row],[Actual (units)]]="","",IF(ABS(tblForecasts[[#This Row],[Forecast (units)]]-tblForecasts[[#This Row],[Actual (units)]])&lt;=Tolerance*tblForecasts[[#This Row],[Actual (units)]],"Yes","No")))</f>
        <v>Yes</v>
      </c>
      <c r="J7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155</v>
      </c>
      <c r="K78" s="40">
        <f>IF(tblForecasts[[#This Row],[Month]]="","",IF(OR(tblForecasts[[#This Row],[Actual (units)]]="",NOT(ISNUMBER(tblForecasts[[#This Row],[Baseline (units)]]))),"",ABS(tblForecasts[[#This Row],[Baseline (units)]]-tblForecasts[[#This Row],[Actual (units)]])))</f>
        <v>65</v>
      </c>
      <c r="L78" s="41">
        <f>IF(tblForecasts[[#This Row],[Month]]="","",IF(AND(tblForecasts[[#This Row],[Month]]&gt;=FFrom,tblForecasts[[#This Row],[Month]]&lt;=FTo,OR(DashSku="",tblForecasts[[#This Row],[SKU]]=DashSku)),tblForecasts[[#This Row],[Month]],""))</f>
        <v>46204</v>
      </c>
      <c r="M7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8" s="28" t="s">
        <v>117</v>
      </c>
    </row>
    <row r="79" spans="2:14">
      <c r="B79" s="35">
        <v>46204</v>
      </c>
      <c r="C79" s="28" t="s">
        <v>101</v>
      </c>
      <c r="D79" s="31">
        <v>90</v>
      </c>
      <c r="E79" s="31">
        <v>97</v>
      </c>
      <c r="F79" s="36">
        <f>IF(tblForecasts[[#This Row],[Month]]="","",IF(tblForecasts[[#This Row],[Actual (units)]]="","",tblForecasts[[#This Row],[Forecast (units)]]-tblForecasts[[#This Row],[Actual (units)]]))</f>
        <v>-7</v>
      </c>
      <c r="G79" s="37">
        <f>IF(tblForecasts[[#This Row],[Month]]="","",IF(tblForecasts[[#This Row],[Actual (units)]]="","",ABS(tblForecasts[[#This Row],[Forecast (units)]]-tblForecasts[[#This Row],[Actual (units)]])))</f>
        <v>7</v>
      </c>
      <c r="H79" s="38">
        <f>IF(tblForecasts[[#This Row],[Month]]="","",IF(OR(tblForecasts[[#This Row],[Actual (units)]]="",tblForecasts[[#This Row],[Actual (units)]]=0),"",ABS(tblForecasts[[#This Row],[Forecast (units)]]-tblForecasts[[#This Row],[Actual (units)]])/tblForecasts[[#This Row],[Actual (units)]]))</f>
        <v>0.0721649484536082</v>
      </c>
      <c r="I79" s="39" t="str">
        <f>IF(tblForecasts[[#This Row],[Month]]="","",IF(tblForecasts[[#This Row],[Actual (units)]]="","",IF(ABS(tblForecasts[[#This Row],[Forecast (units)]]-tblForecasts[[#This Row],[Actual (units)]])&lt;=Tolerance*tblForecasts[[#This Row],[Actual (units)]],"Yes","No")))</f>
        <v>Yes</v>
      </c>
      <c r="J7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76.6666666666667</v>
      </c>
      <c r="K79" s="40">
        <f>IF(tblForecasts[[#This Row],[Month]]="","",IF(OR(tblForecasts[[#This Row],[Actual (units)]]="",NOT(ISNUMBER(tblForecasts[[#This Row],[Baseline (units)]]))),"",ABS(tblForecasts[[#This Row],[Baseline (units)]]-tblForecasts[[#This Row],[Actual (units)]])))</f>
        <v>20.3333333333333</v>
      </c>
      <c r="L79" s="41">
        <f>IF(tblForecasts[[#This Row],[Month]]="","",IF(AND(tblForecasts[[#This Row],[Month]]&gt;=FFrom,tblForecasts[[#This Row],[Month]]&lt;=FTo,OR(DashSku="",tblForecasts[[#This Row],[SKU]]=DashSku)),tblForecasts[[#This Row],[Month]],""))</f>
        <v>46204</v>
      </c>
      <c r="M7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79" s="28" t="s">
        <v>117</v>
      </c>
    </row>
    <row r="80" spans="2:14">
      <c r="B80" s="35">
        <v>46235</v>
      </c>
      <c r="C80" s="28" t="s">
        <v>77</v>
      </c>
      <c r="D80" s="31">
        <v>1250</v>
      </c>
      <c r="E80" s="31">
        <v>1242</v>
      </c>
      <c r="F80" s="36">
        <f>IF(tblForecasts[[#This Row],[Month]]="","",IF(tblForecasts[[#This Row],[Actual (units)]]="","",tblForecasts[[#This Row],[Forecast (units)]]-tblForecasts[[#This Row],[Actual (units)]]))</f>
        <v>8</v>
      </c>
      <c r="G80" s="37">
        <f>IF(tblForecasts[[#This Row],[Month]]="","",IF(tblForecasts[[#This Row],[Actual (units)]]="","",ABS(tblForecasts[[#This Row],[Forecast (units)]]-tblForecasts[[#This Row],[Actual (units)]])))</f>
        <v>8</v>
      </c>
      <c r="H80" s="38">
        <f>IF(tblForecasts[[#This Row],[Month]]="","",IF(OR(tblForecasts[[#This Row],[Actual (units)]]="",tblForecasts[[#This Row],[Actual (units)]]=0),"",ABS(tblForecasts[[#This Row],[Forecast (units)]]-tblForecasts[[#This Row],[Actual (units)]])/tblForecasts[[#This Row],[Actual (units)]]))</f>
        <v>0.00644122383252818</v>
      </c>
      <c r="I80" s="39" t="str">
        <f>IF(tblForecasts[[#This Row],[Month]]="","",IF(tblForecasts[[#This Row],[Actual (units)]]="","",IF(ABS(tblForecasts[[#This Row],[Forecast (units)]]-tblForecasts[[#This Row],[Actual (units)]])&lt;=Tolerance*tblForecasts[[#This Row],[Actual (units)]],"Yes","No")))</f>
        <v>Yes</v>
      </c>
      <c r="J8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1186.66666666667</v>
      </c>
      <c r="K80" s="40">
        <f>IF(tblForecasts[[#This Row],[Month]]="","",IF(OR(tblForecasts[[#This Row],[Actual (units)]]="",NOT(ISNUMBER(tblForecasts[[#This Row],[Baseline (units)]]))),"",ABS(tblForecasts[[#This Row],[Baseline (units)]]-tblForecasts[[#This Row],[Actual (units)]])))</f>
        <v>55.3333333333333</v>
      </c>
      <c r="L80" s="41">
        <f>IF(tblForecasts[[#This Row],[Month]]="","",IF(AND(tblForecasts[[#This Row],[Month]]&gt;=FFrom,tblForecasts[[#This Row],[Month]]&lt;=FTo,OR(DashSku="",tblForecasts[[#This Row],[SKU]]=DashSku)),tblForecasts[[#This Row],[Month]],""))</f>
        <v>46235</v>
      </c>
      <c r="M8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0" s="28" t="s">
        <v>117</v>
      </c>
    </row>
    <row r="81" spans="2:14">
      <c r="B81" s="35">
        <v>46235</v>
      </c>
      <c r="C81" s="28" t="s">
        <v>81</v>
      </c>
      <c r="D81" s="31">
        <v>780</v>
      </c>
      <c r="E81" s="31">
        <v>747</v>
      </c>
      <c r="F81" s="36">
        <f>IF(tblForecasts[[#This Row],[Month]]="","",IF(tblForecasts[[#This Row],[Actual (units)]]="","",tblForecasts[[#This Row],[Forecast (units)]]-tblForecasts[[#This Row],[Actual (units)]]))</f>
        <v>33</v>
      </c>
      <c r="G81" s="37">
        <f>IF(tblForecasts[[#This Row],[Month]]="","",IF(tblForecasts[[#This Row],[Actual (units)]]="","",ABS(tblForecasts[[#This Row],[Forecast (units)]]-tblForecasts[[#This Row],[Actual (units)]])))</f>
        <v>33</v>
      </c>
      <c r="H81" s="38">
        <f>IF(tblForecasts[[#This Row],[Month]]="","",IF(OR(tblForecasts[[#This Row],[Actual (units)]]="",tblForecasts[[#This Row],[Actual (units)]]=0),"",ABS(tblForecasts[[#This Row],[Forecast (units)]]-tblForecasts[[#This Row],[Actual (units)]])/tblForecasts[[#This Row],[Actual (units)]]))</f>
        <v>0.0441767068273092</v>
      </c>
      <c r="I81" s="39" t="str">
        <f>IF(tblForecasts[[#This Row],[Month]]="","",IF(tblForecasts[[#This Row],[Actual (units)]]="","",IF(ABS(tblForecasts[[#This Row],[Forecast (units)]]-tblForecasts[[#This Row],[Actual (units)]])&lt;=Tolerance*tblForecasts[[#This Row],[Actual (units)]],"Yes","No")))</f>
        <v>Yes</v>
      </c>
      <c r="J8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806.666666666667</v>
      </c>
      <c r="K81" s="40">
        <f>IF(tblForecasts[[#This Row],[Month]]="","",IF(OR(tblForecasts[[#This Row],[Actual (units)]]="",NOT(ISNUMBER(tblForecasts[[#This Row],[Baseline (units)]]))),"",ABS(tblForecasts[[#This Row],[Baseline (units)]]-tblForecasts[[#This Row],[Actual (units)]])))</f>
        <v>59.6666666666666</v>
      </c>
      <c r="L81" s="41">
        <f>IF(tblForecasts[[#This Row],[Month]]="","",IF(AND(tblForecasts[[#This Row],[Month]]&gt;=FFrom,tblForecasts[[#This Row],[Month]]&lt;=FTo,OR(DashSku="",tblForecasts[[#This Row],[SKU]]=DashSku)),tblForecasts[[#This Row],[Month]],""))</f>
        <v>46235</v>
      </c>
      <c r="M8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1" s="28" t="s">
        <v>117</v>
      </c>
    </row>
    <row r="82" spans="2:14">
      <c r="B82" s="35">
        <v>46235</v>
      </c>
      <c r="C82" s="28" t="s">
        <v>83</v>
      </c>
      <c r="D82" s="31">
        <v>180</v>
      </c>
      <c r="E82" s="31">
        <v>138</v>
      </c>
      <c r="F82" s="36">
        <f>IF(tblForecasts[[#This Row],[Month]]="","",IF(tblForecasts[[#This Row],[Actual (units)]]="","",tblForecasts[[#This Row],[Forecast (units)]]-tblForecasts[[#This Row],[Actual (units)]]))</f>
        <v>42</v>
      </c>
      <c r="G82" s="37">
        <f>IF(tblForecasts[[#This Row],[Month]]="","",IF(tblForecasts[[#This Row],[Actual (units)]]="","",ABS(tblForecasts[[#This Row],[Forecast (units)]]-tblForecasts[[#This Row],[Actual (units)]])))</f>
        <v>42</v>
      </c>
      <c r="H82" s="38">
        <f>IF(tblForecasts[[#This Row],[Month]]="","",IF(OR(tblForecasts[[#This Row],[Actual (units)]]="",tblForecasts[[#This Row],[Actual (units)]]=0),"",ABS(tblForecasts[[#This Row],[Forecast (units)]]-tblForecasts[[#This Row],[Actual (units)]])/tblForecasts[[#This Row],[Actual (units)]]))</f>
        <v>0.304347826086957</v>
      </c>
      <c r="I82" s="39" t="str">
        <f>IF(tblForecasts[[#This Row],[Month]]="","",IF(tblForecasts[[#This Row],[Actual (units)]]="","",IF(ABS(tblForecasts[[#This Row],[Forecast (units)]]-tblForecasts[[#This Row],[Actual (units)]])&lt;=Tolerance*tblForecasts[[#This Row],[Actual (units)]],"Yes","No")))</f>
        <v>No</v>
      </c>
      <c r="J8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167.333333333333</v>
      </c>
      <c r="K82" s="40">
        <f>IF(tblForecasts[[#This Row],[Month]]="","",IF(OR(tblForecasts[[#This Row],[Actual (units)]]="",NOT(ISNUMBER(tblForecasts[[#This Row],[Baseline (units)]]))),"",ABS(tblForecasts[[#This Row],[Baseline (units)]]-tblForecasts[[#This Row],[Actual (units)]])))</f>
        <v>29.3333333333333</v>
      </c>
      <c r="L82" s="41">
        <f>IF(tblForecasts[[#This Row],[Month]]="","",IF(AND(tblForecasts[[#This Row],[Month]]&gt;=FFrom,tblForecasts[[#This Row],[Month]]&lt;=FTo,OR(DashSku="",tblForecasts[[#This Row],[SKU]]=DashSku)),tblForecasts[[#This Row],[Month]],""))</f>
        <v>46235</v>
      </c>
      <c r="M8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2" s="28" t="s">
        <v>117</v>
      </c>
    </row>
    <row r="83" spans="2:14">
      <c r="B83" s="35">
        <v>46235</v>
      </c>
      <c r="C83" s="28" t="s">
        <v>87</v>
      </c>
      <c r="D83" s="31">
        <v>300</v>
      </c>
      <c r="E83" s="31">
        <v>362</v>
      </c>
      <c r="F83" s="36">
        <f>IF(tblForecasts[[#This Row],[Month]]="","",IF(tblForecasts[[#This Row],[Actual (units)]]="","",tblForecasts[[#This Row],[Forecast (units)]]-tblForecasts[[#This Row],[Actual (units)]]))</f>
        <v>-62</v>
      </c>
      <c r="G83" s="37">
        <f>IF(tblForecasts[[#This Row],[Month]]="","",IF(tblForecasts[[#This Row],[Actual (units)]]="","",ABS(tblForecasts[[#This Row],[Forecast (units)]]-tblForecasts[[#This Row],[Actual (units)]])))</f>
        <v>62</v>
      </c>
      <c r="H83" s="38">
        <f>IF(tblForecasts[[#This Row],[Month]]="","",IF(OR(tblForecasts[[#This Row],[Actual (units)]]="",tblForecasts[[#This Row],[Actual (units)]]=0),"",ABS(tblForecasts[[#This Row],[Forecast (units)]]-tblForecasts[[#This Row],[Actual (units)]])/tblForecasts[[#This Row],[Actual (units)]]))</f>
        <v>0.171270718232044</v>
      </c>
      <c r="I83" s="39" t="str">
        <f>IF(tblForecasts[[#This Row],[Month]]="","",IF(tblForecasts[[#This Row],[Actual (units)]]="","",IF(ABS(tblForecasts[[#This Row],[Forecast (units)]]-tblForecasts[[#This Row],[Actual (units)]])&lt;=Tolerance*tblForecasts[[#This Row],[Actual (units)]],"Yes","No")))</f>
        <v>Yes</v>
      </c>
      <c r="J8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767.333333333333</v>
      </c>
      <c r="K83" s="40">
        <f>IF(tblForecasts[[#This Row],[Month]]="","",IF(OR(tblForecasts[[#This Row],[Actual (units)]]="",NOT(ISNUMBER(tblForecasts[[#This Row],[Baseline (units)]]))),"",ABS(tblForecasts[[#This Row],[Baseline (units)]]-tblForecasts[[#This Row],[Actual (units)]])))</f>
        <v>405.333333333333</v>
      </c>
      <c r="L83" s="41">
        <f>IF(tblForecasts[[#This Row],[Month]]="","",IF(AND(tblForecasts[[#This Row],[Month]]&gt;=FFrom,tblForecasts[[#This Row],[Month]]&lt;=FTo,OR(DashSku="",tblForecasts[[#This Row],[SKU]]=DashSku)),tblForecasts[[#This Row],[Month]],""))</f>
        <v>46235</v>
      </c>
      <c r="M8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3" s="28" t="s">
        <v>117</v>
      </c>
    </row>
    <row r="84" spans="2:14">
      <c r="B84" s="35">
        <v>46235</v>
      </c>
      <c r="C84" s="28" t="s">
        <v>91</v>
      </c>
      <c r="D84" s="31">
        <v>170</v>
      </c>
      <c r="E84" s="31">
        <v>148</v>
      </c>
      <c r="F84" s="36">
        <f>IF(tblForecasts[[#This Row],[Month]]="","",IF(tblForecasts[[#This Row],[Actual (units)]]="","",tblForecasts[[#This Row],[Forecast (units)]]-tblForecasts[[#This Row],[Actual (units)]]))</f>
        <v>22</v>
      </c>
      <c r="G84" s="37">
        <f>IF(tblForecasts[[#This Row],[Month]]="","",IF(tblForecasts[[#This Row],[Actual (units)]]="","",ABS(tblForecasts[[#This Row],[Forecast (units)]]-tblForecasts[[#This Row],[Actual (units)]])))</f>
        <v>22</v>
      </c>
      <c r="H84" s="38">
        <f>IF(tblForecasts[[#This Row],[Month]]="","",IF(OR(tblForecasts[[#This Row],[Actual (units)]]="",tblForecasts[[#This Row],[Actual (units)]]=0),"",ABS(tblForecasts[[#This Row],[Forecast (units)]]-tblForecasts[[#This Row],[Actual (units)]])/tblForecasts[[#This Row],[Actual (units)]]))</f>
        <v>0.148648648648649</v>
      </c>
      <c r="I84" s="39" t="str">
        <f>IF(tblForecasts[[#This Row],[Month]]="","",IF(tblForecasts[[#This Row],[Actual (units)]]="","",IF(ABS(tblForecasts[[#This Row],[Forecast (units)]]-tblForecasts[[#This Row],[Actual (units)]])&lt;=Tolerance*tblForecasts[[#This Row],[Actual (units)]],"Yes","No")))</f>
        <v>Yes</v>
      </c>
      <c r="J8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407</v>
      </c>
      <c r="K84" s="40">
        <f>IF(tblForecasts[[#This Row],[Month]]="","",IF(OR(tblForecasts[[#This Row],[Actual (units)]]="",NOT(ISNUMBER(tblForecasts[[#This Row],[Baseline (units)]]))),"",ABS(tblForecasts[[#This Row],[Baseline (units)]]-tblForecasts[[#This Row],[Actual (units)]])))</f>
        <v>259</v>
      </c>
      <c r="L84" s="41">
        <f>IF(tblForecasts[[#This Row],[Month]]="","",IF(AND(tblForecasts[[#This Row],[Month]]&gt;=FFrom,tblForecasts[[#This Row],[Month]]&lt;=FTo,OR(DashSku="",tblForecasts[[#This Row],[SKU]]=DashSku)),tblForecasts[[#This Row],[Month]],""))</f>
        <v>46235</v>
      </c>
      <c r="M8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4" s="28" t="s">
        <v>117</v>
      </c>
    </row>
    <row r="85" spans="2:14">
      <c r="B85" s="35">
        <v>46235</v>
      </c>
      <c r="C85" s="28" t="s">
        <v>93</v>
      </c>
      <c r="D85" s="31">
        <v>460</v>
      </c>
      <c r="E85" s="31">
        <v>409</v>
      </c>
      <c r="F85" s="36">
        <f>IF(tblForecasts[[#This Row],[Month]]="","",IF(tblForecasts[[#This Row],[Actual (units)]]="","",tblForecasts[[#This Row],[Forecast (units)]]-tblForecasts[[#This Row],[Actual (units)]]))</f>
        <v>51</v>
      </c>
      <c r="G85" s="37">
        <f>IF(tblForecasts[[#This Row],[Month]]="","",IF(tblForecasts[[#This Row],[Actual (units)]]="","",ABS(tblForecasts[[#This Row],[Forecast (units)]]-tblForecasts[[#This Row],[Actual (units)]])))</f>
        <v>51</v>
      </c>
      <c r="H85" s="38">
        <f>IF(tblForecasts[[#This Row],[Month]]="","",IF(OR(tblForecasts[[#This Row],[Actual (units)]]="",tblForecasts[[#This Row],[Actual (units)]]=0),"",ABS(tblForecasts[[#This Row],[Forecast (units)]]-tblForecasts[[#This Row],[Actual (units)]])/tblForecasts[[#This Row],[Actual (units)]]))</f>
        <v>0.124694376528117</v>
      </c>
      <c r="I85" s="39" t="str">
        <f>IF(tblForecasts[[#This Row],[Month]]="","",IF(tblForecasts[[#This Row],[Actual (units)]]="","",IF(ABS(tblForecasts[[#This Row],[Forecast (units)]]-tblForecasts[[#This Row],[Actual (units)]])&lt;=Tolerance*tblForecasts[[#This Row],[Actual (units)]],"Yes","No")))</f>
        <v>Yes</v>
      </c>
      <c r="J8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409.666666666667</v>
      </c>
      <c r="K85" s="40">
        <f>IF(tblForecasts[[#This Row],[Month]]="","",IF(OR(tblForecasts[[#This Row],[Actual (units)]]="",NOT(ISNUMBER(tblForecasts[[#This Row],[Baseline (units)]]))),"",ABS(tblForecasts[[#This Row],[Baseline (units)]]-tblForecasts[[#This Row],[Actual (units)]])))</f>
        <v>0.666666666666686</v>
      </c>
      <c r="L85" s="41">
        <f>IF(tblForecasts[[#This Row],[Month]]="","",IF(AND(tblForecasts[[#This Row],[Month]]&gt;=FFrom,tblForecasts[[#This Row],[Month]]&lt;=FTo,OR(DashSku="",tblForecasts[[#This Row],[SKU]]=DashSku)),tblForecasts[[#This Row],[Month]],""))</f>
        <v>46235</v>
      </c>
      <c r="M8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5" s="28" t="s">
        <v>117</v>
      </c>
    </row>
    <row r="86" spans="2:14">
      <c r="B86" s="35">
        <v>46235</v>
      </c>
      <c r="C86" s="28" t="s">
        <v>97</v>
      </c>
      <c r="D86" s="31">
        <v>310</v>
      </c>
      <c r="E86" s="31">
        <v>277</v>
      </c>
      <c r="F86" s="36">
        <f>IF(tblForecasts[[#This Row],[Month]]="","",IF(tblForecasts[[#This Row],[Actual (units)]]="","",tblForecasts[[#This Row],[Forecast (units)]]-tblForecasts[[#This Row],[Actual (units)]]))</f>
        <v>33</v>
      </c>
      <c r="G86" s="37">
        <f>IF(tblForecasts[[#This Row],[Month]]="","",IF(tblForecasts[[#This Row],[Actual (units)]]="","",ABS(tblForecasts[[#This Row],[Forecast (units)]]-tblForecasts[[#This Row],[Actual (units)]])))</f>
        <v>33</v>
      </c>
      <c r="H86" s="38">
        <f>IF(tblForecasts[[#This Row],[Month]]="","",IF(OR(tblForecasts[[#This Row],[Actual (units)]]="",tblForecasts[[#This Row],[Actual (units)]]=0),"",ABS(tblForecasts[[#This Row],[Forecast (units)]]-tblForecasts[[#This Row],[Actual (units)]])/tblForecasts[[#This Row],[Actual (units)]]))</f>
        <v>0.11913357400722</v>
      </c>
      <c r="I86" s="39" t="str">
        <f>IF(tblForecasts[[#This Row],[Month]]="","",IF(tblForecasts[[#This Row],[Actual (units)]]="","",IF(ABS(tblForecasts[[#This Row],[Forecast (units)]]-tblForecasts[[#This Row],[Actual (units)]])&lt;=Tolerance*tblForecasts[[#This Row],[Actual (units)]],"Yes","No")))</f>
        <v>Yes</v>
      </c>
      <c r="J8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191.666666666667</v>
      </c>
      <c r="K86" s="40">
        <f>IF(tblForecasts[[#This Row],[Month]]="","",IF(OR(tblForecasts[[#This Row],[Actual (units)]]="",NOT(ISNUMBER(tblForecasts[[#This Row],[Baseline (units)]]))),"",ABS(tblForecasts[[#This Row],[Baseline (units)]]-tblForecasts[[#This Row],[Actual (units)]])))</f>
        <v>85.3333333333333</v>
      </c>
      <c r="L86" s="41">
        <f>IF(tblForecasts[[#This Row],[Month]]="","",IF(AND(tblForecasts[[#This Row],[Month]]&gt;=FFrom,tblForecasts[[#This Row],[Month]]&lt;=FTo,OR(DashSku="",tblForecasts[[#This Row],[SKU]]=DashSku)),tblForecasts[[#This Row],[Month]],""))</f>
        <v>46235</v>
      </c>
      <c r="M8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6" s="28" t="s">
        <v>117</v>
      </c>
    </row>
    <row r="87" spans="2:14">
      <c r="B87" s="35">
        <v>46235</v>
      </c>
      <c r="C87" s="28" t="s">
        <v>101</v>
      </c>
      <c r="D87" s="31">
        <v>110</v>
      </c>
      <c r="E87" s="31">
        <v>70</v>
      </c>
      <c r="F87" s="36">
        <f>IF(tblForecasts[[#This Row],[Month]]="","",IF(tblForecasts[[#This Row],[Actual (units)]]="","",tblForecasts[[#This Row],[Forecast (units)]]-tblForecasts[[#This Row],[Actual (units)]]))</f>
        <v>40</v>
      </c>
      <c r="G87" s="37">
        <f>IF(tblForecasts[[#This Row],[Month]]="","",IF(tblForecasts[[#This Row],[Actual (units)]]="","",ABS(tblForecasts[[#This Row],[Forecast (units)]]-tblForecasts[[#This Row],[Actual (units)]])))</f>
        <v>40</v>
      </c>
      <c r="H87" s="38">
        <f>IF(tblForecasts[[#This Row],[Month]]="","",IF(OR(tblForecasts[[#This Row],[Actual (units)]]="",tblForecasts[[#This Row],[Actual (units)]]=0),"",ABS(tblForecasts[[#This Row],[Forecast (units)]]-tblForecasts[[#This Row],[Actual (units)]])/tblForecasts[[#This Row],[Actual (units)]]))</f>
        <v>0.571428571428571</v>
      </c>
      <c r="I87" s="39" t="str">
        <f>IF(tblForecasts[[#This Row],[Month]]="","",IF(tblForecasts[[#This Row],[Actual (units)]]="","",IF(ABS(tblForecasts[[#This Row],[Forecast (units)]]-tblForecasts[[#This Row],[Actual (units)]])&lt;=Tolerance*tblForecasts[[#This Row],[Actual (units)]],"Yes","No")))</f>
        <v>No</v>
      </c>
      <c r="J8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88.6666666666667</v>
      </c>
      <c r="K87" s="40">
        <f>IF(tblForecasts[[#This Row],[Month]]="","",IF(OR(tblForecasts[[#This Row],[Actual (units)]]="",NOT(ISNUMBER(tblForecasts[[#This Row],[Baseline (units)]]))),"",ABS(tblForecasts[[#This Row],[Baseline (units)]]-tblForecasts[[#This Row],[Actual (units)]])))</f>
        <v>18.6666666666667</v>
      </c>
      <c r="L87" s="41">
        <f>IF(tblForecasts[[#This Row],[Month]]="","",IF(AND(tblForecasts[[#This Row],[Month]]&gt;=FFrom,tblForecasts[[#This Row],[Month]]&lt;=FTo,OR(DashSku="",tblForecasts[[#This Row],[SKU]]=DashSku)),tblForecasts[[#This Row],[Month]],""))</f>
        <v>46235</v>
      </c>
      <c r="M8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7" s="28" t="s">
        <v>117</v>
      </c>
    </row>
    <row r="88" spans="2:14">
      <c r="B88" s="35">
        <v>46266</v>
      </c>
      <c r="C88" s="28" t="s">
        <v>77</v>
      </c>
      <c r="D88" s="31">
        <v>1260</v>
      </c>
      <c r="E88" s="31">
        <v>1248</v>
      </c>
      <c r="F88" s="36">
        <f>IF(tblForecasts[[#This Row],[Month]]="","",IF(tblForecasts[[#This Row],[Actual (units)]]="","",tblForecasts[[#This Row],[Forecast (units)]]-tblForecasts[[#This Row],[Actual (units)]]))</f>
        <v>12</v>
      </c>
      <c r="G88" s="37">
        <f>IF(tblForecasts[[#This Row],[Month]]="","",IF(tblForecasts[[#This Row],[Actual (units)]]="","",ABS(tblForecasts[[#This Row],[Forecast (units)]]-tblForecasts[[#This Row],[Actual (units)]])))</f>
        <v>12</v>
      </c>
      <c r="H88" s="38">
        <f>IF(tblForecasts[[#This Row],[Month]]="","",IF(OR(tblForecasts[[#This Row],[Actual (units)]]="",tblForecasts[[#This Row],[Actual (units)]]=0),"",ABS(tblForecasts[[#This Row],[Forecast (units)]]-tblForecasts[[#This Row],[Actual (units)]])/tblForecasts[[#This Row],[Actual (units)]]))</f>
        <v>0.00961538461538462</v>
      </c>
      <c r="I88" s="39" t="str">
        <f>IF(tblForecasts[[#This Row],[Month]]="","",IF(tblForecasts[[#This Row],[Actual (units)]]="","",IF(ABS(tblForecasts[[#This Row],[Forecast (units)]]-tblForecasts[[#This Row],[Actual (units)]])&lt;=Tolerance*tblForecasts[[#This Row],[Actual (units)]],"Yes","No")))</f>
        <v>Yes</v>
      </c>
      <c r="J8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1184</v>
      </c>
      <c r="K88" s="40">
        <f>IF(tblForecasts[[#This Row],[Month]]="","",IF(OR(tblForecasts[[#This Row],[Actual (units)]]="",NOT(ISNUMBER(tblForecasts[[#This Row],[Baseline (units)]]))),"",ABS(tblForecasts[[#This Row],[Baseline (units)]]-tblForecasts[[#This Row],[Actual (units)]])))</f>
        <v>64</v>
      </c>
      <c r="L88" s="41">
        <f>IF(tblForecasts[[#This Row],[Month]]="","",IF(AND(tblForecasts[[#This Row],[Month]]&gt;=FFrom,tblForecasts[[#This Row],[Month]]&lt;=FTo,OR(DashSku="",tblForecasts[[#This Row],[SKU]]=DashSku)),tblForecasts[[#This Row],[Month]],""))</f>
        <v>46266</v>
      </c>
      <c r="M8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8" s="28" t="s">
        <v>117</v>
      </c>
    </row>
    <row r="89" spans="2:14">
      <c r="B89" s="35">
        <v>46266</v>
      </c>
      <c r="C89" s="28" t="s">
        <v>81</v>
      </c>
      <c r="D89" s="31">
        <v>840</v>
      </c>
      <c r="E89" s="31">
        <v>857</v>
      </c>
      <c r="F89" s="36">
        <f>IF(tblForecasts[[#This Row],[Month]]="","",IF(tblForecasts[[#This Row],[Actual (units)]]="","",tblForecasts[[#This Row],[Forecast (units)]]-tblForecasts[[#This Row],[Actual (units)]]))</f>
        <v>-17</v>
      </c>
      <c r="G89" s="37">
        <f>IF(tblForecasts[[#This Row],[Month]]="","",IF(tblForecasts[[#This Row],[Actual (units)]]="","",ABS(tblForecasts[[#This Row],[Forecast (units)]]-tblForecasts[[#This Row],[Actual (units)]])))</f>
        <v>17</v>
      </c>
      <c r="H89" s="38">
        <f>IF(tblForecasts[[#This Row],[Month]]="","",IF(OR(tblForecasts[[#This Row],[Actual (units)]]="",tblForecasts[[#This Row],[Actual (units)]]=0),"",ABS(tblForecasts[[#This Row],[Forecast (units)]]-tblForecasts[[#This Row],[Actual (units)]])/tblForecasts[[#This Row],[Actual (units)]]))</f>
        <v>0.0198366394399067</v>
      </c>
      <c r="I89" s="39" t="str">
        <f>IF(tblForecasts[[#This Row],[Month]]="","",IF(tblForecasts[[#This Row],[Actual (units)]]="","",IF(ABS(tblForecasts[[#This Row],[Forecast (units)]]-tblForecasts[[#This Row],[Actual (units)]])&lt;=Tolerance*tblForecasts[[#This Row],[Actual (units)]],"Yes","No")))</f>
        <v>Yes</v>
      </c>
      <c r="J8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813</v>
      </c>
      <c r="K89" s="40">
        <f>IF(tblForecasts[[#This Row],[Month]]="","",IF(OR(tblForecasts[[#This Row],[Actual (units)]]="",NOT(ISNUMBER(tblForecasts[[#This Row],[Baseline (units)]]))),"",ABS(tblForecasts[[#This Row],[Baseline (units)]]-tblForecasts[[#This Row],[Actual (units)]])))</f>
        <v>44</v>
      </c>
      <c r="L89" s="41">
        <f>IF(tblForecasts[[#This Row],[Month]]="","",IF(AND(tblForecasts[[#This Row],[Month]]&gt;=FFrom,tblForecasts[[#This Row],[Month]]&lt;=FTo,OR(DashSku="",tblForecasts[[#This Row],[SKU]]=DashSku)),tblForecasts[[#This Row],[Month]],""))</f>
        <v>46266</v>
      </c>
      <c r="M8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89" s="28" t="s">
        <v>117</v>
      </c>
    </row>
    <row r="90" spans="2:14">
      <c r="B90" s="35">
        <v>46266</v>
      </c>
      <c r="C90" s="28" t="s">
        <v>83</v>
      </c>
      <c r="D90" s="31">
        <v>120</v>
      </c>
      <c r="E90" s="31">
        <v>117</v>
      </c>
      <c r="F90" s="36">
        <f>IF(tblForecasts[[#This Row],[Month]]="","",IF(tblForecasts[[#This Row],[Actual (units)]]="","",tblForecasts[[#This Row],[Forecast (units)]]-tblForecasts[[#This Row],[Actual (units)]]))</f>
        <v>3</v>
      </c>
      <c r="G90" s="37">
        <f>IF(tblForecasts[[#This Row],[Month]]="","",IF(tblForecasts[[#This Row],[Actual (units)]]="","",ABS(tblForecasts[[#This Row],[Forecast (units)]]-tblForecasts[[#This Row],[Actual (units)]])))</f>
        <v>3</v>
      </c>
      <c r="H90" s="38">
        <f>IF(tblForecasts[[#This Row],[Month]]="","",IF(OR(tblForecasts[[#This Row],[Actual (units)]]="",tblForecasts[[#This Row],[Actual (units)]]=0),"",ABS(tblForecasts[[#This Row],[Forecast (units)]]-tblForecasts[[#This Row],[Actual (units)]])/tblForecasts[[#This Row],[Actual (units)]]))</f>
        <v>0.0256410256410256</v>
      </c>
      <c r="I90" s="39" t="str">
        <f>IF(tblForecasts[[#This Row],[Month]]="","",IF(tblForecasts[[#This Row],[Actual (units)]]="","",IF(ABS(tblForecasts[[#This Row],[Forecast (units)]]-tblForecasts[[#This Row],[Actual (units)]])&lt;=Tolerance*tblForecasts[[#This Row],[Actual (units)]],"Yes","No")))</f>
        <v>Yes</v>
      </c>
      <c r="J9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163</v>
      </c>
      <c r="K90" s="40">
        <f>IF(tblForecasts[[#This Row],[Month]]="","",IF(OR(tblForecasts[[#This Row],[Actual (units)]]="",NOT(ISNUMBER(tblForecasts[[#This Row],[Baseline (units)]]))),"",ABS(tblForecasts[[#This Row],[Baseline (units)]]-tblForecasts[[#This Row],[Actual (units)]])))</f>
        <v>46</v>
      </c>
      <c r="L90" s="41">
        <f>IF(tblForecasts[[#This Row],[Month]]="","",IF(AND(tblForecasts[[#This Row],[Month]]&gt;=FFrom,tblForecasts[[#This Row],[Month]]&lt;=FTo,OR(DashSku="",tblForecasts[[#This Row],[SKU]]=DashSku)),tblForecasts[[#This Row],[Month]],""))</f>
        <v>46266</v>
      </c>
      <c r="M9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0" s="28" t="s">
        <v>117</v>
      </c>
    </row>
    <row r="91" spans="2:14">
      <c r="B91" s="35">
        <v>46266</v>
      </c>
      <c r="C91" s="28" t="s">
        <v>87</v>
      </c>
      <c r="D91" s="31">
        <v>320</v>
      </c>
      <c r="E91" s="31">
        <v>344</v>
      </c>
      <c r="F91" s="36">
        <f>IF(tblForecasts[[#This Row],[Month]]="","",IF(tblForecasts[[#This Row],[Actual (units)]]="","",tblForecasts[[#This Row],[Forecast (units)]]-tblForecasts[[#This Row],[Actual (units)]]))</f>
        <v>-24</v>
      </c>
      <c r="G91" s="37">
        <f>IF(tblForecasts[[#This Row],[Month]]="","",IF(tblForecasts[[#This Row],[Actual (units)]]="","",ABS(tblForecasts[[#This Row],[Forecast (units)]]-tblForecasts[[#This Row],[Actual (units)]])))</f>
        <v>24</v>
      </c>
      <c r="H91" s="38">
        <f>IF(tblForecasts[[#This Row],[Month]]="","",IF(OR(tblForecasts[[#This Row],[Actual (units)]]="",tblForecasts[[#This Row],[Actual (units)]]=0),"",ABS(tblForecasts[[#This Row],[Forecast (units)]]-tblForecasts[[#This Row],[Actual (units)]])/tblForecasts[[#This Row],[Actual (units)]]))</f>
        <v>0.0697674418604651</v>
      </c>
      <c r="I91" s="39" t="str">
        <f>IF(tblForecasts[[#This Row],[Month]]="","",IF(tblForecasts[[#This Row],[Actual (units)]]="","",IF(ABS(tblForecasts[[#This Row],[Forecast (units)]]-tblForecasts[[#This Row],[Actual (units)]])&lt;=Tolerance*tblForecasts[[#This Row],[Actual (units)]],"Yes","No")))</f>
        <v>Yes</v>
      </c>
      <c r="J9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559.333333333333</v>
      </c>
      <c r="K91" s="40">
        <f>IF(tblForecasts[[#This Row],[Month]]="","",IF(OR(tblForecasts[[#This Row],[Actual (units)]]="",NOT(ISNUMBER(tblForecasts[[#This Row],[Baseline (units)]]))),"",ABS(tblForecasts[[#This Row],[Baseline (units)]]-tblForecasts[[#This Row],[Actual (units)]])))</f>
        <v>215.333333333333</v>
      </c>
      <c r="L91" s="41">
        <f>IF(tblForecasts[[#This Row],[Month]]="","",IF(AND(tblForecasts[[#This Row],[Month]]&gt;=FFrom,tblForecasts[[#This Row],[Month]]&lt;=FTo,OR(DashSku="",tblForecasts[[#This Row],[SKU]]=DashSku)),tblForecasts[[#This Row],[Month]],""))</f>
        <v>46266</v>
      </c>
      <c r="M9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1" s="28" t="s">
        <v>117</v>
      </c>
    </row>
    <row r="92" spans="2:14">
      <c r="B92" s="35">
        <v>46266</v>
      </c>
      <c r="C92" s="28" t="s">
        <v>91</v>
      </c>
      <c r="D92" s="31">
        <v>150</v>
      </c>
      <c r="E92" s="31">
        <v>154</v>
      </c>
      <c r="F92" s="36">
        <f>IF(tblForecasts[[#This Row],[Month]]="","",IF(tblForecasts[[#This Row],[Actual (units)]]="","",tblForecasts[[#This Row],[Forecast (units)]]-tblForecasts[[#This Row],[Actual (units)]]))</f>
        <v>-4</v>
      </c>
      <c r="G92" s="37">
        <f>IF(tblForecasts[[#This Row],[Month]]="","",IF(tblForecasts[[#This Row],[Actual (units)]]="","",ABS(tblForecasts[[#This Row],[Forecast (units)]]-tblForecasts[[#This Row],[Actual (units)]])))</f>
        <v>4</v>
      </c>
      <c r="H92" s="38">
        <f>IF(tblForecasts[[#This Row],[Month]]="","",IF(OR(tblForecasts[[#This Row],[Actual (units)]]="",tblForecasts[[#This Row],[Actual (units)]]=0),"",ABS(tblForecasts[[#This Row],[Forecast (units)]]-tblForecasts[[#This Row],[Actual (units)]])/tblForecasts[[#This Row],[Actual (units)]]))</f>
        <v>0.025974025974026</v>
      </c>
      <c r="I92" s="39" t="str">
        <f>IF(tblForecasts[[#This Row],[Month]]="","",IF(tblForecasts[[#This Row],[Actual (units)]]="","",IF(ABS(tblForecasts[[#This Row],[Forecast (units)]]-tblForecasts[[#This Row],[Actual (units)]])&lt;=Tolerance*tblForecasts[[#This Row],[Actual (units)]],"Yes","No")))</f>
        <v>Yes</v>
      </c>
      <c r="J9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250</v>
      </c>
      <c r="K92" s="40">
        <f>IF(tblForecasts[[#This Row],[Month]]="","",IF(OR(tblForecasts[[#This Row],[Actual (units)]]="",NOT(ISNUMBER(tblForecasts[[#This Row],[Baseline (units)]]))),"",ABS(tblForecasts[[#This Row],[Baseline (units)]]-tblForecasts[[#This Row],[Actual (units)]])))</f>
        <v>96</v>
      </c>
      <c r="L92" s="41">
        <f>IF(tblForecasts[[#This Row],[Month]]="","",IF(AND(tblForecasts[[#This Row],[Month]]&gt;=FFrom,tblForecasts[[#This Row],[Month]]&lt;=FTo,OR(DashSku="",tblForecasts[[#This Row],[SKU]]=DashSku)),tblForecasts[[#This Row],[Month]],""))</f>
        <v>46266</v>
      </c>
      <c r="M9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2" s="28" t="s">
        <v>117</v>
      </c>
    </row>
    <row r="93" spans="2:14">
      <c r="B93" s="35">
        <v>46266</v>
      </c>
      <c r="C93" s="28" t="s">
        <v>93</v>
      </c>
      <c r="D93" s="31">
        <v>510</v>
      </c>
      <c r="E93" s="31">
        <v>394</v>
      </c>
      <c r="F93" s="36">
        <f>IF(tblForecasts[[#This Row],[Month]]="","",IF(tblForecasts[[#This Row],[Actual (units)]]="","",tblForecasts[[#This Row],[Forecast (units)]]-tblForecasts[[#This Row],[Actual (units)]]))</f>
        <v>116</v>
      </c>
      <c r="G93" s="37">
        <f>IF(tblForecasts[[#This Row],[Month]]="","",IF(tblForecasts[[#This Row],[Actual (units)]]="","",ABS(tblForecasts[[#This Row],[Forecast (units)]]-tblForecasts[[#This Row],[Actual (units)]])))</f>
        <v>116</v>
      </c>
      <c r="H93" s="38">
        <f>IF(tblForecasts[[#This Row],[Month]]="","",IF(OR(tblForecasts[[#This Row],[Actual (units)]]="",tblForecasts[[#This Row],[Actual (units)]]=0),"",ABS(tblForecasts[[#This Row],[Forecast (units)]]-tblForecasts[[#This Row],[Actual (units)]])/tblForecasts[[#This Row],[Actual (units)]]))</f>
        <v>0.294416243654822</v>
      </c>
      <c r="I93" s="39" t="str">
        <f>IF(tblForecasts[[#This Row],[Month]]="","",IF(tblForecasts[[#This Row],[Actual (units)]]="","",IF(ABS(tblForecasts[[#This Row],[Forecast (units)]]-tblForecasts[[#This Row],[Actual (units)]])&lt;=Tolerance*tblForecasts[[#This Row],[Actual (units)]],"Yes","No")))</f>
        <v>No</v>
      </c>
      <c r="J9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397.666666666667</v>
      </c>
      <c r="K93" s="40">
        <f>IF(tblForecasts[[#This Row],[Month]]="","",IF(OR(tblForecasts[[#This Row],[Actual (units)]]="",NOT(ISNUMBER(tblForecasts[[#This Row],[Baseline (units)]]))),"",ABS(tblForecasts[[#This Row],[Baseline (units)]]-tblForecasts[[#This Row],[Actual (units)]])))</f>
        <v>3.66666666666669</v>
      </c>
      <c r="L93" s="41">
        <f>IF(tblForecasts[[#This Row],[Month]]="","",IF(AND(tblForecasts[[#This Row],[Month]]&gt;=FFrom,tblForecasts[[#This Row],[Month]]&lt;=FTo,OR(DashSku="",tblForecasts[[#This Row],[SKU]]=DashSku)),tblForecasts[[#This Row],[Month]],""))</f>
        <v>46266</v>
      </c>
      <c r="M9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3" s="28" t="s">
        <v>117</v>
      </c>
    </row>
    <row r="94" spans="2:14">
      <c r="B94" s="35">
        <v>46266</v>
      </c>
      <c r="C94" s="28" t="s">
        <v>97</v>
      </c>
      <c r="D94" s="31">
        <v>270</v>
      </c>
      <c r="E94" s="31">
        <v>258</v>
      </c>
      <c r="F94" s="36">
        <f>IF(tblForecasts[[#This Row],[Month]]="","",IF(tblForecasts[[#This Row],[Actual (units)]]="","",tblForecasts[[#This Row],[Forecast (units)]]-tblForecasts[[#This Row],[Actual (units)]]))</f>
        <v>12</v>
      </c>
      <c r="G94" s="37">
        <f>IF(tblForecasts[[#This Row],[Month]]="","",IF(tblForecasts[[#This Row],[Actual (units)]]="","",ABS(tblForecasts[[#This Row],[Forecast (units)]]-tblForecasts[[#This Row],[Actual (units)]])))</f>
        <v>12</v>
      </c>
      <c r="H94" s="38">
        <f>IF(tblForecasts[[#This Row],[Month]]="","",IF(OR(tblForecasts[[#This Row],[Actual (units)]]="",tblForecasts[[#This Row],[Actual (units)]]=0),"",ABS(tblForecasts[[#This Row],[Forecast (units)]]-tblForecasts[[#This Row],[Actual (units)]])/tblForecasts[[#This Row],[Actual (units)]]))</f>
        <v>0.0465116279069767</v>
      </c>
      <c r="I94" s="39" t="str">
        <f>IF(tblForecasts[[#This Row],[Month]]="","",IF(tblForecasts[[#This Row],[Actual (units)]]="","",IF(ABS(tblForecasts[[#This Row],[Forecast (units)]]-tblForecasts[[#This Row],[Actual (units)]])&lt;=Tolerance*tblForecasts[[#This Row],[Actual (units)]],"Yes","No")))</f>
        <v>Yes</v>
      </c>
      <c r="J9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230.333333333333</v>
      </c>
      <c r="K94" s="40">
        <f>IF(tblForecasts[[#This Row],[Month]]="","",IF(OR(tblForecasts[[#This Row],[Actual (units)]]="",NOT(ISNUMBER(tblForecasts[[#This Row],[Baseline (units)]]))),"",ABS(tblForecasts[[#This Row],[Baseline (units)]]-tblForecasts[[#This Row],[Actual (units)]])))</f>
        <v>27.6666666666667</v>
      </c>
      <c r="L94" s="41">
        <f>IF(tblForecasts[[#This Row],[Month]]="","",IF(AND(tblForecasts[[#This Row],[Month]]&gt;=FFrom,tblForecasts[[#This Row],[Month]]&lt;=FTo,OR(DashSku="",tblForecasts[[#This Row],[SKU]]=DashSku)),tblForecasts[[#This Row],[Month]],""))</f>
        <v>46266</v>
      </c>
      <c r="M9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4" s="28" t="s">
        <v>117</v>
      </c>
    </row>
    <row r="95" spans="2:14">
      <c r="B95" s="35">
        <v>46266</v>
      </c>
      <c r="C95" s="28" t="s">
        <v>101</v>
      </c>
      <c r="D95" s="31">
        <v>80</v>
      </c>
      <c r="E95" s="31">
        <v>127</v>
      </c>
      <c r="F95" s="36">
        <f>IF(tblForecasts[[#This Row],[Month]]="","",IF(tblForecasts[[#This Row],[Actual (units)]]="","",tblForecasts[[#This Row],[Forecast (units)]]-tblForecasts[[#This Row],[Actual (units)]]))</f>
        <v>-47</v>
      </c>
      <c r="G95" s="37">
        <f>IF(tblForecasts[[#This Row],[Month]]="","",IF(tblForecasts[[#This Row],[Actual (units)]]="","",ABS(tblForecasts[[#This Row],[Forecast (units)]]-tblForecasts[[#This Row],[Actual (units)]])))</f>
        <v>47</v>
      </c>
      <c r="H95" s="38">
        <f>IF(tblForecasts[[#This Row],[Month]]="","",IF(OR(tblForecasts[[#This Row],[Actual (units)]]="",tblForecasts[[#This Row],[Actual (units)]]=0),"",ABS(tblForecasts[[#This Row],[Forecast (units)]]-tblForecasts[[#This Row],[Actual (units)]])/tblForecasts[[#This Row],[Actual (units)]]))</f>
        <v>0.37007874015748</v>
      </c>
      <c r="I95" s="39" t="str">
        <f>IF(tblForecasts[[#This Row],[Month]]="","",IF(tblForecasts[[#This Row],[Actual (units)]]="","",IF(ABS(tblForecasts[[#This Row],[Forecast (units)]]-tblForecasts[[#This Row],[Actual (units)]])&lt;=Tolerance*tblForecasts[[#This Row],[Actual (units)]],"Yes","No")))</f>
        <v>No</v>
      </c>
      <c r="J9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93</v>
      </c>
      <c r="K95" s="40">
        <f>IF(tblForecasts[[#This Row],[Month]]="","",IF(OR(tblForecasts[[#This Row],[Actual (units)]]="",NOT(ISNUMBER(tblForecasts[[#This Row],[Baseline (units)]]))),"",ABS(tblForecasts[[#This Row],[Baseline (units)]]-tblForecasts[[#This Row],[Actual (units)]])))</f>
        <v>34</v>
      </c>
      <c r="L95" s="41">
        <f>IF(tblForecasts[[#This Row],[Month]]="","",IF(AND(tblForecasts[[#This Row],[Month]]&gt;=FFrom,tblForecasts[[#This Row],[Month]]&lt;=FTo,OR(DashSku="",tblForecasts[[#This Row],[SKU]]=DashSku)),tblForecasts[[#This Row],[Month]],""))</f>
        <v>46266</v>
      </c>
      <c r="M9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5" s="28" t="s">
        <v>117</v>
      </c>
    </row>
    <row r="96" spans="2:14">
      <c r="B96" s="35">
        <v>46296</v>
      </c>
      <c r="C96" s="28" t="s">
        <v>77</v>
      </c>
      <c r="D96" s="31">
        <v>1230</v>
      </c>
      <c r="E96" s="31"/>
      <c r="F96" s="36">
        <f>IF(tblForecasts[[#This Row],[Month]]="","",IF(tblForecasts[[#This Row],[Actual (units)]]="","",tblForecasts[[#This Row],[Forecast (units)]]-tblForecasts[[#This Row],[Actual (units)]]))</f>
        <v/>
      </c>
      <c r="G96" s="37">
        <f>IF(tblForecasts[[#This Row],[Month]]="","",IF(tblForecasts[[#This Row],[Actual (units)]]="","",ABS(tblForecasts[[#This Row],[Forecast (units)]]-tblForecasts[[#This Row],[Actual (units)]])))</f>
        <v/>
      </c>
      <c r="H96" s="38">
        <f>IF(tblForecasts[[#This Row],[Month]]="","",IF(OR(tblForecasts[[#This Row],[Actual (units)]]="",tblForecasts[[#This Row],[Actual (units)]]=0),"",ABS(tblForecasts[[#This Row],[Forecast (units)]]-tblForecasts[[#This Row],[Actual (units)]])/tblForecasts[[#This Row],[Actual (units)]]))</f>
        <v/>
      </c>
      <c r="I96" s="39">
        <f>IF(tblForecasts[[#This Row],[Month]]="","",IF(tblForecasts[[#This Row],[Actual (units)]]="","",IF(ABS(tblForecasts[[#This Row],[Forecast (units)]]-tblForecasts[[#This Row],[Actual (units)]])&lt;=Tolerance*tblForecasts[[#This Row],[Actual (units)]],"Yes","No")))</f>
        <v/>
      </c>
      <c r="J9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1183.66666666667</v>
      </c>
      <c r="K96" s="40">
        <f>IF(tblForecasts[[#This Row],[Month]]="","",IF(OR(tblForecasts[[#This Row],[Actual (units)]]="",NOT(ISNUMBER(tblForecasts[[#This Row],[Baseline (units)]]))),"",ABS(tblForecasts[[#This Row],[Baseline (units)]]-tblForecasts[[#This Row],[Actual (units)]])))</f>
        <v/>
      </c>
      <c r="L96" s="41">
        <f>IF(tblForecasts[[#This Row],[Month]]="","",IF(AND(tblForecasts[[#This Row],[Month]]&gt;=FFrom,tblForecasts[[#This Row],[Month]]&lt;=FTo,OR(DashSku="",tblForecasts[[#This Row],[SKU]]=DashSku)),tblForecasts[[#This Row],[Month]],""))</f>
        <v>46296</v>
      </c>
      <c r="M9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6" s="28" t="s">
        <v>117</v>
      </c>
    </row>
    <row r="97" spans="2:14">
      <c r="B97" s="35">
        <v>46296</v>
      </c>
      <c r="C97" s="28" t="s">
        <v>81</v>
      </c>
      <c r="D97" s="31">
        <v>850</v>
      </c>
      <c r="E97" s="31"/>
      <c r="F97" s="36">
        <f>IF(tblForecasts[[#This Row],[Month]]="","",IF(tblForecasts[[#This Row],[Actual (units)]]="","",tblForecasts[[#This Row],[Forecast (units)]]-tblForecasts[[#This Row],[Actual (units)]]))</f>
        <v/>
      </c>
      <c r="G97" s="37">
        <f>IF(tblForecasts[[#This Row],[Month]]="","",IF(tblForecasts[[#This Row],[Actual (units)]]="","",ABS(tblForecasts[[#This Row],[Forecast (units)]]-tblForecasts[[#This Row],[Actual (units)]])))</f>
        <v/>
      </c>
      <c r="H97" s="38">
        <f>IF(tblForecasts[[#This Row],[Month]]="","",IF(OR(tblForecasts[[#This Row],[Actual (units)]]="",tblForecasts[[#This Row],[Actual (units)]]=0),"",ABS(tblForecasts[[#This Row],[Forecast (units)]]-tblForecasts[[#This Row],[Actual (units)]])/tblForecasts[[#This Row],[Actual (units)]]))</f>
        <v/>
      </c>
      <c r="I97" s="39">
        <f>IF(tblForecasts[[#This Row],[Month]]="","",IF(tblForecasts[[#This Row],[Actual (units)]]="","",IF(ABS(tblForecasts[[#This Row],[Forecast (units)]]-tblForecasts[[#This Row],[Actual (units)]])&lt;=Tolerance*tblForecasts[[#This Row],[Actual (units)]],"Yes","No")))</f>
        <v/>
      </c>
      <c r="J9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815.666666666667</v>
      </c>
      <c r="K97" s="40">
        <f>IF(tblForecasts[[#This Row],[Month]]="","",IF(OR(tblForecasts[[#This Row],[Actual (units)]]="",NOT(ISNUMBER(tblForecasts[[#This Row],[Baseline (units)]]))),"",ABS(tblForecasts[[#This Row],[Baseline (units)]]-tblForecasts[[#This Row],[Actual (units)]])))</f>
        <v/>
      </c>
      <c r="L97" s="41">
        <f>IF(tblForecasts[[#This Row],[Month]]="","",IF(AND(tblForecasts[[#This Row],[Month]]&gt;=FFrom,tblForecasts[[#This Row],[Month]]&lt;=FTo,OR(DashSku="",tblForecasts[[#This Row],[SKU]]=DashSku)),tblForecasts[[#This Row],[Month]],""))</f>
        <v>46296</v>
      </c>
      <c r="M9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7" s="28" t="s">
        <v>117</v>
      </c>
    </row>
    <row r="98" spans="2:14">
      <c r="B98" s="35">
        <v>46296</v>
      </c>
      <c r="C98" s="28" t="s">
        <v>83</v>
      </c>
      <c r="D98" s="31">
        <v>130</v>
      </c>
      <c r="E98" s="31"/>
      <c r="F98" s="36">
        <f>IF(tblForecasts[[#This Row],[Month]]="","",IF(tblForecasts[[#This Row],[Actual (units)]]="","",tblForecasts[[#This Row],[Forecast (units)]]-tblForecasts[[#This Row],[Actual (units)]]))</f>
        <v/>
      </c>
      <c r="G98" s="37">
        <f>IF(tblForecasts[[#This Row],[Month]]="","",IF(tblForecasts[[#This Row],[Actual (units)]]="","",ABS(tblForecasts[[#This Row],[Forecast (units)]]-tblForecasts[[#This Row],[Actual (units)]])))</f>
        <v/>
      </c>
      <c r="H98" s="38">
        <f>IF(tblForecasts[[#This Row],[Month]]="","",IF(OR(tblForecasts[[#This Row],[Actual (units)]]="",tblForecasts[[#This Row],[Actual (units)]]=0),"",ABS(tblForecasts[[#This Row],[Forecast (units)]]-tblForecasts[[#This Row],[Actual (units)]])/tblForecasts[[#This Row],[Actual (units)]]))</f>
        <v/>
      </c>
      <c r="I98" s="39">
        <f>IF(tblForecasts[[#This Row],[Month]]="","",IF(tblForecasts[[#This Row],[Actual (units)]]="","",IF(ABS(tblForecasts[[#This Row],[Forecast (units)]]-tblForecasts[[#This Row],[Actual (units)]])&lt;=Tolerance*tblForecasts[[#This Row],[Actual (units)]],"Yes","No")))</f>
        <v/>
      </c>
      <c r="J9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133.666666666667</v>
      </c>
      <c r="K98" s="40">
        <f>IF(tblForecasts[[#This Row],[Month]]="","",IF(OR(tblForecasts[[#This Row],[Actual (units)]]="",NOT(ISNUMBER(tblForecasts[[#This Row],[Baseline (units)]]))),"",ABS(tblForecasts[[#This Row],[Baseline (units)]]-tblForecasts[[#This Row],[Actual (units)]])))</f>
        <v/>
      </c>
      <c r="L98" s="41">
        <f>IF(tblForecasts[[#This Row],[Month]]="","",IF(AND(tblForecasts[[#This Row],[Month]]&gt;=FFrom,tblForecasts[[#This Row],[Month]]&lt;=FTo,OR(DashSku="",tblForecasts[[#This Row],[SKU]]=DashSku)),tblForecasts[[#This Row],[Month]],""))</f>
        <v>46296</v>
      </c>
      <c r="M9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8" s="28" t="s">
        <v>117</v>
      </c>
    </row>
    <row r="99" spans="2:14">
      <c r="B99" s="35">
        <v>46296</v>
      </c>
      <c r="C99" s="28" t="s">
        <v>87</v>
      </c>
      <c r="D99" s="31">
        <v>330</v>
      </c>
      <c r="E99" s="31"/>
      <c r="F99" s="36">
        <f>IF(tblForecasts[[#This Row],[Month]]="","",IF(tblForecasts[[#This Row],[Actual (units)]]="","",tblForecasts[[#This Row],[Forecast (units)]]-tblForecasts[[#This Row],[Actual (units)]]))</f>
        <v/>
      </c>
      <c r="G99" s="37">
        <f>IF(tblForecasts[[#This Row],[Month]]="","",IF(tblForecasts[[#This Row],[Actual (units)]]="","",ABS(tblForecasts[[#This Row],[Forecast (units)]]-tblForecasts[[#This Row],[Actual (units)]])))</f>
        <v/>
      </c>
      <c r="H99" s="38">
        <f>IF(tblForecasts[[#This Row],[Month]]="","",IF(OR(tblForecasts[[#This Row],[Actual (units)]]="",tblForecasts[[#This Row],[Actual (units)]]=0),"",ABS(tblForecasts[[#This Row],[Forecast (units)]]-tblForecasts[[#This Row],[Actual (units)]])/tblForecasts[[#This Row],[Actual (units)]]))</f>
        <v/>
      </c>
      <c r="I99" s="39">
        <f>IF(tblForecasts[[#This Row],[Month]]="","",IF(tblForecasts[[#This Row],[Actual (units)]]="","",IF(ABS(tblForecasts[[#This Row],[Forecast (units)]]-tblForecasts[[#This Row],[Actual (units)]])&lt;=Tolerance*tblForecasts[[#This Row],[Actual (units)]],"Yes","No")))</f>
        <v/>
      </c>
      <c r="J9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378.666666666667</v>
      </c>
      <c r="K99" s="40">
        <f>IF(tblForecasts[[#This Row],[Month]]="","",IF(OR(tblForecasts[[#This Row],[Actual (units)]]="",NOT(ISNUMBER(tblForecasts[[#This Row],[Baseline (units)]]))),"",ABS(tblForecasts[[#This Row],[Baseline (units)]]-tblForecasts[[#This Row],[Actual (units)]])))</f>
        <v/>
      </c>
      <c r="L99" s="41">
        <f>IF(tblForecasts[[#This Row],[Month]]="","",IF(AND(tblForecasts[[#This Row],[Month]]&gt;=FFrom,tblForecasts[[#This Row],[Month]]&lt;=FTo,OR(DashSku="",tblForecasts[[#This Row],[SKU]]=DashSku)),tblForecasts[[#This Row],[Month]],""))</f>
        <v>46296</v>
      </c>
      <c r="M9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99" s="28" t="s">
        <v>117</v>
      </c>
    </row>
    <row r="100" spans="2:14">
      <c r="B100" s="35">
        <v>46296</v>
      </c>
      <c r="C100" s="28" t="s">
        <v>91</v>
      </c>
      <c r="D100" s="31">
        <v>180</v>
      </c>
      <c r="E100" s="31"/>
      <c r="F100" s="36">
        <f>IF(tblForecasts[[#This Row],[Month]]="","",IF(tblForecasts[[#This Row],[Actual (units)]]="","",tblForecasts[[#This Row],[Forecast (units)]]-tblForecasts[[#This Row],[Actual (units)]]))</f>
        <v/>
      </c>
      <c r="G100" s="37">
        <f>IF(tblForecasts[[#This Row],[Month]]="","",IF(tblForecasts[[#This Row],[Actual (units)]]="","",ABS(tblForecasts[[#This Row],[Forecast (units)]]-tblForecasts[[#This Row],[Actual (units)]])))</f>
        <v/>
      </c>
      <c r="H100" s="38">
        <f>IF(tblForecasts[[#This Row],[Month]]="","",IF(OR(tblForecasts[[#This Row],[Actual (units)]]="",tblForecasts[[#This Row],[Actual (units)]]=0),"",ABS(tblForecasts[[#This Row],[Forecast (units)]]-tblForecasts[[#This Row],[Actual (units)]])/tblForecasts[[#This Row],[Actual (units)]]))</f>
        <v/>
      </c>
      <c r="I100" s="39">
        <f>IF(tblForecasts[[#This Row],[Month]]="","",IF(tblForecasts[[#This Row],[Actual (units)]]="","",IF(ABS(tblForecasts[[#This Row],[Forecast (units)]]-tblForecasts[[#This Row],[Actual (units)]])&lt;=Tolerance*tblForecasts[[#This Row],[Actual (units)]],"Yes","No")))</f>
        <v/>
      </c>
      <c r="J10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181.333333333333</v>
      </c>
      <c r="K100" s="40">
        <f>IF(tblForecasts[[#This Row],[Month]]="","",IF(OR(tblForecasts[[#This Row],[Actual (units)]]="",NOT(ISNUMBER(tblForecasts[[#This Row],[Baseline (units)]]))),"",ABS(tblForecasts[[#This Row],[Baseline (units)]]-tblForecasts[[#This Row],[Actual (units)]])))</f>
        <v/>
      </c>
      <c r="L100" s="41">
        <f>IF(tblForecasts[[#This Row],[Month]]="","",IF(AND(tblForecasts[[#This Row],[Month]]&gt;=FFrom,tblForecasts[[#This Row],[Month]]&lt;=FTo,OR(DashSku="",tblForecasts[[#This Row],[SKU]]=DashSku)),tblForecasts[[#This Row],[Month]],""))</f>
        <v>46296</v>
      </c>
      <c r="M10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0" s="28" t="s">
        <v>117</v>
      </c>
    </row>
    <row r="101" spans="2:14">
      <c r="B101" s="35">
        <v>46296</v>
      </c>
      <c r="C101" s="28" t="s">
        <v>93</v>
      </c>
      <c r="D101" s="31">
        <v>500</v>
      </c>
      <c r="E101" s="31"/>
      <c r="F101" s="36">
        <f>IF(tblForecasts[[#This Row],[Month]]="","",IF(tblForecasts[[#This Row],[Actual (units)]]="","",tblForecasts[[#This Row],[Forecast (units)]]-tblForecasts[[#This Row],[Actual (units)]]))</f>
        <v/>
      </c>
      <c r="G101" s="37">
        <f>IF(tblForecasts[[#This Row],[Month]]="","",IF(tblForecasts[[#This Row],[Actual (units)]]="","",ABS(tblForecasts[[#This Row],[Forecast (units)]]-tblForecasts[[#This Row],[Actual (units)]])))</f>
        <v/>
      </c>
      <c r="H101" s="38">
        <f>IF(tblForecasts[[#This Row],[Month]]="","",IF(OR(tblForecasts[[#This Row],[Actual (units)]]="",tblForecasts[[#This Row],[Actual (units)]]=0),"",ABS(tblForecasts[[#This Row],[Forecast (units)]]-tblForecasts[[#This Row],[Actual (units)]])/tblForecasts[[#This Row],[Actual (units)]]))</f>
        <v/>
      </c>
      <c r="I101" s="39">
        <f>IF(tblForecasts[[#This Row],[Month]]="","",IF(tblForecasts[[#This Row],[Actual (units)]]="","",IF(ABS(tblForecasts[[#This Row],[Forecast (units)]]-tblForecasts[[#This Row],[Actual (units)]])&lt;=Tolerance*tblForecasts[[#This Row],[Actual (units)]],"Yes","No")))</f>
        <v/>
      </c>
      <c r="J10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410.666666666667</v>
      </c>
      <c r="K101" s="40">
        <f>IF(tblForecasts[[#This Row],[Month]]="","",IF(OR(tblForecasts[[#This Row],[Actual (units)]]="",NOT(ISNUMBER(tblForecasts[[#This Row],[Baseline (units)]]))),"",ABS(tblForecasts[[#This Row],[Baseline (units)]]-tblForecasts[[#This Row],[Actual (units)]])))</f>
        <v/>
      </c>
      <c r="L101" s="41">
        <f>IF(tblForecasts[[#This Row],[Month]]="","",IF(AND(tblForecasts[[#This Row],[Month]]&gt;=FFrom,tblForecasts[[#This Row],[Month]]&lt;=FTo,OR(DashSku="",tblForecasts[[#This Row],[SKU]]=DashSku)),tblForecasts[[#This Row],[Month]],""))</f>
        <v>46296</v>
      </c>
      <c r="M10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1" s="28" t="s">
        <v>117</v>
      </c>
    </row>
    <row r="102" spans="2:14">
      <c r="B102" s="35">
        <v>46296</v>
      </c>
      <c r="C102" s="28" t="s">
        <v>97</v>
      </c>
      <c r="D102" s="31">
        <v>300</v>
      </c>
      <c r="E102" s="31"/>
      <c r="F102" s="36">
        <f>IF(tblForecasts[[#This Row],[Month]]="","",IF(tblForecasts[[#This Row],[Actual (units)]]="","",tblForecasts[[#This Row],[Forecast (units)]]-tblForecasts[[#This Row],[Actual (units)]]))</f>
        <v/>
      </c>
      <c r="G102" s="37">
        <f>IF(tblForecasts[[#This Row],[Month]]="","",IF(tblForecasts[[#This Row],[Actual (units)]]="","",ABS(tblForecasts[[#This Row],[Forecast (units)]]-tblForecasts[[#This Row],[Actual (units)]])))</f>
        <v/>
      </c>
      <c r="H102" s="38">
        <f>IF(tblForecasts[[#This Row],[Month]]="","",IF(OR(tblForecasts[[#This Row],[Actual (units)]]="",tblForecasts[[#This Row],[Actual (units)]]=0),"",ABS(tblForecasts[[#This Row],[Forecast (units)]]-tblForecasts[[#This Row],[Actual (units)]])/tblForecasts[[#This Row],[Actual (units)]]))</f>
        <v/>
      </c>
      <c r="I102" s="39">
        <f>IF(tblForecasts[[#This Row],[Month]]="","",IF(tblForecasts[[#This Row],[Actual (units)]]="","",IF(ABS(tblForecasts[[#This Row],[Forecast (units)]]-tblForecasts[[#This Row],[Actual (units)]])&lt;=Tolerance*tblForecasts[[#This Row],[Actual (units)]],"Yes","No")))</f>
        <v/>
      </c>
      <c r="J10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251.666666666667</v>
      </c>
      <c r="K102" s="40">
        <f>IF(tblForecasts[[#This Row],[Month]]="","",IF(OR(tblForecasts[[#This Row],[Actual (units)]]="",NOT(ISNUMBER(tblForecasts[[#This Row],[Baseline (units)]]))),"",ABS(tblForecasts[[#This Row],[Baseline (units)]]-tblForecasts[[#This Row],[Actual (units)]])))</f>
        <v/>
      </c>
      <c r="L102" s="41">
        <f>IF(tblForecasts[[#This Row],[Month]]="","",IF(AND(tblForecasts[[#This Row],[Month]]&gt;=FFrom,tblForecasts[[#This Row],[Month]]&lt;=FTo,OR(DashSku="",tblForecasts[[#This Row],[SKU]]=DashSku)),tblForecasts[[#This Row],[Month]],""))</f>
        <v>46296</v>
      </c>
      <c r="M10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2" s="28" t="s">
        <v>117</v>
      </c>
    </row>
    <row r="103" spans="2:14">
      <c r="B103" s="35">
        <v>46296</v>
      </c>
      <c r="C103" s="28" t="s">
        <v>101</v>
      </c>
      <c r="D103" s="31">
        <v>80</v>
      </c>
      <c r="E103" s="31"/>
      <c r="F103" s="36">
        <f>IF(tblForecasts[[#This Row],[Month]]="","",IF(tblForecasts[[#This Row],[Actual (units)]]="","",tblForecasts[[#This Row],[Forecast (units)]]-tblForecasts[[#This Row],[Actual (units)]]))</f>
        <v/>
      </c>
      <c r="G103" s="37">
        <f>IF(tblForecasts[[#This Row],[Month]]="","",IF(tblForecasts[[#This Row],[Actual (units)]]="","",ABS(tblForecasts[[#This Row],[Forecast (units)]]-tblForecasts[[#This Row],[Actual (units)]])))</f>
        <v/>
      </c>
      <c r="H103" s="38">
        <f>IF(tblForecasts[[#This Row],[Month]]="","",IF(OR(tblForecasts[[#This Row],[Actual (units)]]="",tblForecasts[[#This Row],[Actual (units)]]=0),"",ABS(tblForecasts[[#This Row],[Forecast (units)]]-tblForecasts[[#This Row],[Actual (units)]])/tblForecasts[[#This Row],[Actual (units)]]))</f>
        <v/>
      </c>
      <c r="I103" s="39">
        <f>IF(tblForecasts[[#This Row],[Month]]="","",IF(tblForecasts[[#This Row],[Actual (units)]]="","",IF(ABS(tblForecasts[[#This Row],[Forecast (units)]]-tblForecasts[[#This Row],[Actual (units)]])&lt;=Tolerance*tblForecasts[[#This Row],[Actual (units)]],"Yes","No")))</f>
        <v/>
      </c>
      <c r="J10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98</v>
      </c>
      <c r="K103" s="40">
        <f>IF(tblForecasts[[#This Row],[Month]]="","",IF(OR(tblForecasts[[#This Row],[Actual (units)]]="",NOT(ISNUMBER(tblForecasts[[#This Row],[Baseline (units)]]))),"",ABS(tblForecasts[[#This Row],[Baseline (units)]]-tblForecasts[[#This Row],[Actual (units)]])))</f>
        <v/>
      </c>
      <c r="L103" s="41">
        <f>IF(tblForecasts[[#This Row],[Month]]="","",IF(AND(tblForecasts[[#This Row],[Month]]&gt;=FFrom,tblForecasts[[#This Row],[Month]]&lt;=FTo,OR(DashSku="",tblForecasts[[#This Row],[SKU]]=DashSku)),tblForecasts[[#This Row],[Month]],""))</f>
        <v>46296</v>
      </c>
      <c r="M10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3" s="28" t="s">
        <v>117</v>
      </c>
    </row>
    <row r="104" spans="2:14">
      <c r="B104" s="35">
        <v>46327</v>
      </c>
      <c r="C104" s="28" t="s">
        <v>77</v>
      </c>
      <c r="D104" s="31">
        <v>1280</v>
      </c>
      <c r="E104" s="31"/>
      <c r="F104" s="36">
        <f>IF(tblForecasts[[#This Row],[Month]]="","",IF(tblForecasts[[#This Row],[Actual (units)]]="","",tblForecasts[[#This Row],[Forecast (units)]]-tblForecasts[[#This Row],[Actual (units)]]))</f>
        <v/>
      </c>
      <c r="G104" s="37">
        <f>IF(tblForecasts[[#This Row],[Month]]="","",IF(tblForecasts[[#This Row],[Actual (units)]]="","",ABS(tblForecasts[[#This Row],[Forecast (units)]]-tblForecasts[[#This Row],[Actual (units)]])))</f>
        <v/>
      </c>
      <c r="H104" s="38">
        <f>IF(tblForecasts[[#This Row],[Month]]="","",IF(OR(tblForecasts[[#This Row],[Actual (units)]]="",tblForecasts[[#This Row],[Actual (units)]]=0),"",ABS(tblForecasts[[#This Row],[Forecast (units)]]-tblForecasts[[#This Row],[Actual (units)]])/tblForecasts[[#This Row],[Actual (units)]]))</f>
        <v/>
      </c>
      <c r="I104" s="39">
        <f>IF(tblForecasts[[#This Row],[Month]]="","",IF(tblForecasts[[#This Row],[Actual (units)]]="","",IF(ABS(tblForecasts[[#This Row],[Forecast (units)]]-tblForecasts[[#This Row],[Actual (units)]])&lt;=Tolerance*tblForecasts[[#This Row],[Actual (units)]],"Yes","No")))</f>
        <v/>
      </c>
      <c r="J10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04" s="40">
        <f>IF(tblForecasts[[#This Row],[Month]]="","",IF(OR(tblForecasts[[#This Row],[Actual (units)]]="",NOT(ISNUMBER(tblForecasts[[#This Row],[Baseline (units)]]))),"",ABS(tblForecasts[[#This Row],[Baseline (units)]]-tblForecasts[[#This Row],[Actual (units)]])))</f>
        <v/>
      </c>
      <c r="L104" s="41">
        <f>IF(tblForecasts[[#This Row],[Month]]="","",IF(AND(tblForecasts[[#This Row],[Month]]&gt;=FFrom,tblForecasts[[#This Row],[Month]]&lt;=FTo,OR(DashSku="",tblForecasts[[#This Row],[SKU]]=DashSku)),tblForecasts[[#This Row],[Month]],""))</f>
        <v>46327</v>
      </c>
      <c r="M10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4" s="28" t="s">
        <v>117</v>
      </c>
    </row>
    <row r="105" spans="2:14">
      <c r="B105" s="35">
        <v>46327</v>
      </c>
      <c r="C105" s="28" t="s">
        <v>81</v>
      </c>
      <c r="D105" s="31">
        <v>810</v>
      </c>
      <c r="E105" s="31"/>
      <c r="F105" s="36">
        <f>IF(tblForecasts[[#This Row],[Month]]="","",IF(tblForecasts[[#This Row],[Actual (units)]]="","",tblForecasts[[#This Row],[Forecast (units)]]-tblForecasts[[#This Row],[Actual (units)]]))</f>
        <v/>
      </c>
      <c r="G105" s="37">
        <f>IF(tblForecasts[[#This Row],[Month]]="","",IF(tblForecasts[[#This Row],[Actual (units)]]="","",ABS(tblForecasts[[#This Row],[Forecast (units)]]-tblForecasts[[#This Row],[Actual (units)]])))</f>
        <v/>
      </c>
      <c r="H105" s="38">
        <f>IF(tblForecasts[[#This Row],[Month]]="","",IF(OR(tblForecasts[[#This Row],[Actual (units)]]="",tblForecasts[[#This Row],[Actual (units)]]=0),"",ABS(tblForecasts[[#This Row],[Forecast (units)]]-tblForecasts[[#This Row],[Actual (units)]])/tblForecasts[[#This Row],[Actual (units)]]))</f>
        <v/>
      </c>
      <c r="I105" s="39">
        <f>IF(tblForecasts[[#This Row],[Month]]="","",IF(tblForecasts[[#This Row],[Actual (units)]]="","",IF(ABS(tblForecasts[[#This Row],[Forecast (units)]]-tblForecasts[[#This Row],[Actual (units)]])&lt;=Tolerance*tblForecasts[[#This Row],[Actual (units)]],"Yes","No")))</f>
        <v/>
      </c>
      <c r="J10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05" s="40">
        <f>IF(tblForecasts[[#This Row],[Month]]="","",IF(OR(tblForecasts[[#This Row],[Actual (units)]]="",NOT(ISNUMBER(tblForecasts[[#This Row],[Baseline (units)]]))),"",ABS(tblForecasts[[#This Row],[Baseline (units)]]-tblForecasts[[#This Row],[Actual (units)]])))</f>
        <v/>
      </c>
      <c r="L105" s="41">
        <f>IF(tblForecasts[[#This Row],[Month]]="","",IF(AND(tblForecasts[[#This Row],[Month]]&gt;=FFrom,tblForecasts[[#This Row],[Month]]&lt;=FTo,OR(DashSku="",tblForecasts[[#This Row],[SKU]]=DashSku)),tblForecasts[[#This Row],[Month]],""))</f>
        <v>46327</v>
      </c>
      <c r="M10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5" s="28" t="s">
        <v>117</v>
      </c>
    </row>
    <row r="106" spans="2:14">
      <c r="B106" s="35">
        <v>46327</v>
      </c>
      <c r="C106" s="28" t="s">
        <v>83</v>
      </c>
      <c r="D106" s="31">
        <v>170</v>
      </c>
      <c r="E106" s="31"/>
      <c r="F106" s="36">
        <f>IF(tblForecasts[[#This Row],[Month]]="","",IF(tblForecasts[[#This Row],[Actual (units)]]="","",tblForecasts[[#This Row],[Forecast (units)]]-tblForecasts[[#This Row],[Actual (units)]]))</f>
        <v/>
      </c>
      <c r="G106" s="37">
        <f>IF(tblForecasts[[#This Row],[Month]]="","",IF(tblForecasts[[#This Row],[Actual (units)]]="","",ABS(tblForecasts[[#This Row],[Forecast (units)]]-tblForecasts[[#This Row],[Actual (units)]])))</f>
        <v/>
      </c>
      <c r="H106" s="38">
        <f>IF(tblForecasts[[#This Row],[Month]]="","",IF(OR(tblForecasts[[#This Row],[Actual (units)]]="",tblForecasts[[#This Row],[Actual (units)]]=0),"",ABS(tblForecasts[[#This Row],[Forecast (units)]]-tblForecasts[[#This Row],[Actual (units)]])/tblForecasts[[#This Row],[Actual (units)]]))</f>
        <v/>
      </c>
      <c r="I106" s="39">
        <f>IF(tblForecasts[[#This Row],[Month]]="","",IF(tblForecasts[[#This Row],[Actual (units)]]="","",IF(ABS(tblForecasts[[#This Row],[Forecast (units)]]-tblForecasts[[#This Row],[Actual (units)]])&lt;=Tolerance*tblForecasts[[#This Row],[Actual (units)]],"Yes","No")))</f>
        <v/>
      </c>
      <c r="J10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06" s="40">
        <f>IF(tblForecasts[[#This Row],[Month]]="","",IF(OR(tblForecasts[[#This Row],[Actual (units)]]="",NOT(ISNUMBER(tblForecasts[[#This Row],[Baseline (units)]]))),"",ABS(tblForecasts[[#This Row],[Baseline (units)]]-tblForecasts[[#This Row],[Actual (units)]])))</f>
        <v/>
      </c>
      <c r="L106" s="41">
        <f>IF(tblForecasts[[#This Row],[Month]]="","",IF(AND(tblForecasts[[#This Row],[Month]]&gt;=FFrom,tblForecasts[[#This Row],[Month]]&lt;=FTo,OR(DashSku="",tblForecasts[[#This Row],[SKU]]=DashSku)),tblForecasts[[#This Row],[Month]],""))</f>
        <v>46327</v>
      </c>
      <c r="M10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6" s="28" t="s">
        <v>117</v>
      </c>
    </row>
    <row r="107" spans="2:14">
      <c r="B107" s="35">
        <v>46327</v>
      </c>
      <c r="C107" s="28" t="s">
        <v>87</v>
      </c>
      <c r="D107" s="31">
        <v>310</v>
      </c>
      <c r="E107" s="31"/>
      <c r="F107" s="36">
        <f>IF(tblForecasts[[#This Row],[Month]]="","",IF(tblForecasts[[#This Row],[Actual (units)]]="","",tblForecasts[[#This Row],[Forecast (units)]]-tblForecasts[[#This Row],[Actual (units)]]))</f>
        <v/>
      </c>
      <c r="G107" s="37">
        <f>IF(tblForecasts[[#This Row],[Month]]="","",IF(tblForecasts[[#This Row],[Actual (units)]]="","",ABS(tblForecasts[[#This Row],[Forecast (units)]]-tblForecasts[[#This Row],[Actual (units)]])))</f>
        <v/>
      </c>
      <c r="H107" s="38">
        <f>IF(tblForecasts[[#This Row],[Month]]="","",IF(OR(tblForecasts[[#This Row],[Actual (units)]]="",tblForecasts[[#This Row],[Actual (units)]]=0),"",ABS(tblForecasts[[#This Row],[Forecast (units)]]-tblForecasts[[#This Row],[Actual (units)]])/tblForecasts[[#This Row],[Actual (units)]]))</f>
        <v/>
      </c>
      <c r="I107" s="39">
        <f>IF(tblForecasts[[#This Row],[Month]]="","",IF(tblForecasts[[#This Row],[Actual (units)]]="","",IF(ABS(tblForecasts[[#This Row],[Forecast (units)]]-tblForecasts[[#This Row],[Actual (units)]])&lt;=Tolerance*tblForecasts[[#This Row],[Actual (units)]],"Yes","No")))</f>
        <v/>
      </c>
      <c r="J10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07" s="40">
        <f>IF(tblForecasts[[#This Row],[Month]]="","",IF(OR(tblForecasts[[#This Row],[Actual (units)]]="",NOT(ISNUMBER(tblForecasts[[#This Row],[Baseline (units)]]))),"",ABS(tblForecasts[[#This Row],[Baseline (units)]]-tblForecasts[[#This Row],[Actual (units)]])))</f>
        <v/>
      </c>
      <c r="L107" s="41">
        <f>IF(tblForecasts[[#This Row],[Month]]="","",IF(AND(tblForecasts[[#This Row],[Month]]&gt;=FFrom,tblForecasts[[#This Row],[Month]]&lt;=FTo,OR(DashSku="",tblForecasts[[#This Row],[SKU]]=DashSku)),tblForecasts[[#This Row],[Month]],""))</f>
        <v>46327</v>
      </c>
      <c r="M10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7" s="28" t="s">
        <v>117</v>
      </c>
    </row>
    <row r="108" spans="2:14">
      <c r="B108" s="35">
        <v>46327</v>
      </c>
      <c r="C108" s="28" t="s">
        <v>91</v>
      </c>
      <c r="D108" s="31">
        <v>160</v>
      </c>
      <c r="E108" s="31"/>
      <c r="F108" s="36">
        <f>IF(tblForecasts[[#This Row],[Month]]="","",IF(tblForecasts[[#This Row],[Actual (units)]]="","",tblForecasts[[#This Row],[Forecast (units)]]-tblForecasts[[#This Row],[Actual (units)]]))</f>
        <v/>
      </c>
      <c r="G108" s="37">
        <f>IF(tblForecasts[[#This Row],[Month]]="","",IF(tblForecasts[[#This Row],[Actual (units)]]="","",ABS(tblForecasts[[#This Row],[Forecast (units)]]-tblForecasts[[#This Row],[Actual (units)]])))</f>
        <v/>
      </c>
      <c r="H108" s="38">
        <f>IF(tblForecasts[[#This Row],[Month]]="","",IF(OR(tblForecasts[[#This Row],[Actual (units)]]="",tblForecasts[[#This Row],[Actual (units)]]=0),"",ABS(tblForecasts[[#This Row],[Forecast (units)]]-tblForecasts[[#This Row],[Actual (units)]])/tblForecasts[[#This Row],[Actual (units)]]))</f>
        <v/>
      </c>
      <c r="I108" s="39">
        <f>IF(tblForecasts[[#This Row],[Month]]="","",IF(tblForecasts[[#This Row],[Actual (units)]]="","",IF(ABS(tblForecasts[[#This Row],[Forecast (units)]]-tblForecasts[[#This Row],[Actual (units)]])&lt;=Tolerance*tblForecasts[[#This Row],[Actual (units)]],"Yes","No")))</f>
        <v/>
      </c>
      <c r="J10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08" s="40">
        <f>IF(tblForecasts[[#This Row],[Month]]="","",IF(OR(tblForecasts[[#This Row],[Actual (units)]]="",NOT(ISNUMBER(tblForecasts[[#This Row],[Baseline (units)]]))),"",ABS(tblForecasts[[#This Row],[Baseline (units)]]-tblForecasts[[#This Row],[Actual (units)]])))</f>
        <v/>
      </c>
      <c r="L108" s="41">
        <f>IF(tblForecasts[[#This Row],[Month]]="","",IF(AND(tblForecasts[[#This Row],[Month]]&gt;=FFrom,tblForecasts[[#This Row],[Month]]&lt;=FTo,OR(DashSku="",tblForecasts[[#This Row],[SKU]]=DashSku)),tblForecasts[[#This Row],[Month]],""))</f>
        <v>46327</v>
      </c>
      <c r="M10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8" s="28" t="s">
        <v>117</v>
      </c>
    </row>
    <row r="109" spans="2:14">
      <c r="B109" s="35">
        <v>46327</v>
      </c>
      <c r="C109" s="28" t="s">
        <v>93</v>
      </c>
      <c r="D109" s="31">
        <v>530</v>
      </c>
      <c r="E109" s="31"/>
      <c r="F109" s="36">
        <f>IF(tblForecasts[[#This Row],[Month]]="","",IF(tblForecasts[[#This Row],[Actual (units)]]="","",tblForecasts[[#This Row],[Forecast (units)]]-tblForecasts[[#This Row],[Actual (units)]]))</f>
        <v/>
      </c>
      <c r="G109" s="37">
        <f>IF(tblForecasts[[#This Row],[Month]]="","",IF(tblForecasts[[#This Row],[Actual (units)]]="","",ABS(tblForecasts[[#This Row],[Forecast (units)]]-tblForecasts[[#This Row],[Actual (units)]])))</f>
        <v/>
      </c>
      <c r="H109" s="38">
        <f>IF(tblForecasts[[#This Row],[Month]]="","",IF(OR(tblForecasts[[#This Row],[Actual (units)]]="",tblForecasts[[#This Row],[Actual (units)]]=0),"",ABS(tblForecasts[[#This Row],[Forecast (units)]]-tblForecasts[[#This Row],[Actual (units)]])/tblForecasts[[#This Row],[Actual (units)]]))</f>
        <v/>
      </c>
      <c r="I109" s="39">
        <f>IF(tblForecasts[[#This Row],[Month]]="","",IF(tblForecasts[[#This Row],[Actual (units)]]="","",IF(ABS(tblForecasts[[#This Row],[Forecast (units)]]-tblForecasts[[#This Row],[Actual (units)]])&lt;=Tolerance*tblForecasts[[#This Row],[Actual (units)]],"Yes","No")))</f>
        <v/>
      </c>
      <c r="J10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09" s="40">
        <f>IF(tblForecasts[[#This Row],[Month]]="","",IF(OR(tblForecasts[[#This Row],[Actual (units)]]="",NOT(ISNUMBER(tblForecasts[[#This Row],[Baseline (units)]]))),"",ABS(tblForecasts[[#This Row],[Baseline (units)]]-tblForecasts[[#This Row],[Actual (units)]])))</f>
        <v/>
      </c>
      <c r="L109" s="41">
        <f>IF(tblForecasts[[#This Row],[Month]]="","",IF(AND(tblForecasts[[#This Row],[Month]]&gt;=FFrom,tblForecasts[[#This Row],[Month]]&lt;=FTo,OR(DashSku="",tblForecasts[[#This Row],[SKU]]=DashSku)),tblForecasts[[#This Row],[Month]],""))</f>
        <v>46327</v>
      </c>
      <c r="M10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09" s="28" t="s">
        <v>117</v>
      </c>
    </row>
    <row r="110" spans="2:14">
      <c r="B110" s="35">
        <v>46327</v>
      </c>
      <c r="C110" s="28" t="s">
        <v>97</v>
      </c>
      <c r="D110" s="31">
        <v>290</v>
      </c>
      <c r="E110" s="31"/>
      <c r="F110" s="36">
        <f>IF(tblForecasts[[#This Row],[Month]]="","",IF(tblForecasts[[#This Row],[Actual (units)]]="","",tblForecasts[[#This Row],[Forecast (units)]]-tblForecasts[[#This Row],[Actual (units)]]))</f>
        <v/>
      </c>
      <c r="G110" s="37">
        <f>IF(tblForecasts[[#This Row],[Month]]="","",IF(tblForecasts[[#This Row],[Actual (units)]]="","",ABS(tblForecasts[[#This Row],[Forecast (units)]]-tblForecasts[[#This Row],[Actual (units)]])))</f>
        <v/>
      </c>
      <c r="H110" s="38">
        <f>IF(tblForecasts[[#This Row],[Month]]="","",IF(OR(tblForecasts[[#This Row],[Actual (units)]]="",tblForecasts[[#This Row],[Actual (units)]]=0),"",ABS(tblForecasts[[#This Row],[Forecast (units)]]-tblForecasts[[#This Row],[Actual (units)]])/tblForecasts[[#This Row],[Actual (units)]]))</f>
        <v/>
      </c>
      <c r="I110" s="39">
        <f>IF(tblForecasts[[#This Row],[Month]]="","",IF(tblForecasts[[#This Row],[Actual (units)]]="","",IF(ABS(tblForecasts[[#This Row],[Forecast (units)]]-tblForecasts[[#This Row],[Actual (units)]])&lt;=Tolerance*tblForecasts[[#This Row],[Actual (units)]],"Yes","No")))</f>
        <v/>
      </c>
      <c r="J110"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0" s="40">
        <f>IF(tblForecasts[[#This Row],[Month]]="","",IF(OR(tblForecasts[[#This Row],[Actual (units)]]="",NOT(ISNUMBER(tblForecasts[[#This Row],[Baseline (units)]]))),"",ABS(tblForecasts[[#This Row],[Baseline (units)]]-tblForecasts[[#This Row],[Actual (units)]])))</f>
        <v/>
      </c>
      <c r="L110" s="41">
        <f>IF(tblForecasts[[#This Row],[Month]]="","",IF(AND(tblForecasts[[#This Row],[Month]]&gt;=FFrom,tblForecasts[[#This Row],[Month]]&lt;=FTo,OR(DashSku="",tblForecasts[[#This Row],[SKU]]=DashSku)),tblForecasts[[#This Row],[Month]],""))</f>
        <v>46327</v>
      </c>
      <c r="M110"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0" s="28" t="s">
        <v>117</v>
      </c>
    </row>
    <row r="111" spans="2:14">
      <c r="B111" s="35">
        <v>46327</v>
      </c>
      <c r="C111" s="28" t="s">
        <v>101</v>
      </c>
      <c r="D111" s="31">
        <v>80</v>
      </c>
      <c r="E111" s="31"/>
      <c r="F111" s="36">
        <f>IF(tblForecasts[[#This Row],[Month]]="","",IF(tblForecasts[[#This Row],[Actual (units)]]="","",tblForecasts[[#This Row],[Forecast (units)]]-tblForecasts[[#This Row],[Actual (units)]]))</f>
        <v/>
      </c>
      <c r="G111" s="37">
        <f>IF(tblForecasts[[#This Row],[Month]]="","",IF(tblForecasts[[#This Row],[Actual (units)]]="","",ABS(tblForecasts[[#This Row],[Forecast (units)]]-tblForecasts[[#This Row],[Actual (units)]])))</f>
        <v/>
      </c>
      <c r="H111" s="38">
        <f>IF(tblForecasts[[#This Row],[Month]]="","",IF(OR(tblForecasts[[#This Row],[Actual (units)]]="",tblForecasts[[#This Row],[Actual (units)]]=0),"",ABS(tblForecasts[[#This Row],[Forecast (units)]]-tblForecasts[[#This Row],[Actual (units)]])/tblForecasts[[#This Row],[Actual (units)]]))</f>
        <v/>
      </c>
      <c r="I111" s="39">
        <f>IF(tblForecasts[[#This Row],[Month]]="","",IF(tblForecasts[[#This Row],[Actual (units)]]="","",IF(ABS(tblForecasts[[#This Row],[Forecast (units)]]-tblForecasts[[#This Row],[Actual (units)]])&lt;=Tolerance*tblForecasts[[#This Row],[Actual (units)]],"Yes","No")))</f>
        <v/>
      </c>
      <c r="J111"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1" s="40">
        <f>IF(tblForecasts[[#This Row],[Month]]="","",IF(OR(tblForecasts[[#This Row],[Actual (units)]]="",NOT(ISNUMBER(tblForecasts[[#This Row],[Baseline (units)]]))),"",ABS(tblForecasts[[#This Row],[Baseline (units)]]-tblForecasts[[#This Row],[Actual (units)]])))</f>
        <v/>
      </c>
      <c r="L111" s="41">
        <f>IF(tblForecasts[[#This Row],[Month]]="","",IF(AND(tblForecasts[[#This Row],[Month]]&gt;=FFrom,tblForecasts[[#This Row],[Month]]&lt;=FTo,OR(DashSku="",tblForecasts[[#This Row],[SKU]]=DashSku)),tblForecasts[[#This Row],[Month]],""))</f>
        <v>46327</v>
      </c>
      <c r="M111"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1" s="28" t="s">
        <v>117</v>
      </c>
    </row>
    <row r="112" spans="2:14">
      <c r="B112" s="35">
        <v>46357</v>
      </c>
      <c r="C112" s="28" t="s">
        <v>77</v>
      </c>
      <c r="D112" s="31">
        <v>1150</v>
      </c>
      <c r="E112" s="31"/>
      <c r="F112" s="36">
        <f>IF(tblForecasts[[#This Row],[Month]]="","",IF(tblForecasts[[#This Row],[Actual (units)]]="","",tblForecasts[[#This Row],[Forecast (units)]]-tblForecasts[[#This Row],[Actual (units)]]))</f>
        <v/>
      </c>
      <c r="G112" s="37">
        <f>IF(tblForecasts[[#This Row],[Month]]="","",IF(tblForecasts[[#This Row],[Actual (units)]]="","",ABS(tblForecasts[[#This Row],[Forecast (units)]]-tblForecasts[[#This Row],[Actual (units)]])))</f>
        <v/>
      </c>
      <c r="H112" s="38">
        <f>IF(tblForecasts[[#This Row],[Month]]="","",IF(OR(tblForecasts[[#This Row],[Actual (units)]]="",tblForecasts[[#This Row],[Actual (units)]]=0),"",ABS(tblForecasts[[#This Row],[Forecast (units)]]-tblForecasts[[#This Row],[Actual (units)]])/tblForecasts[[#This Row],[Actual (units)]]))</f>
        <v/>
      </c>
      <c r="I112" s="39">
        <f>IF(tblForecasts[[#This Row],[Month]]="","",IF(tblForecasts[[#This Row],[Actual (units)]]="","",IF(ABS(tblForecasts[[#This Row],[Forecast (units)]]-tblForecasts[[#This Row],[Actual (units)]])&lt;=Tolerance*tblForecasts[[#This Row],[Actual (units)]],"Yes","No")))</f>
        <v/>
      </c>
      <c r="J112"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2" s="40">
        <f>IF(tblForecasts[[#This Row],[Month]]="","",IF(OR(tblForecasts[[#This Row],[Actual (units)]]="",NOT(ISNUMBER(tblForecasts[[#This Row],[Baseline (units)]]))),"",ABS(tblForecasts[[#This Row],[Baseline (units)]]-tblForecasts[[#This Row],[Actual (units)]])))</f>
        <v/>
      </c>
      <c r="L112" s="41">
        <f>IF(tblForecasts[[#This Row],[Month]]="","",IF(AND(tblForecasts[[#This Row],[Month]]&gt;=FFrom,tblForecasts[[#This Row],[Month]]&lt;=FTo,OR(DashSku="",tblForecasts[[#This Row],[SKU]]=DashSku)),tblForecasts[[#This Row],[Month]],""))</f>
        <v>46357</v>
      </c>
      <c r="M112"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2" s="28" t="s">
        <v>117</v>
      </c>
    </row>
    <row r="113" spans="2:14">
      <c r="B113" s="35">
        <v>46357</v>
      </c>
      <c r="C113" s="28" t="s">
        <v>81</v>
      </c>
      <c r="D113" s="31">
        <v>860</v>
      </c>
      <c r="E113" s="31"/>
      <c r="F113" s="36">
        <f>IF(tblForecasts[[#This Row],[Month]]="","",IF(tblForecasts[[#This Row],[Actual (units)]]="","",tblForecasts[[#This Row],[Forecast (units)]]-tblForecasts[[#This Row],[Actual (units)]]))</f>
        <v/>
      </c>
      <c r="G113" s="37">
        <f>IF(tblForecasts[[#This Row],[Month]]="","",IF(tblForecasts[[#This Row],[Actual (units)]]="","",ABS(tblForecasts[[#This Row],[Forecast (units)]]-tblForecasts[[#This Row],[Actual (units)]])))</f>
        <v/>
      </c>
      <c r="H113" s="38">
        <f>IF(tblForecasts[[#This Row],[Month]]="","",IF(OR(tblForecasts[[#This Row],[Actual (units)]]="",tblForecasts[[#This Row],[Actual (units)]]=0),"",ABS(tblForecasts[[#This Row],[Forecast (units)]]-tblForecasts[[#This Row],[Actual (units)]])/tblForecasts[[#This Row],[Actual (units)]]))</f>
        <v/>
      </c>
      <c r="I113" s="39">
        <f>IF(tblForecasts[[#This Row],[Month]]="","",IF(tblForecasts[[#This Row],[Actual (units)]]="","",IF(ABS(tblForecasts[[#This Row],[Forecast (units)]]-tblForecasts[[#This Row],[Actual (units)]])&lt;=Tolerance*tblForecasts[[#This Row],[Actual (units)]],"Yes","No")))</f>
        <v/>
      </c>
      <c r="J113"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3" s="40">
        <f>IF(tblForecasts[[#This Row],[Month]]="","",IF(OR(tblForecasts[[#This Row],[Actual (units)]]="",NOT(ISNUMBER(tblForecasts[[#This Row],[Baseline (units)]]))),"",ABS(tblForecasts[[#This Row],[Baseline (units)]]-tblForecasts[[#This Row],[Actual (units)]])))</f>
        <v/>
      </c>
      <c r="L113" s="41">
        <f>IF(tblForecasts[[#This Row],[Month]]="","",IF(AND(tblForecasts[[#This Row],[Month]]&gt;=FFrom,tblForecasts[[#This Row],[Month]]&lt;=FTo,OR(DashSku="",tblForecasts[[#This Row],[SKU]]=DashSku)),tblForecasts[[#This Row],[Month]],""))</f>
        <v>46357</v>
      </c>
      <c r="M113"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3" s="28" t="s">
        <v>117</v>
      </c>
    </row>
    <row r="114" spans="2:14">
      <c r="B114" s="35">
        <v>46357</v>
      </c>
      <c r="C114" s="28" t="s">
        <v>83</v>
      </c>
      <c r="D114" s="31">
        <v>130</v>
      </c>
      <c r="E114" s="31"/>
      <c r="F114" s="36">
        <f>IF(tblForecasts[[#This Row],[Month]]="","",IF(tblForecasts[[#This Row],[Actual (units)]]="","",tblForecasts[[#This Row],[Forecast (units)]]-tblForecasts[[#This Row],[Actual (units)]]))</f>
        <v/>
      </c>
      <c r="G114" s="37">
        <f>IF(tblForecasts[[#This Row],[Month]]="","",IF(tblForecasts[[#This Row],[Actual (units)]]="","",ABS(tblForecasts[[#This Row],[Forecast (units)]]-tblForecasts[[#This Row],[Actual (units)]])))</f>
        <v/>
      </c>
      <c r="H114" s="38">
        <f>IF(tblForecasts[[#This Row],[Month]]="","",IF(OR(tblForecasts[[#This Row],[Actual (units)]]="",tblForecasts[[#This Row],[Actual (units)]]=0),"",ABS(tblForecasts[[#This Row],[Forecast (units)]]-tblForecasts[[#This Row],[Actual (units)]])/tblForecasts[[#This Row],[Actual (units)]]))</f>
        <v/>
      </c>
      <c r="I114" s="39">
        <f>IF(tblForecasts[[#This Row],[Month]]="","",IF(tblForecasts[[#This Row],[Actual (units)]]="","",IF(ABS(tblForecasts[[#This Row],[Forecast (units)]]-tblForecasts[[#This Row],[Actual (units)]])&lt;=Tolerance*tblForecasts[[#This Row],[Actual (units)]],"Yes","No")))</f>
        <v/>
      </c>
      <c r="J114"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4" s="40">
        <f>IF(tblForecasts[[#This Row],[Month]]="","",IF(OR(tblForecasts[[#This Row],[Actual (units)]]="",NOT(ISNUMBER(tblForecasts[[#This Row],[Baseline (units)]]))),"",ABS(tblForecasts[[#This Row],[Baseline (units)]]-tblForecasts[[#This Row],[Actual (units)]])))</f>
        <v/>
      </c>
      <c r="L114" s="41">
        <f>IF(tblForecasts[[#This Row],[Month]]="","",IF(AND(tblForecasts[[#This Row],[Month]]&gt;=FFrom,tblForecasts[[#This Row],[Month]]&lt;=FTo,OR(DashSku="",tblForecasts[[#This Row],[SKU]]=DashSku)),tblForecasts[[#This Row],[Month]],""))</f>
        <v>46357</v>
      </c>
      <c r="M114"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4" s="28" t="s">
        <v>117</v>
      </c>
    </row>
    <row r="115" spans="2:14">
      <c r="B115" s="35">
        <v>46357</v>
      </c>
      <c r="C115" s="28" t="s">
        <v>87</v>
      </c>
      <c r="D115" s="31">
        <v>330</v>
      </c>
      <c r="E115" s="31"/>
      <c r="F115" s="36">
        <f>IF(tblForecasts[[#This Row],[Month]]="","",IF(tblForecasts[[#This Row],[Actual (units)]]="","",tblForecasts[[#This Row],[Forecast (units)]]-tblForecasts[[#This Row],[Actual (units)]]))</f>
        <v/>
      </c>
      <c r="G115" s="37">
        <f>IF(tblForecasts[[#This Row],[Month]]="","",IF(tblForecasts[[#This Row],[Actual (units)]]="","",ABS(tblForecasts[[#This Row],[Forecast (units)]]-tblForecasts[[#This Row],[Actual (units)]])))</f>
        <v/>
      </c>
      <c r="H115" s="38">
        <f>IF(tblForecasts[[#This Row],[Month]]="","",IF(OR(tblForecasts[[#This Row],[Actual (units)]]="",tblForecasts[[#This Row],[Actual (units)]]=0),"",ABS(tblForecasts[[#This Row],[Forecast (units)]]-tblForecasts[[#This Row],[Actual (units)]])/tblForecasts[[#This Row],[Actual (units)]]))</f>
        <v/>
      </c>
      <c r="I115" s="39">
        <f>IF(tblForecasts[[#This Row],[Month]]="","",IF(tblForecasts[[#This Row],[Actual (units)]]="","",IF(ABS(tblForecasts[[#This Row],[Forecast (units)]]-tblForecasts[[#This Row],[Actual (units)]])&lt;=Tolerance*tblForecasts[[#This Row],[Actual (units)]],"Yes","No")))</f>
        <v/>
      </c>
      <c r="J115"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5" s="40">
        <f>IF(tblForecasts[[#This Row],[Month]]="","",IF(OR(tblForecasts[[#This Row],[Actual (units)]]="",NOT(ISNUMBER(tblForecasts[[#This Row],[Baseline (units)]]))),"",ABS(tblForecasts[[#This Row],[Baseline (units)]]-tblForecasts[[#This Row],[Actual (units)]])))</f>
        <v/>
      </c>
      <c r="L115" s="41">
        <f>IF(tblForecasts[[#This Row],[Month]]="","",IF(AND(tblForecasts[[#This Row],[Month]]&gt;=FFrom,tblForecasts[[#This Row],[Month]]&lt;=FTo,OR(DashSku="",tblForecasts[[#This Row],[SKU]]=DashSku)),tblForecasts[[#This Row],[Month]],""))</f>
        <v>46357</v>
      </c>
      <c r="M115"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5" s="28" t="s">
        <v>117</v>
      </c>
    </row>
    <row r="116" spans="2:14">
      <c r="B116" s="35">
        <v>46357</v>
      </c>
      <c r="C116" s="28" t="s">
        <v>91</v>
      </c>
      <c r="D116" s="31">
        <v>170</v>
      </c>
      <c r="E116" s="31"/>
      <c r="F116" s="36">
        <f>IF(tblForecasts[[#This Row],[Month]]="","",IF(tblForecasts[[#This Row],[Actual (units)]]="","",tblForecasts[[#This Row],[Forecast (units)]]-tblForecasts[[#This Row],[Actual (units)]]))</f>
        <v/>
      </c>
      <c r="G116" s="37">
        <f>IF(tblForecasts[[#This Row],[Month]]="","",IF(tblForecasts[[#This Row],[Actual (units)]]="","",ABS(tblForecasts[[#This Row],[Forecast (units)]]-tblForecasts[[#This Row],[Actual (units)]])))</f>
        <v/>
      </c>
      <c r="H116" s="38">
        <f>IF(tblForecasts[[#This Row],[Month]]="","",IF(OR(tblForecasts[[#This Row],[Actual (units)]]="",tblForecasts[[#This Row],[Actual (units)]]=0),"",ABS(tblForecasts[[#This Row],[Forecast (units)]]-tblForecasts[[#This Row],[Actual (units)]])/tblForecasts[[#This Row],[Actual (units)]]))</f>
        <v/>
      </c>
      <c r="I116" s="39">
        <f>IF(tblForecasts[[#This Row],[Month]]="","",IF(tblForecasts[[#This Row],[Actual (units)]]="","",IF(ABS(tblForecasts[[#This Row],[Forecast (units)]]-tblForecasts[[#This Row],[Actual (units)]])&lt;=Tolerance*tblForecasts[[#This Row],[Actual (units)]],"Yes","No")))</f>
        <v/>
      </c>
      <c r="J116"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6" s="40">
        <f>IF(tblForecasts[[#This Row],[Month]]="","",IF(OR(tblForecasts[[#This Row],[Actual (units)]]="",NOT(ISNUMBER(tblForecasts[[#This Row],[Baseline (units)]]))),"",ABS(tblForecasts[[#This Row],[Baseline (units)]]-tblForecasts[[#This Row],[Actual (units)]])))</f>
        <v/>
      </c>
      <c r="L116" s="41">
        <f>IF(tblForecasts[[#This Row],[Month]]="","",IF(AND(tblForecasts[[#This Row],[Month]]&gt;=FFrom,tblForecasts[[#This Row],[Month]]&lt;=FTo,OR(DashSku="",tblForecasts[[#This Row],[SKU]]=DashSku)),tblForecasts[[#This Row],[Month]],""))</f>
        <v>46357</v>
      </c>
      <c r="M116"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6" s="28" t="s">
        <v>117</v>
      </c>
    </row>
    <row r="117" spans="2:14">
      <c r="B117" s="35">
        <v>46357</v>
      </c>
      <c r="C117" s="28" t="s">
        <v>93</v>
      </c>
      <c r="D117" s="31">
        <v>530</v>
      </c>
      <c r="E117" s="31"/>
      <c r="F117" s="36">
        <f>IF(tblForecasts[[#This Row],[Month]]="","",IF(tblForecasts[[#This Row],[Actual (units)]]="","",tblForecasts[[#This Row],[Forecast (units)]]-tblForecasts[[#This Row],[Actual (units)]]))</f>
        <v/>
      </c>
      <c r="G117" s="37">
        <f>IF(tblForecasts[[#This Row],[Month]]="","",IF(tblForecasts[[#This Row],[Actual (units)]]="","",ABS(tblForecasts[[#This Row],[Forecast (units)]]-tblForecasts[[#This Row],[Actual (units)]])))</f>
        <v/>
      </c>
      <c r="H117" s="38">
        <f>IF(tblForecasts[[#This Row],[Month]]="","",IF(OR(tblForecasts[[#This Row],[Actual (units)]]="",tblForecasts[[#This Row],[Actual (units)]]=0),"",ABS(tblForecasts[[#This Row],[Forecast (units)]]-tblForecasts[[#This Row],[Actual (units)]])/tblForecasts[[#This Row],[Actual (units)]]))</f>
        <v/>
      </c>
      <c r="I117" s="39">
        <f>IF(tblForecasts[[#This Row],[Month]]="","",IF(tblForecasts[[#This Row],[Actual (units)]]="","",IF(ABS(tblForecasts[[#This Row],[Forecast (units)]]-tblForecasts[[#This Row],[Actual (units)]])&lt;=Tolerance*tblForecasts[[#This Row],[Actual (units)]],"Yes","No")))</f>
        <v/>
      </c>
      <c r="J117"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7" s="40">
        <f>IF(tblForecasts[[#This Row],[Month]]="","",IF(OR(tblForecasts[[#This Row],[Actual (units)]]="",NOT(ISNUMBER(tblForecasts[[#This Row],[Baseline (units)]]))),"",ABS(tblForecasts[[#This Row],[Baseline (units)]]-tblForecasts[[#This Row],[Actual (units)]])))</f>
        <v/>
      </c>
      <c r="L117" s="41">
        <f>IF(tblForecasts[[#This Row],[Month]]="","",IF(AND(tblForecasts[[#This Row],[Month]]&gt;=FFrom,tblForecasts[[#This Row],[Month]]&lt;=FTo,OR(DashSku="",tblForecasts[[#This Row],[SKU]]=DashSku)),tblForecasts[[#This Row],[Month]],""))</f>
        <v>46357</v>
      </c>
      <c r="M117"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7" s="28" t="s">
        <v>117</v>
      </c>
    </row>
    <row r="118" spans="2:14">
      <c r="B118" s="35">
        <v>46357</v>
      </c>
      <c r="C118" s="28" t="s">
        <v>97</v>
      </c>
      <c r="D118" s="31">
        <v>210</v>
      </c>
      <c r="E118" s="31"/>
      <c r="F118" s="36">
        <f>IF(tblForecasts[[#This Row],[Month]]="","",IF(tblForecasts[[#This Row],[Actual (units)]]="","",tblForecasts[[#This Row],[Forecast (units)]]-tblForecasts[[#This Row],[Actual (units)]]))</f>
        <v/>
      </c>
      <c r="G118" s="37">
        <f>IF(tblForecasts[[#This Row],[Month]]="","",IF(tblForecasts[[#This Row],[Actual (units)]]="","",ABS(tblForecasts[[#This Row],[Forecast (units)]]-tblForecasts[[#This Row],[Actual (units)]])))</f>
        <v/>
      </c>
      <c r="H118" s="38">
        <f>IF(tblForecasts[[#This Row],[Month]]="","",IF(OR(tblForecasts[[#This Row],[Actual (units)]]="",tblForecasts[[#This Row],[Actual (units)]]=0),"",ABS(tblForecasts[[#This Row],[Forecast (units)]]-tblForecasts[[#This Row],[Actual (units)]])/tblForecasts[[#This Row],[Actual (units)]]))</f>
        <v/>
      </c>
      <c r="I118" s="39">
        <f>IF(tblForecasts[[#This Row],[Month]]="","",IF(tblForecasts[[#This Row],[Actual (units)]]="","",IF(ABS(tblForecasts[[#This Row],[Forecast (units)]]-tblForecasts[[#This Row],[Actual (units)]])&lt;=Tolerance*tblForecasts[[#This Row],[Actual (units)]],"Yes","No")))</f>
        <v/>
      </c>
      <c r="J118"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8" s="40">
        <f>IF(tblForecasts[[#This Row],[Month]]="","",IF(OR(tblForecasts[[#This Row],[Actual (units)]]="",NOT(ISNUMBER(tblForecasts[[#This Row],[Baseline (units)]]))),"",ABS(tblForecasts[[#This Row],[Baseline (units)]]-tblForecasts[[#This Row],[Actual (units)]])))</f>
        <v/>
      </c>
      <c r="L118" s="41">
        <f>IF(tblForecasts[[#This Row],[Month]]="","",IF(AND(tblForecasts[[#This Row],[Month]]&gt;=FFrom,tblForecasts[[#This Row],[Month]]&lt;=FTo,OR(DashSku="",tblForecasts[[#This Row],[SKU]]=DashSku)),tblForecasts[[#This Row],[Month]],""))</f>
        <v>46357</v>
      </c>
      <c r="M118"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8" s="28" t="s">
        <v>117</v>
      </c>
    </row>
    <row r="119" spans="2:14">
      <c r="B119" s="35">
        <v>46357</v>
      </c>
      <c r="C119" s="28" t="s">
        <v>101</v>
      </c>
      <c r="D119" s="31">
        <v>110</v>
      </c>
      <c r="E119" s="31"/>
      <c r="F119" s="36">
        <f>IF(tblForecasts[[#This Row],[Month]]="","",IF(tblForecasts[[#This Row],[Actual (units)]]="","",tblForecasts[[#This Row],[Forecast (units)]]-tblForecasts[[#This Row],[Actual (units)]]))</f>
        <v/>
      </c>
      <c r="G119" s="37">
        <f>IF(tblForecasts[[#This Row],[Month]]="","",IF(tblForecasts[[#This Row],[Actual (units)]]="","",ABS(tblForecasts[[#This Row],[Forecast (units)]]-tblForecasts[[#This Row],[Actual (units)]])))</f>
        <v/>
      </c>
      <c r="H119" s="38">
        <f>IF(tblForecasts[[#This Row],[Month]]="","",IF(OR(tblForecasts[[#This Row],[Actual (units)]]="",tblForecasts[[#This Row],[Actual (units)]]=0),"",ABS(tblForecasts[[#This Row],[Forecast (units)]]-tblForecasts[[#This Row],[Actual (units)]])/tblForecasts[[#This Row],[Actual (units)]]))</f>
        <v/>
      </c>
      <c r="I119" s="39">
        <f>IF(tblForecasts[[#This Row],[Month]]="","",IF(tblForecasts[[#This Row],[Actual (units)]]="","",IF(ABS(tblForecasts[[#This Row],[Forecast (units)]]-tblForecasts[[#This Row],[Actual (units)]])&lt;=Tolerance*tblForecasts[[#This Row],[Actual (units)]],"Yes","No")))</f>
        <v/>
      </c>
      <c r="J119" s="40">
        <f>IF(tblForecasts[[#This Row],[Month]]="","",IF(COUNTIFS(tblForecasts[SKU],tblForecasts[[#This Row],[SKU]],tblForecasts[Month],"&gt;="&amp;EDATE(tblForecasts[[#This Row],[Month]],-Window),tblForecasts[Month],"&lt;"&amp;tblForecasts[[#This Row],[Month]],tblForecasts[Actual (units)],"&gt;=0")=Window,SUMIFS(tblForecasts[Actual (units)],tblForecasts[SKU],tblForecasts[[#This Row],[SKU]],tblForecasts[Month],"&gt;="&amp;EDATE(tblForecasts[[#This Row],[Month]],-Window),tblForecasts[Month],"&lt;"&amp;tblForecasts[[#This Row],[Month]])/Window,""))</f>
        <v/>
      </c>
      <c r="K119" s="40">
        <f>IF(tblForecasts[[#This Row],[Month]]="","",IF(OR(tblForecasts[[#This Row],[Actual (units)]]="",NOT(ISNUMBER(tblForecasts[[#This Row],[Baseline (units)]]))),"",ABS(tblForecasts[[#This Row],[Baseline (units)]]-tblForecasts[[#This Row],[Actual (units)]])))</f>
        <v/>
      </c>
      <c r="L119" s="41">
        <f>IF(tblForecasts[[#This Row],[Month]]="","",IF(AND(tblForecasts[[#This Row],[Month]]&gt;=FFrom,tblForecasts[[#This Row],[Month]]&lt;=FTo,OR(DashSku="",tblForecasts[[#This Row],[SKU]]=DashSku)),tblForecasts[[#This Row],[Month]],""))</f>
        <v>46357</v>
      </c>
      <c r="M119" s="42" t="str">
        <f>IF(tblForecasts[[#This Row],[Month]]="","",IF(tblForecasts[[#This Row],[SKU]]="","Missing sku",IF(tblForecasts[[#This Row],[Forecast (units)]]="","Missing forecast",IF(COUNTIF(tblSkus[SKU],tblForecasts[[#This Row],[SKU]])=0,"SKU not on Setup list",IF(DAY(tblForecasts[[#This Row],[Month]])&lt;&gt;1,"Use the 1st of the month",IF(COUNTIFS(tblForecasts[Month],tblForecasts[[#This Row],[Month]],tblForecasts[SKU],tblForecasts[[#This Row],[SKU]])&gt;1,"Duplicate SKU month","OK"))))))</f>
        <v>OK</v>
      </c>
      <c r="N119" s="28" t="s">
        <v>117</v>
      </c>
    </row>
  </sheetData>
  <mergeCells count="3">
    <mergeCell ref="A1:N1"/>
    <mergeCell ref="B2:M2"/>
    <mergeCell ref="B4:N4"/>
  </mergeCells>
  <conditionalFormatting sqref="I6:I61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6:M619">
    <cfRule type="expression" dxfId="3" priority="21">
      <formula>$M6="OK"</formula>
    </cfRule>
    <cfRule type="expression" dxfId="1" priority="22">
      <formula>AND($M6&lt;&gt;"",$M6&lt;&gt;"OK")</formula>
    </cfRule>
  </conditionalFormatting>
  <dataValidations count="5">
    <dataValidation type="date" allowBlank="1" showInputMessage="1" showErrorMessage="1" errorTitle="Check this entry" error="Enter a date between 01 Jan 2000 and 31 Dec 2100." promptTitle="Month" prompt="First day of the month the row covers, e.g. 1 Jun 2026. Enter a date between 01 Jan 2000 and 31 Dec 2100." sqref="B6:B619">
      <formula1>36526</formula1>
      <formula2>73415</formula2>
    </dataValidation>
    <dataValidation type="list" allowBlank="1" showInputMessage="1" showErrorMessage="1" errorTitle="Check this entry" error="Pick from the list (edit the list on Setup: Skus)." promptTitle="SKU" prompt="Pick from the list (edit the list on Setup: Skus)." sqref="C6:C619">
      <formula1>Skus</formula1>
    </dataValidation>
    <dataValidation type="whole" allowBlank="1" showInputMessage="1" showErrorMessage="1" errorTitle="Check this entry" error="Enter a whole number of at least 0." promptTitle="Forecast (units)" prompt="Your final forecast for the month, as released to supply (the number planning acted on). Enter a whole number of at least 0." sqref="D6:D619">
      <formula1>0</formula1>
      <formula2>1000000000</formula2>
    </dataValidation>
    <dataValidation type="whole" allowBlank="1" showInputMessage="1" showErrorMessage="1" errorTitle="Check this entry" error="Enter a whole number of at least 0." promptTitle="Actual (units)" prompt="Actual demand when the month closes: orders or shipments, the same definition every month. Leave blank for open months. Enter a whole number of at least 0." sqref="E6:E619">
      <formula1>0</formula1>
      <formula2>1000000000</formula2>
    </dataValidation>
    <dataValidation type="textLength" allowBlank="1" showInputMessage="1" showErrorMessage="1" errorTitle="Check this entry" error="Text up to 255 characters." promptTitle="Notes" prompt="Text up to 255 characters." sqref="N6:N619">
      <formula1>0</formula1>
      <formula2>255</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Demand Forecast&amp;R&amp;8&amp;A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1"/>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27" t="s">
        <v>60</v>
      </c>
      <c r="C4" s="28"/>
      <c r="D4" s="28"/>
      <c r="F4" s="27" t="s">
        <v>120</v>
      </c>
      <c r="G4" s="43"/>
      <c r="H4" s="43"/>
      <c r="J4" s="27" t="s">
        <v>121</v>
      </c>
      <c r="K4" s="43"/>
      <c r="L4" s="43"/>
    </row>
    <row r="5" spans="1:12">
      <c r="B5" s="44" t="str">
        <f>"Showing "&amp;COUNTIFS(tblForecasts[View date],"&gt;0",tblForecasts[Within tolerance],"?*")&amp;" closed SKU-months and "&amp;(COUNTIFS(tblForecasts[View date],"&gt;0")-COUNTIFS(tblForecasts[View date],"&gt;0",tblForecasts[Within tolerance],"?*"))&amp;" open ones. Leave the filters blank to include everything."</f>
        <v>Showing 90 closed SKU-months and 24 open ones. Leave the filters blank to include everything.</v>
      </c>
      <c r="C5" s="44"/>
      <c r="D5" s="44"/>
      <c r="E5" s="44"/>
      <c r="F5" s="44"/>
      <c r="G5" s="44"/>
      <c r="H5" s="44"/>
      <c r="I5" s="44"/>
      <c r="J5" s="44"/>
      <c r="K5" s="44"/>
      <c r="L5" s="44"/>
    </row>
    <row r="7" spans="1:12" ht="18" customHeight="1">
      <c r="B7" s="45" t="s">
        <v>122</v>
      </c>
      <c r="C7" s="45"/>
      <c r="D7" s="45" t="s">
        <v>123</v>
      </c>
      <c r="E7" s="45"/>
      <c r="F7" s="45"/>
      <c r="G7" s="45" t="s">
        <v>124</v>
      </c>
      <c r="H7" s="45"/>
      <c r="I7" s="45"/>
      <c r="J7" s="45" t="s">
        <v>125</v>
      </c>
      <c r="K7" s="45"/>
      <c r="L7" s="45"/>
    </row>
    <row r="8" spans="1:12" ht="21" customHeight="1">
      <c r="B8" s="46">
        <f>IF(SUMIFS(tblForecasts[Actual (units)],tblForecasts[View date],"&gt;0")=0,"",MAX(0,1-SUMIFS(tblForecasts[Abs error (units)],tblForecasts[View date],"&gt;0")/SUMIFS(tblForecasts[Actual (units)],tblForecasts[View date],"&gt;0")))</f>
        <v>0.905784040635753</v>
      </c>
      <c r="C8" s="46"/>
      <c r="D8" s="46">
        <f>IF((COUNTIFS(tblForecasts[Within tolerance],"Yes",tblForecasts[View date],"&gt;0")+COUNTIFS(tblForecasts[Within tolerance],"No",tblForecasts[View date],"&gt;0"))=0,"",(COUNTIFS(tblForecasts[Within tolerance],"Yes",tblForecasts[View date],"&gt;0"))/(COUNTIFS(tblForecasts[Within tolerance],"Yes",tblForecasts[View date],"&gt;0")+COUNTIFS(tblForecasts[Within tolerance],"No",tblForecasts[View date],"&gt;0")))</f>
        <v>0.777777777777778</v>
      </c>
      <c r="E8" s="46"/>
      <c r="F8" s="46"/>
      <c r="G8" s="47">
        <f>IF((SUMIFS(tblForecasts[Actual (units)],tblForecasts[View date],"&gt;0"))=0,"",(SUMIFS(tblForecasts[Error (units)],tblForecasts[View date],"&gt;0"))/(SUMIFS(tblForecasts[Actual (units)],tblForecasts[View date],"&gt;0")))</f>
        <v>0.0224479764050467</v>
      </c>
      <c r="H8" s="47"/>
      <c r="I8" s="47"/>
      <c r="J8" s="47">
        <f>IF((SUMIFS(tblForecasts[Actual (units)],tblForecasts[Baseline abs error (units)],"&gt;=0",tblForecasts[View date],"&gt;0"))=0,"",(SUMIFS(tblForecasts[Baseline abs error (units)],tblForecasts[Baseline abs error (units)],"&gt;=0",tblForecasts[View date],"&gt;0")-SUMIFS(tblForecasts[Abs error (units)],tblForecasts[Baseline abs error (units)],"&gt;=0",tblForecasts[View date],"&gt;0"))/(SUMIFS(tblForecasts[Actual (units)],tblForecasts[Baseline abs error (units)],"&gt;=0",tblForecasts[View date],"&gt;0")))</f>
        <v>0.0851709323397064</v>
      </c>
      <c r="K8" s="47"/>
      <c r="L8" s="47"/>
    </row>
    <row r="9" spans="1:12" ht="21" customHeight="1">
      <c r="B9" s="46"/>
      <c r="C9" s="46"/>
      <c r="D9" s="46"/>
      <c r="E9" s="46"/>
      <c r="F9" s="46"/>
      <c r="G9" s="47"/>
      <c r="H9" s="47"/>
      <c r="I9" s="47"/>
      <c r="J9" s="47"/>
      <c r="K9" s="47"/>
      <c r="L9" s="47"/>
    </row>
    <row r="10" spans="1:12">
      <c r="B10" s="48">
        <f>TargetAcc</f>
        <v>0.8</v>
      </c>
      <c r="C10" s="48"/>
      <c r="D10" s="48">
        <f>TargetHit</f>
        <v>0.85</v>
      </c>
      <c r="E10" s="48"/>
      <c r="F10" s="48"/>
      <c r="G10" s="49" t="s">
        <v>126</v>
      </c>
      <c r="H10" s="49"/>
      <c r="I10" s="49"/>
      <c r="J10" s="49" t="s">
        <v>127</v>
      </c>
      <c r="K10" s="49"/>
      <c r="L10" s="49"/>
    </row>
    <row r="11" spans="1:12" ht="18" customHeight="1">
      <c r="B11" s="50" t="str">
        <f>IF(NOT(ISNUMBER(KpiAcc)),"No data",IF(KpiAcc&gt;=(TargetAcc),"On target",IF(KpiAcc&gt;=(TargetAcc)*(1-0.05),"Near target","Below target")))</f>
        <v>On target</v>
      </c>
      <c r="C11" s="50"/>
      <c r="D11" s="50" t="str">
        <f>IF(NOT(ISNUMBER(KpiHit)),"No data",IF(KpiHit&gt;=(TargetHit),"On target",IF(KpiHit&gt;=(TargetHit)*(1-0.05),"Near target","Below target")))</f>
        <v>Below target</v>
      </c>
      <c r="E11" s="50"/>
      <c r="F11" s="50"/>
      <c r="G11" s="50"/>
      <c r="H11" s="50"/>
      <c r="I11" s="50"/>
      <c r="J11" s="50"/>
      <c r="K11" s="50"/>
      <c r="L11" s="50"/>
    </row>
    <row r="30" spans="2:12">
      <c r="B30" s="32" t="s">
        <v>128</v>
      </c>
      <c r="C30" s="32"/>
      <c r="D30" s="32"/>
      <c r="E30" s="32"/>
      <c r="F30" s="32"/>
      <c r="G30" s="32"/>
      <c r="H30" s="32"/>
      <c r="I30" s="32"/>
      <c r="J30" s="32"/>
      <c r="K30" s="32"/>
      <c r="L30" s="32"/>
    </row>
    <row r="31" spans="2:12" ht="32" customHeight="1">
      <c r="B31" s="51" t="s">
        <v>60</v>
      </c>
      <c r="C31" s="33" t="s">
        <v>107</v>
      </c>
      <c r="D31" s="33" t="s">
        <v>129</v>
      </c>
      <c r="E31" s="33" t="s">
        <v>130</v>
      </c>
      <c r="F31" s="33" t="s">
        <v>131</v>
      </c>
      <c r="G31" s="33" t="s">
        <v>132</v>
      </c>
      <c r="H31" s="33" t="s">
        <v>133</v>
      </c>
      <c r="I31" s="33" t="s">
        <v>134</v>
      </c>
      <c r="J31" s="33" t="s">
        <v>135</v>
      </c>
      <c r="K31" s="33" t="s">
        <v>136</v>
      </c>
      <c r="L31" s="33" t="s">
        <v>137</v>
      </c>
    </row>
    <row r="32" spans="2:12">
      <c r="B32" s="52" t="str">
        <f>IFERROR(INDEX(tblSkus[SKU],1)&amp;"","")</f>
        <v>BV-050</v>
      </c>
      <c r="C32" s="37">
        <f>IF($B$32="","",SUMIFS(tblForecasts[Actual (units)],tblForecasts[SKU],$B$32,tblForecasts[View date],"&gt;0"))</f>
        <v>14601</v>
      </c>
      <c r="D32" s="38">
        <f>IF($B$32="","",IF(SUMIFS(tblForecasts[Actual (units)],tblForecasts[SKU],$B$32,tblForecasts[View date],"&gt;0")=0,"",MAX(0,1-SUMIFS(tblForecasts[Abs error (units)],tblForecasts[SKU],$B$32,tblForecasts[View date],"&gt;0")/SUMIFS(tblForecasts[Actual (units)],tblForecasts[SKU],$B$32,tblForecasts[View date],"&gt;0"))))</f>
        <v>0.958290528046024</v>
      </c>
      <c r="E32" s="53">
        <f>IF($B$32="","",IF((SUMIFS(tblForecasts[Actual (units)],tblForecasts[SKU],$B$32,tblForecasts[View date],"&gt;0"))=0,"",(SUMIFS(tblForecasts[Error (units)],tblForecasts[SKU],$B$32,tblForecasts[View date],"&gt;0"))/(SUMIFS(tblForecasts[Actual (units)],tblForecasts[SKU],$B$32,tblForecasts[View date],"&gt;0"))))</f>
        <v>-0.0076022190260941</v>
      </c>
      <c r="F32" s="54">
        <f>IF($B$32="","",IF((COUNTIFS(tblForecasts[Within tolerance],"Yes",tblForecasts[SKU],$B$32,tblForecasts[View date],"&gt;0")+COUNTIFS(tblForecasts[Within tolerance],"No",tblForecasts[SKU],$B$32,tblForecasts[View date],"&gt;0"))=0,"",(COUNTIFS(tblForecasts[Within tolerance],"Yes",tblForecasts[SKU],$B$32,tblForecasts[View date],"&gt;0"))/(COUNTIFS(tblForecasts[Within tolerance],"Yes",tblForecasts[SKU],$B$32,tblForecasts[View date],"&gt;0")+COUNTIFS(tblForecasts[Within tolerance],"No",tblForecasts[SKU],$B$32,tblForecasts[View date],"&gt;0"))))</f>
        <v>1</v>
      </c>
      <c r="G32" s="53">
        <f>IF($B$32="","",IF((SUMIFS(tblForecasts[Actual (units)],tblForecasts[Baseline abs error (units)],"&gt;=0",tblForecasts[SKU],$B$32,tblForecasts[View date],"&gt;0"))=0,"",(SUMIFS(tblForecasts[Baseline abs error (units)],tblForecasts[Baseline abs error (units)],"&gt;=0",tblForecasts[SKU],$B$32,tblForecasts[View date],"&gt;0")-SUMIFS(tblForecasts[Abs error (units)],tblForecasts[Baseline abs error (units)],"&gt;=0",tblForecasts[SKU],$B$32,tblForecasts[View date],"&gt;0"))/(SUMIFS(tblForecasts[Actual (units)],tblForecasts[Baseline abs error (units)],"&gt;=0",tblForecasts[SKU],$B$32,tblForecasts[View date],"&gt;0"))))</f>
        <v>0.00973124675879322</v>
      </c>
      <c r="H32" s="39" t="str">
        <f>IF($B$32="","",IF(NOT(ISNUMBER($D$32)),"",IF($D$32&gt;=TargetAcc,"On target",IF($D$32&gt;=TargetAcc*0.95,"Near target","Below target"))))</f>
        <v>On target</v>
      </c>
      <c r="I32" s="55">
        <f>IF($B$32="","",IF(SUMPRODUCT(MAX((tblForecasts[SKU]=$B$32)*ISNUMBER(tblForecasts[Actual (units)])*tblForecasts[Month]))=0,"",SUMPRODUCT(MAX((tblForecasts[SKU]=$B$32)*ISNUMBER(tblForecasts[Actual (units)])*tblForecasts[Month]))))</f>
        <v>46266</v>
      </c>
      <c r="J32" s="37">
        <f>IF($B$32="","",IF(NOT(ISNUMBER($I$32)),"",IF(COUNTIFS(tblForecasts[SKU],$B$32,tblForecasts[Month],"&gt;"&amp;EDATE($I$32,-Window),tblForecasts[Month],"&lt;="&amp;$I$32,tblForecasts[Actual (units)],"&gt;=0")&lt;Window,"",SUMIFS(tblForecasts[Actual (units)],tblForecasts[SKU],$B$32,tblForecasts[Month],"&gt;"&amp;EDATE($I$32,-Window),tblForecasts[Month],"&lt;="&amp;$I$32)/Window)))</f>
        <v>1183.66666666667</v>
      </c>
      <c r="K32" s="37">
        <f>IF($B$32="","",IF(NOT(ISNUMBER($I$32)),"",IF(COUNTIFS(tblForecasts[SKU],$B$32,tblForecasts[Month],EDATE($I$32,1))=0,"",SUMIFS(tblForecasts[Forecast (units)],tblForecasts[SKU],$B$32,tblForecasts[Month],EDATE($I$32,1)))))</f>
        <v>1230</v>
      </c>
      <c r="L32" s="56">
        <f>TargetAcc</f>
        <v>0.8</v>
      </c>
    </row>
    <row r="33" spans="2:12">
      <c r="B33" s="52" t="str">
        <f>IFERROR(INDEX(tblSkus[SKU],2)&amp;"","")</f>
        <v>BV-100</v>
      </c>
      <c r="C33" s="37">
        <f>IF($B$33="","",SUMIFS(tblForecasts[Actual (units)],tblForecasts[SKU],$B$33,tblForecasts[View date],"&gt;0"))</f>
        <v>9750</v>
      </c>
      <c r="D33" s="38">
        <f>IF($B$33="","",IF(SUMIFS(tblForecasts[Actual (units)],tblForecasts[SKU],$B$33,tblForecasts[View date],"&gt;0")=0,"",MAX(0,1-SUMIFS(tblForecasts[Abs error (units)],tblForecasts[SKU],$B$33,tblForecasts[View date],"&gt;0")/SUMIFS(tblForecasts[Actual (units)],tblForecasts[SKU],$B$33,tblForecasts[View date],"&gt;0"))))</f>
        <v>0.945435897435897</v>
      </c>
      <c r="E33" s="53">
        <f>IF($B$33="","",IF((SUMIFS(tblForecasts[Actual (units)],tblForecasts[SKU],$B$33,tblForecasts[View date],"&gt;0"))=0,"",(SUMIFS(tblForecasts[Error (units)],tblForecasts[SKU],$B$33,tblForecasts[View date],"&gt;0"))/(SUMIFS(tblForecasts[Actual (units)],tblForecasts[SKU],$B$33,tblForecasts[View date],"&gt;0"))))</f>
        <v>-0.0164102564102564</v>
      </c>
      <c r="F33" s="54">
        <f>IF($B$33="","",IF((COUNTIFS(tblForecasts[Within tolerance],"Yes",tblForecasts[SKU],$B$33,tblForecasts[View date],"&gt;0")+COUNTIFS(tblForecasts[Within tolerance],"No",tblForecasts[SKU],$B$33,tblForecasts[View date],"&gt;0"))=0,"",(COUNTIFS(tblForecasts[Within tolerance],"Yes",tblForecasts[SKU],$B$33,tblForecasts[View date],"&gt;0"))/(COUNTIFS(tblForecasts[Within tolerance],"Yes",tblForecasts[SKU],$B$33,tblForecasts[View date],"&gt;0")+COUNTIFS(tblForecasts[Within tolerance],"No",tblForecasts[SKU],$B$33,tblForecasts[View date],"&gt;0"))))</f>
        <v>1</v>
      </c>
      <c r="G33" s="53">
        <f>IF($B$33="","",IF((SUMIFS(tblForecasts[Actual (units)],tblForecasts[Baseline abs error (units)],"&gt;=0",tblForecasts[SKU],$B$33,tblForecasts[View date],"&gt;0"))=0,"",(SUMIFS(tblForecasts[Baseline abs error (units)],tblForecasts[Baseline abs error (units)],"&gt;=0",tblForecasts[SKU],$B$33,tblForecasts[View date],"&gt;0")-SUMIFS(tblForecasts[Abs error (units)],tblForecasts[Baseline abs error (units)],"&gt;=0",tblForecasts[SKU],$B$33,tblForecasts[View date],"&gt;0"))/(SUMIFS(tblForecasts[Actual (units)],tblForecasts[Baseline abs error (units)],"&gt;=0",tblForecasts[SKU],$B$33,tblForecasts[View date],"&gt;0"))))</f>
        <v>0.01013129798737</v>
      </c>
      <c r="H33" s="39" t="str">
        <f>IF($B$33="","",IF(NOT(ISNUMBER($D$33)),"",IF($D$33&gt;=TargetAcc,"On target",IF($D$33&gt;=TargetAcc*0.95,"Near target","Below target"))))</f>
        <v>On target</v>
      </c>
      <c r="I33" s="55">
        <f>IF($B$33="","",IF(SUMPRODUCT(MAX((tblForecasts[SKU]=$B$33)*ISNUMBER(tblForecasts[Actual (units)])*tblForecasts[Month]))=0,"",SUMPRODUCT(MAX((tblForecasts[SKU]=$B$33)*ISNUMBER(tblForecasts[Actual (units)])*tblForecasts[Month]))))</f>
        <v>46266</v>
      </c>
      <c r="J33" s="37">
        <f>IF($B$33="","",IF(NOT(ISNUMBER($I$33)),"",IF(COUNTIFS(tblForecasts[SKU],$B$33,tblForecasts[Month],"&gt;"&amp;EDATE($I$33,-Window),tblForecasts[Month],"&lt;="&amp;$I$33,tblForecasts[Actual (units)],"&gt;=0")&lt;Window,"",SUMIFS(tblForecasts[Actual (units)],tblForecasts[SKU],$B$33,tblForecasts[Month],"&gt;"&amp;EDATE($I$33,-Window),tblForecasts[Month],"&lt;="&amp;$I$33)/Window)))</f>
        <v>815.666666666667</v>
      </c>
      <c r="K33" s="37">
        <f>IF($B$33="","",IF(NOT(ISNUMBER($I$33)),"",IF(COUNTIFS(tblForecasts[SKU],$B$33,tblForecasts[Month],EDATE($I$33,1))=0,"",SUMIFS(tblForecasts[Forecast (units)],tblForecasts[SKU],$B$33,tblForecasts[Month],EDATE($I$33,1)))))</f>
        <v>850</v>
      </c>
      <c r="L33" s="56">
        <f>TargetAcc</f>
        <v>0.8</v>
      </c>
    </row>
    <row r="34" spans="2:12">
      <c r="B34" s="52" t="str">
        <f>IFERROR(INDEX(tblSkus[SKU],3)&amp;"","")</f>
        <v>GV-200</v>
      </c>
      <c r="C34" s="37">
        <f>IF($B$34="","",SUMIFS(tblForecasts[Actual (units)],tblForecasts[SKU],$B$34,tblForecasts[View date],"&gt;0"))</f>
        <v>1904</v>
      </c>
      <c r="D34" s="38">
        <f>IF($B$34="","",IF(SUMIFS(tblForecasts[Actual (units)],tblForecasts[SKU],$B$34,tblForecasts[View date],"&gt;0")=0,"",MAX(0,1-SUMIFS(tblForecasts[Abs error (units)],tblForecasts[SKU],$B$34,tblForecasts[View date],"&gt;0")/SUMIFS(tblForecasts[Actual (units)],tblForecasts[SKU],$B$34,tblForecasts[View date],"&gt;0"))))</f>
        <v>0.773109243697479</v>
      </c>
      <c r="E34" s="53">
        <f>IF($B$34="","",IF((SUMIFS(tblForecasts[Actual (units)],tblForecasts[SKU],$B$34,tblForecasts[View date],"&gt;0"))=0,"",(SUMIFS(tblForecasts[Error (units)],tblForecasts[SKU],$B$34,tblForecasts[View date],"&gt;0"))/(SUMIFS(tblForecasts[Actual (units)],tblForecasts[SKU],$B$34,tblForecasts[View date],"&gt;0"))))</f>
        <v>-0.0546218487394958</v>
      </c>
      <c r="F34" s="54">
        <f>IF($B$34="","",IF((COUNTIFS(tblForecasts[Within tolerance],"Yes",tblForecasts[SKU],$B$34,tblForecasts[View date],"&gt;0")+COUNTIFS(tblForecasts[Within tolerance],"No",tblForecasts[SKU],$B$34,tblForecasts[View date],"&gt;0"))=0,"",(COUNTIFS(tblForecasts[Within tolerance],"Yes",tblForecasts[SKU],$B$34,tblForecasts[View date],"&gt;0"))/(COUNTIFS(tblForecasts[Within tolerance],"Yes",tblForecasts[SKU],$B$34,tblForecasts[View date],"&gt;0")+COUNTIFS(tblForecasts[Within tolerance],"No",tblForecasts[SKU],$B$34,tblForecasts[View date],"&gt;0"))))</f>
        <v>0.5</v>
      </c>
      <c r="G34" s="53">
        <f>IF($B$34="","",IF((SUMIFS(tblForecasts[Actual (units)],tblForecasts[Baseline abs error (units)],"&gt;=0",tblForecasts[SKU],$B$34,tblForecasts[View date],"&gt;0"))=0,"",(SUMIFS(tblForecasts[Baseline abs error (units)],tblForecasts[Baseline abs error (units)],"&gt;=0",tblForecasts[SKU],$B$34,tblForecasts[View date],"&gt;0")-SUMIFS(tblForecasts[Abs error (units)],tblForecasts[Baseline abs error (units)],"&gt;=0",tblForecasts[SKU],$B$34,tblForecasts[View date],"&gt;0"))/(SUMIFS(tblForecasts[Actual (units)],tblForecasts[Baseline abs error (units)],"&gt;=0",tblForecasts[SKU],$B$34,tblForecasts[View date],"&gt;0"))))</f>
        <v>-0.0381497377205531</v>
      </c>
      <c r="H34" s="39" t="str">
        <f>IF($B$34="","",IF(NOT(ISNUMBER($D$34)),"",IF($D$34&gt;=TargetAcc,"On target",IF($D$34&gt;=TargetAcc*0.95,"Near target","Below target"))))</f>
        <v>Near target</v>
      </c>
      <c r="I34" s="55">
        <f>IF($B$34="","",IF(SUMPRODUCT(MAX((tblForecasts[SKU]=$B$34)*ISNUMBER(tblForecasts[Actual (units)])*tblForecasts[Month]))=0,"",SUMPRODUCT(MAX((tblForecasts[SKU]=$B$34)*ISNUMBER(tblForecasts[Actual (units)])*tblForecasts[Month]))))</f>
        <v>46266</v>
      </c>
      <c r="J34" s="37">
        <f>IF($B$34="","",IF(NOT(ISNUMBER($I$34)),"",IF(COUNTIFS(tblForecasts[SKU],$B$34,tblForecasts[Month],"&gt;"&amp;EDATE($I$34,-Window),tblForecasts[Month],"&lt;="&amp;$I$34,tblForecasts[Actual (units)],"&gt;=0")&lt;Window,"",SUMIFS(tblForecasts[Actual (units)],tblForecasts[SKU],$B$34,tblForecasts[Month],"&gt;"&amp;EDATE($I$34,-Window),tblForecasts[Month],"&lt;="&amp;$I$34)/Window)))</f>
        <v>133.666666666667</v>
      </c>
      <c r="K34" s="37">
        <f>IF($B$34="","",IF(NOT(ISNUMBER($I$34)),"",IF(COUNTIFS(tblForecasts[SKU],$B$34,tblForecasts[Month],EDATE($I$34,1))=0,"",SUMIFS(tblForecasts[Forecast (units)],tblForecasts[SKU],$B$34,tblForecasts[Month],EDATE($I$34,1)))))</f>
        <v>130</v>
      </c>
      <c r="L34" s="56">
        <f>TargetAcc</f>
        <v>0.8</v>
      </c>
    </row>
    <row r="35" spans="2:12">
      <c r="B35" s="52" t="str">
        <f>IFERROR(INDEX(tblSkus[SKU],4)&amp;"","")</f>
        <v>IV-075</v>
      </c>
      <c r="C35" s="37">
        <f>IF($B$35="","",SUMIFS(tblForecasts[Actual (units)],tblForecasts[SKU],$B$35,tblForecasts[View date],"&gt;0"))</f>
        <v>6324</v>
      </c>
      <c r="D35" s="38">
        <f>IF($B$35="","",IF(SUMIFS(tblForecasts[Actual (units)],tblForecasts[SKU],$B$35,tblForecasts[View date],"&gt;0")=0,"",MAX(0,1-SUMIFS(tblForecasts[Abs error (units)],tblForecasts[SKU],$B$35,tblForecasts[View date],"&gt;0")/SUMIFS(tblForecasts[Actual (units)],tblForecasts[SKU],$B$35,tblForecasts[View date],"&gt;0"))))</f>
        <v>0.917141049968374</v>
      </c>
      <c r="E35" s="53">
        <f>IF($B$35="","",IF((SUMIFS(tblForecasts[Actual (units)],tblForecasts[SKU],$B$35,tblForecasts[View date],"&gt;0"))=0,"",(SUMIFS(tblForecasts[Error (units)],tblForecasts[SKU],$B$35,tblForecasts[View date],"&gt;0"))/(SUMIFS(tblForecasts[Actual (units)],tblForecasts[SKU],$B$35,tblForecasts[View date],"&gt;0"))))</f>
        <v>0.0183428209993675</v>
      </c>
      <c r="F35" s="54">
        <f>IF($B$35="","",IF((COUNTIFS(tblForecasts[Within tolerance],"Yes",tblForecasts[SKU],$B$35,tblForecasts[View date],"&gt;0")+COUNTIFS(tblForecasts[Within tolerance],"No",tblForecasts[SKU],$B$35,tblForecasts[View date],"&gt;0"))=0,"",(COUNTIFS(tblForecasts[Within tolerance],"Yes",tblForecasts[SKU],$B$35,tblForecasts[View date],"&gt;0"))/(COUNTIFS(tblForecasts[Within tolerance],"Yes",tblForecasts[SKU],$B$35,tblForecasts[View date],"&gt;0")+COUNTIFS(tblForecasts[Within tolerance],"No",tblForecasts[SKU],$B$35,tblForecasts[View date],"&gt;0"))))</f>
        <v>1</v>
      </c>
      <c r="G35" s="53">
        <f>IF($B$35="","",IF((SUMIFS(tblForecasts[Actual (units)],tblForecasts[Baseline abs error (units)],"&gt;=0",tblForecasts[SKU],$B$35,tblForecasts[View date],"&gt;0"))=0,"",(SUMIFS(tblForecasts[Baseline abs error (units)],tblForecasts[Baseline abs error (units)],"&gt;=0",tblForecasts[SKU],$B$35,tblForecasts[View date],"&gt;0")-SUMIFS(tblForecasts[Abs error (units)],tblForecasts[Baseline abs error (units)],"&gt;=0",tblForecasts[SKU],$B$35,tblForecasts[View date],"&gt;0"))/(SUMIFS(tblForecasts[Actual (units)],tblForecasts[Baseline abs error (units)],"&gt;=0",tblForecasts[SKU],$B$35,tblForecasts[View date],"&gt;0"))))</f>
        <v>0.381719423112943</v>
      </c>
      <c r="H35" s="39" t="str">
        <f>IF($B$35="","",IF(NOT(ISNUMBER($D$35)),"",IF($D$35&gt;=TargetAcc,"On target",IF($D$35&gt;=TargetAcc*0.95,"Near target","Below target"))))</f>
        <v>On target</v>
      </c>
      <c r="I35" s="55">
        <f>IF($B$35="","",IF(SUMPRODUCT(MAX((tblForecasts[SKU]=$B$35)*ISNUMBER(tblForecasts[Actual (units)])*tblForecasts[Month]))=0,"",SUMPRODUCT(MAX((tblForecasts[SKU]=$B$35)*ISNUMBER(tblForecasts[Actual (units)])*tblForecasts[Month]))))</f>
        <v>46266</v>
      </c>
      <c r="J35" s="37">
        <f>IF($B$35="","",IF(NOT(ISNUMBER($I$35)),"",IF(COUNTIFS(tblForecasts[SKU],$B$35,tblForecasts[Month],"&gt;"&amp;EDATE($I$35,-Window),tblForecasts[Month],"&lt;="&amp;$I$35,tblForecasts[Actual (units)],"&gt;=0")&lt;Window,"",SUMIFS(tblForecasts[Actual (units)],tblForecasts[SKU],$B$35,tblForecasts[Month],"&gt;"&amp;EDATE($I$35,-Window),tblForecasts[Month],"&lt;="&amp;$I$35)/Window)))</f>
        <v>378.666666666667</v>
      </c>
      <c r="K35" s="37">
        <f>IF($B$35="","",IF(NOT(ISNUMBER($I$35)),"",IF(COUNTIFS(tblForecasts[SKU],$B$35,tblForecasts[Month],EDATE($I$35,1))=0,"",SUMIFS(tblForecasts[Forecast (units)],tblForecasts[SKU],$B$35,tblForecasts[Month],EDATE($I$35,1)))))</f>
        <v>330</v>
      </c>
      <c r="L35" s="56">
        <f>TargetAcc</f>
        <v>0.8</v>
      </c>
    </row>
    <row r="36" spans="2:12">
      <c r="B36" s="52" t="str">
        <f>IFERROR(INDEX(tblSkus[SKU],5)&amp;"","")</f>
        <v>IV-150</v>
      </c>
      <c r="C36" s="37">
        <f>IF($B$36="","",SUMIFS(tblForecasts[Actual (units)],tblForecasts[SKU],$B$36,tblForecasts[View date],"&gt;0"))</f>
        <v>3182</v>
      </c>
      <c r="D36" s="38">
        <f>IF($B$36="","",IF(SUMIFS(tblForecasts[Actual (units)],tblForecasts[SKU],$B$36,tblForecasts[View date],"&gt;0")=0,"",MAX(0,1-SUMIFS(tblForecasts[Abs error (units)],tblForecasts[SKU],$B$36,tblForecasts[View date],"&gt;0")/SUMIFS(tblForecasts[Actual (units)],tblForecasts[SKU],$B$36,tblForecasts[View date],"&gt;0"))))</f>
        <v>0.896291640477687</v>
      </c>
      <c r="E36" s="53">
        <f>IF($B$36="","",IF((SUMIFS(tblForecasts[Actual (units)],tblForecasts[SKU],$B$36,tblForecasts[View date],"&gt;0"))=0,"",(SUMIFS(tblForecasts[Error (units)],tblForecasts[SKU],$B$36,tblForecasts[View date],"&gt;0"))/(SUMIFS(tblForecasts[Actual (units)],tblForecasts[SKU],$B$36,tblForecasts[View date],"&gt;0"))))</f>
        <v>0.0119421747328724</v>
      </c>
      <c r="F36" s="54">
        <f>IF($B$36="","",IF((COUNTIFS(tblForecasts[Within tolerance],"Yes",tblForecasts[SKU],$B$36,tblForecasts[View date],"&gt;0")+COUNTIFS(tblForecasts[Within tolerance],"No",tblForecasts[SKU],$B$36,tblForecasts[View date],"&gt;0"))=0,"",(COUNTIFS(tblForecasts[Within tolerance],"Yes",tblForecasts[SKU],$B$36,tblForecasts[View date],"&gt;0"))/(COUNTIFS(tblForecasts[Within tolerance],"Yes",tblForecasts[SKU],$B$36,tblForecasts[View date],"&gt;0")+COUNTIFS(tblForecasts[Within tolerance],"No",tblForecasts[SKU],$B$36,tblForecasts[View date],"&gt;0"))))</f>
        <v>1</v>
      </c>
      <c r="G36" s="53">
        <f>IF($B$36="","",IF((SUMIFS(tblForecasts[Actual (units)],tblForecasts[Baseline abs error (units)],"&gt;=0",tblForecasts[SKU],$B$36,tblForecasts[View date],"&gt;0"))=0,"",(SUMIFS(tblForecasts[Baseline abs error (units)],tblForecasts[Baseline abs error (units)],"&gt;=0",tblForecasts[SKU],$B$36,tblForecasts[View date],"&gt;0")-SUMIFS(tblForecasts[Abs error (units)],tblForecasts[Baseline abs error (units)],"&gt;=0",tblForecasts[SKU],$B$36,tblForecasts[View date],"&gt;0"))/(SUMIFS(tblForecasts[Actual (units)],tblForecasts[Baseline abs error (units)],"&gt;=0",tblForecasts[SKU],$B$36,tblForecasts[View date],"&gt;0"))))</f>
        <v>0.459229058561898</v>
      </c>
      <c r="H36" s="39" t="str">
        <f>IF($B$36="","",IF(NOT(ISNUMBER($D$36)),"",IF($D$36&gt;=TargetAcc,"On target",IF($D$36&gt;=TargetAcc*0.95,"Near target","Below target"))))</f>
        <v>On target</v>
      </c>
      <c r="I36" s="55">
        <f>IF($B$36="","",IF(SUMPRODUCT(MAX((tblForecasts[SKU]=$B$36)*ISNUMBER(tblForecasts[Actual (units)])*tblForecasts[Month]))=0,"",SUMPRODUCT(MAX((tblForecasts[SKU]=$B$36)*ISNUMBER(tblForecasts[Actual (units)])*tblForecasts[Month]))))</f>
        <v>46266</v>
      </c>
      <c r="J36" s="37">
        <f>IF($B$36="","",IF(NOT(ISNUMBER($I$36)),"",IF(COUNTIFS(tblForecasts[SKU],$B$36,tblForecasts[Month],"&gt;"&amp;EDATE($I$36,-Window),tblForecasts[Month],"&lt;="&amp;$I$36,tblForecasts[Actual (units)],"&gt;=0")&lt;Window,"",SUMIFS(tblForecasts[Actual (units)],tblForecasts[SKU],$B$36,tblForecasts[Month],"&gt;"&amp;EDATE($I$36,-Window),tblForecasts[Month],"&lt;="&amp;$I$36)/Window)))</f>
        <v>181.333333333333</v>
      </c>
      <c r="K36" s="37">
        <f>IF($B$36="","",IF(NOT(ISNUMBER($I$36)),"",IF(COUNTIFS(tblForecasts[SKU],$B$36,tblForecasts[Month],EDATE($I$36,1))=0,"",SUMIFS(tblForecasts[Forecast (units)],tblForecasts[SKU],$B$36,tblForecasts[Month],EDATE($I$36,1)))))</f>
        <v>180</v>
      </c>
      <c r="L36" s="56">
        <f>TargetAcc</f>
        <v>0.8</v>
      </c>
    </row>
    <row r="37" spans="2:12">
      <c r="B37" s="52" t="str">
        <f>IFERROR(INDEX(tblSkus[SKU],6)&amp;"","")</f>
        <v>CV-040</v>
      </c>
      <c r="C37" s="37">
        <f>IF($B$37="","",SUMIFS(tblForecasts[Actual (units)],tblForecasts[SKU],$B$37,tblForecasts[View date],"&gt;0"))</f>
        <v>4811</v>
      </c>
      <c r="D37" s="38">
        <f>IF($B$37="","",IF(SUMIFS(tblForecasts[Actual (units)],tblForecasts[SKU],$B$37,tblForecasts[View date],"&gt;0")=0,"",MAX(0,1-SUMIFS(tblForecasts[Abs error (units)],tblForecasts[SKU],$B$37,tblForecasts[View date],"&gt;0")/SUMIFS(tblForecasts[Actual (units)],tblForecasts[SKU],$B$37,tblForecasts[View date],"&gt;0"))))</f>
        <v>0.771565163167741</v>
      </c>
      <c r="E37" s="53">
        <f>IF($B$37="","",IF((SUMIFS(tblForecasts[Actual (units)],tblForecasts[SKU],$B$37,tblForecasts[View date],"&gt;0"))=0,"",(SUMIFS(tblForecasts[Error (units)],tblForecasts[SKU],$B$37,tblForecasts[View date],"&gt;0"))/(SUMIFS(tblForecasts[Actual (units)],tblForecasts[SKU],$B$37,tblForecasts[View date],"&gt;0"))))</f>
        <v>0.228434836832259</v>
      </c>
      <c r="F37" s="54">
        <f>IF($B$37="","",IF((COUNTIFS(tblForecasts[Within tolerance],"Yes",tblForecasts[SKU],$B$37,tblForecasts[View date],"&gt;0")+COUNTIFS(tblForecasts[Within tolerance],"No",tblForecasts[SKU],$B$37,tblForecasts[View date],"&gt;0"))=0,"",(COUNTIFS(tblForecasts[Within tolerance],"Yes",tblForecasts[SKU],$B$37,tblForecasts[View date],"&gt;0"))/(COUNTIFS(tblForecasts[Within tolerance],"Yes",tblForecasts[SKU],$B$37,tblForecasts[View date],"&gt;0")+COUNTIFS(tblForecasts[Within tolerance],"No",tblForecasts[SKU],$B$37,tblForecasts[View date],"&gt;0"))))</f>
        <v>0.5</v>
      </c>
      <c r="G37" s="53">
        <f>IF($B$37="","",IF((SUMIFS(tblForecasts[Actual (units)],tblForecasts[Baseline abs error (units)],"&gt;=0",tblForecasts[SKU],$B$37,tblForecasts[View date],"&gt;0"))=0,"",(SUMIFS(tblForecasts[Baseline abs error (units)],tblForecasts[Baseline abs error (units)],"&gt;=0",tblForecasts[SKU],$B$37,tblForecasts[View date],"&gt;0")-SUMIFS(tblForecasts[Abs error (units)],tblForecasts[Baseline abs error (units)],"&gt;=0",tblForecasts[SKU],$B$37,tblForecasts[View date],"&gt;0"))/(SUMIFS(tblForecasts[Actual (units)],tblForecasts[Baseline abs error (units)],"&gt;=0",tblForecasts[SKU],$B$37,tblForecasts[View date],"&gt;0"))))</f>
        <v>-0.152595894863936</v>
      </c>
      <c r="H37" s="39" t="str">
        <f>IF($B$37="","",IF(NOT(ISNUMBER($D$37)),"",IF($D$37&gt;=TargetAcc,"On target",IF($D$37&gt;=TargetAcc*0.95,"Near target","Below target"))))</f>
        <v>Near target</v>
      </c>
      <c r="I37" s="55">
        <f>IF($B$37="","",IF(SUMPRODUCT(MAX((tblForecasts[SKU]=$B$37)*ISNUMBER(tblForecasts[Actual (units)])*tblForecasts[Month]))=0,"",SUMPRODUCT(MAX((tblForecasts[SKU]=$B$37)*ISNUMBER(tblForecasts[Actual (units)])*tblForecasts[Month]))))</f>
        <v>46266</v>
      </c>
      <c r="J37" s="37">
        <f>IF($B$37="","",IF(NOT(ISNUMBER($I$37)),"",IF(COUNTIFS(tblForecasts[SKU],$B$37,tblForecasts[Month],"&gt;"&amp;EDATE($I$37,-Window),tblForecasts[Month],"&lt;="&amp;$I$37,tblForecasts[Actual (units)],"&gt;=0")&lt;Window,"",SUMIFS(tblForecasts[Actual (units)],tblForecasts[SKU],$B$37,tblForecasts[Month],"&gt;"&amp;EDATE($I$37,-Window),tblForecasts[Month],"&lt;="&amp;$I$37)/Window)))</f>
        <v>410.666666666667</v>
      </c>
      <c r="K37" s="37">
        <f>IF($B$37="","",IF(NOT(ISNUMBER($I$37)),"",IF(COUNTIFS(tblForecasts[SKU],$B$37,tblForecasts[Month],EDATE($I$37,1))=0,"",SUMIFS(tblForecasts[Forecast (units)],tblForecasts[SKU],$B$37,tblForecasts[Month],EDATE($I$37,1)))))</f>
        <v>500</v>
      </c>
      <c r="L37" s="56">
        <f>TargetAcc</f>
        <v>0.8</v>
      </c>
    </row>
    <row r="38" spans="2:12">
      <c r="B38" s="52" t="str">
        <f>IFERROR(INDEX(tblSkus[SKU],7)&amp;"","")</f>
        <v>SV-025</v>
      </c>
      <c r="C38" s="37">
        <f>IF($B$38="","",SUMIFS(tblForecasts[Actual (units)],tblForecasts[SKU],$B$38,tblForecasts[View date],"&gt;0"))</f>
        <v>1220</v>
      </c>
      <c r="D38" s="38">
        <f>IF($B$38="","",IF(SUMIFS(tblForecasts[Actual (units)],tblForecasts[SKU],$B$38,tblForecasts[View date],"&gt;0")=0,"",MAX(0,1-SUMIFS(tblForecasts[Abs error (units)],tblForecasts[SKU],$B$38,tblForecasts[View date],"&gt;0")/SUMIFS(tblForecasts[Actual (units)],tblForecasts[SKU],$B$38,tblForecasts[View date],"&gt;0"))))</f>
        <v>0.885245901639344</v>
      </c>
      <c r="E38" s="53">
        <f>IF($B$38="","",IF((SUMIFS(tblForecasts[Actual (units)],tblForecasts[SKU],$B$38,tblForecasts[View date],"&gt;0"))=0,"",(SUMIFS(tblForecasts[Error (units)],tblForecasts[SKU],$B$38,tblForecasts[View date],"&gt;0"))/(SUMIFS(tblForecasts[Actual (units)],tblForecasts[SKU],$B$38,tblForecasts[View date],"&gt;0"))))</f>
        <v>-0.0245901639344262</v>
      </c>
      <c r="F38" s="54">
        <f>IF($B$38="","",IF((COUNTIFS(tblForecasts[Within tolerance],"Yes",tblForecasts[SKU],$B$38,tblForecasts[View date],"&gt;0")+COUNTIFS(tblForecasts[Within tolerance],"No",tblForecasts[SKU],$B$38,tblForecasts[View date],"&gt;0"))=0,"",(COUNTIFS(tblForecasts[Within tolerance],"Yes",tblForecasts[SKU],$B$38,tblForecasts[View date],"&gt;0"))/(COUNTIFS(tblForecasts[Within tolerance],"Yes",tblForecasts[SKU],$B$38,tblForecasts[View date],"&gt;0")+COUNTIFS(tblForecasts[Within tolerance],"No",tblForecasts[SKU],$B$38,tblForecasts[View date],"&gt;0"))))</f>
        <v>1</v>
      </c>
      <c r="G38" s="53">
        <f>IF($B$38="","",IF((SUMIFS(tblForecasts[Actual (units)],tblForecasts[Baseline abs error (units)],"&gt;=0",tblForecasts[SKU],$B$38,tblForecasts[View date],"&gt;0"))=0,"",(SUMIFS(tblForecasts[Baseline abs error (units)],tblForecasts[Baseline abs error (units)],"&gt;=0",tblForecasts[SKU],$B$38,tblForecasts[View date],"&gt;0")-SUMIFS(tblForecasts[Abs error (units)],tblForecasts[Baseline abs error (units)],"&gt;=0",tblForecasts[SKU],$B$38,tblForecasts[View date],"&gt;0"))/(SUMIFS(tblForecasts[Actual (units)],tblForecasts[Baseline abs error (units)],"&gt;=0",tblForecasts[SKU],$B$38,tblForecasts[View date],"&gt;0"))))</f>
        <v>0.12317880794702</v>
      </c>
      <c r="H38" s="39" t="str">
        <f>IF($B$38="","",IF(NOT(ISNUMBER($D$38)),"",IF($D$38&gt;=TargetAcc,"On target",IF($D$38&gt;=TargetAcc*0.95,"Near target","Below target"))))</f>
        <v>On target</v>
      </c>
      <c r="I38" s="55">
        <f>IF($B$38="","",IF(SUMPRODUCT(MAX((tblForecasts[SKU]=$B$38)*ISNUMBER(tblForecasts[Actual (units)])*tblForecasts[Month]))=0,"",SUMPRODUCT(MAX((tblForecasts[SKU]=$B$38)*ISNUMBER(tblForecasts[Actual (units)])*tblForecasts[Month]))))</f>
        <v>46266</v>
      </c>
      <c r="J38" s="37">
        <f>IF($B$38="","",IF(NOT(ISNUMBER($I$38)),"",IF(COUNTIFS(tblForecasts[SKU],$B$38,tblForecasts[Month],"&gt;"&amp;EDATE($I$38,-Window),tblForecasts[Month],"&lt;="&amp;$I$38,tblForecasts[Actual (units)],"&gt;=0")&lt;Window,"",SUMIFS(tblForecasts[Actual (units)],tblForecasts[SKU],$B$38,tblForecasts[Month],"&gt;"&amp;EDATE($I$38,-Window),tblForecasts[Month],"&lt;="&amp;$I$38)/Window)))</f>
        <v>251.666666666667</v>
      </c>
      <c r="K38" s="37">
        <f>IF($B$38="","",IF(NOT(ISNUMBER($I$38)),"",IF(COUNTIFS(tblForecasts[SKU],$B$38,tblForecasts[Month],EDATE($I$38,1))=0,"",SUMIFS(tblForecasts[Forecast (units)],tblForecasts[SKU],$B$38,tblForecasts[Month],EDATE($I$38,1)))))</f>
        <v>300</v>
      </c>
      <c r="L38" s="56">
        <f>TargetAcc</f>
        <v>0.8</v>
      </c>
    </row>
    <row r="39" spans="2:12">
      <c r="B39" s="52" t="str">
        <f>IFERROR(INDEX(tblSkus[SKU],8)&amp;"","")</f>
        <v>PR-010</v>
      </c>
      <c r="C39" s="37">
        <f>IF($B$39="","",SUMIFS(tblForecasts[Actual (units)],tblForecasts[SKU],$B$39,tblForecasts[View date],"&gt;0"))</f>
        <v>929</v>
      </c>
      <c r="D39" s="38">
        <f>IF($B$39="","",IF(SUMIFS(tblForecasts[Actual (units)],tblForecasts[SKU],$B$39,tblForecasts[View date],"&gt;0")=0,"",MAX(0,1-SUMIFS(tblForecasts[Abs error (units)],tblForecasts[SKU],$B$39,tblForecasts[View date],"&gt;0")/SUMIFS(tblForecasts[Actual (units)],tblForecasts[SKU],$B$39,tblForecasts[View date],"&gt;0"))))</f>
        <v>0.613562970936491</v>
      </c>
      <c r="E39" s="53">
        <f>IF($B$39="","",IF((SUMIFS(tblForecasts[Actual (units)],tblForecasts[SKU],$B$39,tblForecasts[View date],"&gt;0"))=0,"",(SUMIFS(tblForecasts[Error (units)],tblForecasts[SKU],$B$39,tblForecasts[View date],"&gt;0"))/(SUMIFS(tblForecasts[Actual (units)],tblForecasts[SKU],$B$39,tblForecasts[View date],"&gt;0"))))</f>
        <v>0.119483315392896</v>
      </c>
      <c r="F39" s="54">
        <f>IF($B$39="","",IF((COUNTIFS(tblForecasts[Within tolerance],"Yes",tblForecasts[SKU],$B$39,tblForecasts[View date],"&gt;0")+COUNTIFS(tblForecasts[Within tolerance],"No",tblForecasts[SKU],$B$39,tblForecasts[View date],"&gt;0"))=0,"",(COUNTIFS(tblForecasts[Within tolerance],"Yes",tblForecasts[SKU],$B$39,tblForecasts[View date],"&gt;0"))/(COUNTIFS(tblForecasts[Within tolerance],"Yes",tblForecasts[SKU],$B$39,tblForecasts[View date],"&gt;0")+COUNTIFS(tblForecasts[Within tolerance],"No",tblForecasts[SKU],$B$39,tblForecasts[View date],"&gt;0"))))</f>
        <v>0.333333333333333</v>
      </c>
      <c r="G39" s="53">
        <f>IF($B$39="","",IF((SUMIFS(tblForecasts[Actual (units)],tblForecasts[Baseline abs error (units)],"&gt;=0",tblForecasts[SKU],$B$39,tblForecasts[View date],"&gt;0"))=0,"",(SUMIFS(tblForecasts[Baseline abs error (units)],tblForecasts[Baseline abs error (units)],"&gt;=0",tblForecasts[SKU],$B$39,tblForecasts[View date],"&gt;0")-SUMIFS(tblForecasts[Abs error (units)],tblForecasts[Baseline abs error (units)],"&gt;=0",tblForecasts[SKU],$B$39,tblForecasts[View date],"&gt;0"))/(SUMIFS(tblForecasts[Actual (units)],tblForecasts[Baseline abs error (units)],"&gt;=0",tblForecasts[SKU],$B$39,tblForecasts[View date],"&gt;0"))))</f>
        <v>-0.23032904148784</v>
      </c>
      <c r="H39" s="39" t="str">
        <f>IF($B$39="","",IF(NOT(ISNUMBER($D$39)),"",IF($D$39&gt;=TargetAcc,"On target",IF($D$39&gt;=TargetAcc*0.95,"Near target","Below target"))))</f>
        <v>Below target</v>
      </c>
      <c r="I39" s="55">
        <f>IF($B$39="","",IF(SUMPRODUCT(MAX((tblForecasts[SKU]=$B$39)*ISNUMBER(tblForecasts[Actual (units)])*tblForecasts[Month]))=0,"",SUMPRODUCT(MAX((tblForecasts[SKU]=$B$39)*ISNUMBER(tblForecasts[Actual (units)])*tblForecasts[Month]))))</f>
        <v>46266</v>
      </c>
      <c r="J39" s="37">
        <f>IF($B$39="","",IF(NOT(ISNUMBER($I$39)),"",IF(COUNTIFS(tblForecasts[SKU],$B$39,tblForecasts[Month],"&gt;"&amp;EDATE($I$39,-Window),tblForecasts[Month],"&lt;="&amp;$I$39,tblForecasts[Actual (units)],"&gt;=0")&lt;Window,"",SUMIFS(tblForecasts[Actual (units)],tblForecasts[SKU],$B$39,tblForecasts[Month],"&gt;"&amp;EDATE($I$39,-Window),tblForecasts[Month],"&lt;="&amp;$I$39)/Window)))</f>
        <v>98</v>
      </c>
      <c r="K39" s="37">
        <f>IF($B$39="","",IF(NOT(ISNUMBER($I$39)),"",IF(COUNTIFS(tblForecasts[SKU],$B$39,tblForecasts[Month],EDATE($I$39,1))=0,"",SUMIFS(tblForecasts[Forecast (units)],tblForecasts[SKU],$B$39,tblForecasts[Month],EDATE($I$39,1)))))</f>
        <v>80</v>
      </c>
      <c r="L39" s="56">
        <f>TargetAcc</f>
        <v>0.8</v>
      </c>
    </row>
    <row r="41" spans="2:12">
      <c r="B41" s="32" t="s">
        <v>138</v>
      </c>
      <c r="C41" s="32"/>
      <c r="D41" s="32"/>
      <c r="E41" s="32"/>
      <c r="F41" s="32"/>
      <c r="G41" s="32"/>
      <c r="H41" s="32"/>
    </row>
    <row r="42" spans="2:12" ht="32" customHeight="1">
      <c r="B42" s="51" t="s">
        <v>105</v>
      </c>
      <c r="C42" s="33" t="s">
        <v>106</v>
      </c>
      <c r="D42" s="33" t="s">
        <v>107</v>
      </c>
      <c r="E42" s="33" t="s">
        <v>129</v>
      </c>
      <c r="F42" s="33" t="s">
        <v>130</v>
      </c>
      <c r="G42" s="33" t="s">
        <v>131</v>
      </c>
      <c r="H42" s="33" t="s">
        <v>137</v>
      </c>
    </row>
    <row r="43" spans="2:12">
      <c r="B43" s="57">
        <f>IF($B$44="","",IFERROR(LARGE(tblForecasts[View date],COUNTIF(tblForecasts[View date],"&gt;="&amp;$B$44)+1),""))</f>
        <v>45931</v>
      </c>
      <c r="C43" s="37">
        <f>IF($B$43="","",SUMIFS(tblForecasts[Forecast (units)],tblForecasts[View date],$B$43))</f>
        <v>3130</v>
      </c>
      <c r="D43" s="37">
        <f>IF($B$43="","",IF(COUNTIFS(tblForecasts[Within tolerance],"?*",tblForecasts[View date],$B$43)=0,"",SUMIFS(tblForecasts[Actual (units)],tblForecasts[View date],$B$43)))</f>
        <v>3039</v>
      </c>
      <c r="E43" s="38">
        <f>IF($B$43="","",IF(SUMIFS(tblForecasts[Actual (units)],tblForecasts[View date],$B$43)=0,"",MAX(0,1-SUMIFS(tblForecasts[Abs error (units)],tblForecasts[View date],$B$43)/SUMIFS(tblForecasts[Actual (units)],tblForecasts[View date],$B$43))))</f>
        <v>0.91609081934847</v>
      </c>
      <c r="F43" s="53">
        <f>IF($B$43="","",IF((SUMIFS(tblForecasts[Actual (units)],tblForecasts[View date],$B$43))=0,"",(SUMIFS(tblForecasts[Error (units)],tblForecasts[View date],$B$43))/(SUMIFS(tblForecasts[Actual (units)],tblForecasts[View date],$B$43))))</f>
        <v>0.0299440605462323</v>
      </c>
      <c r="G43" s="54">
        <f>IF($B$43="","",IF((COUNTIFS(tblForecasts[Within tolerance],"Yes",tblForecasts[View date],$B$43)+COUNTIFS(tblForecasts[Within tolerance],"No",tblForecasts[View date],$B$43))=0,"",(COUNTIFS(tblForecasts[Within tolerance],"Yes",tblForecasts[View date],$B$43))/(COUNTIFS(tblForecasts[Within tolerance],"Yes",tblForecasts[View date],$B$43)+COUNTIFS(tblForecasts[Within tolerance],"No",tblForecasts[View date],$B$43))))</f>
        <v>1</v>
      </c>
      <c r="H43" s="56">
        <f>TargetAcc</f>
        <v>0.8</v>
      </c>
    </row>
    <row r="44" spans="2:12">
      <c r="B44" s="57">
        <f>IF($B$45="","",IFERROR(LARGE(tblForecasts[View date],COUNTIF(tblForecasts[View date],"&gt;="&amp;$B$45)+1),""))</f>
        <v>45962</v>
      </c>
      <c r="C44" s="37">
        <f>IF($B$44="","",SUMIFS(tblForecasts[Forecast (units)],tblForecasts[View date],$B$44))</f>
        <v>3310</v>
      </c>
      <c r="D44" s="37">
        <f>IF($B$44="","",IF(COUNTIFS(tblForecasts[Within tolerance],"?*",tblForecasts[View date],$B$44)=0,"",SUMIFS(tblForecasts[Actual (units)],tblForecasts[View date],$B$44)))</f>
        <v>3251</v>
      </c>
      <c r="E44" s="38">
        <f>IF($B$44="","",IF(SUMIFS(tblForecasts[Actual (units)],tblForecasts[View date],$B$44)=0,"",MAX(0,1-SUMIFS(tblForecasts[Abs error (units)],tblForecasts[View date],$B$44)/SUMIFS(tblForecasts[Actual (units)],tblForecasts[View date],$B$44))))</f>
        <v>0.901261150415257</v>
      </c>
      <c r="F44" s="53">
        <f>IF($B$44="","",IF((SUMIFS(tblForecasts[Actual (units)],tblForecasts[View date],$B$44))=0,"",(SUMIFS(tblForecasts[Error (units)],tblForecasts[View date],$B$44))/(SUMIFS(tblForecasts[Actual (units)],tblForecasts[View date],$B$44))))</f>
        <v>0.0181482620732082</v>
      </c>
      <c r="G44" s="54">
        <f>IF($B$44="","",IF((COUNTIFS(tblForecasts[Within tolerance],"Yes",tblForecasts[View date],$B$44)+COUNTIFS(tblForecasts[Within tolerance],"No",tblForecasts[View date],$B$44))=0,"",(COUNTIFS(tblForecasts[Within tolerance],"Yes",tblForecasts[View date],$B$44))/(COUNTIFS(tblForecasts[Within tolerance],"Yes",tblForecasts[View date],$B$44)+COUNTIFS(tblForecasts[Within tolerance],"No",tblForecasts[View date],$B$44))))</f>
        <v>0.857142857142857</v>
      </c>
      <c r="H44" s="56">
        <f>TargetAcc</f>
        <v>0.8</v>
      </c>
    </row>
    <row r="45" spans="2:12">
      <c r="B45" s="57">
        <f>IF($B$46="","",IFERROR(LARGE(tblForecasts[View date],COUNTIF(tblForecasts[View date],"&gt;="&amp;$B$46)+1),""))</f>
        <v>45992</v>
      </c>
      <c r="C45" s="37">
        <f>IF($B$45="","",SUMIFS(tblForecasts[Forecast (units)],tblForecasts[View date],$B$45))</f>
        <v>3120</v>
      </c>
      <c r="D45" s="37">
        <f>IF($B$45="","",IF(COUNTIFS(tblForecasts[Within tolerance],"?*",tblForecasts[View date],$B$45)=0,"",SUMIFS(tblForecasts[Actual (units)],tblForecasts[View date],$B$45)))</f>
        <v>3224</v>
      </c>
      <c r="E45" s="38">
        <f>IF($B$45="","",IF(SUMIFS(tblForecasts[Actual (units)],tblForecasts[View date],$B$45)=0,"",MAX(0,1-SUMIFS(tblForecasts[Abs error (units)],tblForecasts[View date],$B$45)/SUMIFS(tblForecasts[Actual (units)],tblForecasts[View date],$B$45))))</f>
        <v>0.891439205955335</v>
      </c>
      <c r="F45" s="53">
        <f>IF($B$45="","",IF((SUMIFS(tblForecasts[Actual (units)],tblForecasts[View date],$B$45))=0,"",(SUMIFS(tblForecasts[Error (units)],tblForecasts[View date],$B$45))/(SUMIFS(tblForecasts[Actual (units)],tblForecasts[View date],$B$45))))</f>
        <v>-0.032258064516129</v>
      </c>
      <c r="G45" s="54">
        <f>IF($B$45="","",IF((COUNTIFS(tblForecasts[Within tolerance],"Yes",tblForecasts[View date],$B$45)+COUNTIFS(tblForecasts[Within tolerance],"No",tblForecasts[View date],$B$45))=0,"",(COUNTIFS(tblForecasts[Within tolerance],"Yes",tblForecasts[View date],$B$45))/(COUNTIFS(tblForecasts[Within tolerance],"Yes",tblForecasts[View date],$B$45)+COUNTIFS(tblForecasts[Within tolerance],"No",tblForecasts[View date],$B$45))))</f>
        <v>0.857142857142857</v>
      </c>
      <c r="H45" s="56">
        <f>TargetAcc</f>
        <v>0.8</v>
      </c>
    </row>
    <row r="46" spans="2:12">
      <c r="B46" s="57">
        <f>IF($B$47="","",IFERROR(LARGE(tblForecasts[View date],COUNTIF(tblForecasts[View date],"&gt;="&amp;$B$47)+1),""))</f>
        <v>46023</v>
      </c>
      <c r="C46" s="37">
        <f>IF($B$46="","",SUMIFS(tblForecasts[Forecast (units)],tblForecasts[View date],$B$46))</f>
        <v>3250</v>
      </c>
      <c r="D46" s="37">
        <f>IF($B$46="","",IF(COUNTIFS(tblForecasts[Within tolerance],"?*",tblForecasts[View date],$B$46)=0,"",SUMIFS(tblForecasts[Actual (units)],tblForecasts[View date],$B$46)))</f>
        <v>3075</v>
      </c>
      <c r="E46" s="38">
        <f>IF($B$46="","",IF(SUMIFS(tblForecasts[Actual (units)],tblForecasts[View date],$B$46)=0,"",MAX(0,1-SUMIFS(tblForecasts[Abs error (units)],tblForecasts[View date],$B$46)/SUMIFS(tblForecasts[Actual (units)],tblForecasts[View date],$B$46))))</f>
        <v>0.898211382113821</v>
      </c>
      <c r="F46" s="53">
        <f>IF($B$46="","",IF((SUMIFS(tblForecasts[Actual (units)],tblForecasts[View date],$B$46))=0,"",(SUMIFS(tblForecasts[Error (units)],tblForecasts[View date],$B$46))/(SUMIFS(tblForecasts[Actual (units)],tblForecasts[View date],$B$46))))</f>
        <v>0.0569105691056911</v>
      </c>
      <c r="G46" s="54">
        <f>IF($B$46="","",IF((COUNTIFS(tblForecasts[Within tolerance],"Yes",tblForecasts[View date],$B$46)+COUNTIFS(tblForecasts[Within tolerance],"No",tblForecasts[View date],$B$46))=0,"",(COUNTIFS(tblForecasts[Within tolerance],"Yes",tblForecasts[View date],$B$46))/(COUNTIFS(tblForecasts[Within tolerance],"Yes",tblForecasts[View date],$B$46)+COUNTIFS(tblForecasts[Within tolerance],"No",tblForecasts[View date],$B$46))))</f>
        <v>0.571428571428571</v>
      </c>
      <c r="H46" s="56">
        <f>TargetAcc</f>
        <v>0.8</v>
      </c>
    </row>
    <row r="47" spans="2:12">
      <c r="B47" s="57">
        <f>IF($B$48="","",IFERROR(LARGE(tblForecasts[View date],COUNTIF(tblForecasts[View date],"&gt;="&amp;$B$48)+1),""))</f>
        <v>46054</v>
      </c>
      <c r="C47" s="37">
        <f>IF($B$47="","",SUMIFS(tblForecasts[Forecast (units)],tblForecasts[View date],$B$47))</f>
        <v>3180</v>
      </c>
      <c r="D47" s="37">
        <f>IF($B$47="","",IF(COUNTIFS(tblForecasts[Within tolerance],"?*",tblForecasts[View date],$B$47)=0,"",SUMIFS(tblForecasts[Actual (units)],tblForecasts[View date],$B$47)))</f>
        <v>3302</v>
      </c>
      <c r="E47" s="38">
        <f>IF($B$47="","",IF(SUMIFS(tblForecasts[Actual (units)],tblForecasts[View date],$B$47)=0,"",MAX(0,1-SUMIFS(tblForecasts[Abs error (units)],tblForecasts[View date],$B$47)/SUMIFS(tblForecasts[Actual (units)],tblForecasts[View date],$B$47))))</f>
        <v>0.883101150817686</v>
      </c>
      <c r="F47" s="53">
        <f>IF($B$47="","",IF((SUMIFS(tblForecasts[Actual (units)],tblForecasts[View date],$B$47))=0,"",(SUMIFS(tblForecasts[Error (units)],tblForecasts[View date],$B$47))/(SUMIFS(tblForecasts[Actual (units)],tblForecasts[View date],$B$47))))</f>
        <v>-0.0369473046638401</v>
      </c>
      <c r="G47" s="54">
        <f>IF($B$47="","",IF((COUNTIFS(tblForecasts[Within tolerance],"Yes",tblForecasts[View date],$B$47)+COUNTIFS(tblForecasts[Within tolerance],"No",tblForecasts[View date],$B$47))=0,"",(COUNTIFS(tblForecasts[Within tolerance],"Yes",tblForecasts[View date],$B$47))/(COUNTIFS(tblForecasts[Within tolerance],"Yes",tblForecasts[View date],$B$47)+COUNTIFS(tblForecasts[Within tolerance],"No",tblForecasts[View date],$B$47))))</f>
        <v>0.857142857142857</v>
      </c>
      <c r="H47" s="56">
        <f>TargetAcc</f>
        <v>0.8</v>
      </c>
    </row>
    <row r="48" spans="2:12">
      <c r="B48" s="57">
        <f>IF($B$49="","",IFERROR(LARGE(tblForecasts[View date],COUNTIF(tblForecasts[View date],"&gt;="&amp;$B$49)+1),""))</f>
        <v>46082</v>
      </c>
      <c r="C48" s="37">
        <f>IF($B$48="","",SUMIFS(tblForecasts[Forecast (units)],tblForecasts[View date],$B$48))</f>
        <v>3780</v>
      </c>
      <c r="D48" s="37">
        <f>IF($B$48="","",IF(COUNTIFS(tblForecasts[Within tolerance],"?*",tblForecasts[View date],$B$48)=0,"",SUMIFS(tblForecasts[Actual (units)],tblForecasts[View date],$B$48)))</f>
        <v>3647</v>
      </c>
      <c r="E48" s="38">
        <f>IF($B$48="","",IF(SUMIFS(tblForecasts[Actual (units)],tblForecasts[View date],$B$48)=0,"",MAX(0,1-SUMIFS(tblForecasts[Abs error (units)],tblForecasts[View date],$B$48)/SUMIFS(tblForecasts[Actual (units)],tblForecasts[View date],$B$48))))</f>
        <v>0.925143953934741</v>
      </c>
      <c r="F48" s="53">
        <f>IF($B$48="","",IF((SUMIFS(tblForecasts[Actual (units)],tblForecasts[View date],$B$48))=0,"",(SUMIFS(tblForecasts[Error (units)],tblForecasts[View date],$B$48))/(SUMIFS(tblForecasts[Actual (units)],tblForecasts[View date],$B$48))))</f>
        <v>0.036468330134357</v>
      </c>
      <c r="G48" s="54">
        <f>IF($B$48="","",IF((COUNTIFS(tblForecasts[Within tolerance],"Yes",tblForecasts[View date],$B$48)+COUNTIFS(tblForecasts[Within tolerance],"No",tblForecasts[View date],$B$48))=0,"",(COUNTIFS(tblForecasts[Within tolerance],"Yes",tblForecasts[View date],$B$48))/(COUNTIFS(tblForecasts[Within tolerance],"Yes",tblForecasts[View date],$B$48)+COUNTIFS(tblForecasts[Within tolerance],"No",tblForecasts[View date],$B$48))))</f>
        <v>0.571428571428571</v>
      </c>
      <c r="H48" s="56">
        <f>TargetAcc</f>
        <v>0.8</v>
      </c>
    </row>
    <row r="49" spans="2:12">
      <c r="B49" s="57">
        <f>IF($B$50="","",IFERROR(LARGE(tblForecasts[View date],COUNTIF(tblForecasts[View date],"&gt;="&amp;$B$50)+1),""))</f>
        <v>46113</v>
      </c>
      <c r="C49" s="37">
        <f>IF($B$49="","",SUMIFS(tblForecasts[Forecast (units)],tblForecasts[View date],$B$49))</f>
        <v>4490</v>
      </c>
      <c r="D49" s="37">
        <f>IF($B$49="","",IF(COUNTIFS(tblForecasts[Within tolerance],"?*",tblForecasts[View date],$B$49)=0,"",SUMIFS(tblForecasts[Actual (units)],tblForecasts[View date],$B$49)))</f>
        <v>4216</v>
      </c>
      <c r="E49" s="38">
        <f>IF($B$49="","",IF(SUMIFS(tblForecasts[Actual (units)],tblForecasts[View date],$B$49)=0,"",MAX(0,1-SUMIFS(tblForecasts[Abs error (units)],tblForecasts[View date],$B$49)/SUMIFS(tblForecasts[Actual (units)],tblForecasts[View date],$B$49))))</f>
        <v>0.911290322580645</v>
      </c>
      <c r="F49" s="53">
        <f>IF($B$49="","",IF((SUMIFS(tblForecasts[Actual (units)],tblForecasts[View date],$B$49))=0,"",(SUMIFS(tblForecasts[Error (units)],tblForecasts[View date],$B$49))/(SUMIFS(tblForecasts[Actual (units)],tblForecasts[View date],$B$49))))</f>
        <v>0.0649905123339658</v>
      </c>
      <c r="G49" s="54">
        <f>IF($B$49="","",IF((COUNTIFS(tblForecasts[Within tolerance],"Yes",tblForecasts[View date],$B$49)+COUNTIFS(tblForecasts[Within tolerance],"No",tblForecasts[View date],$B$49))=0,"",(COUNTIFS(tblForecasts[Within tolerance],"Yes",tblForecasts[View date],$B$49))/(COUNTIFS(tblForecasts[Within tolerance],"Yes",tblForecasts[View date],$B$49)+COUNTIFS(tblForecasts[Within tolerance],"No",tblForecasts[View date],$B$49))))</f>
        <v>0.625</v>
      </c>
      <c r="H49" s="56">
        <f>TargetAcc</f>
        <v>0.8</v>
      </c>
    </row>
    <row r="50" spans="2:12">
      <c r="B50" s="57">
        <f>IF($B$51="","",IFERROR(LARGE(tblForecasts[View date],COUNTIF(tblForecasts[View date],"&gt;="&amp;$B$51)+1),""))</f>
        <v>46143</v>
      </c>
      <c r="C50" s="37">
        <f>IF($B$50="","",SUMIFS(tblForecasts[Forecast (units)],tblForecasts[View date],$B$50))</f>
        <v>4630</v>
      </c>
      <c r="D50" s="37">
        <f>IF($B$50="","",IF(COUNTIFS(tblForecasts[Within tolerance],"?*",tblForecasts[View date],$B$50)=0,"",SUMIFS(tblForecasts[Actual (units)],tblForecasts[View date],$B$50)))</f>
        <v>4397</v>
      </c>
      <c r="E50" s="38">
        <f>IF($B$50="","",IF(SUMIFS(tblForecasts[Actual (units)],tblForecasts[View date],$B$50)=0,"",MAX(0,1-SUMIFS(tblForecasts[Abs error (units)],tblForecasts[View date],$B$50)/SUMIFS(tblForecasts[Actual (units)],tblForecasts[View date],$B$50))))</f>
        <v>0.887423243120309</v>
      </c>
      <c r="F50" s="53">
        <f>IF($B$50="","",IF((SUMIFS(tblForecasts[Actual (units)],tblForecasts[View date],$B$50))=0,"",(SUMIFS(tblForecasts[Error (units)],tblForecasts[View date],$B$50))/(SUMIFS(tblForecasts[Actual (units)],tblForecasts[View date],$B$50))))</f>
        <v>0.0529906754605413</v>
      </c>
      <c r="G50" s="54">
        <f>IF($B$50="","",IF((COUNTIFS(tblForecasts[Within tolerance],"Yes",tblForecasts[View date],$B$50)+COUNTIFS(tblForecasts[Within tolerance],"No",tblForecasts[View date],$B$50))=0,"",(COUNTIFS(tblForecasts[Within tolerance],"Yes",tblForecasts[View date],$B$50))/(COUNTIFS(tblForecasts[Within tolerance],"Yes",tblForecasts[View date],$B$50)+COUNTIFS(tblForecasts[Within tolerance],"No",tblForecasts[View date],$B$50))))</f>
        <v>0.875</v>
      </c>
      <c r="H50" s="56">
        <f>TargetAcc</f>
        <v>0.8</v>
      </c>
    </row>
    <row r="51" spans="2:12">
      <c r="B51" s="57">
        <f>IF($B$52="","",IFERROR(LARGE(tblForecasts[View date],COUNTIF(tblForecasts[View date],"&gt;="&amp;$B$52)+1),""))</f>
        <v>46174</v>
      </c>
      <c r="C51" s="37">
        <f>IF($B$51="","",SUMIFS(tblForecasts[Forecast (units)],tblForecasts[View date],$B$51))</f>
        <v>4170</v>
      </c>
      <c r="D51" s="37">
        <f>IF($B$51="","",IF(COUNTIFS(tblForecasts[Within tolerance],"?*",tblForecasts[View date],$B$51)=0,"",SUMIFS(tblForecasts[Actual (units)],tblForecasts[View date],$B$51)))</f>
        <v>4210</v>
      </c>
      <c r="E51" s="38">
        <f>IF($B$51="","",IF(SUMIFS(tblForecasts[Actual (units)],tblForecasts[View date],$B$51)=0,"",MAX(0,1-SUMIFS(tblForecasts[Abs error (units)],tblForecasts[View date],$B$51)/SUMIFS(tblForecasts[Actual (units)],tblForecasts[View date],$B$51))))</f>
        <v>0.888361045130641</v>
      </c>
      <c r="F51" s="53">
        <f>IF($B$51="","",IF((SUMIFS(tblForecasts[Actual (units)],tblForecasts[View date],$B$51))=0,"",(SUMIFS(tblForecasts[Error (units)],tblForecasts[View date],$B$51))/(SUMIFS(tblForecasts[Actual (units)],tblForecasts[View date],$B$51))))</f>
        <v>-0.00950118764845606</v>
      </c>
      <c r="G51" s="54">
        <f>IF($B$51="","",IF((COUNTIFS(tblForecasts[Within tolerance],"Yes",tblForecasts[View date],$B$51)+COUNTIFS(tblForecasts[Within tolerance],"No",tblForecasts[View date],$B$51))=0,"",(COUNTIFS(tblForecasts[Within tolerance],"Yes",tblForecasts[View date],$B$51))/(COUNTIFS(tblForecasts[Within tolerance],"Yes",tblForecasts[View date],$B$51)+COUNTIFS(tblForecasts[Within tolerance],"No",tblForecasts[View date],$B$51))))</f>
        <v>0.625</v>
      </c>
      <c r="H51" s="56">
        <f>TargetAcc</f>
        <v>0.8</v>
      </c>
    </row>
    <row r="52" spans="2:12">
      <c r="B52" s="57">
        <f>IF($B$53="","",IFERROR(LARGE(tblForecasts[View date],COUNTIF(tblForecasts[View date],"&gt;="&amp;$B$53)+1),""))</f>
        <v>46204</v>
      </c>
      <c r="C52" s="37">
        <f>IF($B$52="","",SUMIFS(tblForecasts[Forecast (units)],tblForecasts[View date],$B$52))</f>
        <v>3510</v>
      </c>
      <c r="D52" s="37">
        <f>IF($B$52="","",IF(COUNTIFS(tblForecasts[Within tolerance],"?*",tblForecasts[View date],$B$52)=0,"",SUMIFS(tblForecasts[Actual (units)],tblForecasts[View date],$B$52)))</f>
        <v>3468</v>
      </c>
      <c r="E52" s="38">
        <f>IF($B$52="","",IF(SUMIFS(tblForecasts[Actual (units)],tblForecasts[View date],$B$52)=0,"",MAX(0,1-SUMIFS(tblForecasts[Abs error (units)],tblForecasts[View date],$B$52)/SUMIFS(tblForecasts[Actual (units)],tblForecasts[View date],$B$52))))</f>
        <v>0.924452133794694</v>
      </c>
      <c r="F52" s="53">
        <f>IF($B$52="","",IF((SUMIFS(tblForecasts[Actual (units)],tblForecasts[View date],$B$52))=0,"",(SUMIFS(tblForecasts[Error (units)],tblForecasts[View date],$B$52))/(SUMIFS(tblForecasts[Actual (units)],tblForecasts[View date],$B$52))))</f>
        <v>0.0121107266435986</v>
      </c>
      <c r="G52" s="54">
        <f>IF($B$52="","",IF((COUNTIFS(tblForecasts[Within tolerance],"Yes",tblForecasts[View date],$B$52)+COUNTIFS(tblForecasts[Within tolerance],"No",tblForecasts[View date],$B$52))=0,"",(COUNTIFS(tblForecasts[Within tolerance],"Yes",tblForecasts[View date],$B$52))/(COUNTIFS(tblForecasts[Within tolerance],"Yes",tblForecasts[View date],$B$52)+COUNTIFS(tblForecasts[Within tolerance],"No",tblForecasts[View date],$B$52))))</f>
        <v>1</v>
      </c>
      <c r="H52" s="56">
        <f>TargetAcc</f>
        <v>0.8</v>
      </c>
    </row>
    <row r="53" spans="2:12">
      <c r="B53" s="57">
        <f>IF($B$54="","",IFERROR(LARGE(tblForecasts[View date],COUNTIF(tblForecasts[View date],"&gt;="&amp;$B$54)+1),""))</f>
        <v>46235</v>
      </c>
      <c r="C53" s="37">
        <f>IF($B$53="","",SUMIFS(tblForecasts[Forecast (units)],tblForecasts[View date],$B$53))</f>
        <v>3560</v>
      </c>
      <c r="D53" s="37">
        <f>IF($B$53="","",IF(COUNTIFS(tblForecasts[Within tolerance],"?*",tblForecasts[View date],$B$53)=0,"",SUMIFS(tblForecasts[Actual (units)],tblForecasts[View date],$B$53)))</f>
        <v>3393</v>
      </c>
      <c r="E53" s="38">
        <f>IF($B$53="","",IF(SUMIFS(tblForecasts[Actual (units)],tblForecasts[View date],$B$53)=0,"",MAX(0,1-SUMIFS(tblForecasts[Abs error (units)],tblForecasts[View date],$B$53)/SUMIFS(tblForecasts[Actual (units)],tblForecasts[View date],$B$53))))</f>
        <v>0.914235190097259</v>
      </c>
      <c r="F53" s="53">
        <f>IF($B$53="","",IF((SUMIFS(tblForecasts[Actual (units)],tblForecasts[View date],$B$53))=0,"",(SUMIFS(tblForecasts[Error (units)],tblForecasts[View date],$B$53))/(SUMIFS(tblForecasts[Actual (units)],tblForecasts[View date],$B$53))))</f>
        <v>0.049218980253463</v>
      </c>
      <c r="G53" s="54">
        <f>IF($B$53="","",IF((COUNTIFS(tblForecasts[Within tolerance],"Yes",tblForecasts[View date],$B$53)+COUNTIFS(tblForecasts[Within tolerance],"No",tblForecasts[View date],$B$53))=0,"",(COUNTIFS(tblForecasts[Within tolerance],"Yes",tblForecasts[View date],$B$53))/(COUNTIFS(tblForecasts[Within tolerance],"Yes",tblForecasts[View date],$B$53)+COUNTIFS(tblForecasts[Within tolerance],"No",tblForecasts[View date],$B$53))))</f>
        <v>0.75</v>
      </c>
      <c r="H53" s="56">
        <f>TargetAcc</f>
        <v>0.8</v>
      </c>
    </row>
    <row r="54" spans="2:12">
      <c r="B54" s="57">
        <f>IF($B$55="","",IFERROR(LARGE(tblForecasts[View date],COUNTIF(tblForecasts[View date],"&gt;="&amp;$B$55)+1),""))</f>
        <v>46266</v>
      </c>
      <c r="C54" s="37">
        <f>IF($B$54="","",SUMIFS(tblForecasts[Forecast (units)],tblForecasts[View date],$B$54))</f>
        <v>3550</v>
      </c>
      <c r="D54" s="37">
        <f>IF($B$54="","",IF(COUNTIFS(tblForecasts[Within tolerance],"?*",tblForecasts[View date],$B$54)=0,"",SUMIFS(tblForecasts[Actual (units)],tblForecasts[View date],$B$54)))</f>
        <v>3499</v>
      </c>
      <c r="E54" s="38">
        <f>IF($B$54="","",IF(SUMIFS(tblForecasts[Actual (units)],tblForecasts[View date],$B$54)=0,"",MAX(0,1-SUMIFS(tblForecasts[Abs error (units)],tblForecasts[View date],$B$54)/SUMIFS(tblForecasts[Actual (units)],tblForecasts[View date],$B$54))))</f>
        <v>0.932837953701058</v>
      </c>
      <c r="F54" s="53">
        <f>IF($B$54="","",IF((SUMIFS(tblForecasts[Actual (units)],tblForecasts[View date],$B$54))=0,"",(SUMIFS(tblForecasts[Error (units)],tblForecasts[View date],$B$54))/(SUMIFS(tblForecasts[Actual (units)],tblForecasts[View date],$B$54))))</f>
        <v>0.014575593026579</v>
      </c>
      <c r="G54" s="54">
        <f>IF($B$54="","",IF((COUNTIFS(tblForecasts[Within tolerance],"Yes",tblForecasts[View date],$B$54)+COUNTIFS(tblForecasts[Within tolerance],"No",tblForecasts[View date],$B$54))=0,"",(COUNTIFS(tblForecasts[Within tolerance],"Yes",tblForecasts[View date],$B$54))/(COUNTIFS(tblForecasts[Within tolerance],"Yes",tblForecasts[View date],$B$54)+COUNTIFS(tblForecasts[Within tolerance],"No",tblForecasts[View date],$B$54))))</f>
        <v>0.75</v>
      </c>
      <c r="H54" s="56">
        <f>TargetAcc</f>
        <v>0.8</v>
      </c>
    </row>
    <row r="55" spans="2:12">
      <c r="B55" s="57">
        <f>IF($B$56="","",IFERROR(LARGE(tblForecasts[View date],COUNTIF(tblForecasts[View date],"&gt;="&amp;$B$56)+1),""))</f>
        <v>46296</v>
      </c>
      <c r="C55" s="37">
        <f>IF($B$55="","",SUMIFS(tblForecasts[Forecast (units)],tblForecasts[View date],$B$55))</f>
        <v>3600</v>
      </c>
      <c r="D55" s="37">
        <f>IF($B$55="","",IF(COUNTIFS(tblForecasts[Within tolerance],"?*",tblForecasts[View date],$B$55)=0,"",SUMIFS(tblForecasts[Actual (units)],tblForecasts[View date],$B$55)))</f>
        <v/>
      </c>
      <c r="E55" s="38">
        <f>IF($B$55="","",IF(SUMIFS(tblForecasts[Actual (units)],tblForecasts[View date],$B$55)=0,"",MAX(0,1-SUMIFS(tblForecasts[Abs error (units)],tblForecasts[View date],$B$55)/SUMIFS(tblForecasts[Actual (units)],tblForecasts[View date],$B$55))))</f>
        <v/>
      </c>
      <c r="F55" s="53">
        <f>IF($B$55="","",IF((SUMIFS(tblForecasts[Actual (units)],tblForecasts[View date],$B$55))=0,"",(SUMIFS(tblForecasts[Error (units)],tblForecasts[View date],$B$55))/(SUMIFS(tblForecasts[Actual (units)],tblForecasts[View date],$B$55))))</f>
        <v/>
      </c>
      <c r="G55" s="54">
        <f>IF($B$55="","",IF((COUNTIFS(tblForecasts[Within tolerance],"Yes",tblForecasts[View date],$B$55)+COUNTIFS(tblForecasts[Within tolerance],"No",tblForecasts[View date],$B$55))=0,"",(COUNTIFS(tblForecasts[Within tolerance],"Yes",tblForecasts[View date],$B$55))/(COUNTIFS(tblForecasts[Within tolerance],"Yes",tblForecasts[View date],$B$55)+COUNTIFS(tblForecasts[Within tolerance],"No",tblForecasts[View date],$B$55))))</f>
        <v/>
      </c>
      <c r="H55" s="56">
        <f>TargetAcc</f>
        <v>0.8</v>
      </c>
    </row>
    <row r="56" spans="2:12">
      <c r="B56" s="57">
        <f>IF($B$57="","",IFERROR(LARGE(tblForecasts[View date],COUNTIF(tblForecasts[View date],"&gt;="&amp;$B$57)+1),""))</f>
        <v>46327</v>
      </c>
      <c r="C56" s="37">
        <f>IF($B$56="","",SUMIFS(tblForecasts[Forecast (units)],tblForecasts[View date],$B$56))</f>
        <v>3630</v>
      </c>
      <c r="D56" s="37">
        <f>IF($B$56="","",IF(COUNTIFS(tblForecasts[Within tolerance],"?*",tblForecasts[View date],$B$56)=0,"",SUMIFS(tblForecasts[Actual (units)],tblForecasts[View date],$B$56)))</f>
        <v/>
      </c>
      <c r="E56" s="38">
        <f>IF($B$56="","",IF(SUMIFS(tblForecasts[Actual (units)],tblForecasts[View date],$B$56)=0,"",MAX(0,1-SUMIFS(tblForecasts[Abs error (units)],tblForecasts[View date],$B$56)/SUMIFS(tblForecasts[Actual (units)],tblForecasts[View date],$B$56))))</f>
        <v/>
      </c>
      <c r="F56" s="53">
        <f>IF($B$56="","",IF((SUMIFS(tblForecasts[Actual (units)],tblForecasts[View date],$B$56))=0,"",(SUMIFS(tblForecasts[Error (units)],tblForecasts[View date],$B$56))/(SUMIFS(tblForecasts[Actual (units)],tblForecasts[View date],$B$56))))</f>
        <v/>
      </c>
      <c r="G56" s="54">
        <f>IF($B$56="","",IF((COUNTIFS(tblForecasts[Within tolerance],"Yes",tblForecasts[View date],$B$56)+COUNTIFS(tblForecasts[Within tolerance],"No",tblForecasts[View date],$B$56))=0,"",(COUNTIFS(tblForecasts[Within tolerance],"Yes",tblForecasts[View date],$B$56))/(COUNTIFS(tblForecasts[Within tolerance],"Yes",tblForecasts[View date],$B$56)+COUNTIFS(tblForecasts[Within tolerance],"No",tblForecasts[View date],$B$56))))</f>
        <v/>
      </c>
      <c r="H56" s="56">
        <f>TargetAcc</f>
        <v>0.8</v>
      </c>
    </row>
    <row r="57" spans="2:12">
      <c r="B57" s="57">
        <f>IF(COUNT(tblForecasts[View date])=0,"",MAX(tblForecasts[View date]))</f>
        <v>46357</v>
      </c>
      <c r="C57" s="37">
        <f>IF($B$57="","",SUMIFS(tblForecasts[Forecast (units)],tblForecasts[View date],$B$57))</f>
        <v>3490</v>
      </c>
      <c r="D57" s="37">
        <f>IF($B$57="","",IF(COUNTIFS(tblForecasts[Within tolerance],"?*",tblForecasts[View date],$B$57)=0,"",SUMIFS(tblForecasts[Actual (units)],tblForecasts[View date],$B$57)))</f>
        <v/>
      </c>
      <c r="E57" s="38">
        <f>IF($B$57="","",IF(SUMIFS(tblForecasts[Actual (units)],tblForecasts[View date],$B$57)=0,"",MAX(0,1-SUMIFS(tblForecasts[Abs error (units)],tblForecasts[View date],$B$57)/SUMIFS(tblForecasts[Actual (units)],tblForecasts[View date],$B$57))))</f>
        <v/>
      </c>
      <c r="F57" s="53">
        <f>IF($B$57="","",IF((SUMIFS(tblForecasts[Actual (units)],tblForecasts[View date],$B$57))=0,"",(SUMIFS(tblForecasts[Error (units)],tblForecasts[View date],$B$57))/(SUMIFS(tblForecasts[Actual (units)],tblForecasts[View date],$B$57))))</f>
        <v/>
      </c>
      <c r="G57" s="54">
        <f>IF($B$57="","",IF((COUNTIFS(tblForecasts[Within tolerance],"Yes",tblForecasts[View date],$B$57)+COUNTIFS(tblForecasts[Within tolerance],"No",tblForecasts[View date],$B$57))=0,"",(COUNTIFS(tblForecasts[Within tolerance],"Yes",tblForecasts[View date],$B$57))/(COUNTIFS(tblForecasts[Within tolerance],"Yes",tblForecasts[View date],$B$57)+COUNTIFS(tblForecasts[Within tolerance],"No",tblForecasts[View date],$B$57))))</f>
        <v/>
      </c>
      <c r="H57" s="56">
        <f>TargetAcc</f>
        <v>0.8</v>
      </c>
    </row>
    <row r="59" spans="2:12" ht="8" customHeight="1"/>
    <row r="60" spans="2:12">
      <c r="B60" s="21" t="s">
        <v>139</v>
      </c>
      <c r="C60" s="21"/>
      <c r="D60" s="21"/>
      <c r="E60" s="21"/>
      <c r="F60" s="21"/>
      <c r="G60" s="21"/>
      <c r="H60" s="21"/>
      <c r="I60" s="21"/>
      <c r="J60" s="21"/>
      <c r="K60" s="21"/>
      <c r="L60" s="21"/>
    </row>
    <row r="61" spans="2:12">
      <c r="B61" s="58">
        <f>IF(COUNTA(tblSkus[SKU])&gt;8,"Setup lists more SKUs than the Dashboard shows: some are not included.","")</f>
        <v/>
      </c>
      <c r="C61" s="58"/>
      <c r="D61" s="58"/>
      <c r="E61" s="58"/>
      <c r="F61" s="58"/>
      <c r="G61" s="58"/>
      <c r="H61" s="58"/>
      <c r="I61" s="58"/>
      <c r="J61" s="58"/>
      <c r="K61" s="58"/>
      <c r="L61" s="58"/>
    </row>
  </sheetData>
  <sheetProtection sheet="1" formatColumns="0" formatRows="0"/>
  <mergeCells count="27">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L30"/>
    <mergeCell ref="B41:H41"/>
    <mergeCell ref="B60:L60"/>
    <mergeCell ref="B61:L61"/>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32:D39">
    <cfRule type="expression" dxfId="3" priority="41" stopIfTrue="1">
      <formula>AND(ISNUMBER(D32),D32&gt;=(TargetAcc))</formula>
    </cfRule>
    <cfRule type="expression" dxfId="4" priority="42" stopIfTrue="1">
      <formula>AND(ISNUMBER(D32),D32&gt;=(TargetAcc)*(1-0.05))</formula>
    </cfRule>
    <cfRule type="expression" dxfId="5" priority="43">
      <formula>ISNUMBER(D32)</formula>
    </cfRule>
  </conditionalFormatting>
  <conditionalFormatting sqref="E43:E57">
    <cfRule type="expression" dxfId="3" priority="64" stopIfTrue="1">
      <formula>AND(ISNUMBER(E43),E43&gt;=(TargetAcc))</formula>
    </cfRule>
    <cfRule type="expression" dxfId="4" priority="65" stopIfTrue="1">
      <formula>AND(ISNUMBER(E43),E43&gt;=(TargetAcc)*(1-0.05))</formula>
    </cfRule>
    <cfRule type="expression" dxfId="5" priority="66">
      <formula>ISNUMBER(E43)</formula>
    </cfRule>
  </conditionalFormatting>
  <conditionalFormatting sqref="H32:H39">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dataValidations count="3">
    <dataValidation type="list" allowBlank="1" showInputMessage="1" showErrorMessage="1" errorTitle="Check this entry" error="Pick from the list (edit the list on Setup: Skus)." promptTitle="SKU" prompt="Leave blank for all SKUs. Pick from the list (edit the list on Setup: Skus)." sqref="C4">
      <formula1>Skus</formula1>
    </dataValidation>
    <dataValidation type="date" allowBlank="1" showInputMessage="1" showErrorMessage="1" errorTitle="Check this entry" error="Enter a date between 01 Jan 2000 and 31 Dec 2100." promptTitle="From month" prompt="First month to include (the 1st).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month" prompt="Last month to include (the 1st).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Demand Forecast&amp;R&amp;8&amp;A</oddHeader>
    <oddFooter>&amp;L&amp;8mfgcalcs.com - free manufacturing templates&amp;R&amp;8Page &amp;P of &amp;N</oddFooter>
  </headerFooter>
  <rowBreaks count="2" manualBreakCount="2">
    <brk id="29" max="16383" man="1"/>
    <brk id="40"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140</v>
      </c>
      <c r="C4" s="8"/>
      <c r="D4" s="8"/>
    </row>
    <row r="5" spans="1:4" ht="5" customHeight="1"/>
    <row r="6" spans="1:4" ht="69" customHeight="1">
      <c r="B6" s="10" t="s">
        <v>141</v>
      </c>
      <c r="C6" s="10"/>
      <c r="D6" s="10"/>
    </row>
    <row r="8" spans="1:4" ht="21" customHeight="1">
      <c r="B8" s="8" t="s">
        <v>142</v>
      </c>
      <c r="C8" s="8"/>
      <c r="D8" s="8"/>
    </row>
    <row r="9" spans="1:4" ht="5" customHeight="1"/>
    <row r="10" spans="1:4" ht="20" customHeight="1">
      <c r="B10" s="51" t="s">
        <v>143</v>
      </c>
      <c r="C10" s="51" t="s">
        <v>144</v>
      </c>
      <c r="D10" s="33" t="s">
        <v>145</v>
      </c>
    </row>
    <row r="11" spans="1:4" ht="17.2" customHeight="1">
      <c r="B11" s="59" t="s">
        <v>146</v>
      </c>
      <c r="C11" s="60" t="s">
        <v>147</v>
      </c>
      <c r="D11" s="61" t="s">
        <v>148</v>
      </c>
    </row>
    <row r="12" spans="1:4" ht="17.2" customHeight="1">
      <c r="B12" s="59" t="s">
        <v>149</v>
      </c>
      <c r="C12" s="60" t="s">
        <v>150</v>
      </c>
      <c r="D12" s="61" t="s">
        <v>148</v>
      </c>
    </row>
    <row r="13" spans="1:4" ht="17.2" customHeight="1">
      <c r="B13" s="59" t="s">
        <v>151</v>
      </c>
      <c r="C13" s="60" t="s">
        <v>152</v>
      </c>
      <c r="D13" s="61" t="s">
        <v>70</v>
      </c>
    </row>
    <row r="14" spans="1:4" ht="30.4" customHeight="1">
      <c r="B14" s="59" t="s">
        <v>111</v>
      </c>
      <c r="C14" s="60" t="s">
        <v>153</v>
      </c>
      <c r="D14" s="61" t="s">
        <v>154</v>
      </c>
    </row>
    <row r="15" spans="1:4" ht="30.4" customHeight="1">
      <c r="B15" s="59" t="s">
        <v>155</v>
      </c>
      <c r="C15" s="60" t="s">
        <v>156</v>
      </c>
      <c r="D15" s="61" t="s">
        <v>148</v>
      </c>
    </row>
    <row r="16" spans="1:4" ht="17.2" customHeight="1">
      <c r="B16" s="59" t="s">
        <v>157</v>
      </c>
      <c r="C16" s="60" t="s">
        <v>158</v>
      </c>
      <c r="D16" s="61" t="s">
        <v>148</v>
      </c>
    </row>
    <row r="17" spans="2:4" ht="30.4" customHeight="1">
      <c r="B17" s="59" t="s">
        <v>159</v>
      </c>
      <c r="C17" s="60" t="s">
        <v>160</v>
      </c>
      <c r="D17" s="61" t="s">
        <v>70</v>
      </c>
    </row>
    <row r="18" spans="2:4" ht="17.2" customHeight="1">
      <c r="B18" s="59" t="s">
        <v>130</v>
      </c>
      <c r="C18" s="60" t="s">
        <v>161</v>
      </c>
      <c r="D18" s="61" t="s">
        <v>70</v>
      </c>
    </row>
    <row r="19" spans="2:4" ht="30.4" customHeight="1">
      <c r="B19" s="59" t="s">
        <v>131</v>
      </c>
      <c r="C19" s="60" t="s">
        <v>162</v>
      </c>
      <c r="D19" s="61" t="s">
        <v>70</v>
      </c>
    </row>
    <row r="20" spans="2:4" ht="30.4" customHeight="1">
      <c r="B20" s="59" t="s">
        <v>163</v>
      </c>
      <c r="C20" s="60" t="s">
        <v>164</v>
      </c>
      <c r="D20" s="61" t="s">
        <v>165</v>
      </c>
    </row>
    <row r="21" spans="2:4" ht="30.4" customHeight="1">
      <c r="B21" s="59" t="s">
        <v>135</v>
      </c>
      <c r="C21" s="60" t="s">
        <v>166</v>
      </c>
      <c r="D21" s="61" t="s">
        <v>148</v>
      </c>
    </row>
    <row r="23" spans="2:4" ht="21" customHeight="1">
      <c r="B23" s="8" t="s">
        <v>167</v>
      </c>
      <c r="C23" s="8"/>
      <c r="D23" s="8"/>
    </row>
    <row r="24" spans="2:4" ht="5" customHeight="1"/>
    <row r="25" spans="2:4" ht="29.4" customHeight="1">
      <c r="B25" s="26" t="s">
        <v>53</v>
      </c>
      <c r="C25" s="10" t="s">
        <v>168</v>
      </c>
      <c r="D25" s="10"/>
    </row>
    <row r="26" spans="2:4" ht="29.4" customHeight="1">
      <c r="B26" s="26" t="s">
        <v>53</v>
      </c>
      <c r="C26" s="10" t="s">
        <v>169</v>
      </c>
      <c r="D26" s="10"/>
    </row>
    <row r="27" spans="2:4" ht="29.4" customHeight="1">
      <c r="B27" s="26" t="s">
        <v>53</v>
      </c>
      <c r="C27" s="10" t="s">
        <v>170</v>
      </c>
      <c r="D27" s="10"/>
    </row>
    <row r="29" spans="2:4" ht="21" customHeight="1">
      <c r="B29" s="8" t="s">
        <v>171</v>
      </c>
      <c r="C29" s="8"/>
      <c r="D29" s="8"/>
    </row>
    <row r="30" spans="2:4" ht="5" customHeight="1"/>
    <row r="31" spans="2:4" ht="29.4" customHeight="1">
      <c r="B31" s="26" t="s">
        <v>53</v>
      </c>
      <c r="C31" s="10" t="s">
        <v>172</v>
      </c>
      <c r="D31" s="10"/>
    </row>
    <row r="32" spans="2:4" ht="29.4" customHeight="1">
      <c r="B32" s="26" t="s">
        <v>53</v>
      </c>
      <c r="C32" s="10" t="s">
        <v>173</v>
      </c>
      <c r="D32" s="10"/>
    </row>
    <row r="33" spans="2:4" ht="16.2" customHeight="1">
      <c r="B33" s="26" t="s">
        <v>53</v>
      </c>
      <c r="C33" s="10" t="s">
        <v>174</v>
      </c>
      <c r="D33" s="10"/>
    </row>
    <row r="34" spans="2:4" ht="29.4" customHeight="1">
      <c r="B34" s="26" t="s">
        <v>53</v>
      </c>
      <c r="C34" s="10" t="s">
        <v>175</v>
      </c>
      <c r="D34" s="10"/>
    </row>
    <row r="36" spans="2:4" ht="21" customHeight="1">
      <c r="B36" s="8" t="s">
        <v>176</v>
      </c>
      <c r="C36" s="8"/>
      <c r="D36" s="8"/>
    </row>
    <row r="37" spans="2:4" ht="5" customHeight="1"/>
    <row r="38" spans="2:4" ht="55.8" customHeight="1">
      <c r="B38" s="10" t="s">
        <v>177</v>
      </c>
      <c r="C38" s="10"/>
      <c r="D38" s="10"/>
    </row>
    <row r="39" spans="2:4">
      <c r="B39" s="24" t="s">
        <v>178</v>
      </c>
      <c r="C39" s="24"/>
      <c r="D39" s="24"/>
    </row>
    <row r="41" spans="2:4" ht="21" customHeight="1">
      <c r="B41" s="8" t="s">
        <v>40</v>
      </c>
      <c r="C41" s="8"/>
      <c r="D41" s="8"/>
    </row>
    <row r="42" spans="2:4" ht="5" customHeight="1"/>
    <row r="43" spans="2:4" ht="42.6" customHeight="1">
      <c r="B43" s="10" t="s">
        <v>179</v>
      </c>
      <c r="C43" s="10"/>
      <c r="D43" s="10"/>
    </row>
    <row r="45" spans="2:4" ht="21" customHeight="1">
      <c r="B45" s="8" t="s">
        <v>180</v>
      </c>
      <c r="C45" s="8"/>
      <c r="D45" s="8"/>
    </row>
    <row r="46" spans="2:4" ht="5" customHeight="1"/>
    <row r="47" spans="2:4" ht="29.4" customHeight="1">
      <c r="B47" s="26" t="s">
        <v>53</v>
      </c>
      <c r="C47" s="10" t="s">
        <v>181</v>
      </c>
      <c r="D47" s="10"/>
    </row>
    <row r="48" spans="2:4" ht="29.4" customHeight="1">
      <c r="B48" s="26" t="s">
        <v>53</v>
      </c>
      <c r="C48" s="10" t="s">
        <v>182</v>
      </c>
      <c r="D48" s="10"/>
    </row>
    <row r="49" spans="2:4" ht="29.4" customHeight="1">
      <c r="B49" s="26" t="s">
        <v>53</v>
      </c>
      <c r="C49" s="10" t="s">
        <v>183</v>
      </c>
      <c r="D49" s="10"/>
    </row>
    <row r="50" spans="2:4" ht="29.4" customHeight="1">
      <c r="B50" s="26" t="s">
        <v>53</v>
      </c>
      <c r="C50" s="10" t="s">
        <v>184</v>
      </c>
      <c r="D50" s="10"/>
    </row>
    <row r="51" spans="2:4">
      <c r="B51" s="21" t="s">
        <v>185</v>
      </c>
      <c r="C51" s="21"/>
      <c r="D51" s="21"/>
    </row>
    <row r="53" spans="2:4" ht="21" customHeight="1">
      <c r="B53" s="8" t="s">
        <v>186</v>
      </c>
      <c r="C53" s="8"/>
      <c r="D53" s="8"/>
    </row>
    <row r="54" spans="2:4" ht="5" customHeight="1"/>
    <row r="55" spans="2:4">
      <c r="B55" s="51" t="s">
        <v>48</v>
      </c>
      <c r="C55" s="51" t="s">
        <v>187</v>
      </c>
      <c r="D55" s="33" t="s">
        <v>188</v>
      </c>
    </row>
    <row r="56" spans="2:4" ht="16.2" customHeight="1">
      <c r="B56" s="62" t="s">
        <v>189</v>
      </c>
      <c r="C56" s="63" t="s">
        <v>190</v>
      </c>
      <c r="D56" s="64" t="s">
        <v>191</v>
      </c>
    </row>
    <row r="58" spans="2:4">
      <c r="B58" s="21" t="s">
        <v>59</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C50:D50"/>
    <mergeCell ref="B51:D51"/>
    <mergeCell ref="B53:D53"/>
    <mergeCell ref="B58:D58"/>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Demand Forecast&amp;R&amp;8&amp;A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N65"/>
  <sheetViews>
    <sheetView showGridLines="0" workbookViewId="0"/>
  </sheetViews>
  <sheetFormatPr defaultRowHeight="15"/>
  <cols>
    <col min="1" max="1" width="2.7109375" customWidth="1"/>
    <col min="2" max="19" width="12.7109375" customWidth="1"/>
  </cols>
  <sheetData>
    <row r="1" spans="1:14" ht="30" customHeight="1">
      <c r="A1" s="1" t="s">
        <v>0</v>
      </c>
      <c r="B1" s="1"/>
      <c r="C1" s="1"/>
      <c r="D1" s="1"/>
      <c r="E1" s="1"/>
      <c r="F1" s="1"/>
      <c r="G1" s="1"/>
      <c r="H1" s="1"/>
      <c r="I1" s="1"/>
      <c r="J1" s="1"/>
      <c r="K1" s="1"/>
      <c r="L1" s="1"/>
      <c r="M1" s="1"/>
      <c r="N1" s="1"/>
    </row>
    <row r="2" spans="1:14" ht="21" customHeight="1">
      <c r="B2" s="2" t="s">
        <v>26</v>
      </c>
      <c r="C2" s="2"/>
      <c r="D2" s="2"/>
      <c r="E2" s="2"/>
      <c r="F2" s="2"/>
      <c r="G2" s="2"/>
      <c r="H2" s="2"/>
      <c r="I2" s="2"/>
      <c r="J2" s="2"/>
      <c r="K2" s="2"/>
      <c r="L2" s="2"/>
      <c r="M2" s="2"/>
      <c r="N2" s="3" t="s">
        <v>2</v>
      </c>
    </row>
    <row r="3" spans="1:14" ht="6" customHeight="1"/>
    <row r="4" spans="1:14" ht="30" customHeight="1">
      <c r="B4" s="65" t="s">
        <v>192</v>
      </c>
      <c r="C4" s="65"/>
      <c r="D4" s="22" t="str">
        <f>IF(COUNTIF($K$11:$K$26,"PASS")=16,"PASS","FAIL")</f>
        <v>PASS</v>
      </c>
      <c r="E4" s="22"/>
      <c r="F4" s="23" t="str">
        <f>COUNTIF($K$11:$K$26,"PASS")&amp;" of 16 checks pass"</f>
        <v>16 of 16 checks pass</v>
      </c>
      <c r="G4" s="23"/>
      <c r="H4" s="23"/>
      <c r="I4" s="23"/>
      <c r="J4" s="23"/>
    </row>
    <row r="6" spans="1:14" ht="29.4" customHeight="1">
      <c r="B6" s="10" t="s">
        <v>193</v>
      </c>
      <c r="C6" s="10"/>
      <c r="D6" s="10"/>
      <c r="E6" s="10"/>
      <c r="F6" s="10"/>
      <c r="G6" s="10"/>
      <c r="H6" s="10"/>
      <c r="I6" s="10"/>
      <c r="J6" s="10"/>
      <c r="K6" s="10"/>
      <c r="L6" s="10"/>
    </row>
    <row r="8" spans="1:14" ht="21" customHeight="1">
      <c r="B8" s="8" t="s">
        <v>194</v>
      </c>
      <c r="C8" s="8"/>
      <c r="D8" s="8"/>
      <c r="E8" s="8"/>
      <c r="F8" s="8"/>
      <c r="G8" s="8"/>
      <c r="H8" s="8"/>
      <c r="I8" s="8"/>
      <c r="J8" s="8"/>
      <c r="K8" s="8"/>
      <c r="L8" s="8"/>
    </row>
    <row r="9" spans="1:14" ht="5" customHeight="1"/>
    <row r="10" spans="1:14" ht="30" customHeight="1">
      <c r="B10" s="33" t="s">
        <v>195</v>
      </c>
      <c r="C10" s="51" t="s">
        <v>115</v>
      </c>
      <c r="D10" s="51"/>
      <c r="E10" s="51"/>
      <c r="F10" s="51"/>
      <c r="G10" s="33" t="s">
        <v>196</v>
      </c>
      <c r="H10" s="33" t="s">
        <v>197</v>
      </c>
      <c r="I10" s="33" t="s">
        <v>198</v>
      </c>
      <c r="J10" s="33" t="s">
        <v>199</v>
      </c>
      <c r="K10" s="33" t="s">
        <v>200</v>
      </c>
    </row>
    <row r="11" spans="1:14" ht="16.2" customHeight="1">
      <c r="B11" s="66">
        <v>1</v>
      </c>
      <c r="C11" s="63" t="s">
        <v>201</v>
      </c>
      <c r="D11" s="63"/>
      <c r="E11" s="63"/>
      <c r="F11" s="63"/>
      <c r="G11" s="67">
        <v>-20</v>
      </c>
      <c r="H11" s="37">
        <f>$F$48</f>
        <v>-20</v>
      </c>
      <c r="I11" s="68">
        <f>IF(AND(ISNUMBER($G$11),ISNUMBER($H$11)),ABS($H$11-$G$11),"")</f>
        <v>0</v>
      </c>
      <c r="J11" s="69">
        <v>1E-09</v>
      </c>
      <c r="K11" s="39" t="str">
        <f>IF(AND(ISNUMBER($G$11),ISNUMBER($H$11)),IF(ABS($H$11-$G$11)&lt;=$J$11,"PASS","FAIL"),"FAIL")</f>
        <v>PASS</v>
      </c>
    </row>
    <row r="12" spans="1:14" ht="16.2" customHeight="1">
      <c r="B12" s="66">
        <v>2</v>
      </c>
      <c r="C12" s="63" t="s">
        <v>202</v>
      </c>
      <c r="D12" s="63"/>
      <c r="E12" s="63"/>
      <c r="F12" s="63"/>
      <c r="G12" s="56">
        <v>0.1538461538461539</v>
      </c>
      <c r="H12" s="38">
        <f>$H$48</f>
        <v>0.153846153846154</v>
      </c>
      <c r="I12" s="68">
        <f>IF(AND(ISNUMBER($G$12),ISNUMBER($H$12)),ABS($H$12-$G$12),"")</f>
        <v>0</v>
      </c>
      <c r="J12" s="69">
        <v>1E-09</v>
      </c>
      <c r="K12" s="39" t="str">
        <f>IF(AND(ISNUMBER($G$12),ISNUMBER($H$12)),IF(ABS($H$12-$G$12)&lt;=$J$12,"PASS","FAIL"),"FAIL")</f>
        <v>PASS</v>
      </c>
    </row>
    <row r="13" spans="1:14" ht="16.2" customHeight="1">
      <c r="B13" s="66">
        <v>3</v>
      </c>
      <c r="C13" s="63" t="s">
        <v>203</v>
      </c>
      <c r="D13" s="63"/>
      <c r="E13" s="63"/>
      <c r="F13" s="63"/>
      <c r="G13" s="62" t="s">
        <v>204</v>
      </c>
      <c r="H13" s="70" t="str">
        <f>$I$48</f>
        <v>Yes</v>
      </c>
      <c r="I13" s="70"/>
      <c r="J13" s="64" t="s">
        <v>205</v>
      </c>
      <c r="K13" s="39" t="str">
        <f>IF($H$13&amp;""=$G$13&amp;"","PASS","FAIL")</f>
        <v>PASS</v>
      </c>
    </row>
    <row r="14" spans="1:14" ht="16.2" customHeight="1">
      <c r="B14" s="66">
        <v>4</v>
      </c>
      <c r="C14" s="63" t="s">
        <v>206</v>
      </c>
      <c r="D14" s="63"/>
      <c r="E14" s="63"/>
      <c r="F14" s="63"/>
      <c r="G14" s="62" t="s">
        <v>204</v>
      </c>
      <c r="H14" s="70" t="str">
        <f>$I$50</f>
        <v>Yes</v>
      </c>
      <c r="I14" s="70"/>
      <c r="J14" s="64" t="s">
        <v>205</v>
      </c>
      <c r="K14" s="39" t="str">
        <f>IF($H$14&amp;""=$G$14&amp;"","PASS","FAIL")</f>
        <v>PASS</v>
      </c>
    </row>
    <row r="15" spans="1:14" ht="16.2" customHeight="1">
      <c r="B15" s="66">
        <v>5</v>
      </c>
      <c r="C15" s="63" t="s">
        <v>207</v>
      </c>
      <c r="D15" s="63"/>
      <c r="E15" s="63"/>
      <c r="F15" s="63"/>
      <c r="G15" s="71">
        <v>110</v>
      </c>
      <c r="H15" s="72">
        <f>$J$50</f>
        <v>110</v>
      </c>
      <c r="I15" s="68">
        <f>IF(AND(ISNUMBER($G$15),ISNUMBER($H$15)),ABS($H$15-$G$15),"")</f>
        <v>0</v>
      </c>
      <c r="J15" s="69">
        <v>1E-09</v>
      </c>
      <c r="K15" s="39" t="str">
        <f>IF(AND(ISNUMBER($G$15),ISNUMBER($H$15)),IF(ABS($H$15-$G$15)&lt;=$J$15,"PASS","FAIL"),"FAIL")</f>
        <v>PASS</v>
      </c>
    </row>
    <row r="16" spans="1:14" ht="16.2" customHeight="1">
      <c r="B16" s="66">
        <v>6</v>
      </c>
      <c r="C16" s="63" t="s">
        <v>208</v>
      </c>
      <c r="D16" s="63"/>
      <c r="E16" s="63"/>
      <c r="F16" s="63"/>
      <c r="G16" s="71">
        <v>30</v>
      </c>
      <c r="H16" s="72">
        <f>$K$50</f>
        <v>30</v>
      </c>
      <c r="I16" s="68">
        <f>IF(AND(ISNUMBER($G$16),ISNUMBER($H$16)),ABS($H$16-$G$16),"")</f>
        <v>0</v>
      </c>
      <c r="J16" s="69">
        <v>1E-09</v>
      </c>
      <c r="K16" s="39" t="str">
        <f>IF(AND(ISNUMBER($G$16),ISNUMBER($H$16)),IF(ABS($H$16-$G$16)&lt;=$J$16,"PASS","FAIL"),"FAIL")</f>
        <v>PASS</v>
      </c>
    </row>
    <row r="17" spans="2:12" ht="16.2" customHeight="1">
      <c r="B17" s="66">
        <v>7</v>
      </c>
      <c r="C17" s="63" t="s">
        <v>209</v>
      </c>
      <c r="D17" s="63"/>
      <c r="E17" s="63"/>
      <c r="F17" s="63"/>
      <c r="G17" s="62" t="s">
        <v>117</v>
      </c>
      <c r="H17" s="70">
        <f>$F$51</f>
        <v/>
      </c>
      <c r="I17" s="70"/>
      <c r="J17" s="64" t="s">
        <v>205</v>
      </c>
      <c r="K17" s="39" t="str">
        <f>IF($H$17&amp;""=$G$17&amp;"","PASS","FAIL")</f>
        <v>PASS</v>
      </c>
    </row>
    <row r="18" spans="2:12" ht="16.2" customHeight="1">
      <c r="B18" s="66">
        <v>8</v>
      </c>
      <c r="C18" s="63" t="s">
        <v>210</v>
      </c>
      <c r="D18" s="63"/>
      <c r="E18" s="63"/>
      <c r="F18" s="63"/>
      <c r="G18" s="62" t="s">
        <v>211</v>
      </c>
      <c r="H18" s="70" t="str">
        <f>$I$52</f>
        <v>No</v>
      </c>
      <c r="I18" s="70"/>
      <c r="J18" s="64" t="s">
        <v>205</v>
      </c>
      <c r="K18" s="39" t="str">
        <f>IF($H$18&amp;""=$G$18&amp;"","PASS","FAIL")</f>
        <v>PASS</v>
      </c>
    </row>
    <row r="19" spans="2:12" ht="16.2" customHeight="1">
      <c r="B19" s="66">
        <v>9</v>
      </c>
      <c r="C19" s="63" t="s">
        <v>212</v>
      </c>
      <c r="D19" s="63"/>
      <c r="E19" s="63"/>
      <c r="F19" s="63"/>
      <c r="G19" s="62" t="s">
        <v>117</v>
      </c>
      <c r="H19" s="70">
        <f>$H$52</f>
        <v/>
      </c>
      <c r="I19" s="70"/>
      <c r="J19" s="64" t="s">
        <v>205</v>
      </c>
      <c r="K19" s="39" t="str">
        <f>IF($H$19&amp;""=$G$19&amp;"","PASS","FAIL")</f>
        <v>PASS</v>
      </c>
    </row>
    <row r="20" spans="2:12" ht="16.2" customHeight="1">
      <c r="B20" s="66">
        <v>10</v>
      </c>
      <c r="C20" s="63" t="s">
        <v>213</v>
      </c>
      <c r="D20" s="63"/>
      <c r="E20" s="63"/>
      <c r="F20" s="63"/>
      <c r="G20" s="62" t="s">
        <v>214</v>
      </c>
      <c r="H20" s="70" t="str">
        <f>$M$54</f>
        <v>SKU not on Setup list</v>
      </c>
      <c r="I20" s="70"/>
      <c r="J20" s="64" t="s">
        <v>205</v>
      </c>
      <c r="K20" s="39" t="str">
        <f>IF($H$20&amp;""=$G$20&amp;"","PASS","FAIL")</f>
        <v>PASS</v>
      </c>
    </row>
    <row r="21" spans="2:12" ht="16.2" customHeight="1">
      <c r="B21" s="66">
        <v>11</v>
      </c>
      <c r="C21" s="63" t="s">
        <v>215</v>
      </c>
      <c r="D21" s="63"/>
      <c r="E21" s="63"/>
      <c r="F21" s="63"/>
      <c r="G21" s="56">
        <v>0.8333333333333334</v>
      </c>
      <c r="H21" s="38">
        <f>IF(SUMIFS(tblVerifyForecasts[Actual (units)],tblVerifyForecasts[View date],"&gt;0")=0,"",MAX(0,1-SUMIFS(tblVerifyForecasts[Abs error (units)],tblVerifyForecasts[View date],"&gt;0")/SUMIFS(tblVerifyForecasts[Actual (units)],tblVerifyForecasts[View date],"&gt;0")))</f>
        <v>0.833333333333333</v>
      </c>
      <c r="I21" s="68">
        <f>IF(AND(ISNUMBER($G$21),ISNUMBER($H$21)),ABS($H$21-$G$21),"")</f>
        <v>0</v>
      </c>
      <c r="J21" s="69">
        <v>1E-09</v>
      </c>
      <c r="K21" s="39" t="str">
        <f>IF(AND(ISNUMBER($G$21),ISNUMBER($H$21)),IF(ABS($H$21-$G$21)&lt;=$J$21,"PASS","FAIL"),"FAIL")</f>
        <v>PASS</v>
      </c>
    </row>
    <row r="22" spans="2:12" ht="16.2" customHeight="1">
      <c r="B22" s="66">
        <v>12</v>
      </c>
      <c r="C22" s="63" t="s">
        <v>216</v>
      </c>
      <c r="D22" s="63"/>
      <c r="E22" s="63"/>
      <c r="F22" s="63"/>
      <c r="G22" s="56">
        <v>0.02941176470588235</v>
      </c>
      <c r="H22" s="38">
        <f>IF((SUMIFS(tblVerifyForecasts[Actual (units)],tblVerifyForecasts[View date],"&gt;0"))=0,"",(SUMIFS(tblVerifyForecasts[Error (units)],tblVerifyForecasts[View date],"&gt;0"))/(SUMIFS(tblVerifyForecasts[Actual (units)],tblVerifyForecasts[View date],"&gt;0")))</f>
        <v>0.0294117647058824</v>
      </c>
      <c r="I22" s="68">
        <f>IF(AND(ISNUMBER($G$22),ISNUMBER($H$22)),ABS($H$22-$G$22),"")</f>
        <v>0</v>
      </c>
      <c r="J22" s="69">
        <v>1E-09</v>
      </c>
      <c r="K22" s="39" t="str">
        <f>IF(AND(ISNUMBER($G$22),ISNUMBER($H$22)),IF(ABS($H$22-$G$22)&lt;=$J$22,"PASS","FAIL"),"FAIL")</f>
        <v>PASS</v>
      </c>
    </row>
    <row r="23" spans="2:12" ht="16.2" customHeight="1">
      <c r="B23" s="66">
        <v>13</v>
      </c>
      <c r="C23" s="63" t="s">
        <v>217</v>
      </c>
      <c r="D23" s="63"/>
      <c r="E23" s="63"/>
      <c r="F23" s="63"/>
      <c r="G23" s="56">
        <v>0.7142857142857143</v>
      </c>
      <c r="H23" s="38">
        <f>IF((COUNTIFS(tblVerifyForecasts[Within tolerance],"Yes",tblVerifyForecasts[View date],"&gt;0")+COUNTIFS(tblVerifyForecasts[Within tolerance],"No",tblVerifyForecasts[View date],"&gt;0"))=0,"",(COUNTIFS(tblVerifyForecasts[Within tolerance],"Yes",tblVerifyForecasts[View date],"&gt;0"))/(COUNTIFS(tblVerifyForecasts[Within tolerance],"Yes",tblVerifyForecasts[View date],"&gt;0")+COUNTIFS(tblVerifyForecasts[Within tolerance],"No",tblVerifyForecasts[View date],"&gt;0")))</f>
        <v>0.714285714285714</v>
      </c>
      <c r="I23" s="68">
        <f>IF(AND(ISNUMBER($G$23),ISNUMBER($H$23)),ABS($H$23-$G$23),"")</f>
        <v>0</v>
      </c>
      <c r="J23" s="69">
        <v>1E-09</v>
      </c>
      <c r="K23" s="39" t="str">
        <f>IF(AND(ISNUMBER($G$23),ISNUMBER($H$23)),IF(ABS($H$23-$G$23)&lt;=$J$23,"PASS","FAIL"),"FAIL")</f>
        <v>PASS</v>
      </c>
    </row>
    <row r="24" spans="2:12" ht="16.2" customHeight="1">
      <c r="B24" s="66">
        <v>14</v>
      </c>
      <c r="C24" s="63" t="s">
        <v>218</v>
      </c>
      <c r="D24" s="63"/>
      <c r="E24" s="63"/>
      <c r="F24" s="63"/>
      <c r="G24" s="56">
        <v>0.1071428571428571</v>
      </c>
      <c r="H24" s="38">
        <f>IF((SUMIFS(tblVerifyForecasts[Actual (units)],tblVerifyForecasts[Baseline abs error (units)],"&gt;=0",tblVerifyForecasts[View date],"&gt;0"))=0,"",(SUMIFS(tblVerifyForecasts[Baseline abs error (units)],tblVerifyForecasts[Baseline abs error (units)],"&gt;=0",tblVerifyForecasts[View date],"&gt;0")-SUMIFS(tblVerifyForecasts[Abs error (units)],tblVerifyForecasts[Baseline abs error (units)],"&gt;=0",tblVerifyForecasts[View date],"&gt;0"))/(SUMIFS(tblVerifyForecasts[Actual (units)],tblVerifyForecasts[Baseline abs error (units)],"&gt;=0",tblVerifyForecasts[View date],"&gt;0")))</f>
        <v>0.107142857142857</v>
      </c>
      <c r="I24" s="68">
        <f>IF(AND(ISNUMBER($G$24),ISNUMBER($H$24)),ABS($H$24-$G$24),"")</f>
        <v>0</v>
      </c>
      <c r="J24" s="69">
        <v>1E-09</v>
      </c>
      <c r="K24" s="39" t="str">
        <f>IF(AND(ISNUMBER($G$24),ISNUMBER($H$24)),IF(ABS($H$24-$G$24)&lt;=$J$24,"PASS","FAIL"),"FAIL")</f>
        <v>PASS</v>
      </c>
    </row>
    <row r="25" spans="2:12" ht="16.2" customHeight="1">
      <c r="B25" s="66">
        <v>15</v>
      </c>
      <c r="C25" s="63" t="s">
        <v>219</v>
      </c>
      <c r="D25" s="63"/>
      <c r="E25" s="63"/>
      <c r="F25" s="63"/>
      <c r="G25" s="71">
        <v>126.6666666666667</v>
      </c>
      <c r="H25" s="72">
        <f>$J$58</f>
        <v>126.666666666667</v>
      </c>
      <c r="I25" s="68">
        <f>IF(AND(ISNUMBER($G$25),ISNUMBER($H$25)),ABS($H$25-$G$25),"")</f>
        <v>0</v>
      </c>
      <c r="J25" s="69">
        <v>1E-09</v>
      </c>
      <c r="K25" s="39" t="str">
        <f>IF(AND(ISNUMBER($G$25),ISNUMBER($H$25)),IF(ABS($H$25-$G$25)&lt;=$J$25,"PASS","FAIL"),"FAIL")</f>
        <v>PASS</v>
      </c>
    </row>
    <row r="26" spans="2:12" ht="16.2" customHeight="1">
      <c r="B26" s="66">
        <v>16</v>
      </c>
      <c r="C26" s="63" t="s">
        <v>220</v>
      </c>
      <c r="D26" s="63"/>
      <c r="E26" s="63"/>
      <c r="F26" s="63"/>
      <c r="G26" s="67">
        <v>130</v>
      </c>
      <c r="H26" s="37">
        <f>$K$58</f>
        <v>130</v>
      </c>
      <c r="I26" s="68">
        <f>IF(AND(ISNUMBER($G$26),ISNUMBER($H$26)),ABS($H$26-$G$26),"")</f>
        <v>0</v>
      </c>
      <c r="J26" s="69">
        <v>1E-09</v>
      </c>
      <c r="K26" s="39" t="str">
        <f>IF(AND(ISNUMBER($G$26),ISNUMBER($H$26)),IF(ABS($H$26-$G$26)&lt;=$J$26,"PASS","FAIL"),"FAIL")</f>
        <v>PASS</v>
      </c>
    </row>
    <row r="28" spans="2:12" ht="21" customHeight="1">
      <c r="B28" s="8" t="s">
        <v>221</v>
      </c>
      <c r="C28" s="8"/>
      <c r="D28" s="8"/>
      <c r="E28" s="8"/>
      <c r="F28" s="8"/>
      <c r="G28" s="8"/>
      <c r="H28" s="8"/>
      <c r="I28" s="8"/>
      <c r="J28" s="8"/>
      <c r="K28" s="8"/>
      <c r="L28" s="8"/>
    </row>
    <row r="29" spans="2:12" ht="5" customHeight="1"/>
    <row r="30" spans="2:12">
      <c r="B30" s="21" t="s">
        <v>222</v>
      </c>
      <c r="C30" s="21"/>
      <c r="D30" s="21"/>
      <c r="E30" s="21"/>
      <c r="F30" s="21"/>
      <c r="G30" s="21"/>
      <c r="H30" s="21"/>
      <c r="I30" s="21"/>
      <c r="J30" s="21"/>
      <c r="K30" s="21"/>
      <c r="L30" s="21"/>
    </row>
    <row r="31" spans="2:12">
      <c r="B31" s="32" t="s">
        <v>223</v>
      </c>
      <c r="C31" s="32"/>
      <c r="D31" s="32"/>
      <c r="E31" s="32"/>
      <c r="F31" s="32"/>
    </row>
    <row r="32" spans="2:12">
      <c r="B32" s="27" t="s">
        <v>224</v>
      </c>
      <c r="C32" s="27"/>
      <c r="D32" s="27"/>
      <c r="E32" s="67">
        <v>0</v>
      </c>
      <c r="F32" s="7"/>
    </row>
    <row r="33" spans="2:14">
      <c r="B33" s="27" t="s">
        <v>225</v>
      </c>
      <c r="C33" s="27"/>
      <c r="D33" s="27"/>
      <c r="E33" s="67">
        <v>2958465</v>
      </c>
      <c r="F33" s="7"/>
    </row>
    <row r="34" spans="2:14">
      <c r="B34" s="27" t="s">
        <v>226</v>
      </c>
      <c r="C34" s="27"/>
      <c r="D34" s="27"/>
      <c r="E34" s="62" t="s">
        <v>117</v>
      </c>
      <c r="F34" s="62"/>
    </row>
    <row r="35" spans="2:14">
      <c r="B35" s="27" t="s">
        <v>227</v>
      </c>
      <c r="C35" s="27"/>
      <c r="D35" s="27"/>
      <c r="E35" s="73">
        <v>0.2</v>
      </c>
      <c r="F35" s="7"/>
    </row>
    <row r="36" spans="2:14">
      <c r="B36" s="27" t="s">
        <v>137</v>
      </c>
      <c r="C36" s="27"/>
      <c r="D36" s="27"/>
      <c r="E36" s="56">
        <v>0.8</v>
      </c>
      <c r="F36" s="7"/>
    </row>
    <row r="37" spans="2:14">
      <c r="B37" s="27" t="s">
        <v>71</v>
      </c>
      <c r="C37" s="27"/>
      <c r="D37" s="27"/>
      <c r="E37" s="56">
        <v>0.85</v>
      </c>
      <c r="F37" s="7"/>
    </row>
    <row r="38" spans="2:14">
      <c r="B38" s="27" t="s">
        <v>228</v>
      </c>
      <c r="C38" s="27"/>
      <c r="D38" s="27"/>
      <c r="E38" s="67">
        <v>3</v>
      </c>
      <c r="F38" s="7"/>
    </row>
    <row r="40" spans="2:14">
      <c r="B40" s="32" t="s">
        <v>229</v>
      </c>
      <c r="C40" s="32"/>
      <c r="D40" s="32"/>
      <c r="E40" s="32"/>
      <c r="F40" s="32"/>
      <c r="G40" s="32"/>
      <c r="H40" s="32"/>
      <c r="I40" s="32"/>
      <c r="J40" s="32"/>
      <c r="K40" s="32"/>
      <c r="L40" s="32"/>
    </row>
    <row r="41" spans="2:14" ht="20" customHeight="1">
      <c r="B41" s="33" t="s">
        <v>60</v>
      </c>
      <c r="C41" s="33" t="s">
        <v>61</v>
      </c>
      <c r="D41" s="33" t="s">
        <v>62</v>
      </c>
      <c r="E41" s="33" t="s">
        <v>63</v>
      </c>
    </row>
    <row r="42" spans="2:14">
      <c r="B42" s="62" t="s">
        <v>230</v>
      </c>
      <c r="C42" s="62" t="s">
        <v>231</v>
      </c>
      <c r="D42" s="62" t="s">
        <v>232</v>
      </c>
      <c r="E42" s="62" t="s">
        <v>117</v>
      </c>
    </row>
    <row r="43" spans="2:14">
      <c r="B43" s="62" t="s">
        <v>233</v>
      </c>
      <c r="C43" s="62" t="s">
        <v>231</v>
      </c>
      <c r="D43" s="62" t="s">
        <v>232</v>
      </c>
      <c r="E43" s="62" t="s">
        <v>117</v>
      </c>
    </row>
    <row r="45" spans="2:14">
      <c r="B45" s="32" t="s">
        <v>234</v>
      </c>
      <c r="C45" s="32"/>
      <c r="D45" s="32"/>
      <c r="E45" s="32"/>
      <c r="F45" s="32"/>
      <c r="G45" s="32"/>
      <c r="H45" s="32"/>
      <c r="I45" s="32"/>
      <c r="J45" s="32"/>
      <c r="K45" s="32"/>
      <c r="L45" s="32"/>
    </row>
    <row r="46" spans="2:14" ht="45.5" customHeight="1">
      <c r="B46" s="33" t="s">
        <v>105</v>
      </c>
      <c r="C46" s="33" t="s">
        <v>60</v>
      </c>
      <c r="D46" s="33" t="s">
        <v>106</v>
      </c>
      <c r="E46" s="33" t="s">
        <v>107</v>
      </c>
      <c r="F46" s="33" t="s">
        <v>108</v>
      </c>
      <c r="G46" s="33" t="s">
        <v>109</v>
      </c>
      <c r="H46" s="33" t="s">
        <v>110</v>
      </c>
      <c r="I46" s="33" t="s">
        <v>111</v>
      </c>
      <c r="J46" s="33" t="s">
        <v>112</v>
      </c>
      <c r="K46" s="33" t="s">
        <v>113</v>
      </c>
      <c r="L46" s="33" t="s">
        <v>114</v>
      </c>
      <c r="M46" s="33" t="s">
        <v>115</v>
      </c>
      <c r="N46" s="33" t="s">
        <v>63</v>
      </c>
    </row>
    <row r="47" spans="2:14">
      <c r="B47" s="74">
        <v>46023</v>
      </c>
      <c r="C47" s="62" t="s">
        <v>230</v>
      </c>
      <c r="D47" s="67">
        <v>100</v>
      </c>
      <c r="E47" s="67">
        <v>90</v>
      </c>
      <c r="F47" s="36">
        <f>IF(tblVerifyForecasts[[#This Row],[Month]]="","",IF(tblVerifyForecasts[[#This Row],[Actual (units)]]="","",tblVerifyForecasts[[#This Row],[Forecast (units)]]-tblVerifyForecasts[[#This Row],[Actual (units)]]))</f>
        <v>10</v>
      </c>
      <c r="G47" s="37">
        <f>IF(tblVerifyForecasts[[#This Row],[Month]]="","",IF(tblVerifyForecasts[[#This Row],[Actual (units)]]="","",ABS(tblVerifyForecasts[[#This Row],[Forecast (units)]]-tblVerifyForecasts[[#This Row],[Actual (units)]])))</f>
        <v>10</v>
      </c>
      <c r="H47" s="38">
        <f>IF(tblVerifyForecasts[[#This Row],[Month]]="","",IF(OR(tblVerifyForecasts[[#This Row],[Actual (units)]]="",tblVerifyForecasts[[#This Row],[Actual (units)]]=0),"",ABS(tblVerifyForecasts[[#This Row],[Forecast (units)]]-tblVerifyForecasts[[#This Row],[Actual (units)]])/tblVerifyForecasts[[#This Row],[Actual (units)]]))</f>
        <v>0.111111111111111</v>
      </c>
      <c r="I47" s="39" t="str">
        <f>IF(tblVerifyForecasts[[#This Row],[Month]]="","",IF(tblVerifyForecasts[[#This Row],[Actual (units)]]="","",IF(ABS(tblVerifyForecasts[[#This Row],[Forecast (units)]]-tblVerifyForecasts[[#This Row],[Actual (units)]])&lt;=$E$35*tblVerifyForecasts[[#This Row],[Actual (units)]],"Yes","No")))</f>
        <v>Yes</v>
      </c>
      <c r="J47"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
      </c>
      <c r="K47" s="40">
        <f>IF(tblVerifyForecasts[[#This Row],[Month]]="","",IF(OR(tblVerifyForecasts[[#This Row],[Actual (units)]]="",NOT(ISNUMBER(tblVerifyForecasts[[#This Row],[Baseline (units)]]))),"",ABS(tblVerifyForecasts[[#This Row],[Baseline (units)]]-tblVerifyForecasts[[#This Row],[Actual (units)]])))</f>
        <v/>
      </c>
      <c r="L47" s="41">
        <f>IF(tblVerifyForecasts[[#This Row],[Month]]="","",IF(AND(tblVerifyForecasts[[#This Row],[Month]]&gt;=$E$32,tblVerifyForecasts[[#This Row],[Month]]&lt;=$E$33,OR($E$34="",tblVerifyForecasts[[#This Row],[SKU]]=$E$34)),tblVerifyForecasts[[#This Row],[Month]],""))</f>
        <v>46023</v>
      </c>
      <c r="M47"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OK</v>
      </c>
      <c r="N47" s="62"/>
    </row>
    <row r="48" spans="2:14">
      <c r="B48" s="74">
        <v>46054</v>
      </c>
      <c r="C48" s="62" t="s">
        <v>230</v>
      </c>
      <c r="D48" s="67">
        <v>110</v>
      </c>
      <c r="E48" s="67">
        <v>130</v>
      </c>
      <c r="F48" s="36">
        <f>IF(tblVerifyForecasts[[#This Row],[Month]]="","",IF(tblVerifyForecasts[[#This Row],[Actual (units)]]="","",tblVerifyForecasts[[#This Row],[Forecast (units)]]-tblVerifyForecasts[[#This Row],[Actual (units)]]))</f>
        <v>-20</v>
      </c>
      <c r="G48" s="37">
        <f>IF(tblVerifyForecasts[[#This Row],[Month]]="","",IF(tblVerifyForecasts[[#This Row],[Actual (units)]]="","",ABS(tblVerifyForecasts[[#This Row],[Forecast (units)]]-tblVerifyForecasts[[#This Row],[Actual (units)]])))</f>
        <v>20</v>
      </c>
      <c r="H48" s="38">
        <f>IF(tblVerifyForecasts[[#This Row],[Month]]="","",IF(OR(tblVerifyForecasts[[#This Row],[Actual (units)]]="",tblVerifyForecasts[[#This Row],[Actual (units)]]=0),"",ABS(tblVerifyForecasts[[#This Row],[Forecast (units)]]-tblVerifyForecasts[[#This Row],[Actual (units)]])/tblVerifyForecasts[[#This Row],[Actual (units)]]))</f>
        <v>0.153846153846154</v>
      </c>
      <c r="I48" s="39" t="str">
        <f>IF(tblVerifyForecasts[[#This Row],[Month]]="","",IF(tblVerifyForecasts[[#This Row],[Actual (units)]]="","",IF(ABS(tblVerifyForecasts[[#This Row],[Forecast (units)]]-tblVerifyForecasts[[#This Row],[Actual (units)]])&lt;=$E$35*tblVerifyForecasts[[#This Row],[Actual (units)]],"Yes","No")))</f>
        <v>Yes</v>
      </c>
      <c r="J48"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
      </c>
      <c r="K48" s="40">
        <f>IF(tblVerifyForecasts[[#This Row],[Month]]="","",IF(OR(tblVerifyForecasts[[#This Row],[Actual (units)]]="",NOT(ISNUMBER(tblVerifyForecasts[[#This Row],[Baseline (units)]]))),"",ABS(tblVerifyForecasts[[#This Row],[Baseline (units)]]-tblVerifyForecasts[[#This Row],[Actual (units)]])))</f>
        <v/>
      </c>
      <c r="L48" s="41">
        <f>IF(tblVerifyForecasts[[#This Row],[Month]]="","",IF(AND(tblVerifyForecasts[[#This Row],[Month]]&gt;=$E$32,tblVerifyForecasts[[#This Row],[Month]]&lt;=$E$33,OR($E$34="",tblVerifyForecasts[[#This Row],[SKU]]=$E$34)),tblVerifyForecasts[[#This Row],[Month]],""))</f>
        <v>46054</v>
      </c>
      <c r="M48"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OK</v>
      </c>
      <c r="N48" s="62"/>
    </row>
    <row r="49" spans="2:14">
      <c r="B49" s="74">
        <v>46082</v>
      </c>
      <c r="C49" s="62" t="s">
        <v>230</v>
      </c>
      <c r="D49" s="67">
        <v>120</v>
      </c>
      <c r="E49" s="67">
        <v>110</v>
      </c>
      <c r="F49" s="36">
        <f>IF(tblVerifyForecasts[[#This Row],[Month]]="","",IF(tblVerifyForecasts[[#This Row],[Actual (units)]]="","",tblVerifyForecasts[[#This Row],[Forecast (units)]]-tblVerifyForecasts[[#This Row],[Actual (units)]]))</f>
        <v>10</v>
      </c>
      <c r="G49" s="37">
        <f>IF(tblVerifyForecasts[[#This Row],[Month]]="","",IF(tblVerifyForecasts[[#This Row],[Actual (units)]]="","",ABS(tblVerifyForecasts[[#This Row],[Forecast (units)]]-tblVerifyForecasts[[#This Row],[Actual (units)]])))</f>
        <v>10</v>
      </c>
      <c r="H49" s="38">
        <f>IF(tblVerifyForecasts[[#This Row],[Month]]="","",IF(OR(tblVerifyForecasts[[#This Row],[Actual (units)]]="",tblVerifyForecasts[[#This Row],[Actual (units)]]=0),"",ABS(tblVerifyForecasts[[#This Row],[Forecast (units)]]-tblVerifyForecasts[[#This Row],[Actual (units)]])/tblVerifyForecasts[[#This Row],[Actual (units)]]))</f>
        <v>0.0909090909090909</v>
      </c>
      <c r="I49" s="39" t="str">
        <f>IF(tblVerifyForecasts[[#This Row],[Month]]="","",IF(tblVerifyForecasts[[#This Row],[Actual (units)]]="","",IF(ABS(tblVerifyForecasts[[#This Row],[Forecast (units)]]-tblVerifyForecasts[[#This Row],[Actual (units)]])&lt;=$E$35*tblVerifyForecasts[[#This Row],[Actual (units)]],"Yes","No")))</f>
        <v>Yes</v>
      </c>
      <c r="J49"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
      </c>
      <c r="K49" s="40">
        <f>IF(tblVerifyForecasts[[#This Row],[Month]]="","",IF(OR(tblVerifyForecasts[[#This Row],[Actual (units)]]="",NOT(ISNUMBER(tblVerifyForecasts[[#This Row],[Baseline (units)]]))),"",ABS(tblVerifyForecasts[[#This Row],[Baseline (units)]]-tblVerifyForecasts[[#This Row],[Actual (units)]])))</f>
        <v/>
      </c>
      <c r="L49" s="41">
        <f>IF(tblVerifyForecasts[[#This Row],[Month]]="","",IF(AND(tblVerifyForecasts[[#This Row],[Month]]&gt;=$E$32,tblVerifyForecasts[[#This Row],[Month]]&lt;=$E$33,OR($E$34="",tblVerifyForecasts[[#This Row],[SKU]]=$E$34)),tblVerifyForecasts[[#This Row],[Month]],""))</f>
        <v>46082</v>
      </c>
      <c r="M49"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OK</v>
      </c>
      <c r="N49" s="62"/>
    </row>
    <row r="50" spans="2:14">
      <c r="B50" s="74">
        <v>46113</v>
      </c>
      <c r="C50" s="62" t="s">
        <v>230</v>
      </c>
      <c r="D50" s="67">
        <v>125</v>
      </c>
      <c r="E50" s="67">
        <v>140</v>
      </c>
      <c r="F50" s="36">
        <f>IF(tblVerifyForecasts[[#This Row],[Month]]="","",IF(tblVerifyForecasts[[#This Row],[Actual (units)]]="","",tblVerifyForecasts[[#This Row],[Forecast (units)]]-tblVerifyForecasts[[#This Row],[Actual (units)]]))</f>
        <v>-15</v>
      </c>
      <c r="G50" s="37">
        <f>IF(tblVerifyForecasts[[#This Row],[Month]]="","",IF(tblVerifyForecasts[[#This Row],[Actual (units)]]="","",ABS(tblVerifyForecasts[[#This Row],[Forecast (units)]]-tblVerifyForecasts[[#This Row],[Actual (units)]])))</f>
        <v>15</v>
      </c>
      <c r="H50" s="38">
        <f>IF(tblVerifyForecasts[[#This Row],[Month]]="","",IF(OR(tblVerifyForecasts[[#This Row],[Actual (units)]]="",tblVerifyForecasts[[#This Row],[Actual (units)]]=0),"",ABS(tblVerifyForecasts[[#This Row],[Forecast (units)]]-tblVerifyForecasts[[#This Row],[Actual (units)]])/tblVerifyForecasts[[#This Row],[Actual (units)]]))</f>
        <v>0.107142857142857</v>
      </c>
      <c r="I50" s="39" t="str">
        <f>IF(tblVerifyForecasts[[#This Row],[Month]]="","",IF(tblVerifyForecasts[[#This Row],[Actual (units)]]="","",IF(ABS(tblVerifyForecasts[[#This Row],[Forecast (units)]]-tblVerifyForecasts[[#This Row],[Actual (units)]])&lt;=$E$35*tblVerifyForecasts[[#This Row],[Actual (units)]],"Yes","No")))</f>
        <v>Yes</v>
      </c>
      <c r="J50"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110</v>
      </c>
      <c r="K50" s="40">
        <f>IF(tblVerifyForecasts[[#This Row],[Month]]="","",IF(OR(tblVerifyForecasts[[#This Row],[Actual (units)]]="",NOT(ISNUMBER(tblVerifyForecasts[[#This Row],[Baseline (units)]]))),"",ABS(tblVerifyForecasts[[#This Row],[Baseline (units)]]-tblVerifyForecasts[[#This Row],[Actual (units)]])))</f>
        <v>30</v>
      </c>
      <c r="L50" s="41">
        <f>IF(tblVerifyForecasts[[#This Row],[Month]]="","",IF(AND(tblVerifyForecasts[[#This Row],[Month]]&gt;=$E$32,tblVerifyForecasts[[#This Row],[Month]]&lt;=$E$33,OR($E$34="",tblVerifyForecasts[[#This Row],[SKU]]=$E$34)),tblVerifyForecasts[[#This Row],[Month]],""))</f>
        <v>46113</v>
      </c>
      <c r="M50"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OK</v>
      </c>
      <c r="N50" s="62"/>
    </row>
    <row r="51" spans="2:14">
      <c r="B51" s="74">
        <v>46143</v>
      </c>
      <c r="C51" s="62" t="s">
        <v>230</v>
      </c>
      <c r="D51" s="67">
        <v>130</v>
      </c>
      <c r="E51" s="67"/>
      <c r="F51" s="36">
        <f>IF(tblVerifyForecasts[[#This Row],[Month]]="","",IF(tblVerifyForecasts[[#This Row],[Actual (units)]]="","",tblVerifyForecasts[[#This Row],[Forecast (units)]]-tblVerifyForecasts[[#This Row],[Actual (units)]]))</f>
        <v/>
      </c>
      <c r="G51" s="37">
        <f>IF(tblVerifyForecasts[[#This Row],[Month]]="","",IF(tblVerifyForecasts[[#This Row],[Actual (units)]]="","",ABS(tblVerifyForecasts[[#This Row],[Forecast (units)]]-tblVerifyForecasts[[#This Row],[Actual (units)]])))</f>
        <v/>
      </c>
      <c r="H51" s="38">
        <f>IF(tblVerifyForecasts[[#This Row],[Month]]="","",IF(OR(tblVerifyForecasts[[#This Row],[Actual (units)]]="",tblVerifyForecasts[[#This Row],[Actual (units)]]=0),"",ABS(tblVerifyForecasts[[#This Row],[Forecast (units)]]-tblVerifyForecasts[[#This Row],[Actual (units)]])/tblVerifyForecasts[[#This Row],[Actual (units)]]))</f>
        <v/>
      </c>
      <c r="I51" s="39">
        <f>IF(tblVerifyForecasts[[#This Row],[Month]]="","",IF(tblVerifyForecasts[[#This Row],[Actual (units)]]="","",IF(ABS(tblVerifyForecasts[[#This Row],[Forecast (units)]]-tblVerifyForecasts[[#This Row],[Actual (units)]])&lt;=$E$35*tblVerifyForecasts[[#This Row],[Actual (units)]],"Yes","No")))</f>
        <v/>
      </c>
      <c r="J51"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126.666666666667</v>
      </c>
      <c r="K51" s="40">
        <f>IF(tblVerifyForecasts[[#This Row],[Month]]="","",IF(OR(tblVerifyForecasts[[#This Row],[Actual (units)]]="",NOT(ISNUMBER(tblVerifyForecasts[[#This Row],[Baseline (units)]]))),"",ABS(tblVerifyForecasts[[#This Row],[Baseline (units)]]-tblVerifyForecasts[[#This Row],[Actual (units)]])))</f>
        <v/>
      </c>
      <c r="L51" s="41">
        <f>IF(tblVerifyForecasts[[#This Row],[Month]]="","",IF(AND(tblVerifyForecasts[[#This Row],[Month]]&gt;=$E$32,tblVerifyForecasts[[#This Row],[Month]]&lt;=$E$33,OR($E$34="",tblVerifyForecasts[[#This Row],[SKU]]=$E$34)),tblVerifyForecasts[[#This Row],[Month]],""))</f>
        <v>46143</v>
      </c>
      <c r="M51"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OK</v>
      </c>
      <c r="N51" s="62"/>
    </row>
    <row r="52" spans="2:14">
      <c r="B52" s="74">
        <v>46023</v>
      </c>
      <c r="C52" s="62" t="s">
        <v>233</v>
      </c>
      <c r="D52" s="67">
        <v>20</v>
      </c>
      <c r="E52" s="67">
        <v>0</v>
      </c>
      <c r="F52" s="36">
        <f>IF(tblVerifyForecasts[[#This Row],[Month]]="","",IF(tblVerifyForecasts[[#This Row],[Actual (units)]]="","",tblVerifyForecasts[[#This Row],[Forecast (units)]]-tblVerifyForecasts[[#This Row],[Actual (units)]]))</f>
        <v>20</v>
      </c>
      <c r="G52" s="37">
        <f>IF(tblVerifyForecasts[[#This Row],[Month]]="","",IF(tblVerifyForecasts[[#This Row],[Actual (units)]]="","",ABS(tblVerifyForecasts[[#This Row],[Forecast (units)]]-tblVerifyForecasts[[#This Row],[Actual (units)]])))</f>
        <v>20</v>
      </c>
      <c r="H52" s="38">
        <f>IF(tblVerifyForecasts[[#This Row],[Month]]="","",IF(OR(tblVerifyForecasts[[#This Row],[Actual (units)]]="",tblVerifyForecasts[[#This Row],[Actual (units)]]=0),"",ABS(tblVerifyForecasts[[#This Row],[Forecast (units)]]-tblVerifyForecasts[[#This Row],[Actual (units)]])/tblVerifyForecasts[[#This Row],[Actual (units)]]))</f>
        <v/>
      </c>
      <c r="I52" s="39" t="str">
        <f>IF(tblVerifyForecasts[[#This Row],[Month]]="","",IF(tblVerifyForecasts[[#This Row],[Actual (units)]]="","",IF(ABS(tblVerifyForecasts[[#This Row],[Forecast (units)]]-tblVerifyForecasts[[#This Row],[Actual (units)]])&lt;=$E$35*tblVerifyForecasts[[#This Row],[Actual (units)]],"Yes","No")))</f>
        <v>No</v>
      </c>
      <c r="J52"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
      </c>
      <c r="K52" s="40">
        <f>IF(tblVerifyForecasts[[#This Row],[Month]]="","",IF(OR(tblVerifyForecasts[[#This Row],[Actual (units)]]="",NOT(ISNUMBER(tblVerifyForecasts[[#This Row],[Baseline (units)]]))),"",ABS(tblVerifyForecasts[[#This Row],[Baseline (units)]]-tblVerifyForecasts[[#This Row],[Actual (units)]])))</f>
        <v/>
      </c>
      <c r="L52" s="41">
        <f>IF(tblVerifyForecasts[[#This Row],[Month]]="","",IF(AND(tblVerifyForecasts[[#This Row],[Month]]&gt;=$E$32,tblVerifyForecasts[[#This Row],[Month]]&lt;=$E$33,OR($E$34="",tblVerifyForecasts[[#This Row],[SKU]]=$E$34)),tblVerifyForecasts[[#This Row],[Month]],""))</f>
        <v>46023</v>
      </c>
      <c r="M52"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OK</v>
      </c>
      <c r="N52" s="62"/>
    </row>
    <row r="53" spans="2:14">
      <c r="B53" s="74">
        <v>46054</v>
      </c>
      <c r="C53" s="62" t="s">
        <v>233</v>
      </c>
      <c r="D53" s="67">
        <v>0</v>
      </c>
      <c r="E53" s="67">
        <v>0</v>
      </c>
      <c r="F53" s="36">
        <f>IF(tblVerifyForecasts[[#This Row],[Month]]="","",IF(tblVerifyForecasts[[#This Row],[Actual (units)]]="","",tblVerifyForecasts[[#This Row],[Forecast (units)]]-tblVerifyForecasts[[#This Row],[Actual (units)]]))</f>
        <v>0</v>
      </c>
      <c r="G53" s="37">
        <f>IF(tblVerifyForecasts[[#This Row],[Month]]="","",IF(tblVerifyForecasts[[#This Row],[Actual (units)]]="","",ABS(tblVerifyForecasts[[#This Row],[Forecast (units)]]-tblVerifyForecasts[[#This Row],[Actual (units)]])))</f>
        <v>0</v>
      </c>
      <c r="H53" s="38">
        <f>IF(tblVerifyForecasts[[#This Row],[Month]]="","",IF(OR(tblVerifyForecasts[[#This Row],[Actual (units)]]="",tblVerifyForecasts[[#This Row],[Actual (units)]]=0),"",ABS(tblVerifyForecasts[[#This Row],[Forecast (units)]]-tblVerifyForecasts[[#This Row],[Actual (units)]])/tblVerifyForecasts[[#This Row],[Actual (units)]]))</f>
        <v/>
      </c>
      <c r="I53" s="39" t="str">
        <f>IF(tblVerifyForecasts[[#This Row],[Month]]="","",IF(tblVerifyForecasts[[#This Row],[Actual (units)]]="","",IF(ABS(tblVerifyForecasts[[#This Row],[Forecast (units)]]-tblVerifyForecasts[[#This Row],[Actual (units)]])&lt;=$E$35*tblVerifyForecasts[[#This Row],[Actual (units)]],"Yes","No")))</f>
        <v>Yes</v>
      </c>
      <c r="J53"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
      </c>
      <c r="K53" s="40">
        <f>IF(tblVerifyForecasts[[#This Row],[Month]]="","",IF(OR(tblVerifyForecasts[[#This Row],[Actual (units)]]="",NOT(ISNUMBER(tblVerifyForecasts[[#This Row],[Baseline (units)]]))),"",ABS(tblVerifyForecasts[[#This Row],[Baseline (units)]]-tblVerifyForecasts[[#This Row],[Actual (units)]])))</f>
        <v/>
      </c>
      <c r="L53" s="41">
        <f>IF(tblVerifyForecasts[[#This Row],[Month]]="","",IF(AND(tblVerifyForecasts[[#This Row],[Month]]&gt;=$E$32,tblVerifyForecasts[[#This Row],[Month]]&lt;=$E$33,OR($E$34="",tblVerifyForecasts[[#This Row],[SKU]]=$E$34)),tblVerifyForecasts[[#This Row],[Month]],""))</f>
        <v>46054</v>
      </c>
      <c r="M53"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OK</v>
      </c>
      <c r="N53" s="62"/>
    </row>
    <row r="54" spans="2:14">
      <c r="B54" s="74">
        <v>46054</v>
      </c>
      <c r="C54" s="62" t="s">
        <v>235</v>
      </c>
      <c r="D54" s="67">
        <v>50</v>
      </c>
      <c r="E54" s="67">
        <v>40</v>
      </c>
      <c r="F54" s="36">
        <f>IF(tblVerifyForecasts[[#This Row],[Month]]="","",IF(tblVerifyForecasts[[#This Row],[Actual (units)]]="","",tblVerifyForecasts[[#This Row],[Forecast (units)]]-tblVerifyForecasts[[#This Row],[Actual (units)]]))</f>
        <v>10</v>
      </c>
      <c r="G54" s="37">
        <f>IF(tblVerifyForecasts[[#This Row],[Month]]="","",IF(tblVerifyForecasts[[#This Row],[Actual (units)]]="","",ABS(tblVerifyForecasts[[#This Row],[Forecast (units)]]-tblVerifyForecasts[[#This Row],[Actual (units)]])))</f>
        <v>10</v>
      </c>
      <c r="H54" s="38">
        <f>IF(tblVerifyForecasts[[#This Row],[Month]]="","",IF(OR(tblVerifyForecasts[[#This Row],[Actual (units)]]="",tblVerifyForecasts[[#This Row],[Actual (units)]]=0),"",ABS(tblVerifyForecasts[[#This Row],[Forecast (units)]]-tblVerifyForecasts[[#This Row],[Actual (units)]])/tblVerifyForecasts[[#This Row],[Actual (units)]]))</f>
        <v>0.25</v>
      </c>
      <c r="I54" s="39" t="str">
        <f>IF(tblVerifyForecasts[[#This Row],[Month]]="","",IF(tblVerifyForecasts[[#This Row],[Actual (units)]]="","",IF(ABS(tblVerifyForecasts[[#This Row],[Forecast (units)]]-tblVerifyForecasts[[#This Row],[Actual (units)]])&lt;=$E$35*tblVerifyForecasts[[#This Row],[Actual (units)]],"Yes","No")))</f>
        <v>No</v>
      </c>
      <c r="J54" s="40">
        <f>IF(tblVerifyForecasts[[#This Row],[Month]]="","",IF(COUNTIFS(tblVerifyForecasts[SKU],tblVerifyForecasts[[#This Row],[SKU]],tblVerifyForecasts[Month],"&gt;="&amp;EDATE(tblVerifyForecasts[[#This Row],[Month]],-$E$38),tblVerifyForecasts[Month],"&lt;"&amp;tblVerifyForecasts[[#This Row],[Month]],tblVerifyForecasts[Actual (units)],"&gt;=0")=$E$38,SUMIFS(tblVerifyForecasts[Actual (units)],tblVerifyForecasts[SKU],tblVerifyForecasts[[#This Row],[SKU]],tblVerifyForecasts[Month],"&gt;="&amp;EDATE(tblVerifyForecasts[[#This Row],[Month]],-$E$38),tblVerifyForecasts[Month],"&lt;"&amp;tblVerifyForecasts[[#This Row],[Month]])/$E$38,""))</f>
        <v/>
      </c>
      <c r="K54" s="40">
        <f>IF(tblVerifyForecasts[[#This Row],[Month]]="","",IF(OR(tblVerifyForecasts[[#This Row],[Actual (units)]]="",NOT(ISNUMBER(tblVerifyForecasts[[#This Row],[Baseline (units)]]))),"",ABS(tblVerifyForecasts[[#This Row],[Baseline (units)]]-tblVerifyForecasts[[#This Row],[Actual (units)]])))</f>
        <v/>
      </c>
      <c r="L54" s="41">
        <f>IF(tblVerifyForecasts[[#This Row],[Month]]="","",IF(AND(tblVerifyForecasts[[#This Row],[Month]]&gt;=$E$32,tblVerifyForecasts[[#This Row],[Month]]&lt;=$E$33,OR($E$34="",tblVerifyForecasts[[#This Row],[SKU]]=$E$34)),tblVerifyForecasts[[#This Row],[Month]],""))</f>
        <v>46054</v>
      </c>
      <c r="M54" s="42" t="str">
        <f>IF(tblVerifyForecasts[[#This Row],[Month]]="","",IF(tblVerifyForecasts[[#This Row],[SKU]]="","Missing sku",IF(tblVerifyForecasts[[#This Row],[Forecast (units)]]="","Missing forecast",IF(COUNTIF(tblVerifySkus[SKU],tblVerifyForecasts[[#This Row],[SKU]])=0,"SKU not on Setup list",IF(DAY(tblVerifyForecasts[[#This Row],[Month]])&lt;&gt;1,"Use the 1st of the month",IF(COUNTIFS(tblVerifyForecasts[Month],tblVerifyForecasts[[#This Row],[Month]],tblVerifyForecasts[SKU],tblVerifyForecasts[[#This Row],[SKU]])&gt;1,"Duplicate SKU month","OK"))))))</f>
        <v>SKU not on Setup list</v>
      </c>
      <c r="N54" s="62"/>
    </row>
    <row r="56" spans="2:14">
      <c r="B56" s="32" t="s">
        <v>236</v>
      </c>
      <c r="C56" s="32"/>
      <c r="D56" s="32"/>
      <c r="E56" s="32"/>
      <c r="F56" s="32"/>
      <c r="G56" s="32"/>
      <c r="H56" s="32"/>
      <c r="I56" s="32"/>
      <c r="J56" s="32"/>
      <c r="K56" s="32"/>
      <c r="L56" s="32"/>
    </row>
    <row r="57" spans="2:14" ht="32" customHeight="1">
      <c r="B57" s="51" t="s">
        <v>60</v>
      </c>
      <c r="C57" s="33" t="s">
        <v>107</v>
      </c>
      <c r="D57" s="33" t="s">
        <v>129</v>
      </c>
      <c r="E57" s="33" t="s">
        <v>130</v>
      </c>
      <c r="F57" s="33" t="s">
        <v>131</v>
      </c>
      <c r="G57" s="33" t="s">
        <v>132</v>
      </c>
      <c r="H57" s="33" t="s">
        <v>133</v>
      </c>
      <c r="I57" s="33" t="s">
        <v>134</v>
      </c>
      <c r="J57" s="33" t="s">
        <v>135</v>
      </c>
      <c r="K57" s="33" t="s">
        <v>136</v>
      </c>
      <c r="L57" s="33" t="s">
        <v>137</v>
      </c>
    </row>
    <row r="58" spans="2:14">
      <c r="B58" s="52" t="str">
        <f>IFERROR(INDEX(tblVerifySkus[SKU],1)&amp;"","")</f>
        <v>A-1</v>
      </c>
      <c r="C58" s="37">
        <f>IF($B$58="","",SUMIFS(tblVerifyForecasts[Actual (units)],tblVerifyForecasts[SKU],$B$58,tblVerifyForecasts[View date],"&gt;0"))</f>
        <v>470</v>
      </c>
      <c r="D58" s="38">
        <f>IF($B$58="","",IF(SUMIFS(tblVerifyForecasts[Actual (units)],tblVerifyForecasts[SKU],$B$58,tblVerifyForecasts[View date],"&gt;0")=0,"",MAX(0,1-SUMIFS(tblVerifyForecasts[Abs error (units)],tblVerifyForecasts[SKU],$B$58,tblVerifyForecasts[View date],"&gt;0")/SUMIFS(tblVerifyForecasts[Actual (units)],tblVerifyForecasts[SKU],$B$58,tblVerifyForecasts[View date],"&gt;0"))))</f>
        <v>0.882978723404255</v>
      </c>
      <c r="E58" s="53">
        <f>IF($B$58="","",IF((SUMIFS(tblVerifyForecasts[Actual (units)],tblVerifyForecasts[SKU],$B$58,tblVerifyForecasts[View date],"&gt;0"))=0,"",(SUMIFS(tblVerifyForecasts[Error (units)],tblVerifyForecasts[SKU],$B$58,tblVerifyForecasts[View date],"&gt;0"))/(SUMIFS(tblVerifyForecasts[Actual (units)],tblVerifyForecasts[SKU],$B$58,tblVerifyForecasts[View date],"&gt;0"))))</f>
        <v>-0.0319148936170213</v>
      </c>
      <c r="F58" s="54">
        <f>IF($B$58="","",IF((COUNTIFS(tblVerifyForecasts[Within tolerance],"Yes",tblVerifyForecasts[SKU],$B$58,tblVerifyForecasts[View date],"&gt;0")+COUNTIFS(tblVerifyForecasts[Within tolerance],"No",tblVerifyForecasts[SKU],$B$58,tblVerifyForecasts[View date],"&gt;0"))=0,"",(COUNTIFS(tblVerifyForecasts[Within tolerance],"Yes",tblVerifyForecasts[SKU],$B$58,tblVerifyForecasts[View date],"&gt;0"))/(COUNTIFS(tblVerifyForecasts[Within tolerance],"Yes",tblVerifyForecasts[SKU],$B$58,tblVerifyForecasts[View date],"&gt;0")+COUNTIFS(tblVerifyForecasts[Within tolerance],"No",tblVerifyForecasts[SKU],$B$58,tblVerifyForecasts[View date],"&gt;0"))))</f>
        <v>1</v>
      </c>
      <c r="G58" s="53">
        <f>IF($B$58="","",IF((SUMIFS(tblVerifyForecasts[Actual (units)],tblVerifyForecasts[Baseline abs error (units)],"&gt;=0",tblVerifyForecasts[SKU],$B$58,tblVerifyForecasts[View date],"&gt;0"))=0,"",(SUMIFS(tblVerifyForecasts[Baseline abs error (units)],tblVerifyForecasts[Baseline abs error (units)],"&gt;=0",tblVerifyForecasts[SKU],$B$58,tblVerifyForecasts[View date],"&gt;0")-SUMIFS(tblVerifyForecasts[Abs error (units)],tblVerifyForecasts[Baseline abs error (units)],"&gt;=0",tblVerifyForecasts[SKU],$B$58,tblVerifyForecasts[View date],"&gt;0"))/(SUMIFS(tblVerifyForecasts[Actual (units)],tblVerifyForecasts[Baseline abs error (units)],"&gt;=0",tblVerifyForecasts[SKU],$B$58,tblVerifyForecasts[View date],"&gt;0"))))</f>
        <v>0.107142857142857</v>
      </c>
      <c r="H58" s="39" t="str">
        <f>IF($B$58="","",IF(NOT(ISNUMBER($D$58)),"",IF($D$58&gt;=$E$36,"On target",IF($D$58&gt;=$E$36*0.95,"Near target","Below target"))))</f>
        <v>On target</v>
      </c>
      <c r="I58" s="55">
        <f>IF($B$58="","",IF(SUMPRODUCT(MAX((tblVerifyForecasts[SKU]=$B$58)*ISNUMBER(tblVerifyForecasts[Actual (units)])*tblVerifyForecasts[Month]))=0,"",SUMPRODUCT(MAX((tblVerifyForecasts[SKU]=$B$58)*ISNUMBER(tblVerifyForecasts[Actual (units)])*tblVerifyForecasts[Month]))))</f>
        <v>46113</v>
      </c>
      <c r="J58" s="37">
        <f>IF($B$58="","",IF(NOT(ISNUMBER($I$58)),"",IF(COUNTIFS(tblVerifyForecasts[SKU],$B$58,tblVerifyForecasts[Month],"&gt;"&amp;EDATE($I$58,-$E$38),tblVerifyForecasts[Month],"&lt;="&amp;$I$58,tblVerifyForecasts[Actual (units)],"&gt;=0")&lt;$E$38,"",SUMIFS(tblVerifyForecasts[Actual (units)],tblVerifyForecasts[SKU],$B$58,tblVerifyForecasts[Month],"&gt;"&amp;EDATE($I$58,-$E$38),tblVerifyForecasts[Month],"&lt;="&amp;$I$58)/$E$38)))</f>
        <v>126.666666666667</v>
      </c>
      <c r="K58" s="37">
        <f>IF($B$58="","",IF(NOT(ISNUMBER($I$58)),"",IF(COUNTIFS(tblVerifyForecasts[SKU],$B$58,tblVerifyForecasts[Month],EDATE($I$58,1))=0,"",SUMIFS(tblVerifyForecasts[Forecast (units)],tblVerifyForecasts[SKU],$B$58,tblVerifyForecasts[Month],EDATE($I$58,1)))))</f>
        <v>130</v>
      </c>
      <c r="L58" s="56">
        <f>$E$36</f>
        <v>0.8</v>
      </c>
    </row>
    <row r="59" spans="2:14">
      <c r="B59" s="52" t="str">
        <f>IFERROR(INDEX(tblVerifySkus[SKU],2)&amp;"","")</f>
        <v>B-2</v>
      </c>
      <c r="C59" s="37">
        <f>IF($B$59="","",SUMIFS(tblVerifyForecasts[Actual (units)],tblVerifyForecasts[SKU],$B$59,tblVerifyForecasts[View date],"&gt;0"))</f>
        <v>0</v>
      </c>
      <c r="D59" s="38">
        <f>IF($B$59="","",IF(SUMIFS(tblVerifyForecasts[Actual (units)],tblVerifyForecasts[SKU],$B$59,tblVerifyForecasts[View date],"&gt;0")=0,"",MAX(0,1-SUMIFS(tblVerifyForecasts[Abs error (units)],tblVerifyForecasts[SKU],$B$59,tblVerifyForecasts[View date],"&gt;0")/SUMIFS(tblVerifyForecasts[Actual (units)],tblVerifyForecasts[SKU],$B$59,tblVerifyForecasts[View date],"&gt;0"))))</f>
        <v/>
      </c>
      <c r="E59" s="53">
        <f>IF($B$59="","",IF((SUMIFS(tblVerifyForecasts[Actual (units)],tblVerifyForecasts[SKU],$B$59,tblVerifyForecasts[View date],"&gt;0"))=0,"",(SUMIFS(tblVerifyForecasts[Error (units)],tblVerifyForecasts[SKU],$B$59,tblVerifyForecasts[View date],"&gt;0"))/(SUMIFS(tblVerifyForecasts[Actual (units)],tblVerifyForecasts[SKU],$B$59,tblVerifyForecasts[View date],"&gt;0"))))</f>
        <v/>
      </c>
      <c r="F59" s="54">
        <f>IF($B$59="","",IF((COUNTIFS(tblVerifyForecasts[Within tolerance],"Yes",tblVerifyForecasts[SKU],$B$59,tblVerifyForecasts[View date],"&gt;0")+COUNTIFS(tblVerifyForecasts[Within tolerance],"No",tblVerifyForecasts[SKU],$B$59,tblVerifyForecasts[View date],"&gt;0"))=0,"",(COUNTIFS(tblVerifyForecasts[Within tolerance],"Yes",tblVerifyForecasts[SKU],$B$59,tblVerifyForecasts[View date],"&gt;0"))/(COUNTIFS(tblVerifyForecasts[Within tolerance],"Yes",tblVerifyForecasts[SKU],$B$59,tblVerifyForecasts[View date],"&gt;0")+COUNTIFS(tblVerifyForecasts[Within tolerance],"No",tblVerifyForecasts[SKU],$B$59,tblVerifyForecasts[View date],"&gt;0"))))</f>
        <v>0.5</v>
      </c>
      <c r="G59" s="53">
        <f>IF($B$59="","",IF((SUMIFS(tblVerifyForecasts[Actual (units)],tblVerifyForecasts[Baseline abs error (units)],"&gt;=0",tblVerifyForecasts[SKU],$B$59,tblVerifyForecasts[View date],"&gt;0"))=0,"",(SUMIFS(tblVerifyForecasts[Baseline abs error (units)],tblVerifyForecasts[Baseline abs error (units)],"&gt;=0",tblVerifyForecasts[SKU],$B$59,tblVerifyForecasts[View date],"&gt;0")-SUMIFS(tblVerifyForecasts[Abs error (units)],tblVerifyForecasts[Baseline abs error (units)],"&gt;=0",tblVerifyForecasts[SKU],$B$59,tblVerifyForecasts[View date],"&gt;0"))/(SUMIFS(tblVerifyForecasts[Actual (units)],tblVerifyForecasts[Baseline abs error (units)],"&gt;=0",tblVerifyForecasts[SKU],$B$59,tblVerifyForecasts[View date],"&gt;0"))))</f>
        <v/>
      </c>
      <c r="H59" s="39">
        <f>IF($B$59="","",IF(NOT(ISNUMBER($D$59)),"",IF($D$59&gt;=$E$36,"On target",IF($D$59&gt;=$E$36*0.95,"Near target","Below target"))))</f>
        <v/>
      </c>
      <c r="I59" s="55">
        <f>IF($B$59="","",IF(SUMPRODUCT(MAX((tblVerifyForecasts[SKU]=$B$59)*ISNUMBER(tblVerifyForecasts[Actual (units)])*tblVerifyForecasts[Month]))=0,"",SUMPRODUCT(MAX((tblVerifyForecasts[SKU]=$B$59)*ISNUMBER(tblVerifyForecasts[Actual (units)])*tblVerifyForecasts[Month]))))</f>
        <v>46054</v>
      </c>
      <c r="J59" s="37">
        <f>IF($B$59="","",IF(NOT(ISNUMBER($I$59)),"",IF(COUNTIFS(tblVerifyForecasts[SKU],$B$59,tblVerifyForecasts[Month],"&gt;"&amp;EDATE($I$59,-$E$38),tblVerifyForecasts[Month],"&lt;="&amp;$I$59,tblVerifyForecasts[Actual (units)],"&gt;=0")&lt;$E$38,"",SUMIFS(tblVerifyForecasts[Actual (units)],tblVerifyForecasts[SKU],$B$59,tblVerifyForecasts[Month],"&gt;"&amp;EDATE($I$59,-$E$38),tblVerifyForecasts[Month],"&lt;="&amp;$I$59)/$E$38)))</f>
        <v/>
      </c>
      <c r="K59" s="37">
        <f>IF($B$59="","",IF(NOT(ISNUMBER($I$59)),"",IF(COUNTIFS(tblVerifyForecasts[SKU],$B$59,tblVerifyForecasts[Month],EDATE($I$59,1))=0,"",SUMIFS(tblVerifyForecasts[Forecast (units)],tblVerifyForecasts[SKU],$B$59,tblVerifyForecasts[Month],EDATE($I$59,1)))))</f>
        <v/>
      </c>
      <c r="L59" s="56">
        <f>$E$36</f>
        <v>0.8</v>
      </c>
    </row>
    <row r="60" spans="2:14">
      <c r="B60" s="52">
        <f>IFERROR(INDEX(tblVerifySkus[SKU],3)&amp;"","")</f>
        <v/>
      </c>
      <c r="C60" s="37">
        <f>IF($B$60="","",SUMIFS(tblVerifyForecasts[Actual (units)],tblVerifyForecasts[SKU],$B$60,tblVerifyForecasts[View date],"&gt;0"))</f>
        <v/>
      </c>
      <c r="D60" s="38">
        <f>IF($B$60="","",IF(SUMIFS(tblVerifyForecasts[Actual (units)],tblVerifyForecasts[SKU],$B$60,tblVerifyForecasts[View date],"&gt;0")=0,"",MAX(0,1-SUMIFS(tblVerifyForecasts[Abs error (units)],tblVerifyForecasts[SKU],$B$60,tblVerifyForecasts[View date],"&gt;0")/SUMIFS(tblVerifyForecasts[Actual (units)],tblVerifyForecasts[SKU],$B$60,tblVerifyForecasts[View date],"&gt;0"))))</f>
        <v/>
      </c>
      <c r="E60" s="53">
        <f>IF($B$60="","",IF((SUMIFS(tblVerifyForecasts[Actual (units)],tblVerifyForecasts[SKU],$B$60,tblVerifyForecasts[View date],"&gt;0"))=0,"",(SUMIFS(tblVerifyForecasts[Error (units)],tblVerifyForecasts[SKU],$B$60,tblVerifyForecasts[View date],"&gt;0"))/(SUMIFS(tblVerifyForecasts[Actual (units)],tblVerifyForecasts[SKU],$B$60,tblVerifyForecasts[View date],"&gt;0"))))</f>
        <v/>
      </c>
      <c r="F60" s="54">
        <f>IF($B$60="","",IF((COUNTIFS(tblVerifyForecasts[Within tolerance],"Yes",tblVerifyForecasts[SKU],$B$60,tblVerifyForecasts[View date],"&gt;0")+COUNTIFS(tblVerifyForecasts[Within tolerance],"No",tblVerifyForecasts[SKU],$B$60,tblVerifyForecasts[View date],"&gt;0"))=0,"",(COUNTIFS(tblVerifyForecasts[Within tolerance],"Yes",tblVerifyForecasts[SKU],$B$60,tblVerifyForecasts[View date],"&gt;0"))/(COUNTIFS(tblVerifyForecasts[Within tolerance],"Yes",tblVerifyForecasts[SKU],$B$60,tblVerifyForecasts[View date],"&gt;0")+COUNTIFS(tblVerifyForecasts[Within tolerance],"No",tblVerifyForecasts[SKU],$B$60,tblVerifyForecasts[View date],"&gt;0"))))</f>
        <v/>
      </c>
      <c r="G60" s="53">
        <f>IF($B$60="","",IF((SUMIFS(tblVerifyForecasts[Actual (units)],tblVerifyForecasts[Baseline abs error (units)],"&gt;=0",tblVerifyForecasts[SKU],$B$60,tblVerifyForecasts[View date],"&gt;0"))=0,"",(SUMIFS(tblVerifyForecasts[Baseline abs error (units)],tblVerifyForecasts[Baseline abs error (units)],"&gt;=0",tblVerifyForecasts[SKU],$B$60,tblVerifyForecasts[View date],"&gt;0")-SUMIFS(tblVerifyForecasts[Abs error (units)],tblVerifyForecasts[Baseline abs error (units)],"&gt;=0",tblVerifyForecasts[SKU],$B$60,tblVerifyForecasts[View date],"&gt;0"))/(SUMIFS(tblVerifyForecasts[Actual (units)],tblVerifyForecasts[Baseline abs error (units)],"&gt;=0",tblVerifyForecasts[SKU],$B$60,tblVerifyForecasts[View date],"&gt;0"))))</f>
        <v/>
      </c>
      <c r="H60" s="39">
        <f>IF($B$60="","",IF(NOT(ISNUMBER($D$60)),"",IF($D$60&gt;=$E$36,"On target",IF($D$60&gt;=$E$36*0.95,"Near target","Below target"))))</f>
        <v/>
      </c>
      <c r="I60" s="55">
        <f>IF($B$60="","",IF(SUMPRODUCT(MAX((tblVerifyForecasts[SKU]=$B$60)*ISNUMBER(tblVerifyForecasts[Actual (units)])*tblVerifyForecasts[Month]))=0,"",SUMPRODUCT(MAX((tblVerifyForecasts[SKU]=$B$60)*ISNUMBER(tblVerifyForecasts[Actual (units)])*tblVerifyForecasts[Month]))))</f>
        <v/>
      </c>
      <c r="J60" s="37">
        <f>IF($B$60="","",IF(NOT(ISNUMBER($I$60)),"",IF(COUNTIFS(tblVerifyForecasts[SKU],$B$60,tblVerifyForecasts[Month],"&gt;"&amp;EDATE($I$60,-$E$38),tblVerifyForecasts[Month],"&lt;="&amp;$I$60,tblVerifyForecasts[Actual (units)],"&gt;=0")&lt;$E$38,"",SUMIFS(tblVerifyForecasts[Actual (units)],tblVerifyForecasts[SKU],$B$60,tblVerifyForecasts[Month],"&gt;"&amp;EDATE($I$60,-$E$38),tblVerifyForecasts[Month],"&lt;="&amp;$I$60)/$E$38)))</f>
        <v/>
      </c>
      <c r="K60" s="37">
        <f>IF($B$60="","",IF(NOT(ISNUMBER($I$60)),"",IF(COUNTIFS(tblVerifyForecasts[SKU],$B$60,tblVerifyForecasts[Month],EDATE($I$60,1))=0,"",SUMIFS(tblVerifyForecasts[Forecast (units)],tblVerifyForecasts[SKU],$B$60,tblVerifyForecasts[Month],EDATE($I$60,1)))))</f>
        <v/>
      </c>
      <c r="L60" s="56">
        <f>$E$36</f>
        <v>0.8</v>
      </c>
    </row>
    <row r="61" spans="2:14">
      <c r="B61" s="52">
        <f>IFERROR(INDEX(tblVerifySkus[SKU],4)&amp;"","")</f>
        <v/>
      </c>
      <c r="C61" s="37">
        <f>IF($B$61="","",SUMIFS(tblVerifyForecasts[Actual (units)],tblVerifyForecasts[SKU],$B$61,tblVerifyForecasts[View date],"&gt;0"))</f>
        <v/>
      </c>
      <c r="D61" s="38">
        <f>IF($B$61="","",IF(SUMIFS(tblVerifyForecasts[Actual (units)],tblVerifyForecasts[SKU],$B$61,tblVerifyForecasts[View date],"&gt;0")=0,"",MAX(0,1-SUMIFS(tblVerifyForecasts[Abs error (units)],tblVerifyForecasts[SKU],$B$61,tblVerifyForecasts[View date],"&gt;0")/SUMIFS(tblVerifyForecasts[Actual (units)],tblVerifyForecasts[SKU],$B$61,tblVerifyForecasts[View date],"&gt;0"))))</f>
        <v/>
      </c>
      <c r="E61" s="53">
        <f>IF($B$61="","",IF((SUMIFS(tblVerifyForecasts[Actual (units)],tblVerifyForecasts[SKU],$B$61,tblVerifyForecasts[View date],"&gt;0"))=0,"",(SUMIFS(tblVerifyForecasts[Error (units)],tblVerifyForecasts[SKU],$B$61,tblVerifyForecasts[View date],"&gt;0"))/(SUMIFS(tblVerifyForecasts[Actual (units)],tblVerifyForecasts[SKU],$B$61,tblVerifyForecasts[View date],"&gt;0"))))</f>
        <v/>
      </c>
      <c r="F61" s="54">
        <f>IF($B$61="","",IF((COUNTIFS(tblVerifyForecasts[Within tolerance],"Yes",tblVerifyForecasts[SKU],$B$61,tblVerifyForecasts[View date],"&gt;0")+COUNTIFS(tblVerifyForecasts[Within tolerance],"No",tblVerifyForecasts[SKU],$B$61,tblVerifyForecasts[View date],"&gt;0"))=0,"",(COUNTIFS(tblVerifyForecasts[Within tolerance],"Yes",tblVerifyForecasts[SKU],$B$61,tblVerifyForecasts[View date],"&gt;0"))/(COUNTIFS(tblVerifyForecasts[Within tolerance],"Yes",tblVerifyForecasts[SKU],$B$61,tblVerifyForecasts[View date],"&gt;0")+COUNTIFS(tblVerifyForecasts[Within tolerance],"No",tblVerifyForecasts[SKU],$B$61,tblVerifyForecasts[View date],"&gt;0"))))</f>
        <v/>
      </c>
      <c r="G61" s="53">
        <f>IF($B$61="","",IF((SUMIFS(tblVerifyForecasts[Actual (units)],tblVerifyForecasts[Baseline abs error (units)],"&gt;=0",tblVerifyForecasts[SKU],$B$61,tblVerifyForecasts[View date],"&gt;0"))=0,"",(SUMIFS(tblVerifyForecasts[Baseline abs error (units)],tblVerifyForecasts[Baseline abs error (units)],"&gt;=0",tblVerifyForecasts[SKU],$B$61,tblVerifyForecasts[View date],"&gt;0")-SUMIFS(tblVerifyForecasts[Abs error (units)],tblVerifyForecasts[Baseline abs error (units)],"&gt;=0",tblVerifyForecasts[SKU],$B$61,tblVerifyForecasts[View date],"&gt;0"))/(SUMIFS(tblVerifyForecasts[Actual (units)],tblVerifyForecasts[Baseline abs error (units)],"&gt;=0",tblVerifyForecasts[SKU],$B$61,tblVerifyForecasts[View date],"&gt;0"))))</f>
        <v/>
      </c>
      <c r="H61" s="39">
        <f>IF($B$61="","",IF(NOT(ISNUMBER($D$61)),"",IF($D$61&gt;=$E$36,"On target",IF($D$61&gt;=$E$36*0.95,"Near target","Below target"))))</f>
        <v/>
      </c>
      <c r="I61" s="55">
        <f>IF($B$61="","",IF(SUMPRODUCT(MAX((tblVerifyForecasts[SKU]=$B$61)*ISNUMBER(tblVerifyForecasts[Actual (units)])*tblVerifyForecasts[Month]))=0,"",SUMPRODUCT(MAX((tblVerifyForecasts[SKU]=$B$61)*ISNUMBER(tblVerifyForecasts[Actual (units)])*tblVerifyForecasts[Month]))))</f>
        <v/>
      </c>
      <c r="J61" s="37">
        <f>IF($B$61="","",IF(NOT(ISNUMBER($I$61)),"",IF(COUNTIFS(tblVerifyForecasts[SKU],$B$61,tblVerifyForecasts[Month],"&gt;"&amp;EDATE($I$61,-$E$38),tblVerifyForecasts[Month],"&lt;="&amp;$I$61,tblVerifyForecasts[Actual (units)],"&gt;=0")&lt;$E$38,"",SUMIFS(tblVerifyForecasts[Actual (units)],tblVerifyForecasts[SKU],$B$61,tblVerifyForecasts[Month],"&gt;"&amp;EDATE($I$61,-$E$38),tblVerifyForecasts[Month],"&lt;="&amp;$I$61)/$E$38)))</f>
        <v/>
      </c>
      <c r="K61" s="37">
        <f>IF($B$61="","",IF(NOT(ISNUMBER($I$61)),"",IF(COUNTIFS(tblVerifyForecasts[SKU],$B$61,tblVerifyForecasts[Month],EDATE($I$61,1))=0,"",SUMIFS(tblVerifyForecasts[Forecast (units)],tblVerifyForecasts[SKU],$B$61,tblVerifyForecasts[Month],EDATE($I$61,1)))))</f>
        <v/>
      </c>
      <c r="L61" s="56">
        <f>$E$36</f>
        <v>0.8</v>
      </c>
    </row>
    <row r="62" spans="2:14">
      <c r="B62" s="52">
        <f>IFERROR(INDEX(tblVerifySkus[SKU],5)&amp;"","")</f>
        <v/>
      </c>
      <c r="C62" s="37">
        <f>IF($B$62="","",SUMIFS(tblVerifyForecasts[Actual (units)],tblVerifyForecasts[SKU],$B$62,tblVerifyForecasts[View date],"&gt;0"))</f>
        <v/>
      </c>
      <c r="D62" s="38">
        <f>IF($B$62="","",IF(SUMIFS(tblVerifyForecasts[Actual (units)],tblVerifyForecasts[SKU],$B$62,tblVerifyForecasts[View date],"&gt;0")=0,"",MAX(0,1-SUMIFS(tblVerifyForecasts[Abs error (units)],tblVerifyForecasts[SKU],$B$62,tblVerifyForecasts[View date],"&gt;0")/SUMIFS(tblVerifyForecasts[Actual (units)],tblVerifyForecasts[SKU],$B$62,tblVerifyForecasts[View date],"&gt;0"))))</f>
        <v/>
      </c>
      <c r="E62" s="53">
        <f>IF($B$62="","",IF((SUMIFS(tblVerifyForecasts[Actual (units)],tblVerifyForecasts[SKU],$B$62,tblVerifyForecasts[View date],"&gt;0"))=0,"",(SUMIFS(tblVerifyForecasts[Error (units)],tblVerifyForecasts[SKU],$B$62,tblVerifyForecasts[View date],"&gt;0"))/(SUMIFS(tblVerifyForecasts[Actual (units)],tblVerifyForecasts[SKU],$B$62,tblVerifyForecasts[View date],"&gt;0"))))</f>
        <v/>
      </c>
      <c r="F62" s="54">
        <f>IF($B$62="","",IF((COUNTIFS(tblVerifyForecasts[Within tolerance],"Yes",tblVerifyForecasts[SKU],$B$62,tblVerifyForecasts[View date],"&gt;0")+COUNTIFS(tblVerifyForecasts[Within tolerance],"No",tblVerifyForecasts[SKU],$B$62,tblVerifyForecasts[View date],"&gt;0"))=0,"",(COUNTIFS(tblVerifyForecasts[Within tolerance],"Yes",tblVerifyForecasts[SKU],$B$62,tblVerifyForecasts[View date],"&gt;0"))/(COUNTIFS(tblVerifyForecasts[Within tolerance],"Yes",tblVerifyForecasts[SKU],$B$62,tblVerifyForecasts[View date],"&gt;0")+COUNTIFS(tblVerifyForecasts[Within tolerance],"No",tblVerifyForecasts[SKU],$B$62,tblVerifyForecasts[View date],"&gt;0"))))</f>
        <v/>
      </c>
      <c r="G62" s="53">
        <f>IF($B$62="","",IF((SUMIFS(tblVerifyForecasts[Actual (units)],tblVerifyForecasts[Baseline abs error (units)],"&gt;=0",tblVerifyForecasts[SKU],$B$62,tblVerifyForecasts[View date],"&gt;0"))=0,"",(SUMIFS(tblVerifyForecasts[Baseline abs error (units)],tblVerifyForecasts[Baseline abs error (units)],"&gt;=0",tblVerifyForecasts[SKU],$B$62,tblVerifyForecasts[View date],"&gt;0")-SUMIFS(tblVerifyForecasts[Abs error (units)],tblVerifyForecasts[Baseline abs error (units)],"&gt;=0",tblVerifyForecasts[SKU],$B$62,tblVerifyForecasts[View date],"&gt;0"))/(SUMIFS(tblVerifyForecasts[Actual (units)],tblVerifyForecasts[Baseline abs error (units)],"&gt;=0",tblVerifyForecasts[SKU],$B$62,tblVerifyForecasts[View date],"&gt;0"))))</f>
        <v/>
      </c>
      <c r="H62" s="39">
        <f>IF($B$62="","",IF(NOT(ISNUMBER($D$62)),"",IF($D$62&gt;=$E$36,"On target",IF($D$62&gt;=$E$36*0.95,"Near target","Below target"))))</f>
        <v/>
      </c>
      <c r="I62" s="55">
        <f>IF($B$62="","",IF(SUMPRODUCT(MAX((tblVerifyForecasts[SKU]=$B$62)*ISNUMBER(tblVerifyForecasts[Actual (units)])*tblVerifyForecasts[Month]))=0,"",SUMPRODUCT(MAX((tblVerifyForecasts[SKU]=$B$62)*ISNUMBER(tblVerifyForecasts[Actual (units)])*tblVerifyForecasts[Month]))))</f>
        <v/>
      </c>
      <c r="J62" s="37">
        <f>IF($B$62="","",IF(NOT(ISNUMBER($I$62)),"",IF(COUNTIFS(tblVerifyForecasts[SKU],$B$62,tblVerifyForecasts[Month],"&gt;"&amp;EDATE($I$62,-$E$38),tblVerifyForecasts[Month],"&lt;="&amp;$I$62,tblVerifyForecasts[Actual (units)],"&gt;=0")&lt;$E$38,"",SUMIFS(tblVerifyForecasts[Actual (units)],tblVerifyForecasts[SKU],$B$62,tblVerifyForecasts[Month],"&gt;"&amp;EDATE($I$62,-$E$38),tblVerifyForecasts[Month],"&lt;="&amp;$I$62)/$E$38)))</f>
        <v/>
      </c>
      <c r="K62" s="37">
        <f>IF($B$62="","",IF(NOT(ISNUMBER($I$62)),"",IF(COUNTIFS(tblVerifyForecasts[SKU],$B$62,tblVerifyForecasts[Month],EDATE($I$62,1))=0,"",SUMIFS(tblVerifyForecasts[Forecast (units)],tblVerifyForecasts[SKU],$B$62,tblVerifyForecasts[Month],EDATE($I$62,1)))))</f>
        <v/>
      </c>
      <c r="L62" s="56">
        <f>$E$36</f>
        <v>0.8</v>
      </c>
    </row>
    <row r="63" spans="2:14">
      <c r="B63" s="52">
        <f>IFERROR(INDEX(tblVerifySkus[SKU],6)&amp;"","")</f>
        <v/>
      </c>
      <c r="C63" s="37">
        <f>IF($B$63="","",SUMIFS(tblVerifyForecasts[Actual (units)],tblVerifyForecasts[SKU],$B$63,tblVerifyForecasts[View date],"&gt;0"))</f>
        <v/>
      </c>
      <c r="D63" s="38">
        <f>IF($B$63="","",IF(SUMIFS(tblVerifyForecasts[Actual (units)],tblVerifyForecasts[SKU],$B$63,tblVerifyForecasts[View date],"&gt;0")=0,"",MAX(0,1-SUMIFS(tblVerifyForecasts[Abs error (units)],tblVerifyForecasts[SKU],$B$63,tblVerifyForecasts[View date],"&gt;0")/SUMIFS(tblVerifyForecasts[Actual (units)],tblVerifyForecasts[SKU],$B$63,tblVerifyForecasts[View date],"&gt;0"))))</f>
        <v/>
      </c>
      <c r="E63" s="53">
        <f>IF($B$63="","",IF((SUMIFS(tblVerifyForecasts[Actual (units)],tblVerifyForecasts[SKU],$B$63,tblVerifyForecasts[View date],"&gt;0"))=0,"",(SUMIFS(tblVerifyForecasts[Error (units)],tblVerifyForecasts[SKU],$B$63,tblVerifyForecasts[View date],"&gt;0"))/(SUMIFS(tblVerifyForecasts[Actual (units)],tblVerifyForecasts[SKU],$B$63,tblVerifyForecasts[View date],"&gt;0"))))</f>
        <v/>
      </c>
      <c r="F63" s="54">
        <f>IF($B$63="","",IF((COUNTIFS(tblVerifyForecasts[Within tolerance],"Yes",tblVerifyForecasts[SKU],$B$63,tblVerifyForecasts[View date],"&gt;0")+COUNTIFS(tblVerifyForecasts[Within tolerance],"No",tblVerifyForecasts[SKU],$B$63,tblVerifyForecasts[View date],"&gt;0"))=0,"",(COUNTIFS(tblVerifyForecasts[Within tolerance],"Yes",tblVerifyForecasts[SKU],$B$63,tblVerifyForecasts[View date],"&gt;0"))/(COUNTIFS(tblVerifyForecasts[Within tolerance],"Yes",tblVerifyForecasts[SKU],$B$63,tblVerifyForecasts[View date],"&gt;0")+COUNTIFS(tblVerifyForecasts[Within tolerance],"No",tblVerifyForecasts[SKU],$B$63,tblVerifyForecasts[View date],"&gt;0"))))</f>
        <v/>
      </c>
      <c r="G63" s="53">
        <f>IF($B$63="","",IF((SUMIFS(tblVerifyForecasts[Actual (units)],tblVerifyForecasts[Baseline abs error (units)],"&gt;=0",tblVerifyForecasts[SKU],$B$63,tblVerifyForecasts[View date],"&gt;0"))=0,"",(SUMIFS(tblVerifyForecasts[Baseline abs error (units)],tblVerifyForecasts[Baseline abs error (units)],"&gt;=0",tblVerifyForecasts[SKU],$B$63,tblVerifyForecasts[View date],"&gt;0")-SUMIFS(tblVerifyForecasts[Abs error (units)],tblVerifyForecasts[Baseline abs error (units)],"&gt;=0",tblVerifyForecasts[SKU],$B$63,tblVerifyForecasts[View date],"&gt;0"))/(SUMIFS(tblVerifyForecasts[Actual (units)],tblVerifyForecasts[Baseline abs error (units)],"&gt;=0",tblVerifyForecasts[SKU],$B$63,tblVerifyForecasts[View date],"&gt;0"))))</f>
        <v/>
      </c>
      <c r="H63" s="39">
        <f>IF($B$63="","",IF(NOT(ISNUMBER($D$63)),"",IF($D$63&gt;=$E$36,"On target",IF($D$63&gt;=$E$36*0.95,"Near target","Below target"))))</f>
        <v/>
      </c>
      <c r="I63" s="55">
        <f>IF($B$63="","",IF(SUMPRODUCT(MAX((tblVerifyForecasts[SKU]=$B$63)*ISNUMBER(tblVerifyForecasts[Actual (units)])*tblVerifyForecasts[Month]))=0,"",SUMPRODUCT(MAX((tblVerifyForecasts[SKU]=$B$63)*ISNUMBER(tblVerifyForecasts[Actual (units)])*tblVerifyForecasts[Month]))))</f>
        <v/>
      </c>
      <c r="J63" s="37">
        <f>IF($B$63="","",IF(NOT(ISNUMBER($I$63)),"",IF(COUNTIFS(tblVerifyForecasts[SKU],$B$63,tblVerifyForecasts[Month],"&gt;"&amp;EDATE($I$63,-$E$38),tblVerifyForecasts[Month],"&lt;="&amp;$I$63,tblVerifyForecasts[Actual (units)],"&gt;=0")&lt;$E$38,"",SUMIFS(tblVerifyForecasts[Actual (units)],tblVerifyForecasts[SKU],$B$63,tblVerifyForecasts[Month],"&gt;"&amp;EDATE($I$63,-$E$38),tblVerifyForecasts[Month],"&lt;="&amp;$I$63)/$E$38)))</f>
        <v/>
      </c>
      <c r="K63" s="37">
        <f>IF($B$63="","",IF(NOT(ISNUMBER($I$63)),"",IF(COUNTIFS(tblVerifyForecasts[SKU],$B$63,tblVerifyForecasts[Month],EDATE($I$63,1))=0,"",SUMIFS(tblVerifyForecasts[Forecast (units)],tblVerifyForecasts[SKU],$B$63,tblVerifyForecasts[Month],EDATE($I$63,1)))))</f>
        <v/>
      </c>
      <c r="L63" s="56">
        <f>$E$36</f>
        <v>0.8</v>
      </c>
    </row>
    <row r="64" spans="2:14">
      <c r="B64" s="52">
        <f>IFERROR(INDEX(tblVerifySkus[SKU],7)&amp;"","")</f>
        <v/>
      </c>
      <c r="C64" s="37">
        <f>IF($B$64="","",SUMIFS(tblVerifyForecasts[Actual (units)],tblVerifyForecasts[SKU],$B$64,tblVerifyForecasts[View date],"&gt;0"))</f>
        <v/>
      </c>
      <c r="D64" s="38">
        <f>IF($B$64="","",IF(SUMIFS(tblVerifyForecasts[Actual (units)],tblVerifyForecasts[SKU],$B$64,tblVerifyForecasts[View date],"&gt;0")=0,"",MAX(0,1-SUMIFS(tblVerifyForecasts[Abs error (units)],tblVerifyForecasts[SKU],$B$64,tblVerifyForecasts[View date],"&gt;0")/SUMIFS(tblVerifyForecasts[Actual (units)],tblVerifyForecasts[SKU],$B$64,tblVerifyForecasts[View date],"&gt;0"))))</f>
        <v/>
      </c>
      <c r="E64" s="53">
        <f>IF($B$64="","",IF((SUMIFS(tblVerifyForecasts[Actual (units)],tblVerifyForecasts[SKU],$B$64,tblVerifyForecasts[View date],"&gt;0"))=0,"",(SUMIFS(tblVerifyForecasts[Error (units)],tblVerifyForecasts[SKU],$B$64,tblVerifyForecasts[View date],"&gt;0"))/(SUMIFS(tblVerifyForecasts[Actual (units)],tblVerifyForecasts[SKU],$B$64,tblVerifyForecasts[View date],"&gt;0"))))</f>
        <v/>
      </c>
      <c r="F64" s="54">
        <f>IF($B$64="","",IF((COUNTIFS(tblVerifyForecasts[Within tolerance],"Yes",tblVerifyForecasts[SKU],$B$64,tblVerifyForecasts[View date],"&gt;0")+COUNTIFS(tblVerifyForecasts[Within tolerance],"No",tblVerifyForecasts[SKU],$B$64,tblVerifyForecasts[View date],"&gt;0"))=0,"",(COUNTIFS(tblVerifyForecasts[Within tolerance],"Yes",tblVerifyForecasts[SKU],$B$64,tblVerifyForecasts[View date],"&gt;0"))/(COUNTIFS(tblVerifyForecasts[Within tolerance],"Yes",tblVerifyForecasts[SKU],$B$64,tblVerifyForecasts[View date],"&gt;0")+COUNTIFS(tblVerifyForecasts[Within tolerance],"No",tblVerifyForecasts[SKU],$B$64,tblVerifyForecasts[View date],"&gt;0"))))</f>
        <v/>
      </c>
      <c r="G64" s="53">
        <f>IF($B$64="","",IF((SUMIFS(tblVerifyForecasts[Actual (units)],tblVerifyForecasts[Baseline abs error (units)],"&gt;=0",tblVerifyForecasts[SKU],$B$64,tblVerifyForecasts[View date],"&gt;0"))=0,"",(SUMIFS(tblVerifyForecasts[Baseline abs error (units)],tblVerifyForecasts[Baseline abs error (units)],"&gt;=0",tblVerifyForecasts[SKU],$B$64,tblVerifyForecasts[View date],"&gt;0")-SUMIFS(tblVerifyForecasts[Abs error (units)],tblVerifyForecasts[Baseline abs error (units)],"&gt;=0",tblVerifyForecasts[SKU],$B$64,tblVerifyForecasts[View date],"&gt;0"))/(SUMIFS(tblVerifyForecasts[Actual (units)],tblVerifyForecasts[Baseline abs error (units)],"&gt;=0",tblVerifyForecasts[SKU],$B$64,tblVerifyForecasts[View date],"&gt;0"))))</f>
        <v/>
      </c>
      <c r="H64" s="39">
        <f>IF($B$64="","",IF(NOT(ISNUMBER($D$64)),"",IF($D$64&gt;=$E$36,"On target",IF($D$64&gt;=$E$36*0.95,"Near target","Below target"))))</f>
        <v/>
      </c>
      <c r="I64" s="55">
        <f>IF($B$64="","",IF(SUMPRODUCT(MAX((tblVerifyForecasts[SKU]=$B$64)*ISNUMBER(tblVerifyForecasts[Actual (units)])*tblVerifyForecasts[Month]))=0,"",SUMPRODUCT(MAX((tblVerifyForecasts[SKU]=$B$64)*ISNUMBER(tblVerifyForecasts[Actual (units)])*tblVerifyForecasts[Month]))))</f>
        <v/>
      </c>
      <c r="J64" s="37">
        <f>IF($B$64="","",IF(NOT(ISNUMBER($I$64)),"",IF(COUNTIFS(tblVerifyForecasts[SKU],$B$64,tblVerifyForecasts[Month],"&gt;"&amp;EDATE($I$64,-$E$38),tblVerifyForecasts[Month],"&lt;="&amp;$I$64,tblVerifyForecasts[Actual (units)],"&gt;=0")&lt;$E$38,"",SUMIFS(tblVerifyForecasts[Actual (units)],tblVerifyForecasts[SKU],$B$64,tblVerifyForecasts[Month],"&gt;"&amp;EDATE($I$64,-$E$38),tblVerifyForecasts[Month],"&lt;="&amp;$I$64)/$E$38)))</f>
        <v/>
      </c>
      <c r="K64" s="37">
        <f>IF($B$64="","",IF(NOT(ISNUMBER($I$64)),"",IF(COUNTIFS(tblVerifyForecasts[SKU],$B$64,tblVerifyForecasts[Month],EDATE($I$64,1))=0,"",SUMIFS(tblVerifyForecasts[Forecast (units)],tblVerifyForecasts[SKU],$B$64,tblVerifyForecasts[Month],EDATE($I$64,1)))))</f>
        <v/>
      </c>
      <c r="L64" s="56">
        <f>$E$36</f>
        <v>0.8</v>
      </c>
    </row>
    <row r="65" spans="2:12">
      <c r="B65" s="52">
        <f>IFERROR(INDEX(tblVerifySkus[SKU],8)&amp;"","")</f>
        <v/>
      </c>
      <c r="C65" s="37">
        <f>IF($B$65="","",SUMIFS(tblVerifyForecasts[Actual (units)],tblVerifyForecasts[SKU],$B$65,tblVerifyForecasts[View date],"&gt;0"))</f>
        <v/>
      </c>
      <c r="D65" s="38">
        <f>IF($B$65="","",IF(SUMIFS(tblVerifyForecasts[Actual (units)],tblVerifyForecasts[SKU],$B$65,tblVerifyForecasts[View date],"&gt;0")=0,"",MAX(0,1-SUMIFS(tblVerifyForecasts[Abs error (units)],tblVerifyForecasts[SKU],$B$65,tblVerifyForecasts[View date],"&gt;0")/SUMIFS(tblVerifyForecasts[Actual (units)],tblVerifyForecasts[SKU],$B$65,tblVerifyForecasts[View date],"&gt;0"))))</f>
        <v/>
      </c>
      <c r="E65" s="53">
        <f>IF($B$65="","",IF((SUMIFS(tblVerifyForecasts[Actual (units)],tblVerifyForecasts[SKU],$B$65,tblVerifyForecasts[View date],"&gt;0"))=0,"",(SUMIFS(tblVerifyForecasts[Error (units)],tblVerifyForecasts[SKU],$B$65,tblVerifyForecasts[View date],"&gt;0"))/(SUMIFS(tblVerifyForecasts[Actual (units)],tblVerifyForecasts[SKU],$B$65,tblVerifyForecasts[View date],"&gt;0"))))</f>
        <v/>
      </c>
      <c r="F65" s="54">
        <f>IF($B$65="","",IF((COUNTIFS(tblVerifyForecasts[Within tolerance],"Yes",tblVerifyForecasts[SKU],$B$65,tblVerifyForecasts[View date],"&gt;0")+COUNTIFS(tblVerifyForecasts[Within tolerance],"No",tblVerifyForecasts[SKU],$B$65,tblVerifyForecasts[View date],"&gt;0"))=0,"",(COUNTIFS(tblVerifyForecasts[Within tolerance],"Yes",tblVerifyForecasts[SKU],$B$65,tblVerifyForecasts[View date],"&gt;0"))/(COUNTIFS(tblVerifyForecasts[Within tolerance],"Yes",tblVerifyForecasts[SKU],$B$65,tblVerifyForecasts[View date],"&gt;0")+COUNTIFS(tblVerifyForecasts[Within tolerance],"No",tblVerifyForecasts[SKU],$B$65,tblVerifyForecasts[View date],"&gt;0"))))</f>
        <v/>
      </c>
      <c r="G65" s="53">
        <f>IF($B$65="","",IF((SUMIFS(tblVerifyForecasts[Actual (units)],tblVerifyForecasts[Baseline abs error (units)],"&gt;=0",tblVerifyForecasts[SKU],$B$65,tblVerifyForecasts[View date],"&gt;0"))=0,"",(SUMIFS(tblVerifyForecasts[Baseline abs error (units)],tblVerifyForecasts[Baseline abs error (units)],"&gt;=0",tblVerifyForecasts[SKU],$B$65,tblVerifyForecasts[View date],"&gt;0")-SUMIFS(tblVerifyForecasts[Abs error (units)],tblVerifyForecasts[Baseline abs error (units)],"&gt;=0",tblVerifyForecasts[SKU],$B$65,tblVerifyForecasts[View date],"&gt;0"))/(SUMIFS(tblVerifyForecasts[Actual (units)],tblVerifyForecasts[Baseline abs error (units)],"&gt;=0",tblVerifyForecasts[SKU],$B$65,tblVerifyForecasts[View date],"&gt;0"))))</f>
        <v/>
      </c>
      <c r="H65" s="39">
        <f>IF($B$65="","",IF(NOT(ISNUMBER($D$65)),"",IF($D$65&gt;=$E$36,"On target",IF($D$65&gt;=$E$36*0.95,"Near target","Below target"))))</f>
        <v/>
      </c>
      <c r="I65" s="55">
        <f>IF($B$65="","",IF(SUMPRODUCT(MAX((tblVerifyForecasts[SKU]=$B$65)*ISNUMBER(tblVerifyForecasts[Actual (units)])*tblVerifyForecasts[Month]))=0,"",SUMPRODUCT(MAX((tblVerifyForecasts[SKU]=$B$65)*ISNUMBER(tblVerifyForecasts[Actual (units)])*tblVerifyForecasts[Month]))))</f>
        <v/>
      </c>
      <c r="J65" s="37">
        <f>IF($B$65="","",IF(NOT(ISNUMBER($I$65)),"",IF(COUNTIFS(tblVerifyForecasts[SKU],$B$65,tblVerifyForecasts[Month],"&gt;"&amp;EDATE($I$65,-$E$38),tblVerifyForecasts[Month],"&lt;="&amp;$I$65,tblVerifyForecasts[Actual (units)],"&gt;=0")&lt;$E$38,"",SUMIFS(tblVerifyForecasts[Actual (units)],tblVerifyForecasts[SKU],$B$65,tblVerifyForecasts[Month],"&gt;"&amp;EDATE($I$65,-$E$38),tblVerifyForecasts[Month],"&lt;="&amp;$I$65)/$E$38)))</f>
        <v/>
      </c>
      <c r="K65" s="37">
        <f>IF($B$65="","",IF(NOT(ISNUMBER($I$65)),"",IF(COUNTIFS(tblVerifyForecasts[SKU],$B$65,tblVerifyForecasts[Month],EDATE($I$65,1))=0,"",SUMIFS(tblVerifyForecasts[Forecast (units)],tblVerifyForecasts[SKU],$B$65,tblVerifyForecasts[Month],EDATE($I$65,1)))))</f>
        <v/>
      </c>
      <c r="L65" s="56">
        <f>$E$36</f>
        <v>0.8</v>
      </c>
    </row>
  </sheetData>
  <sheetProtection sheet="1" formatColumns="0" formatRows="0"/>
  <mergeCells count="38">
    <mergeCell ref="A1:N1"/>
    <mergeCell ref="B2:M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F31"/>
    <mergeCell ref="B32:D32"/>
    <mergeCell ref="B33:D33"/>
    <mergeCell ref="B34:D34"/>
    <mergeCell ref="E34:F34"/>
    <mergeCell ref="B35:D35"/>
    <mergeCell ref="B36:D36"/>
    <mergeCell ref="B37:D37"/>
    <mergeCell ref="B38:D38"/>
    <mergeCell ref="B40:L40"/>
    <mergeCell ref="B45:L45"/>
    <mergeCell ref="B56:L56"/>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58:D65">
    <cfRule type="expression" dxfId="3" priority="43" stopIfTrue="1">
      <formula>AND(ISNUMBER(D58),D58&gt;=($E$36))</formula>
    </cfRule>
    <cfRule type="expression" dxfId="4" priority="44" stopIfTrue="1">
      <formula>AND(ISNUMBER(D58),D58&gt;=($E$36)*(1-0.05))</formula>
    </cfRule>
    <cfRule type="expression" dxfId="5" priority="45">
      <formula>ISNUMBER(D58)</formula>
    </cfRule>
  </conditionalFormatting>
  <conditionalFormatting sqref="H58:H65">
    <cfRule type="cellIs" dxfId="0" priority="46" operator="equal">
      <formula>"On target"</formula>
    </cfRule>
    <cfRule type="cellIs" dxfId="0" priority="47" operator="equal">
      <formula>"PASS"</formula>
    </cfRule>
    <cfRule type="cellIs" dxfId="0" priority="48" operator="equal">
      <formula>"OK"</formula>
    </cfRule>
    <cfRule type="cellIs" dxfId="0" priority="49" operator="equal">
      <formula>"Within limits"</formula>
    </cfRule>
    <cfRule type="cellIs" dxfId="0" priority="50" operator="equal">
      <formula>"Under capacity"</formula>
    </cfRule>
    <cfRule type="cellIs" dxfId="0" priority="51" operator="equal">
      <formula>"Complete"</formula>
    </cfRule>
    <cfRule type="cellIs" dxfId="0" priority="52" operator="equal">
      <formula>"Yes"</formula>
    </cfRule>
    <cfRule type="cellIs" dxfId="1" priority="53" operator="equal">
      <formula>"Near target"</formula>
    </cfRule>
    <cfRule type="cellIs" dxfId="1" priority="54" operator="equal">
      <formula>"Check"</formula>
    </cfRule>
    <cfRule type="cellIs" dxfId="1" priority="55" operator="equal">
      <formula>"Due soon"</formula>
    </cfRule>
    <cfRule type="cellIs" dxfId="1" priority="56" operator="equal">
      <formula>"Near capacity"</formula>
    </cfRule>
    <cfRule type="cellIs" dxfId="1" priority="57" operator="equal">
      <formula>"In progress"</formula>
    </cfRule>
    <cfRule type="cellIs" dxfId="1" priority="58" operator="equal">
      <formula>"Partial"</formula>
    </cfRule>
    <cfRule type="cellIs" dxfId="2" priority="59" operator="equal">
      <formula>"Below target"</formula>
    </cfRule>
    <cfRule type="cellIs" dxfId="2" priority="60" operator="equal">
      <formula>"Above target"</formula>
    </cfRule>
    <cfRule type="cellIs" dxfId="2" priority="61" operator="equal">
      <formula>"FAIL"</formula>
    </cfRule>
    <cfRule type="cellIs" dxfId="2" priority="62" operator="equal">
      <formula>"Over capacity"</formula>
    </cfRule>
    <cfRule type="cellIs" dxfId="2" priority="63" operator="equal">
      <formula>"Overdue"</formula>
    </cfRule>
    <cfRule type="cellIs" dxfId="2" priority="64" operator="equal">
      <formula>"Out of limits"</formula>
    </cfRule>
    <cfRule type="cellIs" dxfId="2" priority="65" operator="equal">
      <formula>"No"</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47:M54">
    <cfRule type="expression" dxfId="3" priority="41">
      <formula>$M47="OK"</formula>
    </cfRule>
    <cfRule type="expression" dxfId="1" priority="42">
      <formula>AND($M47&lt;&gt;"",$M47&lt;&gt;"OK")</formula>
    </cfRule>
  </conditionalFormatting>
  <hyperlinks>
    <hyperlink ref="N2" r:id="rId1" tooltip="Free manufacturing calculators and templates"/>
  </hyperlinks>
  <printOptions horizontalCentered="1"/>
  <pageMargins left="0.4" right="0.4" top="0.7" bottom="0.65" header="0.3" footer="0.3"/>
  <pageSetup fitToHeight="0" orientation="landscape"/>
  <headerFooter>
    <oddHeader>&amp;L&amp;8MFG Calcs - Demand Forecast&amp;R&amp;8&amp;A</oddHeader>
    <oddFooter>&amp;L&amp;8mfgcalcs.com - free manufacturing templates&amp;R&amp;8Page &amp;P of &amp;N</oddFooter>
  </headerFooter>
  <rowBreaks count="2" manualBreakCount="2">
    <brk id="30" max="16383" man="1"/>
    <brk id="55"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Start Here</vt:lpstr>
      <vt:lpstr>Setup</vt:lpstr>
      <vt:lpstr>Forecast Log</vt:lpstr>
      <vt:lpstr>Dashboard</vt:lpstr>
      <vt:lpstr>Method</vt:lpstr>
      <vt:lpstr>Verify</vt:lpstr>
      <vt:lpstr>DashFrom</vt:lpstr>
      <vt:lpstr>DashSku</vt:lpstr>
      <vt:lpstr>DashTo</vt:lpstr>
      <vt:lpstr>KpiAcc</vt:lpstr>
      <vt:lpstr>KpiBias</vt:lpstr>
      <vt:lpstr>KpiFva</vt:lpstr>
      <vt:lpstr>KpiHit</vt:lpstr>
      <vt:lpstr>PlantName</vt:lpstr>
      <vt:lpstr>Dashboard!Print_Area</vt:lpstr>
      <vt:lpstr>'Forecast Log'!Print_Area</vt:lpstr>
      <vt:lpstr>Method!Print_Area</vt:lpstr>
      <vt:lpstr>Setup!Print_Area</vt:lpstr>
      <vt:lpstr>'Start Here'!Print_Area</vt:lpstr>
      <vt:lpstr>Verify!Print_Area</vt:lpstr>
      <vt:lpstr>'Forecast Log'!Print_Titles</vt:lpstr>
      <vt:lpstr>Method!Print_Titles</vt:lpstr>
      <vt:lpstr>SelfCheck</vt:lpstr>
      <vt:lpstr>SelfCheckSummary</vt:lpstr>
      <vt:lpstr>TargetAcc</vt:lpstr>
      <vt:lpstr>TargetHit</vt:lpstr>
      <vt:lpstr>Tolerance</vt:lpstr>
      <vt:lpstr>Window</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Demand Forecast - free Excel template from MFG Calcs</dc:title>
  <dc:subject>Log each SKU's monthly forecast and actual demand, and see accuracy, bias, hit rate and whether your forecast beats a simple moving average.</dc:subject>
  <dc:creator>MFG Calcs</dc:creator>
  <cp:keywords>demand forecast, forecast accuracy, WAPE, MAPE, forecast bias, forecast value added, FVA, demand planning, S&amp;OP</cp:keywords>
  <dc:description>https://www.mfgcalcs.com/templates/demand-forecast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demand-forecast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https://www.mfgcalcs.com/templates/demand-forecast</vt:lpwstr>
  </property>
  <property fmtid="{D5CDD505-2E9C-101B-9397-08002B2CF9AE}" pid="7" name="Template sheet roles">
    <vt:lpwstr>Start Here=start;Setup=setup;Forecast Log=work;Dashboard=dashboard;Method=method;Verify=verify</vt:lpwstr>
  </property>
</Properties>
</file>