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Downtime Log" sheetId="3" r:id="rId3"/>
    <sheet name="Dashboard" sheetId="4" r:id="rId4"/>
    <sheet name="Method" sheetId="5" r:id="rId5"/>
    <sheet name="Verify" sheetId="6" r:id="rId6"/>
  </sheets>
  <definedNames>
    <definedName name="Currency">Setup!$C$7</definedName>
    <definedName name="DashFrom">Dashboard!$G$4</definedName>
    <definedName name="DashMachine">Dashboard!$C$4</definedName>
    <definedName name="DashTo">Dashboard!$K$4</definedName>
    <definedName name="FFrom">IF(DashFrom="",0,DashFrom)</definedName>
    <definedName name="FTo">IF(DashTo="",2958465,DashTo)</definedName>
    <definedName name="KpiAvg">Dashboard!$D$30</definedName>
    <definedName name="KpiLastWeek">Dashboard!$D$8</definedName>
    <definedName name="KpiPlanH">Dashboard!$B$30</definedName>
    <definedName name="KpiStops">Dashboard!$G$8</definedName>
    <definedName name="KpiTop">Dashboard!$G$30</definedName>
    <definedName name="KpiUnplCost">Dashboard!$J$8</definedName>
    <definedName name="KpiUnplH">Dashboard!$B$8</definedName>
    <definedName name="KpiWorst">Dashboard!$J$30</definedName>
    <definedName name="Machines">tblMachines[Machine]</definedName>
    <definedName name="PlantName">Setup!$C$6</definedName>
    <definedName name="_xlnm.Print_Area" localSheetId="3">Dashboard!$A$1:$L$101</definedName>
    <definedName name="_xlnm.Print_Area" localSheetId="2">'Downtime Log'!$A$1:$R$181</definedName>
    <definedName name="_xlnm.Print_Area" localSheetId="4">Method!$A$1:$D$58</definedName>
    <definedName name="_xlnm.Print_Area" localSheetId="1">Setup!$A$1:$E$40</definedName>
    <definedName name="_xlnm.Print_Area" localSheetId="0">'Start Here'!$A$1:$F$55</definedName>
    <definedName name="_xlnm.Print_Area" localSheetId="5">Verify!$A$1:$R$39</definedName>
    <definedName name="_xlnm.Print_Titles" localSheetId="2">'Downtime Log'!$1:$6</definedName>
    <definedName name="_xlnm.Print_Titles" localSheetId="4">Method!$1:$2</definedName>
    <definedName name="Reasons">tblReasons[Reason]</definedName>
    <definedName name="SelfCheck">Verify!$D$4</definedName>
    <definedName name="SelfCheckSummary">Verify!$F$4</definedName>
    <definedName name="ShiftList">tblShiftList[Shift]</definedName>
    <definedName name="WeeklyLimit">Setup!$C$8</definedName>
  </definedNames>
  <calcPr calcId="124519" fullCalcOnLoad="1"/>
</workbook>
</file>

<file path=xl/sharedStrings.xml><?xml version="1.0" encoding="utf-8"?>
<sst xmlns="http://schemas.openxmlformats.org/spreadsheetml/2006/main" count="1124" uniqueCount="272">
  <si>
    <t>Downtime Tracker</t>
  </si>
  <si>
    <t>Read this first: what the workbook does and how to use it.</t>
  </si>
  <si>
    <t>mfgcalcs.com</t>
  </si>
  <si>
    <t>Log every machine stop with its reason, start and end time, and see downtime hours, the cost of the stops and the biggest reasons update as you type.</t>
  </si>
  <si>
    <t>For: Shift supervisors, maintenance leads, reliability and continuous-improvement engineers, and plant managers.</t>
  </si>
  <si>
    <t>Version 2.0.0  ·  updated 15 October 2026</t>
  </si>
  <si>
    <t>Quick start</t>
  </si>
  <si>
    <t>1.</t>
  </si>
  <si>
    <t>On Setup, type your plant name, currency label and weekly unplanned downtime limit, then replace the example machines (with the value of a stopped hour), shifts and reason codes.</t>
  </si>
  <si>
    <t>2.</t>
  </si>
  <si>
    <t>On Downtime Log, add one row per stop: date, shift, machine, reason, start and end time, and any repair or recovery charges.</t>
  </si>
  <si>
    <t>3.</t>
  </si>
  <si>
    <t>Read the Check column: anything other than OK names the problem in words.</t>
  </si>
  <si>
    <t>4.</t>
  </si>
  <si>
    <t>Open the Dashboard and use the machine and date filters to review one machine, one week or the whole log.</t>
  </si>
  <si>
    <t>What is in this workbook</t>
  </si>
  <si>
    <t>Start Here</t>
  </si>
  <si>
    <t>Setup</t>
  </si>
  <si>
    <t>Your plant, currency, targets and the dropdown lists.</t>
  </si>
  <si>
    <t>Downtime Log</t>
  </si>
  <si>
    <t>One row per stop: when it started and ended, why, and what it cost.</t>
  </si>
  <si>
    <t>Dashboard</t>
  </si>
  <si>
    <t>Downtime hours, cost and the reasons behind them, for the machine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</si>
  <si>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</si>
  <si>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</si>
  <si>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</si>
  <si>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</si>
  <si>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</si>
  <si>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</si>
  <si>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</si>
  <si>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</si>
  <si>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</si>
  <si>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</si>
  <si>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</si>
  <si>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</si>
  <si>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</si>
  <si>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</si>
  <si>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</si>
  <si>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</si>
  <si>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</si>
  <si>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</si>
  <si>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</si>
  <si>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</si>
  <si>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Downtime Cost per Event Calculator on mfgcalcs.com</t>
  </si>
  <si>
    <t>Latest version</t>
  </si>
  <si>
    <t>mfgcalcs.com/templates/downtime-tracker</t>
  </si>
  <si>
    <t>More free templates</t>
  </si>
  <si>
    <t>mfgcalcs.com/templates</t>
  </si>
  <si>
    <t>Version</t>
  </si>
  <si>
    <t>2.0.0 (updated 15 October 2026)</t>
  </si>
  <si>
    <t>About the example data</t>
  </si>
  <si>
    <t>Every number already in this workbook is example data for Kestrel Stamping, a fictional business invented for this template, so the dashboard and charts show something meaningful on day one. It covers five machines on two shifts over six weeks (31 August to 9 October 2026), generated from a fixed seed. Loss rates and repair charges are example values.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</si>
  <si>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</si>
  <si>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</si>
  <si>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</si>
  <si>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</si>
  <si>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</si>
  <si>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</si>
  <si>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</si>
  <si>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</si>
  <si>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</si>
  <si>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Description</t>
  </si>
  <si>
    <t>Loss rate (per h)</t>
  </si>
  <si>
    <t>Shift</t>
  </si>
  <si>
    <t>Hours</t>
  </si>
  <si>
    <t>Notes</t>
  </si>
  <si>
    <t>Reason</t>
  </si>
  <si>
    <t>Type</t>
  </si>
  <si>
    <t>Loss category</t>
  </si>
  <si>
    <t>Definition</t>
  </si>
  <si>
    <t>Plant and limits</t>
  </si>
  <si>
    <t>Plant or line name</t>
  </si>
  <si>
    <t>Kestrel Stamping (example)</t>
  </si>
  <si>
    <t>Currency label</t>
  </si>
  <si>
    <t>USD</t>
  </si>
  <si>
    <t>Unplanned downtime limit per week</t>
  </si>
  <si>
    <t>h per week, all machines</t>
  </si>
  <si>
    <t>The limit is yours to set; nothing in this workbook assumes an industry benchmark. Loss rates and repair charges in the example are example values: use your own contribution per hour from finance.</t>
  </si>
  <si>
    <t>Lists that feed the dropdowns</t>
  </si>
  <si>
    <t>Edit, add or remove rows; every dropdown on the Downtime Log reads these lists. Keep names unique, and rename with care: log rows that use an old name stop matching (their Check column says so).</t>
  </si>
  <si>
    <t>Machines and the value of a stopped hour</t>
  </si>
  <si>
    <t>PR-400</t>
  </si>
  <si>
    <t>400 t transfer press</t>
  </si>
  <si>
    <t>PR-250</t>
  </si>
  <si>
    <t>250 t progressive press</t>
  </si>
  <si>
    <t>LS-01</t>
  </si>
  <si>
    <t>6 kW fibre laser</t>
  </si>
  <si>
    <t>PB-02</t>
  </si>
  <si>
    <t>170 t press brake</t>
  </si>
  <si>
    <t>WR-03</t>
  </si>
  <si>
    <t>Robot weld cell, two stations</t>
  </si>
  <si>
    <t>Shifts</t>
  </si>
  <si>
    <t>Day</t>
  </si>
  <si>
    <t>06:00 to 14:00</t>
  </si>
  <si>
    <t>Breaks are not downtime</t>
  </si>
  <si>
    <t>Late</t>
  </si>
  <si>
    <t>14:00 to 22:00</t>
  </si>
  <si>
    <t>Downtime reason codes</t>
  </si>
  <si>
    <t>Die change</t>
  </si>
  <si>
    <t>Planned</t>
  </si>
  <si>
    <t>Changeover</t>
  </si>
  <si>
    <t>Last good part to first good part of the next job</t>
  </si>
  <si>
    <t>Planned maintenance</t>
  </si>
  <si>
    <t>Maintenance</t>
  </si>
  <si>
    <t>Scheduled PM or inspection inside shift time</t>
  </si>
  <si>
    <t>Die or tool repair</t>
  </si>
  <si>
    <t>Unplanned</t>
  </si>
  <si>
    <t>Breakdown</t>
  </si>
  <si>
    <t>Unplanned work on a die, punch or fixture</t>
  </si>
  <si>
    <t>Hydraulic fault</t>
  </si>
  <si>
    <t>Leak, pressure, pump or valve fault until handed back</t>
  </si>
  <si>
    <t>Electrical fault</t>
  </si>
  <si>
    <t>Drive, sensor, safety circuit or control fault</t>
  </si>
  <si>
    <t>Feeder or coil jam</t>
  </si>
  <si>
    <t>Minor stop</t>
  </si>
  <si>
    <t>Strip or blank misfeed cleared by the operator</t>
  </si>
  <si>
    <t>Material shortage</t>
  </si>
  <si>
    <t>Material</t>
  </si>
  <si>
    <t>No coil, blanks or parts at the machine</t>
  </si>
  <si>
    <t>Quality hold</t>
  </si>
  <si>
    <t>Quality</t>
  </si>
  <si>
    <t>Stopped pending a first-off or quality decision</t>
  </si>
  <si>
    <t>Waiting for operator</t>
  </si>
  <si>
    <t>Labour</t>
  </si>
  <si>
    <t>Machine ready but unattended</t>
  </si>
  <si>
    <t>Other</t>
  </si>
  <si>
    <t>Anything else; say what in the Notes</t>
  </si>
  <si>
    <t>Date</t>
  </si>
  <si>
    <t>Start</t>
  </si>
  <si>
    <t>End</t>
  </si>
  <si>
    <t>Minutes</t>
  </si>
  <si>
    <t>Loss rate</t>
  </si>
  <si>
    <t>Production loss</t>
  </si>
  <si>
    <t>Repair cost</t>
  </si>
  <si>
    <t>Total cost</t>
  </si>
  <si>
    <t>Week</t>
  </si>
  <si>
    <t>View date</t>
  </si>
  <si>
    <t>Check</t>
  </si>
  <si>
    <t>Example data for Kestrel Stamping (fictional). Replace it with your own: select the example rows, right-click, Delete &gt; Table Rows. Yellow = you type; blue = calculated; Check names any problem.</t>
  </si>
  <si>
    <t>Job change</t>
  </si>
  <si>
    <t/>
  </si>
  <si>
    <t>Main ram seal failed; contractor call-out overnight</t>
  </si>
  <si>
    <t>From</t>
  </si>
  <si>
    <t>To</t>
  </si>
  <si>
    <t>UNPLANNED DOWNTIME (H)</t>
  </si>
  <si>
    <t>LATEST WEEK, UNPLANNED (H)</t>
  </si>
  <si>
    <t>UNPLANNED STOPS</t>
  </si>
  <si>
    <t>All unplanned stops in view</t>
  </si>
  <si>
    <t>Count of unplanned rows in view</t>
  </si>
  <si>
    <t>Production loss + repair charges</t>
  </si>
  <si>
    <t>PLANNED DOWNTIME (H)</t>
  </si>
  <si>
    <t>AVERAGE UNPLANNED STOP (MIN)</t>
  </si>
  <si>
    <t>BIGGEST REASON (MINUTES)</t>
  </si>
  <si>
    <t>MOST UNPLANNED HOURS</t>
  </si>
  <si>
    <t>Changeovers and PM in shift time</t>
  </si>
  <si>
    <t>Unplanned minutes / unplanned stops</t>
  </si>
  <si>
    <t>First bar of the Pareto</t>
  </si>
  <si>
    <t>Machine with the most unplanned hours</t>
  </si>
  <si>
    <t>By week (last 6 weeks in view, oldest first)</t>
  </si>
  <si>
    <t>Week starting (Mon)</t>
  </si>
  <si>
    <t>Stops</t>
  </si>
  <si>
    <t>Unplanned (h)</t>
  </si>
  <si>
    <t>Planned (h)</t>
  </si>
  <si>
    <t>Unplanned limit (h)</t>
  </si>
  <si>
    <t>Cost (est.)</t>
  </si>
  <si>
    <t>Against limit</t>
  </si>
  <si>
    <t>By machine</t>
  </si>
  <si>
    <t>Unplanned stops</t>
  </si>
  <si>
    <t>Avg unplanned stop (min)</t>
  </si>
  <si>
    <t>Unplanned cost (est.)</t>
  </si>
  <si>
    <t>All stops cost (est.)</t>
  </si>
  <si>
    <t>By reason: frequent short stops and rare long ones</t>
  </si>
  <si>
    <t>Avg stop (min)</t>
  </si>
  <si>
    <t>Downtime by reason (Pareto, all stops)</t>
  </si>
  <si>
    <t>Rank</t>
  </si>
  <si>
    <t>Share</t>
  </si>
  <si>
    <t>Cumulative</t>
  </si>
  <si>
    <t>Helper: Reason (list order)</t>
  </si>
  <si>
    <t>Helper: value (-1 = unused slot)</t>
  </si>
  <si>
    <t>Helper: rank, ties by list order</t>
  </si>
  <si>
    <t>min</t>
  </si>
  <si>
    <t>%</t>
  </si>
  <si>
    <t>Total</t>
  </si>
  <si>
    <t>The Dashboard shows the 5 machines and 10 reasons of the Setup lists. If you add more, extend the machine and reason blocks (see Method) or they will not appear here.</t>
  </si>
  <si>
    <t>What this workbook calculates</t>
  </si>
  <si>
    <t>Each row of the Downtime Log is one stop of one machine. The workbook turns its start and end time into minutes, types it Planned or Unplanned from its reason code, and prices it: production loss is the stopped hours times the machine's loss rate from Setup, and total cost adds any repair or recovery charges typed on the row. Every Dashboard figure is a sum or count of those rows inside the filters, so hours, costs and averages add up the same way at every level.</t>
  </si>
  <si>
    <t>Calculations</t>
  </si>
  <si>
    <t>Quantity</t>
  </si>
  <si>
    <t>How it is calculated</t>
  </si>
  <si>
    <t>Units</t>
  </si>
  <si>
    <t>MOD(end - start, 1) x 1440, rounded to whole minutes. An end earlier than the start is read as the next day, so a stop that runs past midnight is right; stops longer than 24 h must be split into one row per day.</t>
  </si>
  <si>
    <t>Type and loss category</t>
  </si>
  <si>
    <t>Looked up from the reason code on Setup (INDEX/MATCH). Planned stops are changeovers and scheduled maintenance inside shift time; everything else is unplanned.</t>
  </si>
  <si>
    <t>-</t>
  </si>
  <si>
    <t>Looked up from the machine on Setup: the contribution or cost lost per stopped hour (your estimate).</t>
  </si>
  <si>
    <t>currency/h</t>
  </si>
  <si>
    <t>Production loss (est.)</t>
  </si>
  <si>
    <t>Minutes / 60 x loss rate.</t>
  </si>
  <si>
    <t>currency</t>
  </si>
  <si>
    <t>Total cost (est.)</t>
  </si>
  <si>
    <t>Production loss + repair cost (parts, outside labour, call-out and recovery charges typed on the row).</t>
  </si>
  <si>
    <t>Monday of the stop's date: date - WEEKDAY(date, 2) + 1.</t>
  </si>
  <si>
    <t>date</t>
  </si>
  <si>
    <t>Downtime hours</t>
  </si>
  <si>
    <t>Sum of minutes / 60 over the rows in view, split by type (Unplanned, Planned).</t>
  </si>
  <si>
    <t>h</t>
  </si>
  <si>
    <t>Latest week, unplanned</t>
  </si>
  <si>
    <t>Unplanned hours in the last week that has stops in view (the bottom row of the weekly block), compared with the weekly limit on Setup: On target up to 90% of the limit, Near target from 90% to 100%, Above target over it. The weekly block uses the same words.</t>
  </si>
  <si>
    <t>Average unplanned stop</t>
  </si>
  <si>
    <t>Unplanned minutes / unplanned stops: a short average with many stops points to chronic nuisance stops, a long one to breakdowns and spares.</t>
  </si>
  <si>
    <t>Cost per downtime hour</t>
  </si>
  <si>
    <t>Total cost / downtime hours over the rows (Verify checks it; it is the calculator's average cost per hour).</t>
  </si>
  <si>
    <t>Pareto</t>
  </si>
  <si>
    <t>Downtime minutes per reason code, ranked largest first by COUNTIF ranks (ties keep list order), with each reason's share and the cumulative share. Helper columns AO:AQ on the Dashboard (hidden) hold the unsorted values and ranks.</t>
  </si>
  <si>
    <t>min, %</t>
  </si>
  <si>
    <t>Assumptions</t>
  </si>
  <si>
    <t>One row per stop of one machine. A stop that halts two machines is two rows.</t>
  </si>
  <si>
    <t>The loss rate is the same for every hour a machine is stopped; a stop on a bottleneck may cost more, and one on a machine with spare capacity less.</t>
  </si>
  <si>
    <t>Planned stops are logged because they use shift time; their production loss is shown but the headline cost tile counts unplanned stops only.</t>
  </si>
  <si>
    <t>Breaks and meals are not downtime; leave them out of the log.</t>
  </si>
  <si>
    <t>Limitations</t>
  </si>
  <si>
    <t>Costs are estimates built from your loss rates; they are not accounting figures.</t>
  </si>
  <si>
    <t>Stops longer than 24 h need one row per day (MOD wraps at 24 h).</t>
  </si>
  <si>
    <t>The Dashboard has fixed blocks for the number of machines and reasons in the example lists; longer lists need the blocks extended (a warning appears on the Dashboard). The weekly block shows the last 6 weeks in view.</t>
  </si>
  <si>
    <t>Downtime hours are not availability: availability also needs the planned production time (see the Equipment Availability and OEE Tracker templates).</t>
  </si>
  <si>
    <t>Agreement with the live calculator</t>
  </si>
  <si>
    <t>For one row, this workbook and the live Downtime Cost per Event calculator use the same formulas: production loss = downtime hours x production loss rate; repair and recovery cost = the charges typed on the row (the calculator splits them into repair and recovery, this log takes their sum); total = production loss + charges; average cost per hour = total / hours. The calculator prices one event; this workbook adds the log, the reasons and the roll-ups. The reference implementation is checked against the calculator's engine for its own example (6 h at 9,000 per h with 8,500 + 5,500 charges: 68,000 in total) on every build.</t>
  </si>
  <si>
    <t>Open the Downtime Cost per Event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</si>
  <si>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</si>
  <si>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</si>
  <si>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22400-2:2014, Key performance indicators for manufacturing operations management - Part 2 (time model: planned and unplanned downtime).</t>
  </si>
  <si>
    <t>Juran's Quality Handbook (Pareto principle applied to losses).</t>
  </si>
  <si>
    <t>MFG Calcs Downtime Cost per Event calculator (downtime-cost-per-event): the same cost formulas for one event.</t>
  </si>
  <si>
    <t>Standards are cited by name so you can look them up; no copyrighted standard text or tables are reproduced. Statistical constants used are public.</t>
  </si>
  <si>
    <t>Version history</t>
  </si>
  <si>
    <t>Change</t>
  </si>
  <si>
    <t>2.0.0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</si>
  <si>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</si>
  <si>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</si>
  <si>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</si>
  <si>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</si>
  <si>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</si>
  <si>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</si>
  <si>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</si>
  <si>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</si>
  <si>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</si>
  <si>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</si>
  <si>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</si>
  <si>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minutes</t>
  </si>
  <si>
    <t>Row 1 (calculator example): production loss</t>
  </si>
  <si>
    <t>Row 1 (calculator example): total cost</t>
  </si>
  <si>
    <t>Row 2 (past midnight): minutes</t>
  </si>
  <si>
    <t>Row 2 (past midnight): total cost</t>
  </si>
  <si>
    <t>Row 3 (blank repair cost): total cost</t>
  </si>
  <si>
    <t>Row 3: week starts on Monday</t>
  </si>
  <si>
    <t>exact</t>
  </si>
  <si>
    <t>Row 4: Check reports a zero-length stop</t>
  </si>
  <si>
    <t>Zero-length stop</t>
  </si>
  <si>
    <t>All rows: unplanned hours (Dashboard formula)</t>
  </si>
  <si>
    <t>All rows: planned hours (Dashboard formula)</t>
  </si>
  <si>
    <t>All rows: unplanned cost (Dashboard formula)</t>
  </si>
  <si>
    <t>All rows: average unplanned stop (Dashboard formula)</t>
  </si>
  <si>
    <t>All rows: cost per downtime hour</t>
  </si>
  <si>
    <t>Fixed test inputs</t>
  </si>
  <si>
    <t>White cells are fixed test inputs; blue cells are the workbook's formulas evaluated on them.</t>
  </si>
  <si>
    <t>Parameters</t>
  </si>
  <si>
    <t>Filter: from (0 = no limit)</t>
  </si>
  <si>
    <t>Filter: to (2958465 = no limit)</t>
  </si>
  <si>
    <t>Filter: machine (blank = all)</t>
  </si>
  <si>
    <t>Test table: Downtime</t>
  </si>
  <si>
    <t>M1</t>
  </si>
  <si>
    <t>M2</t>
  </si>
</sst>
</file>

<file path=xl/styles.xml><?xml version="1.0" encoding="utf-8"?>
<styleSheet xmlns="http://schemas.openxmlformats.org/spreadsheetml/2006/main">
  <numFmts count="8">
    <numFmt numFmtId="164" formatCode="#,##0.0"/>
    <numFmt numFmtId="165" formatCode="#,##0.00"/>
    <numFmt numFmtId="166" formatCode="d mmm yyyy"/>
    <numFmt numFmtId="167" formatCode="hh:mm"/>
    <numFmt numFmtId="168" formatCode="#,##0"/>
    <numFmt numFmtId="169" formatCode="&quot;Limit &quot;#,##0.0"/>
    <numFmt numFmtId="170" formatCode="0.0%"/>
    <numFmt numFmtId="171"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0" fontId="19" fillId="2" borderId="5" xfId="0" applyFont="1" applyFill="1" applyBorder="1" applyAlignment="1">
      <alignment horizontal="left" vertical="center" wrapText="1"/>
    </xf>
    <xf numFmtId="166" fontId="9" fillId="0" borderId="9" xfId="0" applyNumberFormat="1" applyFont="1" applyBorder="1" applyAlignment="1">
      <alignment vertical="center"/>
    </xf>
    <xf numFmtId="164" fontId="10" fillId="4" borderId="3" xfId="0" applyNumberFormat="1" applyFont="1" applyFill="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168" fontId="9" fillId="0" borderId="9" xfId="0" applyNumberFormat="1" applyFont="1" applyBorder="1" applyAlignment="1">
      <alignment horizontal="center" vertical="center"/>
    </xf>
    <xf numFmtId="170" fontId="10" fillId="4" borderId="3" xfId="0" applyNumberFormat="1" applyFont="1" applyFill="1" applyBorder="1" applyAlignment="1">
      <alignment vertical="center"/>
    </xf>
    <xf numFmtId="168" fontId="10" fillId="0" borderId="0" xfId="0" applyNumberFormat="1" applyFont="1" applyAlignment="1">
      <alignment vertical="center"/>
    </xf>
    <xf numFmtId="0" fontId="9" fillId="4" borderId="10" xfId="0" applyFont="1" applyFill="1" applyBorder="1" applyAlignment="1">
      <alignment vertical="center"/>
    </xf>
    <xf numFmtId="168"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8"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0" fontId="10" fillId="4" borderId="3" xfId="0" applyFont="1" applyFill="1" applyBorder="1" applyAlignment="1">
      <alignment horizontal="center"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Downtime by week (hours)</a:t>
            </a:r>
          </a:p>
        </c:rich>
      </c:tx>
      <c:layout/>
    </c:title>
    <c:plotArea>
      <c:layout/>
      <c:barChart>
        <c:barDir val="col"/>
        <c:grouping val="clustered"/>
        <c:ser>
          <c:idx val="0"/>
          <c:order val="0"/>
          <c:tx>
            <c:v>Unplanned</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numRef>
              <c:f>Dashboard!$B$54:$B$59</c:f>
              <c:numCache>
                <c:formatCode>General</c:formatCode>
                <c:ptCount val="6"/>
                <c:pt idx="0">
                  <c:v>46265</c:v>
                </c:pt>
                <c:pt idx="1">
                  <c:v>46272</c:v>
                </c:pt>
                <c:pt idx="2">
                  <c:v>46279</c:v>
                </c:pt>
                <c:pt idx="3">
                  <c:v>46286</c:v>
                </c:pt>
                <c:pt idx="4">
                  <c:v>46293</c:v>
                </c:pt>
                <c:pt idx="5">
                  <c:v>46300</c:v>
                </c:pt>
              </c:numCache>
            </c:numRef>
          </c:cat>
          <c:val>
            <c:numRef>
              <c:f>Dashboard!$D$54:$D$59</c:f>
              <c:numCache>
                <c:formatCode>General</c:formatCode>
                <c:ptCount val="6"/>
                <c:pt idx="0">
                  <c:v>9.33333333333333</c:v>
                </c:pt>
                <c:pt idx="1">
                  <c:v>9.58333333333333</c:v>
                </c:pt>
                <c:pt idx="2">
                  <c:v>11.8333333333333</c:v>
                </c:pt>
                <c:pt idx="3">
                  <c:v>14.3333333333333</c:v>
                </c:pt>
                <c:pt idx="4">
                  <c:v>10.0833333333333</c:v>
                </c:pt>
                <c:pt idx="5">
                  <c:v>8.16666666666667</c:v>
                </c:pt>
              </c:numCache>
            </c:numRef>
          </c:val>
        </c:ser>
        <c:ser>
          <c:idx val="1"/>
          <c:order val="1"/>
          <c:tx>
            <c:v>Planned</c:v>
          </c:tx>
          <c:spPr>
            <a:solidFill>
              <a:srgbClr val="E8702A"/>
            </a:solidFill>
            <a:ln w="9525">
              <a:solidFill>
                <a:srgbClr val="FFFFFF"/>
              </a:solidFill>
            </a:ln>
          </c:spPr>
          <c:cat>
            <c:numRef>
              <c:f>Dashboard!$B$54:$B$59</c:f>
              <c:numCache>
                <c:formatCode>General</c:formatCode>
                <c:ptCount val="6"/>
                <c:pt idx="0">
                  <c:v>46265</c:v>
                </c:pt>
                <c:pt idx="1">
                  <c:v>46272</c:v>
                </c:pt>
                <c:pt idx="2">
                  <c:v>46279</c:v>
                </c:pt>
                <c:pt idx="3">
                  <c:v>46286</c:v>
                </c:pt>
                <c:pt idx="4">
                  <c:v>46293</c:v>
                </c:pt>
                <c:pt idx="5">
                  <c:v>46300</c:v>
                </c:pt>
              </c:numCache>
            </c:numRef>
          </c:cat>
          <c:val>
            <c:numRef>
              <c:f>Dashboard!$E$54:$E$59</c:f>
              <c:numCache>
                <c:formatCode>General</c:formatCode>
                <c:ptCount val="6"/>
                <c:pt idx="0">
                  <c:v>5.58333333333333</c:v>
                </c:pt>
                <c:pt idx="1">
                  <c:v>7.16666666666667</c:v>
                </c:pt>
                <c:pt idx="2">
                  <c:v>5.58333333333333</c:v>
                </c:pt>
                <c:pt idx="3">
                  <c:v>5.5</c:v>
                </c:pt>
                <c:pt idx="4">
                  <c:v>3.75</c:v>
                </c:pt>
                <c:pt idx="5">
                  <c:v>5.08333333333333</c:v>
                </c:pt>
              </c:numCache>
            </c:numRef>
          </c:val>
        </c:ser>
        <c:gapWidth val="60"/>
        <c:overlap val="-10"/>
        <c:axId val="50010001"/>
        <c:axId val="50010002"/>
      </c:barChart>
      <c:lineChart>
        <c:grouping val="standard"/>
        <c:ser>
          <c:idx val="2"/>
          <c:order val="2"/>
          <c:tx>
            <c:v>Unplanned limit</c:v>
          </c:tx>
          <c:spPr>
            <a:ln w="19050">
              <a:solidFill>
                <a:srgbClr val="B3000C"/>
              </a:solidFill>
              <a:prstDash val="dash"/>
            </a:ln>
          </c:spPr>
          <c:marker>
            <c:symbol val="none"/>
          </c:marker>
          <c:cat>
            <c:numRef>
              <c:f>Dashboard!$B$54:$B$59</c:f>
              <c:numCache>
                <c:formatCode>General</c:formatCode>
                <c:ptCount val="6"/>
                <c:pt idx="0">
                  <c:v>46265</c:v>
                </c:pt>
                <c:pt idx="1">
                  <c:v>46272</c:v>
                </c:pt>
                <c:pt idx="2">
                  <c:v>46279</c:v>
                </c:pt>
                <c:pt idx="3">
                  <c:v>46286</c:v>
                </c:pt>
                <c:pt idx="4">
                  <c:v>46293</c:v>
                </c:pt>
                <c:pt idx="5">
                  <c:v>46300</c:v>
                </c:pt>
              </c:numCache>
            </c:numRef>
          </c:cat>
          <c:val>
            <c:numRef>
              <c:f>Dashboard!$F$54:$F$59</c:f>
              <c:numCache>
                <c:formatCode>General</c:formatCode>
                <c:ptCount val="6"/>
                <c:pt idx="0">
                  <c:v>12</c:v>
                </c:pt>
                <c:pt idx="1">
                  <c:v>12</c:v>
                </c:pt>
                <c:pt idx="2">
                  <c:v>12</c:v>
                </c:pt>
                <c:pt idx="3">
                  <c:v>12</c:v>
                </c:pt>
                <c:pt idx="4">
                  <c:v>12</c:v>
                </c:pt>
                <c:pt idx="5">
                  <c:v>12</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Downtime Pareto (minutes)</a:t>
            </a:r>
          </a:p>
        </c:rich>
      </c:tx>
      <c:layout/>
    </c:title>
    <c:plotArea>
      <c:layout/>
      <c:barChart>
        <c:barDir val="col"/>
        <c:grouping val="clustered"/>
        <c:ser>
          <c:idx val="0"/>
          <c:order val="0"/>
          <c:tx>
            <c:v>Minutes</c:v>
          </c:tx>
          <c:spPr>
            <a:solidFill>
              <a:srgbClr val="3B64D8"/>
            </a:solidFill>
            <a:ln w="9525">
              <a:solidFill>
                <a:srgbClr val="FFFFFF"/>
              </a:solidFill>
            </a:ln>
          </c:spPr>
          <c:cat>
            <c:strRef>
              <c:f>Dashboard!$C$87:$C$96</c:f>
              <c:strCache>
                <c:ptCount val="10"/>
                <c:pt idx="0">
                  <c:v>Die change</c:v>
                </c:pt>
                <c:pt idx="1">
                  <c:v>Die or tool repair</c:v>
                </c:pt>
                <c:pt idx="2">
                  <c:v>Hydraulic fault</c:v>
                </c:pt>
                <c:pt idx="3">
                  <c:v>Planned maintenance</c:v>
                </c:pt>
                <c:pt idx="4">
                  <c:v>Material shortage</c:v>
                </c:pt>
                <c:pt idx="5">
                  <c:v>Electrical fault</c:v>
                </c:pt>
                <c:pt idx="6">
                  <c:v>Waiting for operator</c:v>
                </c:pt>
                <c:pt idx="7">
                  <c:v>Quality hold</c:v>
                </c:pt>
                <c:pt idx="8">
                  <c:v>Feeder or coil jam</c:v>
                </c:pt>
                <c:pt idx="9">
                  <c:v>Other</c:v>
                </c:pt>
              </c:strCache>
            </c:strRef>
          </c:cat>
          <c:val>
            <c:numRef>
              <c:f>Dashboard!$E$87:$E$96</c:f>
              <c:numCache>
                <c:formatCode>General</c:formatCode>
                <c:ptCount val="10"/>
                <c:pt idx="0">
                  <c:v>1405</c:v>
                </c:pt>
                <c:pt idx="1">
                  <c:v>1065</c:v>
                </c:pt>
                <c:pt idx="2">
                  <c:v>755</c:v>
                </c:pt>
                <c:pt idx="3">
                  <c:v>555</c:v>
                </c:pt>
                <c:pt idx="4">
                  <c:v>550</c:v>
                </c:pt>
                <c:pt idx="5">
                  <c:v>425</c:v>
                </c:pt>
                <c:pt idx="6">
                  <c:v>340</c:v>
                </c:pt>
                <c:pt idx="7">
                  <c:v>300</c:v>
                </c:pt>
                <c:pt idx="8">
                  <c:v>240</c:v>
                </c:pt>
                <c:pt idx="9">
                  <c:v>125</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Dashboard!$C$87:$C$96</c:f>
              <c:strCache>
                <c:ptCount val="10"/>
                <c:pt idx="0">
                  <c:v>Die change</c:v>
                </c:pt>
                <c:pt idx="1">
                  <c:v>Die or tool repair</c:v>
                </c:pt>
                <c:pt idx="2">
                  <c:v>Hydraulic fault</c:v>
                </c:pt>
                <c:pt idx="3">
                  <c:v>Planned maintenance</c:v>
                </c:pt>
                <c:pt idx="4">
                  <c:v>Material shortage</c:v>
                </c:pt>
                <c:pt idx="5">
                  <c:v>Electrical fault</c:v>
                </c:pt>
                <c:pt idx="6">
                  <c:v>Waiting for operator</c:v>
                </c:pt>
                <c:pt idx="7">
                  <c:v>Quality hold</c:v>
                </c:pt>
                <c:pt idx="8">
                  <c:v>Feeder or coil jam</c:v>
                </c:pt>
                <c:pt idx="9">
                  <c:v>Other</c:v>
                </c:pt>
              </c:strCache>
            </c:strRef>
          </c:cat>
          <c:val>
            <c:numRef>
              <c:f>Dashboard!$G$87:$G$96</c:f>
              <c:numCache>
                <c:formatCode>General</c:formatCode>
                <c:ptCount val="10"/>
                <c:pt idx="0">
                  <c:v>0.243923611111111</c:v>
                </c:pt>
                <c:pt idx="1">
                  <c:v>0.428819444444444</c:v>
                </c:pt>
                <c:pt idx="2">
                  <c:v>0.559895833333333</c:v>
                </c:pt>
                <c:pt idx="3">
                  <c:v>0.65625</c:v>
                </c:pt>
                <c:pt idx="4">
                  <c:v>0.751736111111111</c:v>
                </c:pt>
                <c:pt idx="5">
                  <c:v>0.825520833333333</c:v>
                </c:pt>
                <c:pt idx="6">
                  <c:v>0.884548611111111</c:v>
                </c:pt>
                <c:pt idx="7">
                  <c:v>0.936631944444444</c:v>
                </c:pt>
                <c:pt idx="8">
                  <c:v>0.978298611111111</c:v>
                </c:pt>
                <c:pt idx="9">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Downtime by machine (hours)</a:t>
            </a:r>
          </a:p>
        </c:rich>
      </c:tx>
      <c:layout/>
    </c:title>
    <c:plotArea>
      <c:layout/>
      <c:barChart>
        <c:barDir val="bar"/>
        <c:grouping val="stacked"/>
        <c:ser>
          <c:idx val="0"/>
          <c:order val="0"/>
          <c:tx>
            <c:v>Unplanned</c:v>
          </c:tx>
          <c:spPr>
            <a:solidFill>
              <a:srgbClr val="3B64D8"/>
            </a:solidFill>
            <a:ln w="9525">
              <a:solidFill>
                <a:srgbClr val="FFFFFF"/>
              </a:solidFill>
            </a:ln>
          </c:spPr>
          <c:cat>
            <c:strRef>
              <c:f>Dashboard!$B$64:$B$68</c:f>
              <c:strCache>
                <c:ptCount val="5"/>
                <c:pt idx="0">
                  <c:v>PR-400</c:v>
                </c:pt>
                <c:pt idx="1">
                  <c:v>PR-250</c:v>
                </c:pt>
                <c:pt idx="2">
                  <c:v>LS-01</c:v>
                </c:pt>
                <c:pt idx="3">
                  <c:v>PB-02</c:v>
                </c:pt>
                <c:pt idx="4">
                  <c:v>WR-03</c:v>
                </c:pt>
              </c:strCache>
            </c:strRef>
          </c:cat>
          <c:val>
            <c:numRef>
              <c:f>Dashboard!$D$64:$D$68</c:f>
              <c:numCache>
                <c:formatCode>General</c:formatCode>
                <c:ptCount val="5"/>
                <c:pt idx="0">
                  <c:v>22.6666666666667</c:v>
                </c:pt>
                <c:pt idx="1">
                  <c:v>19.4166666666667</c:v>
                </c:pt>
                <c:pt idx="2">
                  <c:v>7.33333333333333</c:v>
                </c:pt>
                <c:pt idx="3">
                  <c:v>5.83333333333333</c:v>
                </c:pt>
                <c:pt idx="4">
                  <c:v>8.08333333333333</c:v>
                </c:pt>
              </c:numCache>
            </c:numRef>
          </c:val>
        </c:ser>
        <c:ser>
          <c:idx val="1"/>
          <c:order val="1"/>
          <c:tx>
            <c:v>Planned</c:v>
          </c:tx>
          <c:spPr>
            <a:solidFill>
              <a:srgbClr val="E8702A"/>
            </a:solidFill>
            <a:ln w="9525">
              <a:solidFill>
                <a:srgbClr val="FFFFFF"/>
              </a:solidFill>
            </a:ln>
          </c:spPr>
          <c:cat>
            <c:strRef>
              <c:f>Dashboard!$B$64:$B$68</c:f>
              <c:strCache>
                <c:ptCount val="5"/>
                <c:pt idx="0">
                  <c:v>PR-400</c:v>
                </c:pt>
                <c:pt idx="1">
                  <c:v>PR-250</c:v>
                </c:pt>
                <c:pt idx="2">
                  <c:v>LS-01</c:v>
                </c:pt>
                <c:pt idx="3">
                  <c:v>PB-02</c:v>
                </c:pt>
                <c:pt idx="4">
                  <c:v>WR-03</c:v>
                </c:pt>
              </c:strCache>
            </c:strRef>
          </c:cat>
          <c:val>
            <c:numRef>
              <c:f>Dashboard!$E$64:$E$68</c:f>
              <c:numCache>
                <c:formatCode>General</c:formatCode>
                <c:ptCount val="5"/>
                <c:pt idx="0">
                  <c:v>10</c:v>
                </c:pt>
                <c:pt idx="1">
                  <c:v>16.4166666666667</c:v>
                </c:pt>
                <c:pt idx="2">
                  <c:v>1.25</c:v>
                </c:pt>
                <c:pt idx="3">
                  <c:v>2</c:v>
                </c:pt>
                <c:pt idx="4">
                  <c:v>3</c:v>
                </c:pt>
              </c:numCache>
            </c:numRef>
          </c:val>
        </c:ser>
        <c:gapWidth val="60"/>
        <c:overlap val="10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Estimated cost by reason</a:t>
            </a:r>
          </a:p>
        </c:rich>
      </c:tx>
      <c:layout/>
    </c:title>
    <c:plotArea>
      <c:layout/>
      <c:barChart>
        <c:barDir val="bar"/>
        <c:grouping val="clustered"/>
        <c:ser>
          <c:idx val="0"/>
          <c:order val="0"/>
          <c:tx>
            <c:v>Cost (est.)</c:v>
          </c:tx>
          <c:spPr>
            <a:solidFill>
              <a:srgbClr val="3B64D8"/>
            </a:solidFill>
            <a:ln w="9525">
              <a:solidFill>
                <a:srgbClr val="FFFFFF"/>
              </a:solidFill>
            </a:ln>
          </c:spPr>
          <c:cat>
            <c:strRef>
              <c:f>Dashboard!$B$73:$B$82</c:f>
              <c:strCache>
                <c:ptCount val="10"/>
                <c:pt idx="0">
                  <c:v>Die change</c:v>
                </c:pt>
                <c:pt idx="1">
                  <c:v>Planned maintenance</c:v>
                </c:pt>
                <c:pt idx="2">
                  <c:v>Die or tool repair</c:v>
                </c:pt>
                <c:pt idx="3">
                  <c:v>Hydraulic fault</c:v>
                </c:pt>
                <c:pt idx="4">
                  <c:v>Electrical fault</c:v>
                </c:pt>
                <c:pt idx="5">
                  <c:v>Feeder or coil jam</c:v>
                </c:pt>
                <c:pt idx="6">
                  <c:v>Material shortage</c:v>
                </c:pt>
                <c:pt idx="7">
                  <c:v>Quality hold</c:v>
                </c:pt>
                <c:pt idx="8">
                  <c:v>Waiting for operator</c:v>
                </c:pt>
                <c:pt idx="9">
                  <c:v>Other</c:v>
                </c:pt>
              </c:strCache>
            </c:strRef>
          </c:cat>
          <c:val>
            <c:numRef>
              <c:f>Dashboard!$G$73:$G$82</c:f>
              <c:numCache>
                <c:formatCode>General</c:formatCode>
                <c:ptCount val="10"/>
                <c:pt idx="0">
                  <c:v>17405.8333333333</c:v>
                </c:pt>
                <c:pt idx="1">
                  <c:v>5012.5</c:v>
                </c:pt>
                <c:pt idx="2">
                  <c:v>24785</c:v>
                </c:pt>
                <c:pt idx="3">
                  <c:v>14930</c:v>
                </c:pt>
                <c:pt idx="4">
                  <c:v>10077.5</c:v>
                </c:pt>
                <c:pt idx="5">
                  <c:v>3222.5</c:v>
                </c:pt>
                <c:pt idx="6">
                  <c:v>5820.83333333333</c:v>
                </c:pt>
                <c:pt idx="7">
                  <c:v>2790.83333333333</c:v>
                </c:pt>
                <c:pt idx="8">
                  <c:v>2842.5</c:v>
                </c:pt>
                <c:pt idx="9">
                  <c:v>1134.16666666667</c:v>
                </c:pt>
              </c:numCache>
            </c:numRef>
          </c:val>
        </c:ser>
        <c:gapWidth val="60"/>
        <c:overlap val="-10"/>
        <c:axId val="50040001"/>
        <c:axId val="50040002"/>
      </c:barChart>
      <c:catAx>
        <c:axId val="5004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unplanned and planned downtime hours for each of the last six weeks in view, with the weekly unplanned limit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downtime minutes by reason cod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Stacked bar chart of unplanned and planned downtime hours for each machine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Bar chart of the estimated cost of the stops for each reason code: production loss plus repair and recovery charg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Machines" displayName="tblMachines" ref="B17:D22" totalsRowShown="0">
  <autoFilter ref="B17:D22"/>
  <tableColumns count="3">
    <tableColumn id="1" name="Machine"/>
    <tableColumn id="2" name="Description"/>
    <tableColumn id="3" name="Loss rate (per h)"/>
  </tableColumns>
  <tableStyleInfo name="TableStyleLight1" showFirstColumn="0" showLastColumn="0" showRowStripes="0" showColumnStripes="0"/>
</table>
</file>

<file path=xl/tables/table2.xml><?xml version="1.0" encoding="utf-8"?>
<table xmlns="http://schemas.openxmlformats.org/spreadsheetml/2006/main" id="2" name="tblShiftList" displayName="tblShiftList" ref="B25:D27" totalsRowShown="0">
  <autoFilter ref="B25:D27"/>
  <tableColumns count="3">
    <tableColumn id="1" name="Shift"/>
    <tableColumn id="2" name="Hour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Reasons" displayName="tblReasons" ref="B30:E40" totalsRowShown="0">
  <autoFilter ref="B30:E40"/>
  <tableColumns count="4">
    <tableColumn id="1" name="Reason"/>
    <tableColumn id="2" name="Type"/>
    <tableColumn id="3" name="Loss category"/>
    <tableColumn id="4" name="Definition"/>
  </tableColumns>
  <tableStyleInfo name="TableStyleLight1" showFirstColumn="0" showLastColumn="0" showRowStripes="0" showColumnStripes="0"/>
</table>
</file>

<file path=xl/tables/table4.xml><?xml version="1.0" encoding="utf-8"?>
<table xmlns="http://schemas.openxmlformats.org/spreadsheetml/2006/main" id="4" name="tblDowntime" displayName="tblDowntime" ref="B6:R181" totalsRowShown="0">
  <autoFilter ref="B6:R181"/>
  <tableColumns count="17">
    <tableColumn id="1" name="Date"/>
    <tableColumn id="2" name="Shift"/>
    <tableColumn id="3" name="Machine"/>
    <tableColumn id="4" name="Reason"/>
    <tableColumn id="5" name="Start"/>
    <tableColumn id="6" name="End"/>
    <tableColumn id="7" name="Minutes">
      <calculatedColumnFormula>IF(tblDowntime[[#This Row],[Date]]="","",IF(OR(tblDowntime[[#This Row],[Start]]="",tblDowntime[[#This Row],[End]]=""),"",ROUND(MOD(tblDowntime[[#This Row],[End]]-tblDowntime[[#This Row],[Start]],1)*1440,0)))</calculatedColumnFormula>
    </tableColumn>
    <tableColumn id="8" name="Type">
      <calculatedColumnFormula>IF(tblDowntime[[#This Row],[Date]]="","",IFERROR(INDEX(tblReasons[Type],MATCH(tblDowntime[[#This Row],[Reason]],tblReasons[Reason],0)),""))</calculatedColumnFormula>
    </tableColumn>
    <tableColumn id="9" name="Loss category">
      <calculatedColumnFormula>IF(tblDowntime[[#This Row],[Date]]="","",IFERROR(INDEX(tblReasons[Loss category],MATCH(tblDowntime[[#This Row],[Reason]],tblReasons[Reason],0)),""))</calculatedColumnFormula>
    </tableColumn>
    <tableColumn id="10" name="Loss rate">
      <calculatedColumnFormula>IF(tblDowntime[[#This Row],[Date]]="","",IFERROR(INDEX(tblMachines[Loss rate (per h)],MATCH(tblDowntime[[#This Row],[Machine]],tblMachines[Machine],0)),""))</calculatedColumnFormula>
    </tableColumn>
    <tableColumn id="11" name="Production loss">
      <calculatedColumnFormula>IF(tblDowntime[[#This Row],[Date]]="","",IF(OR(tblDowntime[[#This Row],[Minutes]]="",tblDowntime[[#This Row],[Loss rate]]=""),"",tblDowntime[[#This Row],[Minutes]]/60*tblDowntime[[#This Row],[Loss rate]]))</calculatedColumnFormula>
    </tableColumn>
    <tableColumn id="12" name="Repair cost"/>
    <tableColumn id="13" name="Total cost">
      <calculatedColumnFormula>IF(tblDowntime[[#This Row],[Date]]="","",IF(tblDowntime[[#This Row],[Production loss]]="","",tblDowntime[[#This Row],[Production loss]]+N(tblDowntime[[#This Row],[Repair cost]])))</calculatedColumnFormula>
    </tableColumn>
    <tableColumn id="14" name="Week">
      <calculatedColumnFormula>IF(tblDowntime[[#This Row],[Date]]="","",tblDowntime[[#This Row],[Date]]-WEEKDAY(tblDowntime[[#This Row],[Date]],2)+1)</calculatedColumnFormula>
    </tableColumn>
    <tableColumn id="15" name="View date">
      <calculatedColumnFormula>IF(tblDowntime[[#This Row],[Date]]="","",IF(AND(tblDowntime[[#This Row],[Date]]&gt;=FFrom,tblDowntime[[#This Row],[Date]]&lt;=FTo,OR(DashMachine="",tblDowntime[[#This Row],[Machine]]=DashMachine)),tblDowntime[[#This Row],[Date]],""))</calculatedColumnFormula>
    </tableColumn>
    <tableColumn id="16" name="Check">
      <calculatedColumnFormula>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calculatedColumnFormula>
    </tableColumn>
    <tableColumn id="17" name="Notes"/>
  </tableColumns>
  <tableStyleInfo name="TableStyleLight1" showFirstColumn="0" showLastColumn="0" showRowStripes="0" showColumnStripes="0"/>
</table>
</file>

<file path=xl/tables/table5.xml><?xml version="1.0" encoding="utf-8"?>
<table xmlns="http://schemas.openxmlformats.org/spreadsheetml/2006/main" id="5" name="tblVerifyDowntime" displayName="tblVerifyDowntime" ref="B35:R39" totalsRowShown="0">
  <tableColumns count="17">
    <tableColumn id="1" name="Date"/>
    <tableColumn id="2" name="Shift"/>
    <tableColumn id="3" name="Machine"/>
    <tableColumn id="4" name="Reason"/>
    <tableColumn id="5" name="Start"/>
    <tableColumn id="6" name="End"/>
    <tableColumn id="7" name="Minutes">
      <calculatedColumnFormula>IF(tblVerifyDowntime[[#This Row],[Date]]="","",IF(OR(tblVerifyDowntime[[#This Row],[Start]]="",tblVerifyDowntime[[#This Row],[End]]=""),"",ROUND(MOD(tblVerifyDowntime[[#This Row],[End]]-tblVerifyDowntime[[#This Row],[Start]],1)*1440,0)))</calculatedColumnFormula>
    </tableColumn>
    <tableColumn id="8" name="Type"/>
    <tableColumn id="9" name="Loss category"/>
    <tableColumn id="10" name="Loss rate"/>
    <tableColumn id="11" name="Production loss">
      <calculatedColumnFormula>IF(tblVerifyDowntime[[#This Row],[Date]]="","",IF(OR(tblVerifyDowntime[[#This Row],[Minutes]]="",tblVerifyDowntime[[#This Row],[Loss rate]]=""),"",tblVerifyDowntime[[#This Row],[Minutes]]/60*tblVerifyDowntime[[#This Row],[Loss rate]]))</calculatedColumnFormula>
    </tableColumn>
    <tableColumn id="12" name="Repair cost"/>
    <tableColumn id="13" name="Total cost">
      <calculatedColumnFormula>IF(tblVerifyDowntime[[#This Row],[Date]]="","",IF(tblVerifyDowntime[[#This Row],[Production loss]]="","",tblVerifyDowntime[[#This Row],[Production loss]]+N(tblVerifyDowntime[[#This Row],[Repair cost]])))</calculatedColumnFormula>
    </tableColumn>
    <tableColumn id="14" name="Week">
      <calculatedColumnFormula>IF(tblVerifyDowntime[[#This Row],[Date]]="","",tblVerifyDowntime[[#This Row],[Date]]-WEEKDAY(tblVerifyDowntime[[#This Row],[Date]],2)+1)</calculatedColumnFormula>
    </tableColumn>
    <tableColumn id="15" name="View date">
      <calculatedColumnFormula>IF(tblVerifyDowntime[[#This Row],[Date]]="","",IF(AND(tblVerifyDowntime[[#This Row],[Date]]&gt;=$E$29,tblVerifyDowntime[[#This Row],[Date]]&lt;=$E$30,OR($E$31="",tblVerifyDowntime[[#This Row],[Machine]]=$E$31)),tblVerifyDowntime[[#This Row],[Date]],""))</calculatedColumnFormula>
    </tableColumn>
    <tableColumn id="16" name="Check">
      <calculatedColumnFormula>IF(tblVerifyDowntime[[#This Row],[Date]]="","",IF(tblVerifyDowntime[[#This Row],[Shift]]="","Missing shift",IF(tblVerifyDowntime[[#This Row],[Machine]]="","Missing machine",IF(tblVerifyDowntime[[#This Row],[Reason]]="","Missing reason",IF(tblVerifyDowntime[[#This Row],[Start]]="","Missing start",IF(tblVerifyDowntime[[#This Row],[End]]="","Missing end",IF(tblVerifyDowntime[[#This Row],[Type]]="","Reason not on Setup list",IF(tblVerifyDowntime[[#This Row],[Loss rate]]="","Machine not on Setup list",IF(tblVerifyDowntime[[#This Row],[Minutes]]=0,"Zero-length stop",IF(tblVerifyDowntime[[#This Row],[Minutes]]&gt;720,"Over 12 h: check start and end",IF(COUNTIFS(tblVerifyDowntime[Date],tblVerifyDowntime[[#This Row],[Date]],tblVerifyDowntime[Machine],tblVerifyDowntime[[#This Row],[Machine]],tblVerifyDowntime[Start],tblVerifyDowntime[[#This Row],[Start]])&gt;1,"Duplicate stop","OK")))))))))))</calculatedColumnFormula>
    </tableColumn>
    <tableColumn id="1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owntime-tracker" TargetMode="External"/><Relationship Id="rId2" Type="http://schemas.openxmlformats.org/officeDocument/2006/relationships/hyperlink" Target="https://www.mfgcalcs.com/calculators/maintenance-reliability-downtime/downtime-cost-per-event?utm_source=mfgcalcs-template&amp;utm_medium=xlsx&amp;utm_campaign=downtime-tracker" TargetMode="External"/><Relationship Id="rId3" Type="http://schemas.openxmlformats.org/officeDocument/2006/relationships/hyperlink" Target="https://www.mfgcalcs.com/templates/downtime-tracker?utm_source=mfgcalcs-template&amp;utm_medium=xlsx&amp;utm_campaign=downtime-tracker" TargetMode="External"/><Relationship Id="rId4" Type="http://schemas.openxmlformats.org/officeDocument/2006/relationships/hyperlink" Target="https://www.mfgcalcs.com/templates?utm_source=mfgcalcs-template&amp;utm_medium=xlsx&amp;utm_campaign=downtim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owntime-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owntime-tracker"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owntime-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owntime-tracker" TargetMode="External"/><Relationship Id="rId2" Type="http://schemas.openxmlformats.org/officeDocument/2006/relationships/hyperlink" Target="https://www.mfgcalcs.com/calculators/maintenance-reliability-downtime/downtime-cost-per-event?utm_source=mfgcalcs-template&amp;utm_medium=xlsx&amp;utm_campaign=downtime-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owntime-tracker" TargetMode="External"/><Relationship Id="rId2"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16.2" customHeight="1">
      <c r="B21" s="11"/>
      <c r="C21" s="12" t="s">
        <v>19</v>
      </c>
      <c r="D21" s="10" t="s">
        <v>20</v>
      </c>
      <c r="E21" s="10"/>
      <c r="F21" s="10"/>
    </row>
    <row r="22" spans="2:6" ht="16.2"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13 of 13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Downtime Log'!A1" tooltip="Go to Downtime Log" display="Downtime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Downtime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0"/>
  <sheetViews>
    <sheetView showGridLines="0" workbookViewId="0"/>
  </sheetViews>
  <sheetFormatPr defaultRowHeight="15"/>
  <cols>
    <col min="1" max="1" width="2.7109375" customWidth="1"/>
    <col min="2" max="2" width="26.7109375" customWidth="1"/>
    <col min="3" max="3" width="22.7109375" customWidth="1"/>
    <col min="4" max="4" width="34.7109375" customWidth="1"/>
    <col min="5" max="5" width="16.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70</v>
      </c>
      <c r="C4" s="8"/>
      <c r="D4" s="8"/>
      <c r="E4" s="8"/>
    </row>
    <row r="5" spans="1:5" ht="5" customHeight="1"/>
    <row r="6" spans="1:5">
      <c r="B6" s="27" t="s">
        <v>71</v>
      </c>
      <c r="C6" s="28" t="s">
        <v>72</v>
      </c>
      <c r="D6" s="28"/>
    </row>
    <row r="7" spans="1:5">
      <c r="B7" s="27" t="s">
        <v>73</v>
      </c>
      <c r="C7" s="28" t="s">
        <v>74</v>
      </c>
      <c r="D7" s="28"/>
    </row>
    <row r="8" spans="1:5">
      <c r="B8" s="27" t="s">
        <v>75</v>
      </c>
      <c r="C8" s="29">
        <v>12</v>
      </c>
      <c r="D8" s="7" t="s">
        <v>76</v>
      </c>
    </row>
    <row r="10" spans="1:5" ht="35.4" customHeight="1">
      <c r="B10" s="25" t="s">
        <v>77</v>
      </c>
      <c r="C10" s="25"/>
      <c r="D10" s="25"/>
      <c r="E10" s="25"/>
    </row>
    <row r="12" spans="1:5" ht="21" customHeight="1">
      <c r="B12" s="8" t="s">
        <v>78</v>
      </c>
      <c r="C12" s="8"/>
      <c r="D12" s="8"/>
      <c r="E12" s="8"/>
    </row>
    <row r="13" spans="1:5" ht="5" customHeight="1"/>
    <row r="14" spans="1:5" ht="26.76" customHeight="1">
      <c r="B14" s="21" t="s">
        <v>79</v>
      </c>
      <c r="C14" s="21"/>
      <c r="D14" s="21"/>
      <c r="E14" s="21"/>
    </row>
    <row r="15" spans="1:5">
      <c r="B15" s="30" t="s">
        <v>80</v>
      </c>
      <c r="C15" s="30"/>
      <c r="D15" s="30"/>
    </row>
    <row r="16" spans="1:5" ht="14" customHeight="1">
      <c r="B16" s="31"/>
      <c r="C16" s="31"/>
      <c r="D16" s="31" t="str">
        <f>Currency&amp;"/h"</f>
        <v>USD/h</v>
      </c>
    </row>
    <row r="17" spans="2:5" ht="32" customHeight="1">
      <c r="B17" s="32" t="s">
        <v>60</v>
      </c>
      <c r="C17" s="32" t="s">
        <v>61</v>
      </c>
      <c r="D17" s="32" t="s">
        <v>62</v>
      </c>
    </row>
    <row r="18" spans="2:5">
      <c r="B18" s="28" t="s">
        <v>81</v>
      </c>
      <c r="C18" s="28" t="s">
        <v>82</v>
      </c>
      <c r="D18" s="33">
        <v>950</v>
      </c>
    </row>
    <row r="19" spans="2:5">
      <c r="B19" s="28" t="s">
        <v>83</v>
      </c>
      <c r="C19" s="28" t="s">
        <v>84</v>
      </c>
      <c r="D19" s="33">
        <v>620</v>
      </c>
    </row>
    <row r="20" spans="2:5">
      <c r="B20" s="28" t="s">
        <v>85</v>
      </c>
      <c r="C20" s="28" t="s">
        <v>86</v>
      </c>
      <c r="D20" s="33">
        <v>480</v>
      </c>
    </row>
    <row r="21" spans="2:5">
      <c r="B21" s="28" t="s">
        <v>87</v>
      </c>
      <c r="C21" s="28" t="s">
        <v>88</v>
      </c>
      <c r="D21" s="33">
        <v>260</v>
      </c>
    </row>
    <row r="22" spans="2:5">
      <c r="B22" s="28" t="s">
        <v>89</v>
      </c>
      <c r="C22" s="28" t="s">
        <v>90</v>
      </c>
      <c r="D22" s="33">
        <v>540</v>
      </c>
    </row>
    <row r="24" spans="2:5">
      <c r="B24" s="30" t="s">
        <v>91</v>
      </c>
      <c r="C24" s="30"/>
      <c r="D24" s="30"/>
    </row>
    <row r="25" spans="2:5" ht="20" customHeight="1">
      <c r="B25" s="32" t="s">
        <v>63</v>
      </c>
      <c r="C25" s="32" t="s">
        <v>64</v>
      </c>
      <c r="D25" s="32" t="s">
        <v>65</v>
      </c>
    </row>
    <row r="26" spans="2:5">
      <c r="B26" s="28" t="s">
        <v>92</v>
      </c>
      <c r="C26" s="28" t="s">
        <v>93</v>
      </c>
      <c r="D26" s="28" t="s">
        <v>94</v>
      </c>
    </row>
    <row r="27" spans="2:5">
      <c r="B27" s="28" t="s">
        <v>95</v>
      </c>
      <c r="C27" s="28" t="s">
        <v>96</v>
      </c>
      <c r="D27" s="28" t="s">
        <v>94</v>
      </c>
    </row>
    <row r="29" spans="2:5">
      <c r="B29" s="30" t="s">
        <v>97</v>
      </c>
      <c r="C29" s="30"/>
      <c r="D29" s="30"/>
      <c r="E29" s="30"/>
    </row>
    <row r="30" spans="2:5" ht="20" customHeight="1">
      <c r="B30" s="32" t="s">
        <v>66</v>
      </c>
      <c r="C30" s="32" t="s">
        <v>67</v>
      </c>
      <c r="D30" s="32" t="s">
        <v>68</v>
      </c>
      <c r="E30" s="32" t="s">
        <v>69</v>
      </c>
    </row>
    <row r="31" spans="2:5">
      <c r="B31" s="28" t="s">
        <v>98</v>
      </c>
      <c r="C31" s="28" t="s">
        <v>99</v>
      </c>
      <c r="D31" s="28" t="s">
        <v>100</v>
      </c>
      <c r="E31" s="28" t="s">
        <v>101</v>
      </c>
    </row>
    <row r="32" spans="2:5">
      <c r="B32" s="28" t="s">
        <v>102</v>
      </c>
      <c r="C32" s="28" t="s">
        <v>99</v>
      </c>
      <c r="D32" s="28" t="s">
        <v>103</v>
      </c>
      <c r="E32" s="28" t="s">
        <v>104</v>
      </c>
    </row>
    <row r="33" spans="2:5">
      <c r="B33" s="28" t="s">
        <v>105</v>
      </c>
      <c r="C33" s="28" t="s">
        <v>106</v>
      </c>
      <c r="D33" s="28" t="s">
        <v>107</v>
      </c>
      <c r="E33" s="28" t="s">
        <v>108</v>
      </c>
    </row>
    <row r="34" spans="2:5">
      <c r="B34" s="28" t="s">
        <v>109</v>
      </c>
      <c r="C34" s="28" t="s">
        <v>106</v>
      </c>
      <c r="D34" s="28" t="s">
        <v>107</v>
      </c>
      <c r="E34" s="28" t="s">
        <v>110</v>
      </c>
    </row>
    <row r="35" spans="2:5">
      <c r="B35" s="28" t="s">
        <v>111</v>
      </c>
      <c r="C35" s="28" t="s">
        <v>106</v>
      </c>
      <c r="D35" s="28" t="s">
        <v>107</v>
      </c>
      <c r="E35" s="28" t="s">
        <v>112</v>
      </c>
    </row>
    <row r="36" spans="2:5">
      <c r="B36" s="28" t="s">
        <v>113</v>
      </c>
      <c r="C36" s="28" t="s">
        <v>106</v>
      </c>
      <c r="D36" s="28" t="s">
        <v>114</v>
      </c>
      <c r="E36" s="28" t="s">
        <v>115</v>
      </c>
    </row>
    <row r="37" spans="2:5">
      <c r="B37" s="28" t="s">
        <v>116</v>
      </c>
      <c r="C37" s="28" t="s">
        <v>106</v>
      </c>
      <c r="D37" s="28" t="s">
        <v>117</v>
      </c>
      <c r="E37" s="28" t="s">
        <v>118</v>
      </c>
    </row>
    <row r="38" spans="2:5">
      <c r="B38" s="28" t="s">
        <v>119</v>
      </c>
      <c r="C38" s="28" t="s">
        <v>106</v>
      </c>
      <c r="D38" s="28" t="s">
        <v>120</v>
      </c>
      <c r="E38" s="28" t="s">
        <v>121</v>
      </c>
    </row>
    <row r="39" spans="2:5">
      <c r="B39" s="28" t="s">
        <v>122</v>
      </c>
      <c r="C39" s="28" t="s">
        <v>106</v>
      </c>
      <c r="D39" s="28" t="s">
        <v>123</v>
      </c>
      <c r="E39" s="28" t="s">
        <v>124</v>
      </c>
    </row>
    <row r="40" spans="2:5">
      <c r="B40" s="28" t="s">
        <v>125</v>
      </c>
      <c r="C40" s="28" t="s">
        <v>106</v>
      </c>
      <c r="D40" s="28" t="s">
        <v>125</v>
      </c>
      <c r="E40" s="28" t="s">
        <v>126</v>
      </c>
    </row>
  </sheetData>
  <mergeCells count="11">
    <mergeCell ref="A1:E1"/>
    <mergeCell ref="B2:D2"/>
    <mergeCell ref="B4:E4"/>
    <mergeCell ref="C6:D6"/>
    <mergeCell ref="C7:D7"/>
    <mergeCell ref="B10:E10"/>
    <mergeCell ref="B12:E12"/>
    <mergeCell ref="B14:E14"/>
    <mergeCell ref="B15:D15"/>
    <mergeCell ref="B24:D24"/>
    <mergeCell ref="B29:E29"/>
  </mergeCells>
  <dataValidations count="13">
    <dataValidation type="textLength" allowBlank="1" showInputMessage="1" showErrorMessage="1" errorTitle="Check this entry" error="Text up to 80 characters." promptTitle="Plant or lin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 to 10,000." promptTitle="Unplanned downtime limit per ..." prompt="Your own limit for unplanned stop hours in one week across the machines in view. Weeks above it read Above target. Enter a number from 0 to 10,000." sqref="C8">
      <formula1>0</formula1>
      <formula2>10000</formula2>
    </dataValidation>
    <dataValidation type="textLength" allowBlank="1" showInputMessage="1" showErrorMessage="1" errorTitle="Check this entry" error="Text up to 40 characters." promptTitle="Machine" prompt="Text up to 40 characters." sqref="B18:B122">
      <formula1>0</formula1>
      <formula2>40</formula2>
    </dataValidation>
    <dataValidation type="textLength" allowBlank="1" showInputMessage="1" showErrorMessage="1" errorTitle="Check this entry" error="Text up to 120 characters." promptTitle="Description" prompt="Text up to 120 characters." sqref="C18:C122">
      <formula1>0</formula1>
      <formula2>120</formula2>
    </dataValidation>
    <dataValidation type="decimal" allowBlank="1" showInputMessage="1" showErrorMessage="1" errorTitle="Check this entry" error="Enter a number from 0 to 10,000,000." promptTitle="Loss rate (per h)" prompt="Contribution (or cost) lost for each hour this machine is stopped: lost margin on the parts it would have made plus labour that stands idle. Example value; use your own. Enter a number from 0 to 10,000,000." sqref="D18:D122">
      <formula1>0</formula1>
      <formula2>10000000.0</formula2>
    </dataValidation>
    <dataValidation type="textLength" allowBlank="1" showInputMessage="1" showErrorMessage="1" errorTitle="Check this entry" error="Text up to 20 characters." promptTitle="Shift" prompt="Text up to 20 characters." sqref="B26:B127">
      <formula1>0</formula1>
      <formula2>20</formula2>
    </dataValidation>
    <dataValidation type="textLength" allowBlank="1" showInputMessage="1" showErrorMessage="1" errorTitle="Check this entry" error="Text up to 40 characters." promptTitle="Hours" prompt="Text up to 40 characters." sqref="C26:C127">
      <formula1>0</formula1>
      <formula2>40</formula2>
    </dataValidation>
    <dataValidation type="textLength" allowBlank="1" showInputMessage="1" showErrorMessage="1" errorTitle="Check this entry" error="Text up to 120 characters." promptTitle="Notes" prompt="Text up to 120 characters." sqref="D26:D127">
      <formula1>0</formula1>
      <formula2>120</formula2>
    </dataValidation>
    <dataValidation type="textLength" allowBlank="1" showInputMessage="1" showErrorMessage="1" errorTitle="Check this entry" error="Text up to 60 characters." promptTitle="Reason" prompt="Text up to 60 characters." sqref="B31:B140">
      <formula1>0</formula1>
      <formula2>60</formula2>
    </dataValidation>
    <dataValidation type="list" allowBlank="1" showInputMessage="1" showErrorMessage="1" errorTitle="Check this entry" error="Pick one of: Planned, Unplanned." promptTitle="Type" prompt="Planned: scheduled stops (changeovers, PM). Unplanned: everything that was not scheduled. Pick one of: Planned, Unplanned." sqref="C31:C140">
      <formula1>"Planned,Unplanned"</formula1>
    </dataValidation>
    <dataValidation type="list" allowBlank="1" showInputMessage="1" showErrorMessage="1" errorTitle="Check this entry" error="Pick one of: Breakdown, Changeover, Maintenance, Minor stop, Material, Quality, Labour, Other." promptTitle="Loss category" prompt="Pick one of: Breakdown, Changeover, Maintenance, Minor stop, Material, Quality, Labour, Other." sqref="D31:D140">
      <formula1>"Breakdown,Changeover,Maintenance,Minor stop,Material,Quality,Labour,Other"</formula1>
    </dataValidation>
    <dataValidation type="textLength" allowBlank="1" showInputMessage="1" showErrorMessage="1" errorTitle="Check this entry" error="Text up to 160 characters." promptTitle="Definition" prompt="Text up to 160 characters." sqref="E31:E140">
      <formula1>0</formula1>
      <formula2>160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Downtime Tracker&amp;R&amp;8&amp;A</oddHeader>
    <oddFooter>&amp;L&amp;8mfgcalcs.com - free manufacturing templates&amp;R&amp;8Page &amp;P of &amp;N</oddFooter>
  </headerFooter>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R181"/>
  <sheetViews>
    <sheetView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1" width="2.7109375" customWidth="1"/>
    <col min="2" max="2" width="12.28515625" customWidth="1"/>
    <col min="3" max="3" width="8.28515625" customWidth="1"/>
    <col min="4" max="4" width="9.7109375" customWidth="1"/>
    <col min="5" max="5" width="19.7109375" customWidth="1"/>
    <col min="6" max="7" width="7.7109375" customWidth="1"/>
    <col min="8" max="8" width="9.28515625" customWidth="1"/>
    <col min="9" max="9" width="10.7109375" customWidth="1"/>
    <col min="10" max="10" width="12.28515625" customWidth="1"/>
    <col min="11" max="11" width="9.7109375" customWidth="1"/>
    <col min="12" max="12" width="11.7109375" customWidth="1"/>
    <col min="13" max="13" width="10.7109375" customWidth="1"/>
    <col min="14" max="14" width="11.28515625" customWidth="1"/>
    <col min="15" max="16" width="12.28515625" customWidth="1"/>
    <col min="17" max="17" width="24.7109375" customWidth="1"/>
    <col min="18" max="18" width="30.7109375" customWidth="1"/>
  </cols>
  <sheetData>
    <row r="1" spans="1:18" ht="30" customHeight="1" x14ac:dyDescent="0.25">
      <c r="A1" s="1" t="s">
        <v>0</v>
      </c>
      <c r="B1" s="1"/>
      <c r="C1" s="1"/>
      <c r="D1" s="1"/>
      <c r="E1" s="1"/>
      <c r="F1" s="1"/>
      <c r="G1" s="1"/>
      <c r="H1" s="1"/>
      <c r="I1" s="1"/>
      <c r="J1" s="1"/>
      <c r="K1" s="1"/>
      <c r="L1" s="1"/>
      <c r="M1" s="1"/>
      <c r="N1" s="1"/>
      <c r="O1" s="1"/>
      <c r="P1" s="1"/>
      <c r="Q1" s="1"/>
      <c r="R1" s="1"/>
    </row>
    <row r="2" spans="1:18" ht="21" customHeight="1" x14ac:dyDescent="0.25">
      <c r="B2" s="2" t="s">
        <v>20</v>
      </c>
      <c r="C2" s="2"/>
      <c r="D2" s="2"/>
      <c r="E2" s="2"/>
      <c r="F2" s="2"/>
      <c r="G2" s="2"/>
      <c r="H2" s="2"/>
      <c r="I2" s="2"/>
      <c r="J2" s="2"/>
      <c r="K2" s="2"/>
      <c r="L2" s="2"/>
      <c r="M2" s="2"/>
      <c r="N2" s="2"/>
      <c r="O2" s="2"/>
      <c r="P2" s="2"/>
      <c r="Q2" s="2"/>
      <c r="R2" s="3" t="s">
        <v>2</v>
      </c>
    </row>
    <row r="3" spans="1:18" ht="6" customHeight="1" x14ac:dyDescent="0.25"/>
    <row r="4" spans="1:18" ht="18" customHeight="1" x14ac:dyDescent="0.25">
      <c r="B4" s="34" t="s">
        <v>138</v>
      </c>
      <c r="C4" s="34"/>
      <c r="D4" s="34"/>
      <c r="E4" s="34"/>
      <c r="F4" s="34"/>
      <c r="G4" s="34"/>
      <c r="H4" s="34"/>
      <c r="I4" s="34"/>
      <c r="J4" s="34"/>
      <c r="K4" s="34"/>
      <c r="L4" s="34"/>
      <c r="M4" s="34"/>
      <c r="N4" s="34"/>
      <c r="O4" s="34"/>
      <c r="P4" s="34"/>
      <c r="Q4" s="34"/>
      <c r="R4" s="34"/>
    </row>
    <row r="5" spans="1:18" ht="14" customHeight="1" x14ac:dyDescent="0.25">
      <c r="B5" s="31"/>
      <c r="C5" s="31"/>
      <c r="D5" s="31"/>
      <c r="E5" s="31"/>
      <c r="F5" s="31"/>
      <c r="G5" s="31"/>
      <c r="H5" s="31"/>
      <c r="I5" s="31"/>
      <c r="J5" s="31"/>
      <c r="K5" s="31" t="str">
        <f>Currency&amp;"/h"</f>
        <v>USD/h</v>
      </c>
      <c r="L5" s="31" t="str">
        <f>Currency</f>
        <v>USD</v>
      </c>
      <c r="M5" s="31" t="str">
        <f>Currency</f>
        <v>USD</v>
      </c>
      <c r="N5" s="31" t="str">
        <f>Currency</f>
        <v>USD</v>
      </c>
      <c r="O5" s="31"/>
      <c r="P5" s="31"/>
      <c r="Q5" s="31"/>
      <c r="R5" s="31"/>
    </row>
    <row r="6" spans="1:18" ht="32" customHeight="1" x14ac:dyDescent="0.25">
      <c r="B6" s="32" t="s">
        <v>127</v>
      </c>
      <c r="C6" s="32" t="s">
        <v>63</v>
      </c>
      <c r="D6" s="32" t="s">
        <v>60</v>
      </c>
      <c r="E6" s="32" t="s">
        <v>66</v>
      </c>
      <c r="F6" s="32" t="s">
        <v>128</v>
      </c>
      <c r="G6" s="32" t="s">
        <v>129</v>
      </c>
      <c r="H6" s="32" t="s">
        <v>130</v>
      </c>
      <c r="I6" s="32" t="s">
        <v>67</v>
      </c>
      <c r="J6" s="32" t="s">
        <v>68</v>
      </c>
      <c r="K6" s="32" t="s">
        <v>131</v>
      </c>
      <c r="L6" s="32" t="s">
        <v>132</v>
      </c>
      <c r="M6" s="32" t="s">
        <v>133</v>
      </c>
      <c r="N6" s="32" t="s">
        <v>134</v>
      </c>
      <c r="O6" s="32" t="s">
        <v>135</v>
      </c>
      <c r="P6" s="32" t="s">
        <v>136</v>
      </c>
      <c r="Q6" s="32" t="s">
        <v>137</v>
      </c>
      <c r="R6" s="32" t="s">
        <v>65</v>
      </c>
    </row>
    <row r="7" spans="1:18" x14ac:dyDescent="0.25">
      <c r="B7" s="35">
        <v>46265</v>
      </c>
      <c r="C7" s="28" t="s">
        <v>92</v>
      </c>
      <c r="D7" s="28" t="s">
        <v>81</v>
      </c>
      <c r="E7" s="28" t="s">
        <v>98</v>
      </c>
      <c r="F7" s="36">
        <v>0.3888888888888889</v>
      </c>
      <c r="G7" s="36">
        <v>0.4097222222222222</v>
      </c>
      <c r="H7" s="37">
        <f>IF(tblDowntime[[#This Row],[Date]]="","",IF(OR(tblDowntime[[#This Row],[Start]]="",tblDowntime[[#This Row],[End]]=""),"",ROUND(MOD(tblDowntime[[#This Row],[End]]-tblDowntime[[#This Row],[Start]],1)*1440,0)))</f>
        <v>30</v>
      </c>
      <c r="I7" s="38" t="str">
        <f>IF(tblDowntime[[#This Row],[Date]]="","",IFERROR(INDEX(tblReasons[Type],MATCH(tblDowntime[[#This Row],[Reason]],tblReasons[Reason],0)),""))</f>
        <v>Planned</v>
      </c>
      <c r="J7" s="38" t="str">
        <f>IF(tblDowntime[[#This Row],[Date]]="","",IFERROR(INDEX(tblReasons[Loss category],MATCH(tblDowntime[[#This Row],[Reason]],tblReasons[Reason],0)),""))</f>
        <v>Changeover</v>
      </c>
      <c r="K7" s="37">
        <f>IF(tblDowntime[[#This Row],[Date]]="","",IFERROR(INDEX(tblMachines[Loss rate (per h)],MATCH(tblDowntime[[#This Row],[Machine]],tblMachines[Machine],0)),""))</f>
        <v>950</v>
      </c>
      <c r="L7" s="39">
        <f>IF(tblDowntime[[#This Row],[Date]]="","",IF(OR(tblDowntime[[#This Row],[Minutes]]="",tblDowntime[[#This Row],[Loss rate]]=""),"",tblDowntime[[#This Row],[Minutes]]/60*tblDowntime[[#This Row],[Loss rate]]))</f>
        <v>475</v>
      </c>
      <c r="M7" s="33">
        <v>0</v>
      </c>
      <c r="N7" s="39">
        <f>IF(tblDowntime[[#This Row],[Date]]="","",IF(tblDowntime[[#This Row],[Production loss]]="","",tblDowntime[[#This Row],[Production loss]]+N(tblDowntime[[#This Row],[Repair cost]])))</f>
        <v>475</v>
      </c>
      <c r="O7" s="40">
        <f>IF(tblDowntime[[#This Row],[Date]]="","",tblDowntime[[#This Row],[Date]]-WEEKDAY(tblDowntime[[#This Row],[Date]],2)+1)</f>
        <v>46265</v>
      </c>
      <c r="P7" s="40">
        <f>IF(tblDowntime[[#This Row],[Date]]="","",IF(AND(tblDowntime[[#This Row],[Date]]&gt;=FFrom,tblDowntime[[#This Row],[Date]]&lt;=FTo,OR(DashMachine="",tblDowntime[[#This Row],[Machine]]=DashMachine)),tblDowntime[[#This Row],[Date]],""))</f>
        <v>46265</v>
      </c>
      <c r="Q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 s="42" t="s">
        <v>139</v>
      </c>
    </row>
    <row r="8" spans="1:18" x14ac:dyDescent="0.25">
      <c r="B8" s="35">
        <v>46265</v>
      </c>
      <c r="C8" s="28" t="s">
        <v>92</v>
      </c>
      <c r="D8" s="28" t="s">
        <v>81</v>
      </c>
      <c r="E8" s="28" t="s">
        <v>113</v>
      </c>
      <c r="F8" s="36">
        <v>0.4722222222222222</v>
      </c>
      <c r="G8" s="36">
        <v>0.4791666666666667</v>
      </c>
      <c r="H8" s="37">
        <f>IF(tblDowntime[[#This Row],[Date]]="","",IF(OR(tblDowntime[[#This Row],[Start]]="",tblDowntime[[#This Row],[End]]=""),"",ROUND(MOD(tblDowntime[[#This Row],[End]]-tblDowntime[[#This Row],[Start]],1)*1440,0)))</f>
        <v>10</v>
      </c>
      <c r="I8" s="38" t="str">
        <f>IF(tblDowntime[[#This Row],[Date]]="","",IFERROR(INDEX(tblReasons[Type],MATCH(tblDowntime[[#This Row],[Reason]],tblReasons[Reason],0)),""))</f>
        <v>Unplanned</v>
      </c>
      <c r="J8" s="38" t="str">
        <f>IF(tblDowntime[[#This Row],[Date]]="","",IFERROR(INDEX(tblReasons[Loss category],MATCH(tblDowntime[[#This Row],[Reason]],tblReasons[Reason],0)),""))</f>
        <v>Minor stop</v>
      </c>
      <c r="K8" s="37">
        <f>IF(tblDowntime[[#This Row],[Date]]="","",IFERROR(INDEX(tblMachines[Loss rate (per h)],MATCH(tblDowntime[[#This Row],[Machine]],tblMachines[Machine],0)),""))</f>
        <v>950</v>
      </c>
      <c r="L8" s="39">
        <f>IF(tblDowntime[[#This Row],[Date]]="","",IF(OR(tblDowntime[[#This Row],[Minutes]]="",tblDowntime[[#This Row],[Loss rate]]=""),"",tblDowntime[[#This Row],[Minutes]]/60*tblDowntime[[#This Row],[Loss rate]]))</f>
        <v>158.333333333333</v>
      </c>
      <c r="M8" s="33">
        <v>0</v>
      </c>
      <c r="N8" s="39">
        <f>IF(tblDowntime[[#This Row],[Date]]="","",IF(tblDowntime[[#This Row],[Production loss]]="","",tblDowntime[[#This Row],[Production loss]]+N(tblDowntime[[#This Row],[Repair cost]])))</f>
        <v>158.333333333333</v>
      </c>
      <c r="O8" s="40">
        <f>IF(tblDowntime[[#This Row],[Date]]="","",tblDowntime[[#This Row],[Date]]-WEEKDAY(tblDowntime[[#This Row],[Date]],2)+1)</f>
        <v>46265</v>
      </c>
      <c r="P8" s="40">
        <f>IF(tblDowntime[[#This Row],[Date]]="","",IF(AND(tblDowntime[[#This Row],[Date]]&gt;=FFrom,tblDowntime[[#This Row],[Date]]&lt;=FTo,OR(DashMachine="",tblDowntime[[#This Row],[Machine]]=DashMachine)),tblDowntime[[#This Row],[Date]],""))</f>
        <v>46265</v>
      </c>
      <c r="Q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 s="42" t="s">
        <v>140</v>
      </c>
    </row>
    <row r="9" spans="1:18" x14ac:dyDescent="0.25">
      <c r="B9" s="35">
        <v>46265</v>
      </c>
      <c r="C9" s="28" t="s">
        <v>95</v>
      </c>
      <c r="D9" s="28" t="s">
        <v>87</v>
      </c>
      <c r="E9" s="28" t="s">
        <v>119</v>
      </c>
      <c r="F9" s="36">
        <v>0.6527777777777778</v>
      </c>
      <c r="G9" s="36">
        <v>0.6805555555555556</v>
      </c>
      <c r="H9" s="37">
        <f>IF(tblDowntime[[#This Row],[Date]]="","",IF(OR(tblDowntime[[#This Row],[Start]]="",tblDowntime[[#This Row],[End]]=""),"",ROUND(MOD(tblDowntime[[#This Row],[End]]-tblDowntime[[#This Row],[Start]],1)*1440,0)))</f>
        <v>40</v>
      </c>
      <c r="I9" s="38" t="str">
        <f>IF(tblDowntime[[#This Row],[Date]]="","",IFERROR(INDEX(tblReasons[Type],MATCH(tblDowntime[[#This Row],[Reason]],tblReasons[Reason],0)),""))</f>
        <v>Unplanned</v>
      </c>
      <c r="J9" s="38" t="str">
        <f>IF(tblDowntime[[#This Row],[Date]]="","",IFERROR(INDEX(tblReasons[Loss category],MATCH(tblDowntime[[#This Row],[Reason]],tblReasons[Reason],0)),""))</f>
        <v>Quality</v>
      </c>
      <c r="K9" s="37">
        <f>IF(tblDowntime[[#This Row],[Date]]="","",IFERROR(INDEX(tblMachines[Loss rate (per h)],MATCH(tblDowntime[[#This Row],[Machine]],tblMachines[Machine],0)),""))</f>
        <v>260</v>
      </c>
      <c r="L9" s="39">
        <f>IF(tblDowntime[[#This Row],[Date]]="","",IF(OR(tblDowntime[[#This Row],[Minutes]]="",tblDowntime[[#This Row],[Loss rate]]=""),"",tblDowntime[[#This Row],[Minutes]]/60*tblDowntime[[#This Row],[Loss rate]]))</f>
        <v>173.333333333333</v>
      </c>
      <c r="M9" s="33">
        <v>0</v>
      </c>
      <c r="N9" s="39">
        <f>IF(tblDowntime[[#This Row],[Date]]="","",IF(tblDowntime[[#This Row],[Production loss]]="","",tblDowntime[[#This Row],[Production loss]]+N(tblDowntime[[#This Row],[Repair cost]])))</f>
        <v>173.333333333333</v>
      </c>
      <c r="O9" s="40">
        <f>IF(tblDowntime[[#This Row],[Date]]="","",tblDowntime[[#This Row],[Date]]-WEEKDAY(tblDowntime[[#This Row],[Date]],2)+1)</f>
        <v>46265</v>
      </c>
      <c r="P9" s="40">
        <f>IF(tblDowntime[[#This Row],[Date]]="","",IF(AND(tblDowntime[[#This Row],[Date]]&gt;=FFrom,tblDowntime[[#This Row],[Date]]&lt;=FTo,OR(DashMachine="",tblDowntime[[#This Row],[Machine]]=DashMachine)),tblDowntime[[#This Row],[Date]],""))</f>
        <v>46265</v>
      </c>
      <c r="Q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 s="42" t="s">
        <v>140</v>
      </c>
    </row>
    <row r="10" spans="1:18" x14ac:dyDescent="0.25">
      <c r="B10" s="35">
        <v>46266</v>
      </c>
      <c r="C10" s="28" t="s">
        <v>92</v>
      </c>
      <c r="D10" s="28" t="s">
        <v>83</v>
      </c>
      <c r="E10" s="28" t="s">
        <v>98</v>
      </c>
      <c r="F10" s="36">
        <v>0.375</v>
      </c>
      <c r="G10" s="36">
        <v>0.4027777777777778</v>
      </c>
      <c r="H10" s="37">
        <f>IF(tblDowntime[[#This Row],[Date]]="","",IF(OR(tblDowntime[[#This Row],[Start]]="",tblDowntime[[#This Row],[End]]=""),"",ROUND(MOD(tblDowntime[[#This Row],[End]]-tblDowntime[[#This Row],[Start]],1)*1440,0)))</f>
        <v>40</v>
      </c>
      <c r="I10" s="38" t="str">
        <f>IF(tblDowntime[[#This Row],[Date]]="","",IFERROR(INDEX(tblReasons[Type],MATCH(tblDowntime[[#This Row],[Reason]],tblReasons[Reason],0)),""))</f>
        <v>Planned</v>
      </c>
      <c r="J10" s="38" t="str">
        <f>IF(tblDowntime[[#This Row],[Date]]="","",IFERROR(INDEX(tblReasons[Loss category],MATCH(tblDowntime[[#This Row],[Reason]],tblReasons[Reason],0)),""))</f>
        <v>Changeover</v>
      </c>
      <c r="K10" s="37">
        <f>IF(tblDowntime[[#This Row],[Date]]="","",IFERROR(INDEX(tblMachines[Loss rate (per h)],MATCH(tblDowntime[[#This Row],[Machine]],tblMachines[Machine],0)),""))</f>
        <v>620</v>
      </c>
      <c r="L10" s="39">
        <f>IF(tblDowntime[[#This Row],[Date]]="","",IF(OR(tblDowntime[[#This Row],[Minutes]]="",tblDowntime[[#This Row],[Loss rate]]=""),"",tblDowntime[[#This Row],[Minutes]]/60*tblDowntime[[#This Row],[Loss rate]]))</f>
        <v>413.333333333333</v>
      </c>
      <c r="M10" s="33">
        <v>0</v>
      </c>
      <c r="N10" s="39">
        <f>IF(tblDowntime[[#This Row],[Date]]="","",IF(tblDowntime[[#This Row],[Production loss]]="","",tblDowntime[[#This Row],[Production loss]]+N(tblDowntime[[#This Row],[Repair cost]])))</f>
        <v>413.333333333333</v>
      </c>
      <c r="O10" s="40">
        <f>IF(tblDowntime[[#This Row],[Date]]="","",tblDowntime[[#This Row],[Date]]-WEEKDAY(tblDowntime[[#This Row],[Date]],2)+1)</f>
        <v>46265</v>
      </c>
      <c r="P10" s="40">
        <f>IF(tblDowntime[[#This Row],[Date]]="","",IF(AND(tblDowntime[[#This Row],[Date]]&gt;=FFrom,tblDowntime[[#This Row],[Date]]&lt;=FTo,OR(DashMachine="",tblDowntime[[#This Row],[Machine]]=DashMachine)),tblDowntime[[#This Row],[Date]],""))</f>
        <v>46266</v>
      </c>
      <c r="Q1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 s="42" t="s">
        <v>139</v>
      </c>
    </row>
    <row r="11" spans="1:18" x14ac:dyDescent="0.25">
      <c r="B11" s="35">
        <v>46266</v>
      </c>
      <c r="C11" s="28" t="s">
        <v>92</v>
      </c>
      <c r="D11" s="28" t="s">
        <v>83</v>
      </c>
      <c r="E11" s="28" t="s">
        <v>113</v>
      </c>
      <c r="F11" s="36">
        <v>0.4513888888888889</v>
      </c>
      <c r="G11" s="36">
        <v>0.4583333333333333</v>
      </c>
      <c r="H11" s="37">
        <f>IF(tblDowntime[[#This Row],[Date]]="","",IF(OR(tblDowntime[[#This Row],[Start]]="",tblDowntime[[#This Row],[End]]=""),"",ROUND(MOD(tblDowntime[[#This Row],[End]]-tblDowntime[[#This Row],[Start]],1)*1440,0)))</f>
        <v>10</v>
      </c>
      <c r="I11" s="38" t="str">
        <f>IF(tblDowntime[[#This Row],[Date]]="","",IFERROR(INDEX(tblReasons[Type],MATCH(tblDowntime[[#This Row],[Reason]],tblReasons[Reason],0)),""))</f>
        <v>Unplanned</v>
      </c>
      <c r="J11" s="38" t="str">
        <f>IF(tblDowntime[[#This Row],[Date]]="","",IFERROR(INDEX(tblReasons[Loss category],MATCH(tblDowntime[[#This Row],[Reason]],tblReasons[Reason],0)),""))</f>
        <v>Minor stop</v>
      </c>
      <c r="K11" s="37">
        <f>IF(tblDowntime[[#This Row],[Date]]="","",IFERROR(INDEX(tblMachines[Loss rate (per h)],MATCH(tblDowntime[[#This Row],[Machine]],tblMachines[Machine],0)),""))</f>
        <v>620</v>
      </c>
      <c r="L11" s="39">
        <f>IF(tblDowntime[[#This Row],[Date]]="","",IF(OR(tblDowntime[[#This Row],[Minutes]]="",tblDowntime[[#This Row],[Loss rate]]=""),"",tblDowntime[[#This Row],[Minutes]]/60*tblDowntime[[#This Row],[Loss rate]]))</f>
        <v>103.333333333333</v>
      </c>
      <c r="M11" s="33">
        <v>0</v>
      </c>
      <c r="N11" s="39">
        <f>IF(tblDowntime[[#This Row],[Date]]="","",IF(tblDowntime[[#This Row],[Production loss]]="","",tblDowntime[[#This Row],[Production loss]]+N(tblDowntime[[#This Row],[Repair cost]])))</f>
        <v>103.333333333333</v>
      </c>
      <c r="O11" s="40">
        <f>IF(tblDowntime[[#This Row],[Date]]="","",tblDowntime[[#This Row],[Date]]-WEEKDAY(tblDowntime[[#This Row],[Date]],2)+1)</f>
        <v>46265</v>
      </c>
      <c r="P11" s="40">
        <f>IF(tblDowntime[[#This Row],[Date]]="","",IF(AND(tblDowntime[[#This Row],[Date]]&gt;=FFrom,tblDowntime[[#This Row],[Date]]&lt;=FTo,OR(DashMachine="",tblDowntime[[#This Row],[Machine]]=DashMachine)),tblDowntime[[#This Row],[Date]],""))</f>
        <v>46266</v>
      </c>
      <c r="Q1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 s="42" t="s">
        <v>140</v>
      </c>
    </row>
    <row r="12" spans="1:18" x14ac:dyDescent="0.25">
      <c r="B12" s="35">
        <v>46266</v>
      </c>
      <c r="C12" s="28" t="s">
        <v>95</v>
      </c>
      <c r="D12" s="28" t="s">
        <v>83</v>
      </c>
      <c r="E12" s="28" t="s">
        <v>122</v>
      </c>
      <c r="F12" s="36">
        <v>0.6944444444444444</v>
      </c>
      <c r="G12" s="36">
        <v>0.7048611111111112</v>
      </c>
      <c r="H12" s="37">
        <f>IF(tblDowntime[[#This Row],[Date]]="","",IF(OR(tblDowntime[[#This Row],[Start]]="",tblDowntime[[#This Row],[End]]=""),"",ROUND(MOD(tblDowntime[[#This Row],[End]]-tblDowntime[[#This Row],[Start]],1)*1440,0)))</f>
        <v>15</v>
      </c>
      <c r="I12" s="38" t="str">
        <f>IF(tblDowntime[[#This Row],[Date]]="","",IFERROR(INDEX(tblReasons[Type],MATCH(tblDowntime[[#This Row],[Reason]],tblReasons[Reason],0)),""))</f>
        <v>Unplanned</v>
      </c>
      <c r="J12" s="38" t="str">
        <f>IF(tblDowntime[[#This Row],[Date]]="","",IFERROR(INDEX(tblReasons[Loss category],MATCH(tblDowntime[[#This Row],[Reason]],tblReasons[Reason],0)),""))</f>
        <v>Labour</v>
      </c>
      <c r="K12" s="37">
        <f>IF(tblDowntime[[#This Row],[Date]]="","",IFERROR(INDEX(tblMachines[Loss rate (per h)],MATCH(tblDowntime[[#This Row],[Machine]],tblMachines[Machine],0)),""))</f>
        <v>620</v>
      </c>
      <c r="L12" s="39">
        <f>IF(tblDowntime[[#This Row],[Date]]="","",IF(OR(tblDowntime[[#This Row],[Minutes]]="",tblDowntime[[#This Row],[Loss rate]]=""),"",tblDowntime[[#This Row],[Minutes]]/60*tblDowntime[[#This Row],[Loss rate]]))</f>
        <v>155</v>
      </c>
      <c r="M12" s="33">
        <v>0</v>
      </c>
      <c r="N12" s="39">
        <f>IF(tblDowntime[[#This Row],[Date]]="","",IF(tblDowntime[[#This Row],[Production loss]]="","",tblDowntime[[#This Row],[Production loss]]+N(tblDowntime[[#This Row],[Repair cost]])))</f>
        <v>155</v>
      </c>
      <c r="O12" s="40">
        <f>IF(tblDowntime[[#This Row],[Date]]="","",tblDowntime[[#This Row],[Date]]-WEEKDAY(tblDowntime[[#This Row],[Date]],2)+1)</f>
        <v>46265</v>
      </c>
      <c r="P12" s="40">
        <f>IF(tblDowntime[[#This Row],[Date]]="","",IF(AND(tblDowntime[[#This Row],[Date]]&gt;=FFrom,tblDowntime[[#This Row],[Date]]&lt;=FTo,OR(DashMachine="",tblDowntime[[#This Row],[Machine]]=DashMachine)),tblDowntime[[#This Row],[Date]],""))</f>
        <v>46266</v>
      </c>
      <c r="Q1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 s="42" t="s">
        <v>140</v>
      </c>
    </row>
    <row r="13" spans="1:18" x14ac:dyDescent="0.25">
      <c r="B13" s="35">
        <v>46267</v>
      </c>
      <c r="C13" s="28" t="s">
        <v>92</v>
      </c>
      <c r="D13" s="28" t="s">
        <v>87</v>
      </c>
      <c r="E13" s="28" t="s">
        <v>122</v>
      </c>
      <c r="F13" s="36">
        <v>0.375</v>
      </c>
      <c r="G13" s="36">
        <v>0.3888888888888889</v>
      </c>
      <c r="H13" s="37">
        <f>IF(tblDowntime[[#This Row],[Date]]="","",IF(OR(tblDowntime[[#This Row],[Start]]="",tblDowntime[[#This Row],[End]]=""),"",ROUND(MOD(tblDowntime[[#This Row],[End]]-tblDowntime[[#This Row],[Start]],1)*1440,0)))</f>
        <v>20</v>
      </c>
      <c r="I13" s="38" t="str">
        <f>IF(tblDowntime[[#This Row],[Date]]="","",IFERROR(INDEX(tblReasons[Type],MATCH(tblDowntime[[#This Row],[Reason]],tblReasons[Reason],0)),""))</f>
        <v>Unplanned</v>
      </c>
      <c r="J13" s="38" t="str">
        <f>IF(tblDowntime[[#This Row],[Date]]="","",IFERROR(INDEX(tblReasons[Loss category],MATCH(tblDowntime[[#This Row],[Reason]],tblReasons[Reason],0)),""))</f>
        <v>Labour</v>
      </c>
      <c r="K13" s="37">
        <f>IF(tblDowntime[[#This Row],[Date]]="","",IFERROR(INDEX(tblMachines[Loss rate (per h)],MATCH(tblDowntime[[#This Row],[Machine]],tblMachines[Machine],0)),""))</f>
        <v>260</v>
      </c>
      <c r="L13" s="39">
        <f>IF(tblDowntime[[#This Row],[Date]]="","",IF(OR(tblDowntime[[#This Row],[Minutes]]="",tblDowntime[[#This Row],[Loss rate]]=""),"",tblDowntime[[#This Row],[Minutes]]/60*tblDowntime[[#This Row],[Loss rate]]))</f>
        <v>86.6666666666667</v>
      </c>
      <c r="M13" s="33">
        <v>0</v>
      </c>
      <c r="N13" s="39">
        <f>IF(tblDowntime[[#This Row],[Date]]="","",IF(tblDowntime[[#This Row],[Production loss]]="","",tblDowntime[[#This Row],[Production loss]]+N(tblDowntime[[#This Row],[Repair cost]])))</f>
        <v>86.6666666666667</v>
      </c>
      <c r="O13" s="40">
        <f>IF(tblDowntime[[#This Row],[Date]]="","",tblDowntime[[#This Row],[Date]]-WEEKDAY(tblDowntime[[#This Row],[Date]],2)+1)</f>
        <v>46265</v>
      </c>
      <c r="P13" s="40">
        <f>IF(tblDowntime[[#This Row],[Date]]="","",IF(AND(tblDowntime[[#This Row],[Date]]&gt;=FFrom,tblDowntime[[#This Row],[Date]]&lt;=FTo,OR(DashMachine="",tblDowntime[[#This Row],[Machine]]=DashMachine)),tblDowntime[[#This Row],[Date]],""))</f>
        <v>46267</v>
      </c>
      <c r="Q1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 s="42" t="s">
        <v>140</v>
      </c>
    </row>
    <row r="14" spans="1:18" x14ac:dyDescent="0.25">
      <c r="B14" s="35">
        <v>46267</v>
      </c>
      <c r="C14" s="28" t="s">
        <v>92</v>
      </c>
      <c r="D14" s="28" t="s">
        <v>81</v>
      </c>
      <c r="E14" s="28" t="s">
        <v>98</v>
      </c>
      <c r="F14" s="36">
        <v>0.2916666666666667</v>
      </c>
      <c r="G14" s="36">
        <v>0.3159722222222222</v>
      </c>
      <c r="H14" s="37">
        <f>IF(tblDowntime[[#This Row],[Date]]="","",IF(OR(tblDowntime[[#This Row],[Start]]="",tblDowntime[[#This Row],[End]]=""),"",ROUND(MOD(tblDowntime[[#This Row],[End]]-tblDowntime[[#This Row],[Start]],1)*1440,0)))</f>
        <v>35</v>
      </c>
      <c r="I14" s="38" t="str">
        <f>IF(tblDowntime[[#This Row],[Date]]="","",IFERROR(INDEX(tblReasons[Type],MATCH(tblDowntime[[#This Row],[Reason]],tblReasons[Reason],0)),""))</f>
        <v>Planned</v>
      </c>
      <c r="J14" s="38" t="str">
        <f>IF(tblDowntime[[#This Row],[Date]]="","",IFERROR(INDEX(tblReasons[Loss category],MATCH(tblDowntime[[#This Row],[Reason]],tblReasons[Reason],0)),""))</f>
        <v>Changeover</v>
      </c>
      <c r="K14" s="37">
        <f>IF(tblDowntime[[#This Row],[Date]]="","",IFERROR(INDEX(tblMachines[Loss rate (per h)],MATCH(tblDowntime[[#This Row],[Machine]],tblMachines[Machine],0)),""))</f>
        <v>950</v>
      </c>
      <c r="L14" s="39">
        <f>IF(tblDowntime[[#This Row],[Date]]="","",IF(OR(tblDowntime[[#This Row],[Minutes]]="",tblDowntime[[#This Row],[Loss rate]]=""),"",tblDowntime[[#This Row],[Minutes]]/60*tblDowntime[[#This Row],[Loss rate]]))</f>
        <v>554.166666666667</v>
      </c>
      <c r="M14" s="33">
        <v>0</v>
      </c>
      <c r="N14" s="39">
        <f>IF(tblDowntime[[#This Row],[Date]]="","",IF(tblDowntime[[#This Row],[Production loss]]="","",tblDowntime[[#This Row],[Production loss]]+N(tblDowntime[[#This Row],[Repair cost]])))</f>
        <v>554.166666666667</v>
      </c>
      <c r="O14" s="40">
        <f>IF(tblDowntime[[#This Row],[Date]]="","",tblDowntime[[#This Row],[Date]]-WEEKDAY(tblDowntime[[#This Row],[Date]],2)+1)</f>
        <v>46265</v>
      </c>
      <c r="P14" s="40">
        <f>IF(tblDowntime[[#This Row],[Date]]="","",IF(AND(tblDowntime[[#This Row],[Date]]&gt;=FFrom,tblDowntime[[#This Row],[Date]]&lt;=FTo,OR(DashMachine="",tblDowntime[[#This Row],[Machine]]=DashMachine)),tblDowntime[[#This Row],[Date]],""))</f>
        <v>46267</v>
      </c>
      <c r="Q1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 s="42" t="s">
        <v>139</v>
      </c>
    </row>
    <row r="15" spans="1:18" x14ac:dyDescent="0.25">
      <c r="B15" s="35">
        <v>46267</v>
      </c>
      <c r="C15" s="28" t="s">
        <v>92</v>
      </c>
      <c r="D15" s="28" t="s">
        <v>81</v>
      </c>
      <c r="E15" s="28" t="s">
        <v>111</v>
      </c>
      <c r="F15" s="36">
        <v>0.3506944444444444</v>
      </c>
      <c r="G15" s="36">
        <v>0.3854166666666667</v>
      </c>
      <c r="H15" s="37">
        <f>IF(tblDowntime[[#This Row],[Date]]="","",IF(OR(tblDowntime[[#This Row],[Start]]="",tblDowntime[[#This Row],[End]]=""),"",ROUND(MOD(tblDowntime[[#This Row],[End]]-tblDowntime[[#This Row],[Start]],1)*1440,0)))</f>
        <v>50</v>
      </c>
      <c r="I15" s="38" t="str">
        <f>IF(tblDowntime[[#This Row],[Date]]="","",IFERROR(INDEX(tblReasons[Type],MATCH(tblDowntime[[#This Row],[Reason]],tblReasons[Reason],0)),""))</f>
        <v>Unplanned</v>
      </c>
      <c r="J15" s="38" t="str">
        <f>IF(tblDowntime[[#This Row],[Date]]="","",IFERROR(INDEX(tblReasons[Loss category],MATCH(tblDowntime[[#This Row],[Reason]],tblReasons[Reason],0)),""))</f>
        <v>Breakdown</v>
      </c>
      <c r="K15" s="37">
        <f>IF(tblDowntime[[#This Row],[Date]]="","",IFERROR(INDEX(tblMachines[Loss rate (per h)],MATCH(tblDowntime[[#This Row],[Machine]],tblMachines[Machine],0)),""))</f>
        <v>950</v>
      </c>
      <c r="L15" s="39">
        <f>IF(tblDowntime[[#This Row],[Date]]="","",IF(OR(tblDowntime[[#This Row],[Minutes]]="",tblDowntime[[#This Row],[Loss rate]]=""),"",tblDowntime[[#This Row],[Minutes]]/60*tblDowntime[[#This Row],[Loss rate]]))</f>
        <v>791.666666666667</v>
      </c>
      <c r="M15" s="33">
        <v>250</v>
      </c>
      <c r="N15" s="39">
        <f>IF(tblDowntime[[#This Row],[Date]]="","",IF(tblDowntime[[#This Row],[Production loss]]="","",tblDowntime[[#This Row],[Production loss]]+N(tblDowntime[[#This Row],[Repair cost]])))</f>
        <v>1041.66666666667</v>
      </c>
      <c r="O15" s="40">
        <f>IF(tblDowntime[[#This Row],[Date]]="","",tblDowntime[[#This Row],[Date]]-WEEKDAY(tblDowntime[[#This Row],[Date]],2)+1)</f>
        <v>46265</v>
      </c>
      <c r="P15" s="40">
        <f>IF(tblDowntime[[#This Row],[Date]]="","",IF(AND(tblDowntime[[#This Row],[Date]]&gt;=FFrom,tblDowntime[[#This Row],[Date]]&lt;=FTo,OR(DashMachine="",tblDowntime[[#This Row],[Machine]]=DashMachine)),tblDowntime[[#This Row],[Date]],""))</f>
        <v>46267</v>
      </c>
      <c r="Q1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 s="42" t="s">
        <v>140</v>
      </c>
    </row>
    <row r="16" spans="1:18" x14ac:dyDescent="0.25">
      <c r="B16" s="35">
        <v>46267</v>
      </c>
      <c r="C16" s="28" t="s">
        <v>92</v>
      </c>
      <c r="D16" s="28" t="s">
        <v>89</v>
      </c>
      <c r="E16" s="28" t="s">
        <v>102</v>
      </c>
      <c r="F16" s="36">
        <v>0.2916666666666667</v>
      </c>
      <c r="G16" s="36">
        <v>0.3333333333333333</v>
      </c>
      <c r="H16" s="37">
        <f>IF(tblDowntime[[#This Row],[Date]]="","",IF(OR(tblDowntime[[#This Row],[Start]]="",tblDowntime[[#This Row],[End]]=""),"",ROUND(MOD(tblDowntime[[#This Row],[End]]-tblDowntime[[#This Row],[Start]],1)*1440,0)))</f>
        <v>60</v>
      </c>
      <c r="I16" s="38" t="str">
        <f>IF(tblDowntime[[#This Row],[Date]]="","",IFERROR(INDEX(tblReasons[Type],MATCH(tblDowntime[[#This Row],[Reason]],tblReasons[Reason],0)),""))</f>
        <v>Planned</v>
      </c>
      <c r="J16" s="38" t="str">
        <f>IF(tblDowntime[[#This Row],[Date]]="","",IFERROR(INDEX(tblReasons[Loss category],MATCH(tblDowntime[[#This Row],[Reason]],tblReasons[Reason],0)),""))</f>
        <v>Maintenance</v>
      </c>
      <c r="K16" s="37">
        <f>IF(tblDowntime[[#This Row],[Date]]="","",IFERROR(INDEX(tblMachines[Loss rate (per h)],MATCH(tblDowntime[[#This Row],[Machine]],tblMachines[Machine],0)),""))</f>
        <v>540</v>
      </c>
      <c r="L16" s="39">
        <f>IF(tblDowntime[[#This Row],[Date]]="","",IF(OR(tblDowntime[[#This Row],[Minutes]]="",tblDowntime[[#This Row],[Loss rate]]=""),"",tblDowntime[[#This Row],[Minutes]]/60*tblDowntime[[#This Row],[Loss rate]]))</f>
        <v>540</v>
      </c>
      <c r="M16" s="33">
        <v>0</v>
      </c>
      <c r="N16" s="39">
        <f>IF(tblDowntime[[#This Row],[Date]]="","",IF(tblDowntime[[#This Row],[Production loss]]="","",tblDowntime[[#This Row],[Production loss]]+N(tblDowntime[[#This Row],[Repair cost]])))</f>
        <v>540</v>
      </c>
      <c r="O16" s="40">
        <f>IF(tblDowntime[[#This Row],[Date]]="","",tblDowntime[[#This Row],[Date]]-WEEKDAY(tblDowntime[[#This Row],[Date]],2)+1)</f>
        <v>46265</v>
      </c>
      <c r="P16" s="40">
        <f>IF(tblDowntime[[#This Row],[Date]]="","",IF(AND(tblDowntime[[#This Row],[Date]]&gt;=FFrom,tblDowntime[[#This Row],[Date]]&lt;=FTo,OR(DashMachine="",tblDowntime[[#This Row],[Machine]]=DashMachine)),tblDowntime[[#This Row],[Date]],""))</f>
        <v>46267</v>
      </c>
      <c r="Q1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 s="42" t="s">
        <v>140</v>
      </c>
    </row>
    <row r="17" spans="2:18" x14ac:dyDescent="0.25">
      <c r="B17" s="35">
        <v>46267</v>
      </c>
      <c r="C17" s="28" t="s">
        <v>92</v>
      </c>
      <c r="D17" s="28" t="s">
        <v>89</v>
      </c>
      <c r="E17" s="28" t="s">
        <v>109</v>
      </c>
      <c r="F17" s="36">
        <v>0.3958333333333333</v>
      </c>
      <c r="G17" s="36">
        <v>0.4201388888888889</v>
      </c>
      <c r="H17" s="37">
        <f>IF(tblDowntime[[#This Row],[Date]]="","",IF(OR(tblDowntime[[#This Row],[Start]]="",tblDowntime[[#This Row],[End]]=""),"",ROUND(MOD(tblDowntime[[#This Row],[End]]-tblDowntime[[#This Row],[Start]],1)*1440,0)))</f>
        <v>35</v>
      </c>
      <c r="I17" s="38" t="str">
        <f>IF(tblDowntime[[#This Row],[Date]]="","",IFERROR(INDEX(tblReasons[Type],MATCH(tblDowntime[[#This Row],[Reason]],tblReasons[Reason],0)),""))</f>
        <v>Unplanned</v>
      </c>
      <c r="J17" s="38" t="str">
        <f>IF(tblDowntime[[#This Row],[Date]]="","",IFERROR(INDEX(tblReasons[Loss category],MATCH(tblDowntime[[#This Row],[Reason]],tblReasons[Reason],0)),""))</f>
        <v>Breakdown</v>
      </c>
      <c r="K17" s="37">
        <f>IF(tblDowntime[[#This Row],[Date]]="","",IFERROR(INDEX(tblMachines[Loss rate (per h)],MATCH(tblDowntime[[#This Row],[Machine]],tblMachines[Machine],0)),""))</f>
        <v>540</v>
      </c>
      <c r="L17" s="39">
        <f>IF(tblDowntime[[#This Row],[Date]]="","",IF(OR(tblDowntime[[#This Row],[Minutes]]="",tblDowntime[[#This Row],[Loss rate]]=""),"",tblDowntime[[#This Row],[Minutes]]/60*tblDowntime[[#This Row],[Loss rate]]))</f>
        <v>315</v>
      </c>
      <c r="M17" s="33">
        <v>350</v>
      </c>
      <c r="N17" s="39">
        <f>IF(tblDowntime[[#This Row],[Date]]="","",IF(tblDowntime[[#This Row],[Production loss]]="","",tblDowntime[[#This Row],[Production loss]]+N(tblDowntime[[#This Row],[Repair cost]])))</f>
        <v>665</v>
      </c>
      <c r="O17" s="40">
        <f>IF(tblDowntime[[#This Row],[Date]]="","",tblDowntime[[#This Row],[Date]]-WEEKDAY(tblDowntime[[#This Row],[Date]],2)+1)</f>
        <v>46265</v>
      </c>
      <c r="P17" s="40">
        <f>IF(tblDowntime[[#This Row],[Date]]="","",IF(AND(tblDowntime[[#This Row],[Date]]&gt;=FFrom,tblDowntime[[#This Row],[Date]]&lt;=FTo,OR(DashMachine="",tblDowntime[[#This Row],[Machine]]=DashMachine)),tblDowntime[[#This Row],[Date]],""))</f>
        <v>46267</v>
      </c>
      <c r="Q1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 s="42" t="s">
        <v>140</v>
      </c>
    </row>
    <row r="18" spans="2:18" x14ac:dyDescent="0.25">
      <c r="B18" s="35">
        <v>46267</v>
      </c>
      <c r="C18" s="28" t="s">
        <v>95</v>
      </c>
      <c r="D18" s="28" t="s">
        <v>83</v>
      </c>
      <c r="E18" s="28" t="s">
        <v>98</v>
      </c>
      <c r="F18" s="36">
        <v>0.7361111111111112</v>
      </c>
      <c r="G18" s="36">
        <v>0.7673611111111112</v>
      </c>
      <c r="H18" s="37">
        <f>IF(tblDowntime[[#This Row],[Date]]="","",IF(OR(tblDowntime[[#This Row],[Start]]="",tblDowntime[[#This Row],[End]]=""),"",ROUND(MOD(tblDowntime[[#This Row],[End]]-tblDowntime[[#This Row],[Start]],1)*1440,0)))</f>
        <v>45</v>
      </c>
      <c r="I18" s="38" t="str">
        <f>IF(tblDowntime[[#This Row],[Date]]="","",IFERROR(INDEX(tblReasons[Type],MATCH(tblDowntime[[#This Row],[Reason]],tblReasons[Reason],0)),""))</f>
        <v>Planned</v>
      </c>
      <c r="J18" s="38" t="str">
        <f>IF(tblDowntime[[#This Row],[Date]]="","",IFERROR(INDEX(tblReasons[Loss category],MATCH(tblDowntime[[#This Row],[Reason]],tblReasons[Reason],0)),""))</f>
        <v>Changeover</v>
      </c>
      <c r="K18" s="37">
        <f>IF(tblDowntime[[#This Row],[Date]]="","",IFERROR(INDEX(tblMachines[Loss rate (per h)],MATCH(tblDowntime[[#This Row],[Machine]],tblMachines[Machine],0)),""))</f>
        <v>620</v>
      </c>
      <c r="L18" s="39">
        <f>IF(tblDowntime[[#This Row],[Date]]="","",IF(OR(tblDowntime[[#This Row],[Minutes]]="",tblDowntime[[#This Row],[Loss rate]]=""),"",tblDowntime[[#This Row],[Minutes]]/60*tblDowntime[[#This Row],[Loss rate]]))</f>
        <v>465</v>
      </c>
      <c r="M18" s="33">
        <v>0</v>
      </c>
      <c r="N18" s="39">
        <f>IF(tblDowntime[[#This Row],[Date]]="","",IF(tblDowntime[[#This Row],[Production loss]]="","",tblDowntime[[#This Row],[Production loss]]+N(tblDowntime[[#This Row],[Repair cost]])))</f>
        <v>465</v>
      </c>
      <c r="O18" s="40">
        <f>IF(tblDowntime[[#This Row],[Date]]="","",tblDowntime[[#This Row],[Date]]-WEEKDAY(tblDowntime[[#This Row],[Date]],2)+1)</f>
        <v>46265</v>
      </c>
      <c r="P18" s="40">
        <f>IF(tblDowntime[[#This Row],[Date]]="","",IF(AND(tblDowntime[[#This Row],[Date]]&gt;=FFrom,tblDowntime[[#This Row],[Date]]&lt;=FTo,OR(DashMachine="",tblDowntime[[#This Row],[Machine]]=DashMachine)),tblDowntime[[#This Row],[Date]],""))</f>
        <v>46267</v>
      </c>
      <c r="Q1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8" s="42" t="s">
        <v>139</v>
      </c>
    </row>
    <row r="19" spans="2:18" x14ac:dyDescent="0.25">
      <c r="B19" s="35">
        <v>46267</v>
      </c>
      <c r="C19" s="28" t="s">
        <v>95</v>
      </c>
      <c r="D19" s="28" t="s">
        <v>81</v>
      </c>
      <c r="E19" s="28" t="s">
        <v>105</v>
      </c>
      <c r="F19" s="36">
        <v>0.6805555555555556</v>
      </c>
      <c r="G19" s="36">
        <v>0.7118055555555556</v>
      </c>
      <c r="H19" s="37">
        <f>IF(tblDowntime[[#This Row],[Date]]="","",IF(OR(tblDowntime[[#This Row],[Start]]="",tblDowntime[[#This Row],[End]]=""),"",ROUND(MOD(tblDowntime[[#This Row],[End]]-tblDowntime[[#This Row],[Start]],1)*1440,0)))</f>
        <v>45</v>
      </c>
      <c r="I19" s="38" t="str">
        <f>IF(tblDowntime[[#This Row],[Date]]="","",IFERROR(INDEX(tblReasons[Type],MATCH(tblDowntime[[#This Row],[Reason]],tblReasons[Reason],0)),""))</f>
        <v>Unplanned</v>
      </c>
      <c r="J19" s="38" t="str">
        <f>IF(tblDowntime[[#This Row],[Date]]="","",IFERROR(INDEX(tblReasons[Loss category],MATCH(tblDowntime[[#This Row],[Reason]],tblReasons[Reason],0)),""))</f>
        <v>Breakdown</v>
      </c>
      <c r="K19" s="37">
        <f>IF(tblDowntime[[#This Row],[Date]]="","",IFERROR(INDEX(tblMachines[Loss rate (per h)],MATCH(tblDowntime[[#This Row],[Machine]],tblMachines[Machine],0)),""))</f>
        <v>950</v>
      </c>
      <c r="L19" s="39">
        <f>IF(tblDowntime[[#This Row],[Date]]="","",IF(OR(tblDowntime[[#This Row],[Minutes]]="",tblDowntime[[#This Row],[Loss rate]]=""),"",tblDowntime[[#This Row],[Minutes]]/60*tblDowntime[[#This Row],[Loss rate]]))</f>
        <v>712.5</v>
      </c>
      <c r="M19" s="33">
        <v>1040</v>
      </c>
      <c r="N19" s="39">
        <f>IF(tblDowntime[[#This Row],[Date]]="","",IF(tblDowntime[[#This Row],[Production loss]]="","",tblDowntime[[#This Row],[Production loss]]+N(tblDowntime[[#This Row],[Repair cost]])))</f>
        <v>1752.5</v>
      </c>
      <c r="O19" s="40">
        <f>IF(tblDowntime[[#This Row],[Date]]="","",tblDowntime[[#This Row],[Date]]-WEEKDAY(tblDowntime[[#This Row],[Date]],2)+1)</f>
        <v>46265</v>
      </c>
      <c r="P19" s="40">
        <f>IF(tblDowntime[[#This Row],[Date]]="","",IF(AND(tblDowntime[[#This Row],[Date]]&gt;=FFrom,tblDowntime[[#This Row],[Date]]&lt;=FTo,OR(DashMachine="",tblDowntime[[#This Row],[Machine]]=DashMachine)),tblDowntime[[#This Row],[Date]],""))</f>
        <v>46267</v>
      </c>
      <c r="Q1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9" s="42" t="s">
        <v>140</v>
      </c>
    </row>
    <row r="20" spans="2:18" x14ac:dyDescent="0.25">
      <c r="B20" s="35">
        <v>46268</v>
      </c>
      <c r="C20" s="28" t="s">
        <v>92</v>
      </c>
      <c r="D20" s="28" t="s">
        <v>87</v>
      </c>
      <c r="E20" s="28" t="s">
        <v>116</v>
      </c>
      <c r="F20" s="36">
        <v>0.2777777777777778</v>
      </c>
      <c r="G20" s="36">
        <v>0.2986111111111111</v>
      </c>
      <c r="H20" s="37">
        <f>IF(tblDowntime[[#This Row],[Date]]="","",IF(OR(tblDowntime[[#This Row],[Start]]="",tblDowntime[[#This Row],[End]]=""),"",ROUND(MOD(tblDowntime[[#This Row],[End]]-tblDowntime[[#This Row],[Start]],1)*1440,0)))</f>
        <v>30</v>
      </c>
      <c r="I20" s="38" t="str">
        <f>IF(tblDowntime[[#This Row],[Date]]="","",IFERROR(INDEX(tblReasons[Type],MATCH(tblDowntime[[#This Row],[Reason]],tblReasons[Reason],0)),""))</f>
        <v>Unplanned</v>
      </c>
      <c r="J20" s="38" t="str">
        <f>IF(tblDowntime[[#This Row],[Date]]="","",IFERROR(INDEX(tblReasons[Loss category],MATCH(tblDowntime[[#This Row],[Reason]],tblReasons[Reason],0)),""))</f>
        <v>Material</v>
      </c>
      <c r="K20" s="37">
        <f>IF(tblDowntime[[#This Row],[Date]]="","",IFERROR(INDEX(tblMachines[Loss rate (per h)],MATCH(tblDowntime[[#This Row],[Machine]],tblMachines[Machine],0)),""))</f>
        <v>260</v>
      </c>
      <c r="L20" s="39">
        <f>IF(tblDowntime[[#This Row],[Date]]="","",IF(OR(tblDowntime[[#This Row],[Minutes]]="",tblDowntime[[#This Row],[Loss rate]]=""),"",tblDowntime[[#This Row],[Minutes]]/60*tblDowntime[[#This Row],[Loss rate]]))</f>
        <v>130</v>
      </c>
      <c r="M20" s="33">
        <v>0</v>
      </c>
      <c r="N20" s="39">
        <f>IF(tblDowntime[[#This Row],[Date]]="","",IF(tblDowntime[[#This Row],[Production loss]]="","",tblDowntime[[#This Row],[Production loss]]+N(tblDowntime[[#This Row],[Repair cost]])))</f>
        <v>130</v>
      </c>
      <c r="O20" s="40">
        <f>IF(tblDowntime[[#This Row],[Date]]="","",tblDowntime[[#This Row],[Date]]-WEEKDAY(tblDowntime[[#This Row],[Date]],2)+1)</f>
        <v>46265</v>
      </c>
      <c r="P20" s="40">
        <f>IF(tblDowntime[[#This Row],[Date]]="","",IF(AND(tblDowntime[[#This Row],[Date]]&gt;=FFrom,tblDowntime[[#This Row],[Date]]&lt;=FTo,OR(DashMachine="",tblDowntime[[#This Row],[Machine]]=DashMachine)),tblDowntime[[#This Row],[Date]],""))</f>
        <v>46268</v>
      </c>
      <c r="Q2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0" s="42" t="s">
        <v>140</v>
      </c>
    </row>
    <row r="21" spans="2:18" x14ac:dyDescent="0.25">
      <c r="B21" s="35">
        <v>46268</v>
      </c>
      <c r="C21" s="28" t="s">
        <v>92</v>
      </c>
      <c r="D21" s="28" t="s">
        <v>81</v>
      </c>
      <c r="E21" s="28" t="s">
        <v>105</v>
      </c>
      <c r="F21" s="36">
        <v>0.4027777777777778</v>
      </c>
      <c r="G21" s="36">
        <v>0.4548611111111111</v>
      </c>
      <c r="H21" s="37">
        <f>IF(tblDowntime[[#This Row],[Date]]="","",IF(OR(tblDowntime[[#This Row],[Start]]="",tblDowntime[[#This Row],[End]]=""),"",ROUND(MOD(tblDowntime[[#This Row],[End]]-tblDowntime[[#This Row],[Start]],1)*1440,0)))</f>
        <v>75</v>
      </c>
      <c r="I21" s="38" t="str">
        <f>IF(tblDowntime[[#This Row],[Date]]="","",IFERROR(INDEX(tblReasons[Type],MATCH(tblDowntime[[#This Row],[Reason]],tblReasons[Reason],0)),""))</f>
        <v>Unplanned</v>
      </c>
      <c r="J21" s="38" t="str">
        <f>IF(tblDowntime[[#This Row],[Date]]="","",IFERROR(INDEX(tblReasons[Loss category],MATCH(tblDowntime[[#This Row],[Reason]],tblReasons[Reason],0)),""))</f>
        <v>Breakdown</v>
      </c>
      <c r="K21" s="37">
        <f>IF(tblDowntime[[#This Row],[Date]]="","",IFERROR(INDEX(tblMachines[Loss rate (per h)],MATCH(tblDowntime[[#This Row],[Machine]],tblMachines[Machine],0)),""))</f>
        <v>950</v>
      </c>
      <c r="L21" s="39">
        <f>IF(tblDowntime[[#This Row],[Date]]="","",IF(OR(tblDowntime[[#This Row],[Minutes]]="",tblDowntime[[#This Row],[Loss rate]]=""),"",tblDowntime[[#This Row],[Minutes]]/60*tblDowntime[[#This Row],[Loss rate]]))</f>
        <v>1187.5</v>
      </c>
      <c r="M21" s="33">
        <v>550</v>
      </c>
      <c r="N21" s="39">
        <f>IF(tblDowntime[[#This Row],[Date]]="","",IF(tblDowntime[[#This Row],[Production loss]]="","",tblDowntime[[#This Row],[Production loss]]+N(tblDowntime[[#This Row],[Repair cost]])))</f>
        <v>1737.5</v>
      </c>
      <c r="O21" s="40">
        <f>IF(tblDowntime[[#This Row],[Date]]="","",tblDowntime[[#This Row],[Date]]-WEEKDAY(tblDowntime[[#This Row],[Date]],2)+1)</f>
        <v>46265</v>
      </c>
      <c r="P21" s="40">
        <f>IF(tblDowntime[[#This Row],[Date]]="","",IF(AND(tblDowntime[[#This Row],[Date]]&gt;=FFrom,tblDowntime[[#This Row],[Date]]&lt;=FTo,OR(DashMachine="",tblDowntime[[#This Row],[Machine]]=DashMachine)),tblDowntime[[#This Row],[Date]],""))</f>
        <v>46268</v>
      </c>
      <c r="Q2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1" s="42" t="s">
        <v>140</v>
      </c>
    </row>
    <row r="22" spans="2:18" x14ac:dyDescent="0.25">
      <c r="B22" s="35">
        <v>46268</v>
      </c>
      <c r="C22" s="28" t="s">
        <v>95</v>
      </c>
      <c r="D22" s="28" t="s">
        <v>83</v>
      </c>
      <c r="E22" s="28" t="s">
        <v>98</v>
      </c>
      <c r="F22" s="36">
        <v>0.6388888888888888</v>
      </c>
      <c r="G22" s="36">
        <v>0.65625</v>
      </c>
      <c r="H22" s="37">
        <f>IF(tblDowntime[[#This Row],[Date]]="","",IF(OR(tblDowntime[[#This Row],[Start]]="",tblDowntime[[#This Row],[End]]=""),"",ROUND(MOD(tblDowntime[[#This Row],[End]]-tblDowntime[[#This Row],[Start]],1)*1440,0)))</f>
        <v>25</v>
      </c>
      <c r="I22" s="38" t="str">
        <f>IF(tblDowntime[[#This Row],[Date]]="","",IFERROR(INDEX(tblReasons[Type],MATCH(tblDowntime[[#This Row],[Reason]],tblReasons[Reason],0)),""))</f>
        <v>Planned</v>
      </c>
      <c r="J22" s="38" t="str">
        <f>IF(tblDowntime[[#This Row],[Date]]="","",IFERROR(INDEX(tblReasons[Loss category],MATCH(tblDowntime[[#This Row],[Reason]],tblReasons[Reason],0)),""))</f>
        <v>Changeover</v>
      </c>
      <c r="K22" s="37">
        <f>IF(tblDowntime[[#This Row],[Date]]="","",IFERROR(INDEX(tblMachines[Loss rate (per h)],MATCH(tblDowntime[[#This Row],[Machine]],tblMachines[Machine],0)),""))</f>
        <v>620</v>
      </c>
      <c r="L22" s="39">
        <f>IF(tblDowntime[[#This Row],[Date]]="","",IF(OR(tblDowntime[[#This Row],[Minutes]]="",tblDowntime[[#This Row],[Loss rate]]=""),"",tblDowntime[[#This Row],[Minutes]]/60*tblDowntime[[#This Row],[Loss rate]]))</f>
        <v>258.333333333333</v>
      </c>
      <c r="M22" s="33">
        <v>0</v>
      </c>
      <c r="N22" s="39">
        <f>IF(tblDowntime[[#This Row],[Date]]="","",IF(tblDowntime[[#This Row],[Production loss]]="","",tblDowntime[[#This Row],[Production loss]]+N(tblDowntime[[#This Row],[Repair cost]])))</f>
        <v>258.333333333333</v>
      </c>
      <c r="O22" s="40">
        <f>IF(tblDowntime[[#This Row],[Date]]="","",tblDowntime[[#This Row],[Date]]-WEEKDAY(tblDowntime[[#This Row],[Date]],2)+1)</f>
        <v>46265</v>
      </c>
      <c r="P22" s="40">
        <f>IF(tblDowntime[[#This Row],[Date]]="","",IF(AND(tblDowntime[[#This Row],[Date]]&gt;=FFrom,tblDowntime[[#This Row],[Date]]&lt;=FTo,OR(DashMachine="",tblDowntime[[#This Row],[Machine]]=DashMachine)),tblDowntime[[#This Row],[Date]],""))</f>
        <v>46268</v>
      </c>
      <c r="Q2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2" s="42" t="s">
        <v>139</v>
      </c>
    </row>
    <row r="23" spans="2:18" x14ac:dyDescent="0.25">
      <c r="B23" s="35">
        <v>46268</v>
      </c>
      <c r="C23" s="28" t="s">
        <v>95</v>
      </c>
      <c r="D23" s="28" t="s">
        <v>89</v>
      </c>
      <c r="E23" s="28" t="s">
        <v>122</v>
      </c>
      <c r="F23" s="36">
        <v>0.7361111111111112</v>
      </c>
      <c r="G23" s="36">
        <v>0.7430555555555556</v>
      </c>
      <c r="H23" s="37">
        <f>IF(tblDowntime[[#This Row],[Date]]="","",IF(OR(tblDowntime[[#This Row],[Start]]="",tblDowntime[[#This Row],[End]]=""),"",ROUND(MOD(tblDowntime[[#This Row],[End]]-tblDowntime[[#This Row],[Start]],1)*1440,0)))</f>
        <v>10</v>
      </c>
      <c r="I23" s="38" t="str">
        <f>IF(tblDowntime[[#This Row],[Date]]="","",IFERROR(INDEX(tblReasons[Type],MATCH(tblDowntime[[#This Row],[Reason]],tblReasons[Reason],0)),""))</f>
        <v>Unplanned</v>
      </c>
      <c r="J23" s="38" t="str">
        <f>IF(tblDowntime[[#This Row],[Date]]="","",IFERROR(INDEX(tblReasons[Loss category],MATCH(tblDowntime[[#This Row],[Reason]],tblReasons[Reason],0)),""))</f>
        <v>Labour</v>
      </c>
      <c r="K23" s="37">
        <f>IF(tblDowntime[[#This Row],[Date]]="","",IFERROR(INDEX(tblMachines[Loss rate (per h)],MATCH(tblDowntime[[#This Row],[Machine]],tblMachines[Machine],0)),""))</f>
        <v>540</v>
      </c>
      <c r="L23" s="39">
        <f>IF(tblDowntime[[#This Row],[Date]]="","",IF(OR(tblDowntime[[#This Row],[Minutes]]="",tblDowntime[[#This Row],[Loss rate]]=""),"",tblDowntime[[#This Row],[Minutes]]/60*tblDowntime[[#This Row],[Loss rate]]))</f>
        <v>90</v>
      </c>
      <c r="M23" s="33">
        <v>0</v>
      </c>
      <c r="N23" s="39">
        <f>IF(tblDowntime[[#This Row],[Date]]="","",IF(tblDowntime[[#This Row],[Production loss]]="","",tblDowntime[[#This Row],[Production loss]]+N(tblDowntime[[#This Row],[Repair cost]])))</f>
        <v>90</v>
      </c>
      <c r="O23" s="40">
        <f>IF(tblDowntime[[#This Row],[Date]]="","",tblDowntime[[#This Row],[Date]]-WEEKDAY(tblDowntime[[#This Row],[Date]],2)+1)</f>
        <v>46265</v>
      </c>
      <c r="P23" s="40">
        <f>IF(tblDowntime[[#This Row],[Date]]="","",IF(AND(tblDowntime[[#This Row],[Date]]&gt;=FFrom,tblDowntime[[#This Row],[Date]]&lt;=FTo,OR(DashMachine="",tblDowntime[[#This Row],[Machine]]=DashMachine)),tblDowntime[[#This Row],[Date]],""))</f>
        <v>46268</v>
      </c>
      <c r="Q2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3" s="42" t="s">
        <v>140</v>
      </c>
    </row>
    <row r="24" spans="2:18" x14ac:dyDescent="0.25">
      <c r="B24" s="35">
        <v>46269</v>
      </c>
      <c r="C24" s="28" t="s">
        <v>92</v>
      </c>
      <c r="D24" s="28" t="s">
        <v>85</v>
      </c>
      <c r="E24" s="28" t="s">
        <v>109</v>
      </c>
      <c r="F24" s="36">
        <v>0.3333333333333333</v>
      </c>
      <c r="G24" s="36">
        <v>0.3541666666666667</v>
      </c>
      <c r="H24" s="37">
        <f>IF(tblDowntime[[#This Row],[Date]]="","",IF(OR(tblDowntime[[#This Row],[Start]]="",tblDowntime[[#This Row],[End]]=""),"",ROUND(MOD(tblDowntime[[#This Row],[End]]-tblDowntime[[#This Row],[Start]],1)*1440,0)))</f>
        <v>30</v>
      </c>
      <c r="I24" s="38" t="str">
        <f>IF(tblDowntime[[#This Row],[Date]]="","",IFERROR(INDEX(tblReasons[Type],MATCH(tblDowntime[[#This Row],[Reason]],tblReasons[Reason],0)),""))</f>
        <v>Unplanned</v>
      </c>
      <c r="J24" s="38" t="str">
        <f>IF(tblDowntime[[#This Row],[Date]]="","",IFERROR(INDEX(tblReasons[Loss category],MATCH(tblDowntime[[#This Row],[Reason]],tblReasons[Reason],0)),""))</f>
        <v>Breakdown</v>
      </c>
      <c r="K24" s="37">
        <f>IF(tblDowntime[[#This Row],[Date]]="","",IFERROR(INDEX(tblMachines[Loss rate (per h)],MATCH(tblDowntime[[#This Row],[Machine]],tblMachines[Machine],0)),""))</f>
        <v>480</v>
      </c>
      <c r="L24" s="39">
        <f>IF(tblDowntime[[#This Row],[Date]]="","",IF(OR(tblDowntime[[#This Row],[Minutes]]="",tblDowntime[[#This Row],[Loss rate]]=""),"",tblDowntime[[#This Row],[Minutes]]/60*tblDowntime[[#This Row],[Loss rate]]))</f>
        <v>240</v>
      </c>
      <c r="M24" s="33">
        <v>190</v>
      </c>
      <c r="N24" s="39">
        <f>IF(tblDowntime[[#This Row],[Date]]="","",IF(tblDowntime[[#This Row],[Production loss]]="","",tblDowntime[[#This Row],[Production loss]]+N(tblDowntime[[#This Row],[Repair cost]])))</f>
        <v>430</v>
      </c>
      <c r="O24" s="40">
        <f>IF(tblDowntime[[#This Row],[Date]]="","",tblDowntime[[#This Row],[Date]]-WEEKDAY(tblDowntime[[#This Row],[Date]],2)+1)</f>
        <v>46265</v>
      </c>
      <c r="P24" s="40">
        <f>IF(tblDowntime[[#This Row],[Date]]="","",IF(AND(tblDowntime[[#This Row],[Date]]&gt;=FFrom,tblDowntime[[#This Row],[Date]]&lt;=FTo,OR(DashMachine="",tblDowntime[[#This Row],[Machine]]=DashMachine)),tblDowntime[[#This Row],[Date]],""))</f>
        <v>46269</v>
      </c>
      <c r="Q2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4" s="42" t="s">
        <v>140</v>
      </c>
    </row>
    <row r="25" spans="2:18" x14ac:dyDescent="0.25">
      <c r="B25" s="35">
        <v>46269</v>
      </c>
      <c r="C25" s="28" t="s">
        <v>92</v>
      </c>
      <c r="D25" s="28" t="s">
        <v>83</v>
      </c>
      <c r="E25" s="28" t="s">
        <v>98</v>
      </c>
      <c r="F25" s="36">
        <v>0.3194444444444444</v>
      </c>
      <c r="G25" s="36">
        <v>0.3506944444444444</v>
      </c>
      <c r="H25" s="37">
        <f>IF(tblDowntime[[#This Row],[Date]]="","",IF(OR(tblDowntime[[#This Row],[Start]]="",tblDowntime[[#This Row],[End]]=""),"",ROUND(MOD(tblDowntime[[#This Row],[End]]-tblDowntime[[#This Row],[Start]],1)*1440,0)))</f>
        <v>45</v>
      </c>
      <c r="I25" s="38" t="str">
        <f>IF(tblDowntime[[#This Row],[Date]]="","",IFERROR(INDEX(tblReasons[Type],MATCH(tblDowntime[[#This Row],[Reason]],tblReasons[Reason],0)),""))</f>
        <v>Planned</v>
      </c>
      <c r="J25" s="38" t="str">
        <f>IF(tblDowntime[[#This Row],[Date]]="","",IFERROR(INDEX(tblReasons[Loss category],MATCH(tblDowntime[[#This Row],[Reason]],tblReasons[Reason],0)),""))</f>
        <v>Changeover</v>
      </c>
      <c r="K25" s="37">
        <f>IF(tblDowntime[[#This Row],[Date]]="","",IFERROR(INDEX(tblMachines[Loss rate (per h)],MATCH(tblDowntime[[#This Row],[Machine]],tblMachines[Machine],0)),""))</f>
        <v>620</v>
      </c>
      <c r="L25" s="39">
        <f>IF(tblDowntime[[#This Row],[Date]]="","",IF(OR(tblDowntime[[#This Row],[Minutes]]="",tblDowntime[[#This Row],[Loss rate]]=""),"",tblDowntime[[#This Row],[Minutes]]/60*tblDowntime[[#This Row],[Loss rate]]))</f>
        <v>465</v>
      </c>
      <c r="M25" s="33">
        <v>0</v>
      </c>
      <c r="N25" s="39">
        <f>IF(tblDowntime[[#This Row],[Date]]="","",IF(tblDowntime[[#This Row],[Production loss]]="","",tblDowntime[[#This Row],[Production loss]]+N(tblDowntime[[#This Row],[Repair cost]])))</f>
        <v>465</v>
      </c>
      <c r="O25" s="40">
        <f>IF(tblDowntime[[#This Row],[Date]]="","",tblDowntime[[#This Row],[Date]]-WEEKDAY(tblDowntime[[#This Row],[Date]],2)+1)</f>
        <v>46265</v>
      </c>
      <c r="P25" s="40">
        <f>IF(tblDowntime[[#This Row],[Date]]="","",IF(AND(tblDowntime[[#This Row],[Date]]&gt;=FFrom,tblDowntime[[#This Row],[Date]]&lt;=FTo,OR(DashMachine="",tblDowntime[[#This Row],[Machine]]=DashMachine)),tblDowntime[[#This Row],[Date]],""))</f>
        <v>46269</v>
      </c>
      <c r="Q2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5" s="42" t="s">
        <v>139</v>
      </c>
    </row>
    <row r="26" spans="2:18" x14ac:dyDescent="0.25">
      <c r="B26" s="35">
        <v>46269</v>
      </c>
      <c r="C26" s="28" t="s">
        <v>92</v>
      </c>
      <c r="D26" s="28" t="s">
        <v>83</v>
      </c>
      <c r="E26" s="28" t="s">
        <v>111</v>
      </c>
      <c r="F26" s="36">
        <v>0.4131944444444444</v>
      </c>
      <c r="G26" s="36">
        <v>0.4236111111111111</v>
      </c>
      <c r="H26" s="37">
        <f>IF(tblDowntime[[#This Row],[Date]]="","",IF(OR(tblDowntime[[#This Row],[Start]]="",tblDowntime[[#This Row],[End]]=""),"",ROUND(MOD(tblDowntime[[#This Row],[End]]-tblDowntime[[#This Row],[Start]],1)*1440,0)))</f>
        <v>15</v>
      </c>
      <c r="I26" s="38" t="str">
        <f>IF(tblDowntime[[#This Row],[Date]]="","",IFERROR(INDEX(tblReasons[Type],MATCH(tblDowntime[[#This Row],[Reason]],tblReasons[Reason],0)),""))</f>
        <v>Unplanned</v>
      </c>
      <c r="J26" s="38" t="str">
        <f>IF(tblDowntime[[#This Row],[Date]]="","",IFERROR(INDEX(tblReasons[Loss category],MATCH(tblDowntime[[#This Row],[Reason]],tblReasons[Reason],0)),""))</f>
        <v>Breakdown</v>
      </c>
      <c r="K26" s="37">
        <f>IF(tblDowntime[[#This Row],[Date]]="","",IFERROR(INDEX(tblMachines[Loss rate (per h)],MATCH(tblDowntime[[#This Row],[Machine]],tblMachines[Machine],0)),""))</f>
        <v>620</v>
      </c>
      <c r="L26" s="39">
        <f>IF(tblDowntime[[#This Row],[Date]]="","",IF(OR(tblDowntime[[#This Row],[Minutes]]="",tblDowntime[[#This Row],[Loss rate]]=""),"",tblDowntime[[#This Row],[Minutes]]/60*tblDowntime[[#This Row],[Loss rate]]))</f>
        <v>155</v>
      </c>
      <c r="M26" s="33">
        <v>370</v>
      </c>
      <c r="N26" s="39">
        <f>IF(tblDowntime[[#This Row],[Date]]="","",IF(tblDowntime[[#This Row],[Production loss]]="","",tblDowntime[[#This Row],[Production loss]]+N(tblDowntime[[#This Row],[Repair cost]])))</f>
        <v>525</v>
      </c>
      <c r="O26" s="40">
        <f>IF(tblDowntime[[#This Row],[Date]]="","",tblDowntime[[#This Row],[Date]]-WEEKDAY(tblDowntime[[#This Row],[Date]],2)+1)</f>
        <v>46265</v>
      </c>
      <c r="P26" s="40">
        <f>IF(tblDowntime[[#This Row],[Date]]="","",IF(AND(tblDowntime[[#This Row],[Date]]&gt;=FFrom,tblDowntime[[#This Row],[Date]]&lt;=FTo,OR(DashMachine="",tblDowntime[[#This Row],[Machine]]=DashMachine)),tblDowntime[[#This Row],[Date]],""))</f>
        <v>46269</v>
      </c>
      <c r="Q2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6" s="42" t="s">
        <v>140</v>
      </c>
    </row>
    <row r="27" spans="2:18" x14ac:dyDescent="0.25">
      <c r="B27" s="35">
        <v>46269</v>
      </c>
      <c r="C27" s="28" t="s">
        <v>92</v>
      </c>
      <c r="D27" s="28" t="s">
        <v>81</v>
      </c>
      <c r="E27" s="28" t="s">
        <v>105</v>
      </c>
      <c r="F27" s="36">
        <v>0.3611111111111111</v>
      </c>
      <c r="G27" s="36">
        <v>0.4340277777777778</v>
      </c>
      <c r="H27" s="37">
        <f>IF(tblDowntime[[#This Row],[Date]]="","",IF(OR(tblDowntime[[#This Row],[Start]]="",tblDowntime[[#This Row],[End]]=""),"",ROUND(MOD(tblDowntime[[#This Row],[End]]-tblDowntime[[#This Row],[Start]],1)*1440,0)))</f>
        <v>105</v>
      </c>
      <c r="I27" s="38" t="str">
        <f>IF(tblDowntime[[#This Row],[Date]]="","",IFERROR(INDEX(tblReasons[Type],MATCH(tblDowntime[[#This Row],[Reason]],tblReasons[Reason],0)),""))</f>
        <v>Unplanned</v>
      </c>
      <c r="J27" s="38" t="str">
        <f>IF(tblDowntime[[#This Row],[Date]]="","",IFERROR(INDEX(tblReasons[Loss category],MATCH(tblDowntime[[#This Row],[Reason]],tblReasons[Reason],0)),""))</f>
        <v>Breakdown</v>
      </c>
      <c r="K27" s="37">
        <f>IF(tblDowntime[[#This Row],[Date]]="","",IFERROR(INDEX(tblMachines[Loss rate (per h)],MATCH(tblDowntime[[#This Row],[Machine]],tblMachines[Machine],0)),""))</f>
        <v>950</v>
      </c>
      <c r="L27" s="39">
        <f>IF(tblDowntime[[#This Row],[Date]]="","",IF(OR(tblDowntime[[#This Row],[Minutes]]="",tblDowntime[[#This Row],[Loss rate]]=""),"",tblDowntime[[#This Row],[Minutes]]/60*tblDowntime[[#This Row],[Loss rate]]))</f>
        <v>1662.5</v>
      </c>
      <c r="M27" s="33">
        <v>580</v>
      </c>
      <c r="N27" s="39">
        <f>IF(tblDowntime[[#This Row],[Date]]="","",IF(tblDowntime[[#This Row],[Production loss]]="","",tblDowntime[[#This Row],[Production loss]]+N(tblDowntime[[#This Row],[Repair cost]])))</f>
        <v>2242.5</v>
      </c>
      <c r="O27" s="40">
        <f>IF(tblDowntime[[#This Row],[Date]]="","",tblDowntime[[#This Row],[Date]]-WEEKDAY(tblDowntime[[#This Row],[Date]],2)+1)</f>
        <v>46265</v>
      </c>
      <c r="P27" s="40">
        <f>IF(tblDowntime[[#This Row],[Date]]="","",IF(AND(tblDowntime[[#This Row],[Date]]&gt;=FFrom,tblDowntime[[#This Row],[Date]]&lt;=FTo,OR(DashMachine="",tblDowntime[[#This Row],[Machine]]=DashMachine)),tblDowntime[[#This Row],[Date]],""))</f>
        <v>46269</v>
      </c>
      <c r="Q2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7" s="42" t="s">
        <v>140</v>
      </c>
    </row>
    <row r="28" spans="2:18" x14ac:dyDescent="0.25">
      <c r="B28" s="35">
        <v>46269</v>
      </c>
      <c r="C28" s="28" t="s">
        <v>95</v>
      </c>
      <c r="D28" s="28" t="s">
        <v>83</v>
      </c>
      <c r="E28" s="28" t="s">
        <v>98</v>
      </c>
      <c r="F28" s="36">
        <v>0.6944444444444444</v>
      </c>
      <c r="G28" s="36">
        <v>0.7326388888888888</v>
      </c>
      <c r="H28" s="37">
        <f>IF(tblDowntime[[#This Row],[Date]]="","",IF(OR(tblDowntime[[#This Row],[Start]]="",tblDowntime[[#This Row],[End]]=""),"",ROUND(MOD(tblDowntime[[#This Row],[End]]-tblDowntime[[#This Row],[Start]],1)*1440,0)))</f>
        <v>55</v>
      </c>
      <c r="I28" s="38" t="str">
        <f>IF(tblDowntime[[#This Row],[Date]]="","",IFERROR(INDEX(tblReasons[Type],MATCH(tblDowntime[[#This Row],[Reason]],tblReasons[Reason],0)),""))</f>
        <v>Planned</v>
      </c>
      <c r="J28" s="38" t="str">
        <f>IF(tblDowntime[[#This Row],[Date]]="","",IFERROR(INDEX(tblReasons[Loss category],MATCH(tblDowntime[[#This Row],[Reason]],tblReasons[Reason],0)),""))</f>
        <v>Changeover</v>
      </c>
      <c r="K28" s="37">
        <f>IF(tblDowntime[[#This Row],[Date]]="","",IFERROR(INDEX(tblMachines[Loss rate (per h)],MATCH(tblDowntime[[#This Row],[Machine]],tblMachines[Machine],0)),""))</f>
        <v>620</v>
      </c>
      <c r="L28" s="39">
        <f>IF(tblDowntime[[#This Row],[Date]]="","",IF(OR(tblDowntime[[#This Row],[Minutes]]="",tblDowntime[[#This Row],[Loss rate]]=""),"",tblDowntime[[#This Row],[Minutes]]/60*tblDowntime[[#This Row],[Loss rate]]))</f>
        <v>568.333333333333</v>
      </c>
      <c r="M28" s="33">
        <v>0</v>
      </c>
      <c r="N28" s="39">
        <f>IF(tblDowntime[[#This Row],[Date]]="","",IF(tblDowntime[[#This Row],[Production loss]]="","",tblDowntime[[#This Row],[Production loss]]+N(tblDowntime[[#This Row],[Repair cost]])))</f>
        <v>568.333333333333</v>
      </c>
      <c r="O28" s="40">
        <f>IF(tblDowntime[[#This Row],[Date]]="","",tblDowntime[[#This Row],[Date]]-WEEKDAY(tblDowntime[[#This Row],[Date]],2)+1)</f>
        <v>46265</v>
      </c>
      <c r="P28" s="40">
        <f>IF(tblDowntime[[#This Row],[Date]]="","",IF(AND(tblDowntime[[#This Row],[Date]]&gt;=FFrom,tblDowntime[[#This Row],[Date]]&lt;=FTo,OR(DashMachine="",tblDowntime[[#This Row],[Machine]]=DashMachine)),tblDowntime[[#This Row],[Date]],""))</f>
        <v>46269</v>
      </c>
      <c r="Q2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8" s="42" t="s">
        <v>139</v>
      </c>
    </row>
    <row r="29" spans="2:18" x14ac:dyDescent="0.25">
      <c r="B29" s="35">
        <v>46269</v>
      </c>
      <c r="C29" s="28" t="s">
        <v>95</v>
      </c>
      <c r="D29" s="28" t="s">
        <v>83</v>
      </c>
      <c r="E29" s="28" t="s">
        <v>105</v>
      </c>
      <c r="F29" s="36">
        <v>0.7951388888888888</v>
      </c>
      <c r="G29" s="36">
        <v>0.8090277777777778</v>
      </c>
      <c r="H29" s="37">
        <f>IF(tblDowntime[[#This Row],[Date]]="","",IF(OR(tblDowntime[[#This Row],[Start]]="",tblDowntime[[#This Row],[End]]=""),"",ROUND(MOD(tblDowntime[[#This Row],[End]]-tblDowntime[[#This Row],[Start]],1)*1440,0)))</f>
        <v>20</v>
      </c>
      <c r="I29" s="38" t="str">
        <f>IF(tblDowntime[[#This Row],[Date]]="","",IFERROR(INDEX(tblReasons[Type],MATCH(tblDowntime[[#This Row],[Reason]],tblReasons[Reason],0)),""))</f>
        <v>Unplanned</v>
      </c>
      <c r="J29" s="38" t="str">
        <f>IF(tblDowntime[[#This Row],[Date]]="","",IFERROR(INDEX(tblReasons[Loss category],MATCH(tblDowntime[[#This Row],[Reason]],tblReasons[Reason],0)),""))</f>
        <v>Breakdown</v>
      </c>
      <c r="K29" s="37">
        <f>IF(tblDowntime[[#This Row],[Date]]="","",IFERROR(INDEX(tblMachines[Loss rate (per h)],MATCH(tblDowntime[[#This Row],[Machine]],tblMachines[Machine],0)),""))</f>
        <v>620</v>
      </c>
      <c r="L29" s="39">
        <f>IF(tblDowntime[[#This Row],[Date]]="","",IF(OR(tblDowntime[[#This Row],[Minutes]]="",tblDowntime[[#This Row],[Loss rate]]=""),"",tblDowntime[[#This Row],[Minutes]]/60*tblDowntime[[#This Row],[Loss rate]]))</f>
        <v>206.666666666667</v>
      </c>
      <c r="M29" s="33">
        <v>370</v>
      </c>
      <c r="N29" s="39">
        <f>IF(tblDowntime[[#This Row],[Date]]="","",IF(tblDowntime[[#This Row],[Production loss]]="","",tblDowntime[[#This Row],[Production loss]]+N(tblDowntime[[#This Row],[Repair cost]])))</f>
        <v>576.666666666667</v>
      </c>
      <c r="O29" s="40">
        <f>IF(tblDowntime[[#This Row],[Date]]="","",tblDowntime[[#This Row],[Date]]-WEEKDAY(tblDowntime[[#This Row],[Date]],2)+1)</f>
        <v>46265</v>
      </c>
      <c r="P29" s="40">
        <f>IF(tblDowntime[[#This Row],[Date]]="","",IF(AND(tblDowntime[[#This Row],[Date]]&gt;=FFrom,tblDowntime[[#This Row],[Date]]&lt;=FTo,OR(DashMachine="",tblDowntime[[#This Row],[Machine]]=DashMachine)),tblDowntime[[#This Row],[Date]],""))</f>
        <v>46269</v>
      </c>
      <c r="Q2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29" s="42" t="s">
        <v>140</v>
      </c>
    </row>
    <row r="30" spans="2:18" x14ac:dyDescent="0.25">
      <c r="B30" s="35">
        <v>46269</v>
      </c>
      <c r="C30" s="28" t="s">
        <v>95</v>
      </c>
      <c r="D30" s="28" t="s">
        <v>81</v>
      </c>
      <c r="E30" s="28" t="s">
        <v>111</v>
      </c>
      <c r="F30" s="36">
        <v>0.7361111111111112</v>
      </c>
      <c r="G30" s="36">
        <v>0.7569444444444444</v>
      </c>
      <c r="H30" s="37">
        <f>IF(tblDowntime[[#This Row],[Date]]="","",IF(OR(tblDowntime[[#This Row],[Start]]="",tblDowntime[[#This Row],[End]]=""),"",ROUND(MOD(tblDowntime[[#This Row],[End]]-tblDowntime[[#This Row],[Start]],1)*1440,0)))</f>
        <v>30</v>
      </c>
      <c r="I30" s="38" t="str">
        <f>IF(tblDowntime[[#This Row],[Date]]="","",IFERROR(INDEX(tblReasons[Type],MATCH(tblDowntime[[#This Row],[Reason]],tblReasons[Reason],0)),""))</f>
        <v>Unplanned</v>
      </c>
      <c r="J30" s="38" t="str">
        <f>IF(tblDowntime[[#This Row],[Date]]="","",IFERROR(INDEX(tblReasons[Loss category],MATCH(tblDowntime[[#This Row],[Reason]],tblReasons[Reason],0)),""))</f>
        <v>Breakdown</v>
      </c>
      <c r="K30" s="37">
        <f>IF(tblDowntime[[#This Row],[Date]]="","",IFERROR(INDEX(tblMachines[Loss rate (per h)],MATCH(tblDowntime[[#This Row],[Machine]],tblMachines[Machine],0)),""))</f>
        <v>950</v>
      </c>
      <c r="L30" s="39">
        <f>IF(tblDowntime[[#This Row],[Date]]="","",IF(OR(tblDowntime[[#This Row],[Minutes]]="",tblDowntime[[#This Row],[Loss rate]]=""),"",tblDowntime[[#This Row],[Minutes]]/60*tblDowntime[[#This Row],[Loss rate]]))</f>
        <v>475</v>
      </c>
      <c r="M30" s="33">
        <v>600</v>
      </c>
      <c r="N30" s="39">
        <f>IF(tblDowntime[[#This Row],[Date]]="","",IF(tblDowntime[[#This Row],[Production loss]]="","",tblDowntime[[#This Row],[Production loss]]+N(tblDowntime[[#This Row],[Repair cost]])))</f>
        <v>1075</v>
      </c>
      <c r="O30" s="40">
        <f>IF(tblDowntime[[#This Row],[Date]]="","",tblDowntime[[#This Row],[Date]]-WEEKDAY(tblDowntime[[#This Row],[Date]],2)+1)</f>
        <v>46265</v>
      </c>
      <c r="P30" s="40">
        <f>IF(tblDowntime[[#This Row],[Date]]="","",IF(AND(tblDowntime[[#This Row],[Date]]&gt;=FFrom,tblDowntime[[#This Row],[Date]]&lt;=FTo,OR(DashMachine="",tblDowntime[[#This Row],[Machine]]=DashMachine)),tblDowntime[[#This Row],[Date]],""))</f>
        <v>46269</v>
      </c>
      <c r="Q3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0" s="42" t="s">
        <v>140</v>
      </c>
    </row>
    <row r="31" spans="2:18" x14ac:dyDescent="0.25">
      <c r="B31" s="35">
        <v>46269</v>
      </c>
      <c r="C31" s="28" t="s">
        <v>95</v>
      </c>
      <c r="D31" s="28" t="s">
        <v>89</v>
      </c>
      <c r="E31" s="28" t="s">
        <v>111</v>
      </c>
      <c r="F31" s="36">
        <v>0.6805555555555556</v>
      </c>
      <c r="G31" s="36">
        <v>0.6944444444444444</v>
      </c>
      <c r="H31" s="37">
        <f>IF(tblDowntime[[#This Row],[Date]]="","",IF(OR(tblDowntime[[#This Row],[Start]]="",tblDowntime[[#This Row],[End]]=""),"",ROUND(MOD(tblDowntime[[#This Row],[End]]-tblDowntime[[#This Row],[Start]],1)*1440,0)))</f>
        <v>20</v>
      </c>
      <c r="I31" s="38" t="str">
        <f>IF(tblDowntime[[#This Row],[Date]]="","",IFERROR(INDEX(tblReasons[Type],MATCH(tblDowntime[[#This Row],[Reason]],tblReasons[Reason],0)),""))</f>
        <v>Unplanned</v>
      </c>
      <c r="J31" s="38" t="str">
        <f>IF(tblDowntime[[#This Row],[Date]]="","",IFERROR(INDEX(tblReasons[Loss category],MATCH(tblDowntime[[#This Row],[Reason]],tblReasons[Reason],0)),""))</f>
        <v>Breakdown</v>
      </c>
      <c r="K31" s="37">
        <f>IF(tblDowntime[[#This Row],[Date]]="","",IFERROR(INDEX(tblMachines[Loss rate (per h)],MATCH(tblDowntime[[#This Row],[Machine]],tblMachines[Machine],0)),""))</f>
        <v>540</v>
      </c>
      <c r="L31" s="39">
        <f>IF(tblDowntime[[#This Row],[Date]]="","",IF(OR(tblDowntime[[#This Row],[Minutes]]="",tblDowntime[[#This Row],[Loss rate]]=""),"",tblDowntime[[#This Row],[Minutes]]/60*tblDowntime[[#This Row],[Loss rate]]))</f>
        <v>180</v>
      </c>
      <c r="M31" s="33">
        <v>190</v>
      </c>
      <c r="N31" s="39">
        <f>IF(tblDowntime[[#This Row],[Date]]="","",IF(tblDowntime[[#This Row],[Production loss]]="","",tblDowntime[[#This Row],[Production loss]]+N(tblDowntime[[#This Row],[Repair cost]])))</f>
        <v>370</v>
      </c>
      <c r="O31" s="40">
        <f>IF(tblDowntime[[#This Row],[Date]]="","",tblDowntime[[#This Row],[Date]]-WEEKDAY(tblDowntime[[#This Row],[Date]],2)+1)</f>
        <v>46265</v>
      </c>
      <c r="P31" s="40">
        <f>IF(tblDowntime[[#This Row],[Date]]="","",IF(AND(tblDowntime[[#This Row],[Date]]&gt;=FFrom,tblDowntime[[#This Row],[Date]]&lt;=FTo,OR(DashMachine="",tblDowntime[[#This Row],[Machine]]=DashMachine)),tblDowntime[[#This Row],[Date]],""))</f>
        <v>46269</v>
      </c>
      <c r="Q3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1" s="42" t="s">
        <v>140</v>
      </c>
    </row>
    <row r="32" spans="2:18" x14ac:dyDescent="0.25">
      <c r="B32" s="35">
        <v>46272</v>
      </c>
      <c r="C32" s="28" t="s">
        <v>92</v>
      </c>
      <c r="D32" s="28" t="s">
        <v>87</v>
      </c>
      <c r="E32" s="28" t="s">
        <v>125</v>
      </c>
      <c r="F32" s="36">
        <v>0.3888888888888889</v>
      </c>
      <c r="G32" s="36">
        <v>0.3993055555555556</v>
      </c>
      <c r="H32" s="37">
        <f>IF(tblDowntime[[#This Row],[Date]]="","",IF(OR(tblDowntime[[#This Row],[Start]]="",tblDowntime[[#This Row],[End]]=""),"",ROUND(MOD(tblDowntime[[#This Row],[End]]-tblDowntime[[#This Row],[Start]],1)*1440,0)))</f>
        <v>15</v>
      </c>
      <c r="I32" s="38" t="str">
        <f>IF(tblDowntime[[#This Row],[Date]]="","",IFERROR(INDEX(tblReasons[Type],MATCH(tblDowntime[[#This Row],[Reason]],tblReasons[Reason],0)),""))</f>
        <v>Unplanned</v>
      </c>
      <c r="J32" s="38" t="str">
        <f>IF(tblDowntime[[#This Row],[Date]]="","",IFERROR(INDEX(tblReasons[Loss category],MATCH(tblDowntime[[#This Row],[Reason]],tblReasons[Reason],0)),""))</f>
        <v>Other</v>
      </c>
      <c r="K32" s="37">
        <f>IF(tblDowntime[[#This Row],[Date]]="","",IFERROR(INDEX(tblMachines[Loss rate (per h)],MATCH(tblDowntime[[#This Row],[Machine]],tblMachines[Machine],0)),""))</f>
        <v>260</v>
      </c>
      <c r="L32" s="39">
        <f>IF(tblDowntime[[#This Row],[Date]]="","",IF(OR(tblDowntime[[#This Row],[Minutes]]="",tblDowntime[[#This Row],[Loss rate]]=""),"",tblDowntime[[#This Row],[Minutes]]/60*tblDowntime[[#This Row],[Loss rate]]))</f>
        <v>65</v>
      </c>
      <c r="M32" s="33">
        <v>0</v>
      </c>
      <c r="N32" s="39">
        <f>IF(tblDowntime[[#This Row],[Date]]="","",IF(tblDowntime[[#This Row],[Production loss]]="","",tblDowntime[[#This Row],[Production loss]]+N(tblDowntime[[#This Row],[Repair cost]])))</f>
        <v>65</v>
      </c>
      <c r="O32" s="40">
        <f>IF(tblDowntime[[#This Row],[Date]]="","",tblDowntime[[#This Row],[Date]]-WEEKDAY(tblDowntime[[#This Row],[Date]],2)+1)</f>
        <v>46272</v>
      </c>
      <c r="P32" s="40">
        <f>IF(tblDowntime[[#This Row],[Date]]="","",IF(AND(tblDowntime[[#This Row],[Date]]&gt;=FFrom,tblDowntime[[#This Row],[Date]]&lt;=FTo,OR(DashMachine="",tblDowntime[[#This Row],[Machine]]=DashMachine)),tblDowntime[[#This Row],[Date]],""))</f>
        <v>46272</v>
      </c>
      <c r="Q3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2" s="42" t="s">
        <v>140</v>
      </c>
    </row>
    <row r="33" spans="2:18" x14ac:dyDescent="0.25">
      <c r="B33" s="35">
        <v>46272</v>
      </c>
      <c r="C33" s="28" t="s">
        <v>92</v>
      </c>
      <c r="D33" s="28" t="s">
        <v>83</v>
      </c>
      <c r="E33" s="28" t="s">
        <v>98</v>
      </c>
      <c r="F33" s="36">
        <v>0.3055555555555556</v>
      </c>
      <c r="G33" s="36">
        <v>0.3229166666666667</v>
      </c>
      <c r="H33" s="37">
        <f>IF(tblDowntime[[#This Row],[Date]]="","",IF(OR(tblDowntime[[#This Row],[Start]]="",tblDowntime[[#This Row],[End]]=""),"",ROUND(MOD(tblDowntime[[#This Row],[End]]-tblDowntime[[#This Row],[Start]],1)*1440,0)))</f>
        <v>25</v>
      </c>
      <c r="I33" s="38" t="str">
        <f>IF(tblDowntime[[#This Row],[Date]]="","",IFERROR(INDEX(tblReasons[Type],MATCH(tblDowntime[[#This Row],[Reason]],tblReasons[Reason],0)),""))</f>
        <v>Planned</v>
      </c>
      <c r="J33" s="38" t="str">
        <f>IF(tblDowntime[[#This Row],[Date]]="","",IFERROR(INDEX(tblReasons[Loss category],MATCH(tblDowntime[[#This Row],[Reason]],tblReasons[Reason],0)),""))</f>
        <v>Changeover</v>
      </c>
      <c r="K33" s="37">
        <f>IF(tblDowntime[[#This Row],[Date]]="","",IFERROR(INDEX(tblMachines[Loss rate (per h)],MATCH(tblDowntime[[#This Row],[Machine]],tblMachines[Machine],0)),""))</f>
        <v>620</v>
      </c>
      <c r="L33" s="39">
        <f>IF(tblDowntime[[#This Row],[Date]]="","",IF(OR(tblDowntime[[#This Row],[Minutes]]="",tblDowntime[[#This Row],[Loss rate]]=""),"",tblDowntime[[#This Row],[Minutes]]/60*tblDowntime[[#This Row],[Loss rate]]))</f>
        <v>258.333333333333</v>
      </c>
      <c r="M33" s="33">
        <v>0</v>
      </c>
      <c r="N33" s="39">
        <f>IF(tblDowntime[[#This Row],[Date]]="","",IF(tblDowntime[[#This Row],[Production loss]]="","",tblDowntime[[#This Row],[Production loss]]+N(tblDowntime[[#This Row],[Repair cost]])))</f>
        <v>258.333333333333</v>
      </c>
      <c r="O33" s="40">
        <f>IF(tblDowntime[[#This Row],[Date]]="","",tblDowntime[[#This Row],[Date]]-WEEKDAY(tblDowntime[[#This Row],[Date]],2)+1)</f>
        <v>46272</v>
      </c>
      <c r="P33" s="40">
        <f>IF(tblDowntime[[#This Row],[Date]]="","",IF(AND(tblDowntime[[#This Row],[Date]]&gt;=FFrom,tblDowntime[[#This Row],[Date]]&lt;=FTo,OR(DashMachine="",tblDowntime[[#This Row],[Machine]]=DashMachine)),tblDowntime[[#This Row],[Date]],""))</f>
        <v>46272</v>
      </c>
      <c r="Q3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3" s="42" t="s">
        <v>139</v>
      </c>
    </row>
    <row r="34" spans="2:18" x14ac:dyDescent="0.25">
      <c r="B34" s="35">
        <v>46272</v>
      </c>
      <c r="C34" s="28" t="s">
        <v>95</v>
      </c>
      <c r="D34" s="28" t="s">
        <v>87</v>
      </c>
      <c r="E34" s="28" t="s">
        <v>119</v>
      </c>
      <c r="F34" s="36">
        <v>0.7083333333333334</v>
      </c>
      <c r="G34" s="36">
        <v>0.7222222222222222</v>
      </c>
      <c r="H34" s="37">
        <f>IF(tblDowntime[[#This Row],[Date]]="","",IF(OR(tblDowntime[[#This Row],[Start]]="",tblDowntime[[#This Row],[End]]=""),"",ROUND(MOD(tblDowntime[[#This Row],[End]]-tblDowntime[[#This Row],[Start]],1)*1440,0)))</f>
        <v>20</v>
      </c>
      <c r="I34" s="38" t="str">
        <f>IF(tblDowntime[[#This Row],[Date]]="","",IFERROR(INDEX(tblReasons[Type],MATCH(tblDowntime[[#This Row],[Reason]],tblReasons[Reason],0)),""))</f>
        <v>Unplanned</v>
      </c>
      <c r="J34" s="38" t="str">
        <f>IF(tblDowntime[[#This Row],[Date]]="","",IFERROR(INDEX(tblReasons[Loss category],MATCH(tblDowntime[[#This Row],[Reason]],tblReasons[Reason],0)),""))</f>
        <v>Quality</v>
      </c>
      <c r="K34" s="37">
        <f>IF(tblDowntime[[#This Row],[Date]]="","",IFERROR(INDEX(tblMachines[Loss rate (per h)],MATCH(tblDowntime[[#This Row],[Machine]],tblMachines[Machine],0)),""))</f>
        <v>260</v>
      </c>
      <c r="L34" s="39">
        <f>IF(tblDowntime[[#This Row],[Date]]="","",IF(OR(tblDowntime[[#This Row],[Minutes]]="",tblDowntime[[#This Row],[Loss rate]]=""),"",tblDowntime[[#This Row],[Minutes]]/60*tblDowntime[[#This Row],[Loss rate]]))</f>
        <v>86.6666666666667</v>
      </c>
      <c r="M34" s="33">
        <v>0</v>
      </c>
      <c r="N34" s="39">
        <f>IF(tblDowntime[[#This Row],[Date]]="","",IF(tblDowntime[[#This Row],[Production loss]]="","",tblDowntime[[#This Row],[Production loss]]+N(tblDowntime[[#This Row],[Repair cost]])))</f>
        <v>86.6666666666667</v>
      </c>
      <c r="O34" s="40">
        <f>IF(tblDowntime[[#This Row],[Date]]="","",tblDowntime[[#This Row],[Date]]-WEEKDAY(tblDowntime[[#This Row],[Date]],2)+1)</f>
        <v>46272</v>
      </c>
      <c r="P34" s="40">
        <f>IF(tblDowntime[[#This Row],[Date]]="","",IF(AND(tblDowntime[[#This Row],[Date]]&gt;=FFrom,tblDowntime[[#This Row],[Date]]&lt;=FTo,OR(DashMachine="",tblDowntime[[#This Row],[Machine]]=DashMachine)),tblDowntime[[#This Row],[Date]],""))</f>
        <v>46272</v>
      </c>
      <c r="Q3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4" s="42" t="s">
        <v>140</v>
      </c>
    </row>
    <row r="35" spans="2:18" x14ac:dyDescent="0.25">
      <c r="B35" s="35">
        <v>46272</v>
      </c>
      <c r="C35" s="28" t="s">
        <v>95</v>
      </c>
      <c r="D35" s="28" t="s">
        <v>83</v>
      </c>
      <c r="E35" s="28" t="s">
        <v>113</v>
      </c>
      <c r="F35" s="36">
        <v>0.7083333333333334</v>
      </c>
      <c r="G35" s="36">
        <v>0.7152777777777778</v>
      </c>
      <c r="H35" s="37">
        <f>IF(tblDowntime[[#This Row],[Date]]="","",IF(OR(tblDowntime[[#This Row],[Start]]="",tblDowntime[[#This Row],[End]]=""),"",ROUND(MOD(tblDowntime[[#This Row],[End]]-tblDowntime[[#This Row],[Start]],1)*1440,0)))</f>
        <v>10</v>
      </c>
      <c r="I35" s="38" t="str">
        <f>IF(tblDowntime[[#This Row],[Date]]="","",IFERROR(INDEX(tblReasons[Type],MATCH(tblDowntime[[#This Row],[Reason]],tblReasons[Reason],0)),""))</f>
        <v>Unplanned</v>
      </c>
      <c r="J35" s="38" t="str">
        <f>IF(tblDowntime[[#This Row],[Date]]="","",IFERROR(INDEX(tblReasons[Loss category],MATCH(tblDowntime[[#This Row],[Reason]],tblReasons[Reason],0)),""))</f>
        <v>Minor stop</v>
      </c>
      <c r="K35" s="37">
        <f>IF(tblDowntime[[#This Row],[Date]]="","",IFERROR(INDEX(tblMachines[Loss rate (per h)],MATCH(tblDowntime[[#This Row],[Machine]],tblMachines[Machine],0)),""))</f>
        <v>620</v>
      </c>
      <c r="L35" s="39">
        <f>IF(tblDowntime[[#This Row],[Date]]="","",IF(OR(tblDowntime[[#This Row],[Minutes]]="",tblDowntime[[#This Row],[Loss rate]]=""),"",tblDowntime[[#This Row],[Minutes]]/60*tblDowntime[[#This Row],[Loss rate]]))</f>
        <v>103.333333333333</v>
      </c>
      <c r="M35" s="33">
        <v>0</v>
      </c>
      <c r="N35" s="39">
        <f>IF(tblDowntime[[#This Row],[Date]]="","",IF(tblDowntime[[#This Row],[Production loss]]="","",tblDowntime[[#This Row],[Production loss]]+N(tblDowntime[[#This Row],[Repair cost]])))</f>
        <v>103.333333333333</v>
      </c>
      <c r="O35" s="40">
        <f>IF(tblDowntime[[#This Row],[Date]]="","",tblDowntime[[#This Row],[Date]]-WEEKDAY(tblDowntime[[#This Row],[Date]],2)+1)</f>
        <v>46272</v>
      </c>
      <c r="P35" s="40">
        <f>IF(tblDowntime[[#This Row],[Date]]="","",IF(AND(tblDowntime[[#This Row],[Date]]&gt;=FFrom,tblDowntime[[#This Row],[Date]]&lt;=FTo,OR(DashMachine="",tblDowntime[[#This Row],[Machine]]=DashMachine)),tblDowntime[[#This Row],[Date]],""))</f>
        <v>46272</v>
      </c>
      <c r="Q3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5" s="42" t="s">
        <v>140</v>
      </c>
    </row>
    <row r="36" spans="2:18" x14ac:dyDescent="0.25">
      <c r="B36" s="35">
        <v>46272</v>
      </c>
      <c r="C36" s="28" t="s">
        <v>95</v>
      </c>
      <c r="D36" s="28" t="s">
        <v>89</v>
      </c>
      <c r="E36" s="28" t="s">
        <v>111</v>
      </c>
      <c r="F36" s="36">
        <v>0.6805555555555556</v>
      </c>
      <c r="G36" s="36">
        <v>0.6979166666666666</v>
      </c>
      <c r="H36" s="37">
        <f>IF(tblDowntime[[#This Row],[Date]]="","",IF(OR(tblDowntime[[#This Row],[Start]]="",tblDowntime[[#This Row],[End]]=""),"",ROUND(MOD(tblDowntime[[#This Row],[End]]-tblDowntime[[#This Row],[Start]],1)*1440,0)))</f>
        <v>25</v>
      </c>
      <c r="I36" s="38" t="str">
        <f>IF(tblDowntime[[#This Row],[Date]]="","",IFERROR(INDEX(tblReasons[Type],MATCH(tblDowntime[[#This Row],[Reason]],tblReasons[Reason],0)),""))</f>
        <v>Unplanned</v>
      </c>
      <c r="J36" s="38" t="str">
        <f>IF(tblDowntime[[#This Row],[Date]]="","",IFERROR(INDEX(tblReasons[Loss category],MATCH(tblDowntime[[#This Row],[Reason]],tblReasons[Reason],0)),""))</f>
        <v>Breakdown</v>
      </c>
      <c r="K36" s="37">
        <f>IF(tblDowntime[[#This Row],[Date]]="","",IFERROR(INDEX(tblMachines[Loss rate (per h)],MATCH(tblDowntime[[#This Row],[Machine]],tblMachines[Machine],0)),""))</f>
        <v>540</v>
      </c>
      <c r="L36" s="39">
        <f>IF(tblDowntime[[#This Row],[Date]]="","",IF(OR(tblDowntime[[#This Row],[Minutes]]="",tblDowntime[[#This Row],[Loss rate]]=""),"",tblDowntime[[#This Row],[Minutes]]/60*tblDowntime[[#This Row],[Loss rate]]))</f>
        <v>225</v>
      </c>
      <c r="M36" s="33">
        <v>200</v>
      </c>
      <c r="N36" s="39">
        <f>IF(tblDowntime[[#This Row],[Date]]="","",IF(tblDowntime[[#This Row],[Production loss]]="","",tblDowntime[[#This Row],[Production loss]]+N(tblDowntime[[#This Row],[Repair cost]])))</f>
        <v>425</v>
      </c>
      <c r="O36" s="40">
        <f>IF(tblDowntime[[#This Row],[Date]]="","",tblDowntime[[#This Row],[Date]]-WEEKDAY(tblDowntime[[#This Row],[Date]],2)+1)</f>
        <v>46272</v>
      </c>
      <c r="P36" s="40">
        <f>IF(tblDowntime[[#This Row],[Date]]="","",IF(AND(tblDowntime[[#This Row],[Date]]&gt;=FFrom,tblDowntime[[#This Row],[Date]]&lt;=FTo,OR(DashMachine="",tblDowntime[[#This Row],[Machine]]=DashMachine)),tblDowntime[[#This Row],[Date]],""))</f>
        <v>46272</v>
      </c>
      <c r="Q3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6" s="42" t="s">
        <v>140</v>
      </c>
    </row>
    <row r="37" spans="2:18" x14ac:dyDescent="0.25">
      <c r="B37" s="35">
        <v>46273</v>
      </c>
      <c r="C37" s="28" t="s">
        <v>92</v>
      </c>
      <c r="D37" s="28" t="s">
        <v>87</v>
      </c>
      <c r="E37" s="28" t="s">
        <v>111</v>
      </c>
      <c r="F37" s="36">
        <v>0.2916666666666667</v>
      </c>
      <c r="G37" s="36">
        <v>0.3263888888888889</v>
      </c>
      <c r="H37" s="37">
        <f>IF(tblDowntime[[#This Row],[Date]]="","",IF(OR(tblDowntime[[#This Row],[Start]]="",tblDowntime[[#This Row],[End]]=""),"",ROUND(MOD(tblDowntime[[#This Row],[End]]-tblDowntime[[#This Row],[Start]],1)*1440,0)))</f>
        <v>50</v>
      </c>
      <c r="I37" s="38" t="str">
        <f>IF(tblDowntime[[#This Row],[Date]]="","",IFERROR(INDEX(tblReasons[Type],MATCH(tblDowntime[[#This Row],[Reason]],tblReasons[Reason],0)),""))</f>
        <v>Unplanned</v>
      </c>
      <c r="J37" s="38" t="str">
        <f>IF(tblDowntime[[#This Row],[Date]]="","",IFERROR(INDEX(tblReasons[Loss category],MATCH(tblDowntime[[#This Row],[Reason]],tblReasons[Reason],0)),""))</f>
        <v>Breakdown</v>
      </c>
      <c r="K37" s="37">
        <f>IF(tblDowntime[[#This Row],[Date]]="","",IFERROR(INDEX(tblMachines[Loss rate (per h)],MATCH(tblDowntime[[#This Row],[Machine]],tblMachines[Machine],0)),""))</f>
        <v>260</v>
      </c>
      <c r="L37" s="39">
        <f>IF(tblDowntime[[#This Row],[Date]]="","",IF(OR(tblDowntime[[#This Row],[Minutes]]="",tblDowntime[[#This Row],[Loss rate]]=""),"",tblDowntime[[#This Row],[Minutes]]/60*tblDowntime[[#This Row],[Loss rate]]))</f>
        <v>216.666666666667</v>
      </c>
      <c r="M37" s="33">
        <v>260</v>
      </c>
      <c r="N37" s="39">
        <f>IF(tblDowntime[[#This Row],[Date]]="","",IF(tblDowntime[[#This Row],[Production loss]]="","",tblDowntime[[#This Row],[Production loss]]+N(tblDowntime[[#This Row],[Repair cost]])))</f>
        <v>476.666666666667</v>
      </c>
      <c r="O37" s="40">
        <f>IF(tblDowntime[[#This Row],[Date]]="","",tblDowntime[[#This Row],[Date]]-WEEKDAY(tblDowntime[[#This Row],[Date]],2)+1)</f>
        <v>46272</v>
      </c>
      <c r="P37" s="40">
        <f>IF(tblDowntime[[#This Row],[Date]]="","",IF(AND(tblDowntime[[#This Row],[Date]]&gt;=FFrom,tblDowntime[[#This Row],[Date]]&lt;=FTo,OR(DashMachine="",tblDowntime[[#This Row],[Machine]]=DashMachine)),tblDowntime[[#This Row],[Date]],""))</f>
        <v>46273</v>
      </c>
      <c r="Q3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7" s="42" t="s">
        <v>140</v>
      </c>
    </row>
    <row r="38" spans="2:18" x14ac:dyDescent="0.25">
      <c r="B38" s="35">
        <v>46273</v>
      </c>
      <c r="C38" s="28" t="s">
        <v>92</v>
      </c>
      <c r="D38" s="28" t="s">
        <v>83</v>
      </c>
      <c r="E38" s="28" t="s">
        <v>98</v>
      </c>
      <c r="F38" s="36">
        <v>0.3055555555555556</v>
      </c>
      <c r="G38" s="36">
        <v>0.3333333333333333</v>
      </c>
      <c r="H38" s="37">
        <f>IF(tblDowntime[[#This Row],[Date]]="","",IF(OR(tblDowntime[[#This Row],[Start]]="",tblDowntime[[#This Row],[End]]=""),"",ROUND(MOD(tblDowntime[[#This Row],[End]]-tblDowntime[[#This Row],[Start]],1)*1440,0)))</f>
        <v>40</v>
      </c>
      <c r="I38" s="38" t="str">
        <f>IF(tblDowntime[[#This Row],[Date]]="","",IFERROR(INDEX(tblReasons[Type],MATCH(tblDowntime[[#This Row],[Reason]],tblReasons[Reason],0)),""))</f>
        <v>Planned</v>
      </c>
      <c r="J38" s="38" t="str">
        <f>IF(tblDowntime[[#This Row],[Date]]="","",IFERROR(INDEX(tblReasons[Loss category],MATCH(tblDowntime[[#This Row],[Reason]],tblReasons[Reason],0)),""))</f>
        <v>Changeover</v>
      </c>
      <c r="K38" s="37">
        <f>IF(tblDowntime[[#This Row],[Date]]="","",IFERROR(INDEX(tblMachines[Loss rate (per h)],MATCH(tblDowntime[[#This Row],[Machine]],tblMachines[Machine],0)),""))</f>
        <v>620</v>
      </c>
      <c r="L38" s="39">
        <f>IF(tblDowntime[[#This Row],[Date]]="","",IF(OR(tblDowntime[[#This Row],[Minutes]]="",tblDowntime[[#This Row],[Loss rate]]=""),"",tblDowntime[[#This Row],[Minutes]]/60*tblDowntime[[#This Row],[Loss rate]]))</f>
        <v>413.333333333333</v>
      </c>
      <c r="M38" s="33">
        <v>0</v>
      </c>
      <c r="N38" s="39">
        <f>IF(tblDowntime[[#This Row],[Date]]="","",IF(tblDowntime[[#This Row],[Production loss]]="","",tblDowntime[[#This Row],[Production loss]]+N(tblDowntime[[#This Row],[Repair cost]])))</f>
        <v>413.333333333333</v>
      </c>
      <c r="O38" s="40">
        <f>IF(tblDowntime[[#This Row],[Date]]="","",tblDowntime[[#This Row],[Date]]-WEEKDAY(tblDowntime[[#This Row],[Date]],2)+1)</f>
        <v>46272</v>
      </c>
      <c r="P38" s="40">
        <f>IF(tblDowntime[[#This Row],[Date]]="","",IF(AND(tblDowntime[[#This Row],[Date]]&gt;=FFrom,tblDowntime[[#This Row],[Date]]&lt;=FTo,OR(DashMachine="",tblDowntime[[#This Row],[Machine]]=DashMachine)),tblDowntime[[#This Row],[Date]],""))</f>
        <v>46273</v>
      </c>
      <c r="Q3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8" s="42" t="s">
        <v>139</v>
      </c>
    </row>
    <row r="39" spans="2:18" x14ac:dyDescent="0.25">
      <c r="B39" s="35">
        <v>46273</v>
      </c>
      <c r="C39" s="28" t="s">
        <v>92</v>
      </c>
      <c r="D39" s="28" t="s">
        <v>83</v>
      </c>
      <c r="E39" s="28" t="s">
        <v>105</v>
      </c>
      <c r="F39" s="36">
        <v>0.3819444444444444</v>
      </c>
      <c r="G39" s="36">
        <v>0.3993055555555556</v>
      </c>
      <c r="H39" s="37">
        <f>IF(tblDowntime[[#This Row],[Date]]="","",IF(OR(tblDowntime[[#This Row],[Start]]="",tblDowntime[[#This Row],[End]]=""),"",ROUND(MOD(tblDowntime[[#This Row],[End]]-tblDowntime[[#This Row],[Start]],1)*1440,0)))</f>
        <v>25</v>
      </c>
      <c r="I39" s="38" t="str">
        <f>IF(tblDowntime[[#This Row],[Date]]="","",IFERROR(INDEX(tblReasons[Type],MATCH(tblDowntime[[#This Row],[Reason]],tblReasons[Reason],0)),""))</f>
        <v>Unplanned</v>
      </c>
      <c r="J39" s="38" t="str">
        <f>IF(tblDowntime[[#This Row],[Date]]="","",IFERROR(INDEX(tblReasons[Loss category],MATCH(tblDowntime[[#This Row],[Reason]],tblReasons[Reason],0)),""))</f>
        <v>Breakdown</v>
      </c>
      <c r="K39" s="37">
        <f>IF(tblDowntime[[#This Row],[Date]]="","",IFERROR(INDEX(tblMachines[Loss rate (per h)],MATCH(tblDowntime[[#This Row],[Machine]],tblMachines[Machine],0)),""))</f>
        <v>620</v>
      </c>
      <c r="L39" s="39">
        <f>IF(tblDowntime[[#This Row],[Date]]="","",IF(OR(tblDowntime[[#This Row],[Minutes]]="",tblDowntime[[#This Row],[Loss rate]]=""),"",tblDowntime[[#This Row],[Minutes]]/60*tblDowntime[[#This Row],[Loss rate]]))</f>
        <v>258.333333333333</v>
      </c>
      <c r="M39" s="33">
        <v>450</v>
      </c>
      <c r="N39" s="39">
        <f>IF(tblDowntime[[#This Row],[Date]]="","",IF(tblDowntime[[#This Row],[Production loss]]="","",tblDowntime[[#This Row],[Production loss]]+N(tblDowntime[[#This Row],[Repair cost]])))</f>
        <v>708.333333333333</v>
      </c>
      <c r="O39" s="40">
        <f>IF(tblDowntime[[#This Row],[Date]]="","",tblDowntime[[#This Row],[Date]]-WEEKDAY(tblDowntime[[#This Row],[Date]],2)+1)</f>
        <v>46272</v>
      </c>
      <c r="P39" s="40">
        <f>IF(tblDowntime[[#This Row],[Date]]="","",IF(AND(tblDowntime[[#This Row],[Date]]&gt;=FFrom,tblDowntime[[#This Row],[Date]]&lt;=FTo,OR(DashMachine="",tblDowntime[[#This Row],[Machine]]=DashMachine)),tblDowntime[[#This Row],[Date]],""))</f>
        <v>46273</v>
      </c>
      <c r="Q3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39" s="42" t="s">
        <v>140</v>
      </c>
    </row>
    <row r="40" spans="2:18" x14ac:dyDescent="0.25">
      <c r="B40" s="35">
        <v>46273</v>
      </c>
      <c r="C40" s="28" t="s">
        <v>95</v>
      </c>
      <c r="D40" s="28" t="s">
        <v>83</v>
      </c>
      <c r="E40" s="28" t="s">
        <v>98</v>
      </c>
      <c r="F40" s="36">
        <v>0.6527777777777778</v>
      </c>
      <c r="G40" s="36">
        <v>0.6805555555555556</v>
      </c>
      <c r="H40" s="37">
        <f>IF(tblDowntime[[#This Row],[Date]]="","",IF(OR(tblDowntime[[#This Row],[Start]]="",tblDowntime[[#This Row],[End]]=""),"",ROUND(MOD(tblDowntime[[#This Row],[End]]-tblDowntime[[#This Row],[Start]],1)*1440,0)))</f>
        <v>40</v>
      </c>
      <c r="I40" s="38" t="str">
        <f>IF(tblDowntime[[#This Row],[Date]]="","",IFERROR(INDEX(tblReasons[Type],MATCH(tblDowntime[[#This Row],[Reason]],tblReasons[Reason],0)),""))</f>
        <v>Planned</v>
      </c>
      <c r="J40" s="38" t="str">
        <f>IF(tblDowntime[[#This Row],[Date]]="","",IFERROR(INDEX(tblReasons[Loss category],MATCH(tblDowntime[[#This Row],[Reason]],tblReasons[Reason],0)),""))</f>
        <v>Changeover</v>
      </c>
      <c r="K40" s="37">
        <f>IF(tblDowntime[[#This Row],[Date]]="","",IFERROR(INDEX(tblMachines[Loss rate (per h)],MATCH(tblDowntime[[#This Row],[Machine]],tblMachines[Machine],0)),""))</f>
        <v>620</v>
      </c>
      <c r="L40" s="39">
        <f>IF(tblDowntime[[#This Row],[Date]]="","",IF(OR(tblDowntime[[#This Row],[Minutes]]="",tblDowntime[[#This Row],[Loss rate]]=""),"",tblDowntime[[#This Row],[Minutes]]/60*tblDowntime[[#This Row],[Loss rate]]))</f>
        <v>413.333333333333</v>
      </c>
      <c r="M40" s="33">
        <v>0</v>
      </c>
      <c r="N40" s="39">
        <f>IF(tblDowntime[[#This Row],[Date]]="","",IF(tblDowntime[[#This Row],[Production loss]]="","",tblDowntime[[#This Row],[Production loss]]+N(tblDowntime[[#This Row],[Repair cost]])))</f>
        <v>413.333333333333</v>
      </c>
      <c r="O40" s="40">
        <f>IF(tblDowntime[[#This Row],[Date]]="","",tblDowntime[[#This Row],[Date]]-WEEKDAY(tblDowntime[[#This Row],[Date]],2)+1)</f>
        <v>46272</v>
      </c>
      <c r="P40" s="40">
        <f>IF(tblDowntime[[#This Row],[Date]]="","",IF(AND(tblDowntime[[#This Row],[Date]]&gt;=FFrom,tblDowntime[[#This Row],[Date]]&lt;=FTo,OR(DashMachine="",tblDowntime[[#This Row],[Machine]]=DashMachine)),tblDowntime[[#This Row],[Date]],""))</f>
        <v>46273</v>
      </c>
      <c r="Q4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0" s="42" t="s">
        <v>139</v>
      </c>
    </row>
    <row r="41" spans="2:18" x14ac:dyDescent="0.25">
      <c r="B41" s="35">
        <v>46273</v>
      </c>
      <c r="C41" s="28" t="s">
        <v>95</v>
      </c>
      <c r="D41" s="28" t="s">
        <v>83</v>
      </c>
      <c r="E41" s="28" t="s">
        <v>111</v>
      </c>
      <c r="F41" s="36">
        <v>0.7152777777777778</v>
      </c>
      <c r="G41" s="36">
        <v>0.7326388888888888</v>
      </c>
      <c r="H41" s="37">
        <f>IF(tblDowntime[[#This Row],[Date]]="","",IF(OR(tblDowntime[[#This Row],[Start]]="",tblDowntime[[#This Row],[End]]=""),"",ROUND(MOD(tblDowntime[[#This Row],[End]]-tblDowntime[[#This Row],[Start]],1)*1440,0)))</f>
        <v>25</v>
      </c>
      <c r="I41" s="38" t="str">
        <f>IF(tblDowntime[[#This Row],[Date]]="","",IFERROR(INDEX(tblReasons[Type],MATCH(tblDowntime[[#This Row],[Reason]],tblReasons[Reason],0)),""))</f>
        <v>Unplanned</v>
      </c>
      <c r="J41" s="38" t="str">
        <f>IF(tblDowntime[[#This Row],[Date]]="","",IFERROR(INDEX(tblReasons[Loss category],MATCH(tblDowntime[[#This Row],[Reason]],tblReasons[Reason],0)),""))</f>
        <v>Breakdown</v>
      </c>
      <c r="K41" s="37">
        <f>IF(tblDowntime[[#This Row],[Date]]="","",IFERROR(INDEX(tblMachines[Loss rate (per h)],MATCH(tblDowntime[[#This Row],[Machine]],tblMachines[Machine],0)),""))</f>
        <v>620</v>
      </c>
      <c r="L41" s="39">
        <f>IF(tblDowntime[[#This Row],[Date]]="","",IF(OR(tblDowntime[[#This Row],[Minutes]]="",tblDowntime[[#This Row],[Loss rate]]=""),"",tblDowntime[[#This Row],[Minutes]]/60*tblDowntime[[#This Row],[Loss rate]]))</f>
        <v>258.333333333333</v>
      </c>
      <c r="M41" s="33">
        <v>270</v>
      </c>
      <c r="N41" s="39">
        <f>IF(tblDowntime[[#This Row],[Date]]="","",IF(tblDowntime[[#This Row],[Production loss]]="","",tblDowntime[[#This Row],[Production loss]]+N(tblDowntime[[#This Row],[Repair cost]])))</f>
        <v>528.333333333333</v>
      </c>
      <c r="O41" s="40">
        <f>IF(tblDowntime[[#This Row],[Date]]="","",tblDowntime[[#This Row],[Date]]-WEEKDAY(tblDowntime[[#This Row],[Date]],2)+1)</f>
        <v>46272</v>
      </c>
      <c r="P41" s="40">
        <f>IF(tblDowntime[[#This Row],[Date]]="","",IF(AND(tblDowntime[[#This Row],[Date]]&gt;=FFrom,tblDowntime[[#This Row],[Date]]&lt;=FTo,OR(DashMachine="",tblDowntime[[#This Row],[Machine]]=DashMachine)),tblDowntime[[#This Row],[Date]],""))</f>
        <v>46273</v>
      </c>
      <c r="Q4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1" s="42" t="s">
        <v>140</v>
      </c>
    </row>
    <row r="42" spans="2:18" x14ac:dyDescent="0.25">
      <c r="B42" s="35">
        <v>46273</v>
      </c>
      <c r="C42" s="28" t="s">
        <v>95</v>
      </c>
      <c r="D42" s="28" t="s">
        <v>81</v>
      </c>
      <c r="E42" s="28" t="s">
        <v>116</v>
      </c>
      <c r="F42" s="36">
        <v>0.6805555555555556</v>
      </c>
      <c r="G42" s="36">
        <v>0.6875</v>
      </c>
      <c r="H42" s="37">
        <f>IF(tblDowntime[[#This Row],[Date]]="","",IF(OR(tblDowntime[[#This Row],[Start]]="",tblDowntime[[#This Row],[End]]=""),"",ROUND(MOD(tblDowntime[[#This Row],[End]]-tblDowntime[[#This Row],[Start]],1)*1440,0)))</f>
        <v>10</v>
      </c>
      <c r="I42" s="38" t="str">
        <f>IF(tblDowntime[[#This Row],[Date]]="","",IFERROR(INDEX(tblReasons[Type],MATCH(tblDowntime[[#This Row],[Reason]],tblReasons[Reason],0)),""))</f>
        <v>Unplanned</v>
      </c>
      <c r="J42" s="38" t="str">
        <f>IF(tblDowntime[[#This Row],[Date]]="","",IFERROR(INDEX(tblReasons[Loss category],MATCH(tblDowntime[[#This Row],[Reason]],tblReasons[Reason],0)),""))</f>
        <v>Material</v>
      </c>
      <c r="K42" s="37">
        <f>IF(tblDowntime[[#This Row],[Date]]="","",IFERROR(INDEX(tblMachines[Loss rate (per h)],MATCH(tblDowntime[[#This Row],[Machine]],tblMachines[Machine],0)),""))</f>
        <v>950</v>
      </c>
      <c r="L42" s="39">
        <f>IF(tblDowntime[[#This Row],[Date]]="","",IF(OR(tblDowntime[[#This Row],[Minutes]]="",tblDowntime[[#This Row],[Loss rate]]=""),"",tblDowntime[[#This Row],[Minutes]]/60*tblDowntime[[#This Row],[Loss rate]]))</f>
        <v>158.333333333333</v>
      </c>
      <c r="M42" s="33">
        <v>0</v>
      </c>
      <c r="N42" s="39">
        <f>IF(tblDowntime[[#This Row],[Date]]="","",IF(tblDowntime[[#This Row],[Production loss]]="","",tblDowntime[[#This Row],[Production loss]]+N(tblDowntime[[#This Row],[Repair cost]])))</f>
        <v>158.333333333333</v>
      </c>
      <c r="O42" s="40">
        <f>IF(tblDowntime[[#This Row],[Date]]="","",tblDowntime[[#This Row],[Date]]-WEEKDAY(tblDowntime[[#This Row],[Date]],2)+1)</f>
        <v>46272</v>
      </c>
      <c r="P42" s="40">
        <f>IF(tblDowntime[[#This Row],[Date]]="","",IF(AND(tblDowntime[[#This Row],[Date]]&gt;=FFrom,tblDowntime[[#This Row],[Date]]&lt;=FTo,OR(DashMachine="",tblDowntime[[#This Row],[Machine]]=DashMachine)),tblDowntime[[#This Row],[Date]],""))</f>
        <v>46273</v>
      </c>
      <c r="Q4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2" s="42" t="s">
        <v>140</v>
      </c>
    </row>
    <row r="43" spans="2:18" x14ac:dyDescent="0.25">
      <c r="B43" s="35">
        <v>46274</v>
      </c>
      <c r="C43" s="28" t="s">
        <v>92</v>
      </c>
      <c r="D43" s="28" t="s">
        <v>85</v>
      </c>
      <c r="E43" s="28" t="s">
        <v>102</v>
      </c>
      <c r="F43" s="36">
        <v>0.4027777777777778</v>
      </c>
      <c r="G43" s="36">
        <v>0.4340277777777778</v>
      </c>
      <c r="H43" s="37">
        <f>IF(tblDowntime[[#This Row],[Date]]="","",IF(OR(tblDowntime[[#This Row],[Start]]="",tblDowntime[[#This Row],[End]]=""),"",ROUND(MOD(tblDowntime[[#This Row],[End]]-tblDowntime[[#This Row],[Start]],1)*1440,0)))</f>
        <v>45</v>
      </c>
      <c r="I43" s="38" t="str">
        <f>IF(tblDowntime[[#This Row],[Date]]="","",IFERROR(INDEX(tblReasons[Type],MATCH(tblDowntime[[#This Row],[Reason]],tblReasons[Reason],0)),""))</f>
        <v>Planned</v>
      </c>
      <c r="J43" s="38" t="str">
        <f>IF(tblDowntime[[#This Row],[Date]]="","",IFERROR(INDEX(tblReasons[Loss category],MATCH(tblDowntime[[#This Row],[Reason]],tblReasons[Reason],0)),""))</f>
        <v>Maintenance</v>
      </c>
      <c r="K43" s="37">
        <f>IF(tblDowntime[[#This Row],[Date]]="","",IFERROR(INDEX(tblMachines[Loss rate (per h)],MATCH(tblDowntime[[#This Row],[Machine]],tblMachines[Machine],0)),""))</f>
        <v>480</v>
      </c>
      <c r="L43" s="39">
        <f>IF(tblDowntime[[#This Row],[Date]]="","",IF(OR(tblDowntime[[#This Row],[Minutes]]="",tblDowntime[[#This Row],[Loss rate]]=""),"",tblDowntime[[#This Row],[Minutes]]/60*tblDowntime[[#This Row],[Loss rate]]))</f>
        <v>360</v>
      </c>
      <c r="M43" s="33">
        <v>0</v>
      </c>
      <c r="N43" s="39">
        <f>IF(tblDowntime[[#This Row],[Date]]="","",IF(tblDowntime[[#This Row],[Production loss]]="","",tblDowntime[[#This Row],[Production loss]]+N(tblDowntime[[#This Row],[Repair cost]])))</f>
        <v>360</v>
      </c>
      <c r="O43" s="40">
        <f>IF(tblDowntime[[#This Row],[Date]]="","",tblDowntime[[#This Row],[Date]]-WEEKDAY(tblDowntime[[#This Row],[Date]],2)+1)</f>
        <v>46272</v>
      </c>
      <c r="P43" s="40">
        <f>IF(tblDowntime[[#This Row],[Date]]="","",IF(AND(tblDowntime[[#This Row],[Date]]&gt;=FFrom,tblDowntime[[#This Row],[Date]]&lt;=FTo,OR(DashMachine="",tblDowntime[[#This Row],[Machine]]=DashMachine)),tblDowntime[[#This Row],[Date]],""))</f>
        <v>46274</v>
      </c>
      <c r="Q4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3" s="42" t="s">
        <v>140</v>
      </c>
    </row>
    <row r="44" spans="2:18" x14ac:dyDescent="0.25">
      <c r="B44" s="35">
        <v>46274</v>
      </c>
      <c r="C44" s="28" t="s">
        <v>92</v>
      </c>
      <c r="D44" s="28" t="s">
        <v>85</v>
      </c>
      <c r="E44" s="28" t="s">
        <v>122</v>
      </c>
      <c r="F44" s="36">
        <v>0.4895833333333333</v>
      </c>
      <c r="G44" s="36">
        <v>0.5</v>
      </c>
      <c r="H44" s="37">
        <f>IF(tblDowntime[[#This Row],[Date]]="","",IF(OR(tblDowntime[[#This Row],[Start]]="",tblDowntime[[#This Row],[End]]=""),"",ROUND(MOD(tblDowntime[[#This Row],[End]]-tblDowntime[[#This Row],[Start]],1)*1440,0)))</f>
        <v>15</v>
      </c>
      <c r="I44" s="38" t="str">
        <f>IF(tblDowntime[[#This Row],[Date]]="","",IFERROR(INDEX(tblReasons[Type],MATCH(tblDowntime[[#This Row],[Reason]],tblReasons[Reason],0)),""))</f>
        <v>Unplanned</v>
      </c>
      <c r="J44" s="38" t="str">
        <f>IF(tblDowntime[[#This Row],[Date]]="","",IFERROR(INDEX(tblReasons[Loss category],MATCH(tblDowntime[[#This Row],[Reason]],tblReasons[Reason],0)),""))</f>
        <v>Labour</v>
      </c>
      <c r="K44" s="37">
        <f>IF(tblDowntime[[#This Row],[Date]]="","",IFERROR(INDEX(tblMachines[Loss rate (per h)],MATCH(tblDowntime[[#This Row],[Machine]],tblMachines[Machine],0)),""))</f>
        <v>480</v>
      </c>
      <c r="L44" s="39">
        <f>IF(tblDowntime[[#This Row],[Date]]="","",IF(OR(tblDowntime[[#This Row],[Minutes]]="",tblDowntime[[#This Row],[Loss rate]]=""),"",tblDowntime[[#This Row],[Minutes]]/60*tblDowntime[[#This Row],[Loss rate]]))</f>
        <v>120</v>
      </c>
      <c r="M44" s="33">
        <v>0</v>
      </c>
      <c r="N44" s="39">
        <f>IF(tblDowntime[[#This Row],[Date]]="","",IF(tblDowntime[[#This Row],[Production loss]]="","",tblDowntime[[#This Row],[Production loss]]+N(tblDowntime[[#This Row],[Repair cost]])))</f>
        <v>120</v>
      </c>
      <c r="O44" s="40">
        <f>IF(tblDowntime[[#This Row],[Date]]="","",tblDowntime[[#This Row],[Date]]-WEEKDAY(tblDowntime[[#This Row],[Date]],2)+1)</f>
        <v>46272</v>
      </c>
      <c r="P44" s="40">
        <f>IF(tblDowntime[[#This Row],[Date]]="","",IF(AND(tblDowntime[[#This Row],[Date]]&gt;=FFrom,tblDowntime[[#This Row],[Date]]&lt;=FTo,OR(DashMachine="",tblDowntime[[#This Row],[Machine]]=DashMachine)),tblDowntime[[#This Row],[Date]],""))</f>
        <v>46274</v>
      </c>
      <c r="Q4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4" s="42" t="s">
        <v>140</v>
      </c>
    </row>
    <row r="45" spans="2:18" x14ac:dyDescent="0.25">
      <c r="B45" s="35">
        <v>46274</v>
      </c>
      <c r="C45" s="28" t="s">
        <v>92</v>
      </c>
      <c r="D45" s="28" t="s">
        <v>83</v>
      </c>
      <c r="E45" s="28" t="s">
        <v>102</v>
      </c>
      <c r="F45" s="36">
        <v>0.3194444444444444</v>
      </c>
      <c r="G45" s="36">
        <v>0.3506944444444444</v>
      </c>
      <c r="H45" s="37">
        <f>IF(tblDowntime[[#This Row],[Date]]="","",IF(OR(tblDowntime[[#This Row],[Start]]="",tblDowntime[[#This Row],[End]]=""),"",ROUND(MOD(tblDowntime[[#This Row],[End]]-tblDowntime[[#This Row],[Start]],1)*1440,0)))</f>
        <v>45</v>
      </c>
      <c r="I45" s="38" t="str">
        <f>IF(tblDowntime[[#This Row],[Date]]="","",IFERROR(INDEX(tblReasons[Type],MATCH(tblDowntime[[#This Row],[Reason]],tblReasons[Reason],0)),""))</f>
        <v>Planned</v>
      </c>
      <c r="J45" s="38" t="str">
        <f>IF(tblDowntime[[#This Row],[Date]]="","",IFERROR(INDEX(tblReasons[Loss category],MATCH(tblDowntime[[#This Row],[Reason]],tblReasons[Reason],0)),""))</f>
        <v>Maintenance</v>
      </c>
      <c r="K45" s="37">
        <f>IF(tblDowntime[[#This Row],[Date]]="","",IFERROR(INDEX(tblMachines[Loss rate (per h)],MATCH(tblDowntime[[#This Row],[Machine]],tblMachines[Machine],0)),""))</f>
        <v>620</v>
      </c>
      <c r="L45" s="39">
        <f>IF(tblDowntime[[#This Row],[Date]]="","",IF(OR(tblDowntime[[#This Row],[Minutes]]="",tblDowntime[[#This Row],[Loss rate]]=""),"",tblDowntime[[#This Row],[Minutes]]/60*tblDowntime[[#This Row],[Loss rate]]))</f>
        <v>465</v>
      </c>
      <c r="M45" s="33">
        <v>0</v>
      </c>
      <c r="N45" s="39">
        <f>IF(tblDowntime[[#This Row],[Date]]="","",IF(tblDowntime[[#This Row],[Production loss]]="","",tblDowntime[[#This Row],[Production loss]]+N(tblDowntime[[#This Row],[Repair cost]])))</f>
        <v>465</v>
      </c>
      <c r="O45" s="40">
        <f>IF(tblDowntime[[#This Row],[Date]]="","",tblDowntime[[#This Row],[Date]]-WEEKDAY(tblDowntime[[#This Row],[Date]],2)+1)</f>
        <v>46272</v>
      </c>
      <c r="P45" s="40">
        <f>IF(tblDowntime[[#This Row],[Date]]="","",IF(AND(tblDowntime[[#This Row],[Date]]&gt;=FFrom,tblDowntime[[#This Row],[Date]]&lt;=FTo,OR(DashMachine="",tblDowntime[[#This Row],[Machine]]=DashMachine)),tblDowntime[[#This Row],[Date]],""))</f>
        <v>46274</v>
      </c>
      <c r="Q4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5" s="42" t="s">
        <v>140</v>
      </c>
    </row>
    <row r="46" spans="2:18" x14ac:dyDescent="0.25">
      <c r="B46" s="35">
        <v>46274</v>
      </c>
      <c r="C46" s="28" t="s">
        <v>92</v>
      </c>
      <c r="D46" s="28" t="s">
        <v>83</v>
      </c>
      <c r="E46" s="28" t="s">
        <v>105</v>
      </c>
      <c r="F46" s="36">
        <v>0.3993055555555556</v>
      </c>
      <c r="G46" s="36">
        <v>0.4340277777777778</v>
      </c>
      <c r="H46" s="37">
        <f>IF(tblDowntime[[#This Row],[Date]]="","",IF(OR(tblDowntime[[#This Row],[Start]]="",tblDowntime[[#This Row],[End]]=""),"",ROUND(MOD(tblDowntime[[#This Row],[End]]-tblDowntime[[#This Row],[Start]],1)*1440,0)))</f>
        <v>50</v>
      </c>
      <c r="I46" s="38" t="str">
        <f>IF(tblDowntime[[#This Row],[Date]]="","",IFERROR(INDEX(tblReasons[Type],MATCH(tblDowntime[[#This Row],[Reason]],tblReasons[Reason],0)),""))</f>
        <v>Unplanned</v>
      </c>
      <c r="J46" s="38" t="str">
        <f>IF(tblDowntime[[#This Row],[Date]]="","",IFERROR(INDEX(tblReasons[Loss category],MATCH(tblDowntime[[#This Row],[Reason]],tblReasons[Reason],0)),""))</f>
        <v>Breakdown</v>
      </c>
      <c r="K46" s="37">
        <f>IF(tblDowntime[[#This Row],[Date]]="","",IFERROR(INDEX(tblMachines[Loss rate (per h)],MATCH(tblDowntime[[#This Row],[Machine]],tblMachines[Machine],0)),""))</f>
        <v>620</v>
      </c>
      <c r="L46" s="39">
        <f>IF(tblDowntime[[#This Row],[Date]]="","",IF(OR(tblDowntime[[#This Row],[Minutes]]="",tblDowntime[[#This Row],[Loss rate]]=""),"",tblDowntime[[#This Row],[Minutes]]/60*tblDowntime[[#This Row],[Loss rate]]))</f>
        <v>516.666666666667</v>
      </c>
      <c r="M46" s="33">
        <v>420</v>
      </c>
      <c r="N46" s="39">
        <f>IF(tblDowntime[[#This Row],[Date]]="","",IF(tblDowntime[[#This Row],[Production loss]]="","",tblDowntime[[#This Row],[Production loss]]+N(tblDowntime[[#This Row],[Repair cost]])))</f>
        <v>936.666666666667</v>
      </c>
      <c r="O46" s="40">
        <f>IF(tblDowntime[[#This Row],[Date]]="","",tblDowntime[[#This Row],[Date]]-WEEKDAY(tblDowntime[[#This Row],[Date]],2)+1)</f>
        <v>46272</v>
      </c>
      <c r="P46" s="40">
        <f>IF(tblDowntime[[#This Row],[Date]]="","",IF(AND(tblDowntime[[#This Row],[Date]]&gt;=FFrom,tblDowntime[[#This Row],[Date]]&lt;=FTo,OR(DashMachine="",tblDowntime[[#This Row],[Machine]]=DashMachine)),tblDowntime[[#This Row],[Date]],""))</f>
        <v>46274</v>
      </c>
      <c r="Q4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6" s="42" t="s">
        <v>140</v>
      </c>
    </row>
    <row r="47" spans="2:18" x14ac:dyDescent="0.25">
      <c r="B47" s="35">
        <v>46274</v>
      </c>
      <c r="C47" s="28" t="s">
        <v>92</v>
      </c>
      <c r="D47" s="28" t="s">
        <v>81</v>
      </c>
      <c r="E47" s="28" t="s">
        <v>113</v>
      </c>
      <c r="F47" s="36">
        <v>0.3888888888888889</v>
      </c>
      <c r="G47" s="36">
        <v>0.3993055555555556</v>
      </c>
      <c r="H47" s="37">
        <f>IF(tblDowntime[[#This Row],[Date]]="","",IF(OR(tblDowntime[[#This Row],[Start]]="",tblDowntime[[#This Row],[End]]=""),"",ROUND(MOD(tblDowntime[[#This Row],[End]]-tblDowntime[[#This Row],[Start]],1)*1440,0)))</f>
        <v>15</v>
      </c>
      <c r="I47" s="38" t="str">
        <f>IF(tblDowntime[[#This Row],[Date]]="","",IFERROR(INDEX(tblReasons[Type],MATCH(tblDowntime[[#This Row],[Reason]],tblReasons[Reason],0)),""))</f>
        <v>Unplanned</v>
      </c>
      <c r="J47" s="38" t="str">
        <f>IF(tblDowntime[[#This Row],[Date]]="","",IFERROR(INDEX(tblReasons[Loss category],MATCH(tblDowntime[[#This Row],[Reason]],tblReasons[Reason],0)),""))</f>
        <v>Minor stop</v>
      </c>
      <c r="K47" s="37">
        <f>IF(tblDowntime[[#This Row],[Date]]="","",IFERROR(INDEX(tblMachines[Loss rate (per h)],MATCH(tblDowntime[[#This Row],[Machine]],tblMachines[Machine],0)),""))</f>
        <v>950</v>
      </c>
      <c r="L47" s="39">
        <f>IF(tblDowntime[[#This Row],[Date]]="","",IF(OR(tblDowntime[[#This Row],[Minutes]]="",tblDowntime[[#This Row],[Loss rate]]=""),"",tblDowntime[[#This Row],[Minutes]]/60*tblDowntime[[#This Row],[Loss rate]]))</f>
        <v>237.5</v>
      </c>
      <c r="M47" s="33">
        <v>0</v>
      </c>
      <c r="N47" s="39">
        <f>IF(tblDowntime[[#This Row],[Date]]="","",IF(tblDowntime[[#This Row],[Production loss]]="","",tblDowntime[[#This Row],[Production loss]]+N(tblDowntime[[#This Row],[Repair cost]])))</f>
        <v>237.5</v>
      </c>
      <c r="O47" s="40">
        <f>IF(tblDowntime[[#This Row],[Date]]="","",tblDowntime[[#This Row],[Date]]-WEEKDAY(tblDowntime[[#This Row],[Date]],2)+1)</f>
        <v>46272</v>
      </c>
      <c r="P47" s="40">
        <f>IF(tblDowntime[[#This Row],[Date]]="","",IF(AND(tblDowntime[[#This Row],[Date]]&gt;=FFrom,tblDowntime[[#This Row],[Date]]&lt;=FTo,OR(DashMachine="",tblDowntime[[#This Row],[Machine]]=DashMachine)),tblDowntime[[#This Row],[Date]],""))</f>
        <v>46274</v>
      </c>
      <c r="Q4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7" s="42" t="s">
        <v>140</v>
      </c>
    </row>
    <row r="48" spans="2:18" x14ac:dyDescent="0.25">
      <c r="B48" s="35">
        <v>46274</v>
      </c>
      <c r="C48" s="28" t="s">
        <v>92</v>
      </c>
      <c r="D48" s="28" t="s">
        <v>89</v>
      </c>
      <c r="E48" s="28" t="s">
        <v>102</v>
      </c>
      <c r="F48" s="36">
        <v>0.4166666666666667</v>
      </c>
      <c r="G48" s="36">
        <v>0.4479166666666667</v>
      </c>
      <c r="H48" s="37">
        <f>IF(tblDowntime[[#This Row],[Date]]="","",IF(OR(tblDowntime[[#This Row],[Start]]="",tblDowntime[[#This Row],[End]]=""),"",ROUND(MOD(tblDowntime[[#This Row],[End]]-tblDowntime[[#This Row],[Start]],1)*1440,0)))</f>
        <v>45</v>
      </c>
      <c r="I48" s="38" t="str">
        <f>IF(tblDowntime[[#This Row],[Date]]="","",IFERROR(INDEX(tblReasons[Type],MATCH(tblDowntime[[#This Row],[Reason]],tblReasons[Reason],0)),""))</f>
        <v>Planned</v>
      </c>
      <c r="J48" s="38" t="str">
        <f>IF(tblDowntime[[#This Row],[Date]]="","",IFERROR(INDEX(tblReasons[Loss category],MATCH(tblDowntime[[#This Row],[Reason]],tblReasons[Reason],0)),""))</f>
        <v>Maintenance</v>
      </c>
      <c r="K48" s="37">
        <f>IF(tblDowntime[[#This Row],[Date]]="","",IFERROR(INDEX(tblMachines[Loss rate (per h)],MATCH(tblDowntime[[#This Row],[Machine]],tblMachines[Machine],0)),""))</f>
        <v>540</v>
      </c>
      <c r="L48" s="39">
        <f>IF(tblDowntime[[#This Row],[Date]]="","",IF(OR(tblDowntime[[#This Row],[Minutes]]="",tblDowntime[[#This Row],[Loss rate]]=""),"",tblDowntime[[#This Row],[Minutes]]/60*tblDowntime[[#This Row],[Loss rate]]))</f>
        <v>405</v>
      </c>
      <c r="M48" s="33">
        <v>0</v>
      </c>
      <c r="N48" s="39">
        <f>IF(tblDowntime[[#This Row],[Date]]="","",IF(tblDowntime[[#This Row],[Production loss]]="","",tblDowntime[[#This Row],[Production loss]]+N(tblDowntime[[#This Row],[Repair cost]])))</f>
        <v>405</v>
      </c>
      <c r="O48" s="40">
        <f>IF(tblDowntime[[#This Row],[Date]]="","",tblDowntime[[#This Row],[Date]]-WEEKDAY(tblDowntime[[#This Row],[Date]],2)+1)</f>
        <v>46272</v>
      </c>
      <c r="P48" s="40">
        <f>IF(tblDowntime[[#This Row],[Date]]="","",IF(AND(tblDowntime[[#This Row],[Date]]&gt;=FFrom,tblDowntime[[#This Row],[Date]]&lt;=FTo,OR(DashMachine="",tblDowntime[[#This Row],[Machine]]=DashMachine)),tblDowntime[[#This Row],[Date]],""))</f>
        <v>46274</v>
      </c>
      <c r="Q4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8" s="42" t="s">
        <v>140</v>
      </c>
    </row>
    <row r="49" spans="2:18" x14ac:dyDescent="0.25">
      <c r="B49" s="35">
        <v>46274</v>
      </c>
      <c r="C49" s="28" t="s">
        <v>95</v>
      </c>
      <c r="D49" s="28" t="s">
        <v>83</v>
      </c>
      <c r="E49" s="28" t="s">
        <v>98</v>
      </c>
      <c r="F49" s="36">
        <v>0.6666666666666666</v>
      </c>
      <c r="G49" s="36">
        <v>0.6909722222222222</v>
      </c>
      <c r="H49" s="37">
        <f>IF(tblDowntime[[#This Row],[Date]]="","",IF(OR(tblDowntime[[#This Row],[Start]]="",tblDowntime[[#This Row],[End]]=""),"",ROUND(MOD(tblDowntime[[#This Row],[End]]-tblDowntime[[#This Row],[Start]],1)*1440,0)))</f>
        <v>35</v>
      </c>
      <c r="I49" s="38" t="str">
        <f>IF(tblDowntime[[#This Row],[Date]]="","",IFERROR(INDEX(tblReasons[Type],MATCH(tblDowntime[[#This Row],[Reason]],tblReasons[Reason],0)),""))</f>
        <v>Planned</v>
      </c>
      <c r="J49" s="38" t="str">
        <f>IF(tblDowntime[[#This Row],[Date]]="","",IFERROR(INDEX(tblReasons[Loss category],MATCH(tblDowntime[[#This Row],[Reason]],tblReasons[Reason],0)),""))</f>
        <v>Changeover</v>
      </c>
      <c r="K49" s="37">
        <f>IF(tblDowntime[[#This Row],[Date]]="","",IFERROR(INDEX(tblMachines[Loss rate (per h)],MATCH(tblDowntime[[#This Row],[Machine]],tblMachines[Machine],0)),""))</f>
        <v>620</v>
      </c>
      <c r="L49" s="39">
        <f>IF(tblDowntime[[#This Row],[Date]]="","",IF(OR(tblDowntime[[#This Row],[Minutes]]="",tblDowntime[[#This Row],[Loss rate]]=""),"",tblDowntime[[#This Row],[Minutes]]/60*tblDowntime[[#This Row],[Loss rate]]))</f>
        <v>361.666666666667</v>
      </c>
      <c r="M49" s="33">
        <v>0</v>
      </c>
      <c r="N49" s="39">
        <f>IF(tblDowntime[[#This Row],[Date]]="","",IF(tblDowntime[[#This Row],[Production loss]]="","",tblDowntime[[#This Row],[Production loss]]+N(tblDowntime[[#This Row],[Repair cost]])))</f>
        <v>361.666666666667</v>
      </c>
      <c r="O49" s="40">
        <f>IF(tblDowntime[[#This Row],[Date]]="","",tblDowntime[[#This Row],[Date]]-WEEKDAY(tblDowntime[[#This Row],[Date]],2)+1)</f>
        <v>46272</v>
      </c>
      <c r="P49" s="40">
        <f>IF(tblDowntime[[#This Row],[Date]]="","",IF(AND(tblDowntime[[#This Row],[Date]]&gt;=FFrom,tblDowntime[[#This Row],[Date]]&lt;=FTo,OR(DashMachine="",tblDowntime[[#This Row],[Machine]]=DashMachine)),tblDowntime[[#This Row],[Date]],""))</f>
        <v>46274</v>
      </c>
      <c r="Q4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49" s="42" t="s">
        <v>139</v>
      </c>
    </row>
    <row r="50" spans="2:18" x14ac:dyDescent="0.25">
      <c r="B50" s="35">
        <v>46274</v>
      </c>
      <c r="C50" s="28" t="s">
        <v>95</v>
      </c>
      <c r="D50" s="28" t="s">
        <v>81</v>
      </c>
      <c r="E50" s="28" t="s">
        <v>113</v>
      </c>
      <c r="F50" s="36">
        <v>0.6111111111111112</v>
      </c>
      <c r="G50" s="36">
        <v>0.6180555555555556</v>
      </c>
      <c r="H50" s="37">
        <f>IF(tblDowntime[[#This Row],[Date]]="","",IF(OR(tblDowntime[[#This Row],[Start]]="",tblDowntime[[#This Row],[End]]=""),"",ROUND(MOD(tblDowntime[[#This Row],[End]]-tblDowntime[[#This Row],[Start]],1)*1440,0)))</f>
        <v>10</v>
      </c>
      <c r="I50" s="38" t="str">
        <f>IF(tblDowntime[[#This Row],[Date]]="","",IFERROR(INDEX(tblReasons[Type],MATCH(tblDowntime[[#This Row],[Reason]],tblReasons[Reason],0)),""))</f>
        <v>Unplanned</v>
      </c>
      <c r="J50" s="38" t="str">
        <f>IF(tblDowntime[[#This Row],[Date]]="","",IFERROR(INDEX(tblReasons[Loss category],MATCH(tblDowntime[[#This Row],[Reason]],tblReasons[Reason],0)),""))</f>
        <v>Minor stop</v>
      </c>
      <c r="K50" s="37">
        <f>IF(tblDowntime[[#This Row],[Date]]="","",IFERROR(INDEX(tblMachines[Loss rate (per h)],MATCH(tblDowntime[[#This Row],[Machine]],tblMachines[Machine],0)),""))</f>
        <v>950</v>
      </c>
      <c r="L50" s="39">
        <f>IF(tblDowntime[[#This Row],[Date]]="","",IF(OR(tblDowntime[[#This Row],[Minutes]]="",tblDowntime[[#This Row],[Loss rate]]=""),"",tblDowntime[[#This Row],[Minutes]]/60*tblDowntime[[#This Row],[Loss rate]]))</f>
        <v>158.333333333333</v>
      </c>
      <c r="M50" s="33">
        <v>0</v>
      </c>
      <c r="N50" s="39">
        <f>IF(tblDowntime[[#This Row],[Date]]="","",IF(tblDowntime[[#This Row],[Production loss]]="","",tblDowntime[[#This Row],[Production loss]]+N(tblDowntime[[#This Row],[Repair cost]])))</f>
        <v>158.333333333333</v>
      </c>
      <c r="O50" s="40">
        <f>IF(tblDowntime[[#This Row],[Date]]="","",tblDowntime[[#This Row],[Date]]-WEEKDAY(tblDowntime[[#This Row],[Date]],2)+1)</f>
        <v>46272</v>
      </c>
      <c r="P50" s="40">
        <f>IF(tblDowntime[[#This Row],[Date]]="","",IF(AND(tblDowntime[[#This Row],[Date]]&gt;=FFrom,tblDowntime[[#This Row],[Date]]&lt;=FTo,OR(DashMachine="",tblDowntime[[#This Row],[Machine]]=DashMachine)),tblDowntime[[#This Row],[Date]],""))</f>
        <v>46274</v>
      </c>
      <c r="Q5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0" s="42" t="s">
        <v>140</v>
      </c>
    </row>
    <row r="51" spans="2:18" x14ac:dyDescent="0.25">
      <c r="B51" s="35">
        <v>46274</v>
      </c>
      <c r="C51" s="28" t="s">
        <v>95</v>
      </c>
      <c r="D51" s="28" t="s">
        <v>89</v>
      </c>
      <c r="E51" s="28" t="s">
        <v>122</v>
      </c>
      <c r="F51" s="36">
        <v>0.6944444444444444</v>
      </c>
      <c r="G51" s="36">
        <v>0.7083333333333334</v>
      </c>
      <c r="H51" s="37">
        <f>IF(tblDowntime[[#This Row],[Date]]="","",IF(OR(tblDowntime[[#This Row],[Start]]="",tblDowntime[[#This Row],[End]]=""),"",ROUND(MOD(tblDowntime[[#This Row],[End]]-tblDowntime[[#This Row],[Start]],1)*1440,0)))</f>
        <v>20</v>
      </c>
      <c r="I51" s="38" t="str">
        <f>IF(tblDowntime[[#This Row],[Date]]="","",IFERROR(INDEX(tblReasons[Type],MATCH(tblDowntime[[#This Row],[Reason]],tblReasons[Reason],0)),""))</f>
        <v>Unplanned</v>
      </c>
      <c r="J51" s="38" t="str">
        <f>IF(tblDowntime[[#This Row],[Date]]="","",IFERROR(INDEX(tblReasons[Loss category],MATCH(tblDowntime[[#This Row],[Reason]],tblReasons[Reason],0)),""))</f>
        <v>Labour</v>
      </c>
      <c r="K51" s="37">
        <f>IF(tblDowntime[[#This Row],[Date]]="","",IFERROR(INDEX(tblMachines[Loss rate (per h)],MATCH(tblDowntime[[#This Row],[Machine]],tblMachines[Machine],0)),""))</f>
        <v>540</v>
      </c>
      <c r="L51" s="39">
        <f>IF(tblDowntime[[#This Row],[Date]]="","",IF(OR(tblDowntime[[#This Row],[Minutes]]="",tblDowntime[[#This Row],[Loss rate]]=""),"",tblDowntime[[#This Row],[Minutes]]/60*tblDowntime[[#This Row],[Loss rate]]))</f>
        <v>180</v>
      </c>
      <c r="M51" s="33">
        <v>0</v>
      </c>
      <c r="N51" s="39">
        <f>IF(tblDowntime[[#This Row],[Date]]="","",IF(tblDowntime[[#This Row],[Production loss]]="","",tblDowntime[[#This Row],[Production loss]]+N(tblDowntime[[#This Row],[Repair cost]])))</f>
        <v>180</v>
      </c>
      <c r="O51" s="40">
        <f>IF(tblDowntime[[#This Row],[Date]]="","",tblDowntime[[#This Row],[Date]]-WEEKDAY(tblDowntime[[#This Row],[Date]],2)+1)</f>
        <v>46272</v>
      </c>
      <c r="P51" s="40">
        <f>IF(tblDowntime[[#This Row],[Date]]="","",IF(AND(tblDowntime[[#This Row],[Date]]&gt;=FFrom,tblDowntime[[#This Row],[Date]]&lt;=FTo,OR(DashMachine="",tblDowntime[[#This Row],[Machine]]=DashMachine)),tblDowntime[[#This Row],[Date]],""))</f>
        <v>46274</v>
      </c>
      <c r="Q5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1" s="42" t="s">
        <v>140</v>
      </c>
    </row>
    <row r="52" spans="2:18" x14ac:dyDescent="0.25">
      <c r="B52" s="35">
        <v>46275</v>
      </c>
      <c r="C52" s="28" t="s">
        <v>92</v>
      </c>
      <c r="D52" s="28" t="s">
        <v>87</v>
      </c>
      <c r="E52" s="28" t="s">
        <v>125</v>
      </c>
      <c r="F52" s="36">
        <v>0.3333333333333333</v>
      </c>
      <c r="G52" s="36">
        <v>0.34375</v>
      </c>
      <c r="H52" s="37">
        <f>IF(tblDowntime[[#This Row],[Date]]="","",IF(OR(tblDowntime[[#This Row],[Start]]="",tblDowntime[[#This Row],[End]]=""),"",ROUND(MOD(tblDowntime[[#This Row],[End]]-tblDowntime[[#This Row],[Start]],1)*1440,0)))</f>
        <v>15</v>
      </c>
      <c r="I52" s="38" t="str">
        <f>IF(tblDowntime[[#This Row],[Date]]="","",IFERROR(INDEX(tblReasons[Type],MATCH(tblDowntime[[#This Row],[Reason]],tblReasons[Reason],0)),""))</f>
        <v>Unplanned</v>
      </c>
      <c r="J52" s="38" t="str">
        <f>IF(tblDowntime[[#This Row],[Date]]="","",IFERROR(INDEX(tblReasons[Loss category],MATCH(tblDowntime[[#This Row],[Reason]],tblReasons[Reason],0)),""))</f>
        <v>Other</v>
      </c>
      <c r="K52" s="37">
        <f>IF(tblDowntime[[#This Row],[Date]]="","",IFERROR(INDEX(tblMachines[Loss rate (per h)],MATCH(tblDowntime[[#This Row],[Machine]],tblMachines[Machine],0)),""))</f>
        <v>260</v>
      </c>
      <c r="L52" s="39">
        <f>IF(tblDowntime[[#This Row],[Date]]="","",IF(OR(tblDowntime[[#This Row],[Minutes]]="",tblDowntime[[#This Row],[Loss rate]]=""),"",tblDowntime[[#This Row],[Minutes]]/60*tblDowntime[[#This Row],[Loss rate]]))</f>
        <v>65</v>
      </c>
      <c r="M52" s="33">
        <v>0</v>
      </c>
      <c r="N52" s="39">
        <f>IF(tblDowntime[[#This Row],[Date]]="","",IF(tblDowntime[[#This Row],[Production loss]]="","",tblDowntime[[#This Row],[Production loss]]+N(tblDowntime[[#This Row],[Repair cost]])))</f>
        <v>65</v>
      </c>
      <c r="O52" s="40">
        <f>IF(tblDowntime[[#This Row],[Date]]="","",tblDowntime[[#This Row],[Date]]-WEEKDAY(tblDowntime[[#This Row],[Date]],2)+1)</f>
        <v>46272</v>
      </c>
      <c r="P52" s="40">
        <f>IF(tblDowntime[[#This Row],[Date]]="","",IF(AND(tblDowntime[[#This Row],[Date]]&gt;=FFrom,tblDowntime[[#This Row],[Date]]&lt;=FTo,OR(DashMachine="",tblDowntime[[#This Row],[Machine]]=DashMachine)),tblDowntime[[#This Row],[Date]],""))</f>
        <v>46275</v>
      </c>
      <c r="Q5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2" s="42" t="s">
        <v>140</v>
      </c>
    </row>
    <row r="53" spans="2:18" x14ac:dyDescent="0.25">
      <c r="B53" s="35">
        <v>46275</v>
      </c>
      <c r="C53" s="28" t="s">
        <v>92</v>
      </c>
      <c r="D53" s="28" t="s">
        <v>89</v>
      </c>
      <c r="E53" s="28" t="s">
        <v>125</v>
      </c>
      <c r="F53" s="36">
        <v>0.3888888888888889</v>
      </c>
      <c r="G53" s="36">
        <v>0.3958333333333333</v>
      </c>
      <c r="H53" s="37">
        <f>IF(tblDowntime[[#This Row],[Date]]="","",IF(OR(tblDowntime[[#This Row],[Start]]="",tblDowntime[[#This Row],[End]]=""),"",ROUND(MOD(tblDowntime[[#This Row],[End]]-tblDowntime[[#This Row],[Start]],1)*1440,0)))</f>
        <v>10</v>
      </c>
      <c r="I53" s="38" t="str">
        <f>IF(tblDowntime[[#This Row],[Date]]="","",IFERROR(INDEX(tblReasons[Type],MATCH(tblDowntime[[#This Row],[Reason]],tblReasons[Reason],0)),""))</f>
        <v>Unplanned</v>
      </c>
      <c r="J53" s="38" t="str">
        <f>IF(tblDowntime[[#This Row],[Date]]="","",IFERROR(INDEX(tblReasons[Loss category],MATCH(tblDowntime[[#This Row],[Reason]],tblReasons[Reason],0)),""))</f>
        <v>Other</v>
      </c>
      <c r="K53" s="37">
        <f>IF(tblDowntime[[#This Row],[Date]]="","",IFERROR(INDEX(tblMachines[Loss rate (per h)],MATCH(tblDowntime[[#This Row],[Machine]],tblMachines[Machine],0)),""))</f>
        <v>540</v>
      </c>
      <c r="L53" s="39">
        <f>IF(tblDowntime[[#This Row],[Date]]="","",IF(OR(tblDowntime[[#This Row],[Minutes]]="",tblDowntime[[#This Row],[Loss rate]]=""),"",tblDowntime[[#This Row],[Minutes]]/60*tblDowntime[[#This Row],[Loss rate]]))</f>
        <v>90</v>
      </c>
      <c r="M53" s="33">
        <v>0</v>
      </c>
      <c r="N53" s="39">
        <f>IF(tblDowntime[[#This Row],[Date]]="","",IF(tblDowntime[[#This Row],[Production loss]]="","",tblDowntime[[#This Row],[Production loss]]+N(tblDowntime[[#This Row],[Repair cost]])))</f>
        <v>90</v>
      </c>
      <c r="O53" s="40">
        <f>IF(tblDowntime[[#This Row],[Date]]="","",tblDowntime[[#This Row],[Date]]-WEEKDAY(tblDowntime[[#This Row],[Date]],2)+1)</f>
        <v>46272</v>
      </c>
      <c r="P53" s="40">
        <f>IF(tblDowntime[[#This Row],[Date]]="","",IF(AND(tblDowntime[[#This Row],[Date]]&gt;=FFrom,tblDowntime[[#This Row],[Date]]&lt;=FTo,OR(DashMachine="",tblDowntime[[#This Row],[Machine]]=DashMachine)),tblDowntime[[#This Row],[Date]],""))</f>
        <v>46275</v>
      </c>
      <c r="Q5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3" s="42" t="s">
        <v>140</v>
      </c>
    </row>
    <row r="54" spans="2:18" x14ac:dyDescent="0.25">
      <c r="B54" s="35">
        <v>46275</v>
      </c>
      <c r="C54" s="28" t="s">
        <v>95</v>
      </c>
      <c r="D54" s="28" t="s">
        <v>87</v>
      </c>
      <c r="E54" s="28" t="s">
        <v>122</v>
      </c>
      <c r="F54" s="36">
        <v>0.6805555555555556</v>
      </c>
      <c r="G54" s="36">
        <v>0.6909722222222222</v>
      </c>
      <c r="H54" s="37">
        <f>IF(tblDowntime[[#This Row],[Date]]="","",IF(OR(tblDowntime[[#This Row],[Start]]="",tblDowntime[[#This Row],[End]]=""),"",ROUND(MOD(tblDowntime[[#This Row],[End]]-tblDowntime[[#This Row],[Start]],1)*1440,0)))</f>
        <v>15</v>
      </c>
      <c r="I54" s="38" t="str">
        <f>IF(tblDowntime[[#This Row],[Date]]="","",IFERROR(INDEX(tblReasons[Type],MATCH(tblDowntime[[#This Row],[Reason]],tblReasons[Reason],0)),""))</f>
        <v>Unplanned</v>
      </c>
      <c r="J54" s="38" t="str">
        <f>IF(tblDowntime[[#This Row],[Date]]="","",IFERROR(INDEX(tblReasons[Loss category],MATCH(tblDowntime[[#This Row],[Reason]],tblReasons[Reason],0)),""))</f>
        <v>Labour</v>
      </c>
      <c r="K54" s="37">
        <f>IF(tblDowntime[[#This Row],[Date]]="","",IFERROR(INDEX(tblMachines[Loss rate (per h)],MATCH(tblDowntime[[#This Row],[Machine]],tblMachines[Machine],0)),""))</f>
        <v>260</v>
      </c>
      <c r="L54" s="39">
        <f>IF(tblDowntime[[#This Row],[Date]]="","",IF(OR(tblDowntime[[#This Row],[Minutes]]="",tblDowntime[[#This Row],[Loss rate]]=""),"",tblDowntime[[#This Row],[Minutes]]/60*tblDowntime[[#This Row],[Loss rate]]))</f>
        <v>65</v>
      </c>
      <c r="M54" s="33">
        <v>0</v>
      </c>
      <c r="N54" s="39">
        <f>IF(tblDowntime[[#This Row],[Date]]="","",IF(tblDowntime[[#This Row],[Production loss]]="","",tblDowntime[[#This Row],[Production loss]]+N(tblDowntime[[#This Row],[Repair cost]])))</f>
        <v>65</v>
      </c>
      <c r="O54" s="40">
        <f>IF(tblDowntime[[#This Row],[Date]]="","",tblDowntime[[#This Row],[Date]]-WEEKDAY(tblDowntime[[#This Row],[Date]],2)+1)</f>
        <v>46272</v>
      </c>
      <c r="P54" s="40">
        <f>IF(tblDowntime[[#This Row],[Date]]="","",IF(AND(tblDowntime[[#This Row],[Date]]&gt;=FFrom,tblDowntime[[#This Row],[Date]]&lt;=FTo,OR(DashMachine="",tblDowntime[[#This Row],[Machine]]=DashMachine)),tblDowntime[[#This Row],[Date]],""))</f>
        <v>46275</v>
      </c>
      <c r="Q5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4" s="42" t="s">
        <v>140</v>
      </c>
    </row>
    <row r="55" spans="2:18" x14ac:dyDescent="0.25">
      <c r="B55" s="35">
        <v>46275</v>
      </c>
      <c r="C55" s="28" t="s">
        <v>95</v>
      </c>
      <c r="D55" s="28" t="s">
        <v>83</v>
      </c>
      <c r="E55" s="28" t="s">
        <v>122</v>
      </c>
      <c r="F55" s="36">
        <v>0.6527777777777778</v>
      </c>
      <c r="G55" s="36">
        <v>0.6666666666666666</v>
      </c>
      <c r="H55" s="37">
        <f>IF(tblDowntime[[#This Row],[Date]]="","",IF(OR(tblDowntime[[#This Row],[Start]]="",tblDowntime[[#This Row],[End]]=""),"",ROUND(MOD(tblDowntime[[#This Row],[End]]-tblDowntime[[#This Row],[Start]],1)*1440,0)))</f>
        <v>20</v>
      </c>
      <c r="I55" s="38" t="str">
        <f>IF(tblDowntime[[#This Row],[Date]]="","",IFERROR(INDEX(tblReasons[Type],MATCH(tblDowntime[[#This Row],[Reason]],tblReasons[Reason],0)),""))</f>
        <v>Unplanned</v>
      </c>
      <c r="J55" s="38" t="str">
        <f>IF(tblDowntime[[#This Row],[Date]]="","",IFERROR(INDEX(tblReasons[Loss category],MATCH(tblDowntime[[#This Row],[Reason]],tblReasons[Reason],0)),""))</f>
        <v>Labour</v>
      </c>
      <c r="K55" s="37">
        <f>IF(tblDowntime[[#This Row],[Date]]="","",IFERROR(INDEX(tblMachines[Loss rate (per h)],MATCH(tblDowntime[[#This Row],[Machine]],tblMachines[Machine],0)),""))</f>
        <v>620</v>
      </c>
      <c r="L55" s="39">
        <f>IF(tblDowntime[[#This Row],[Date]]="","",IF(OR(tblDowntime[[#This Row],[Minutes]]="",tblDowntime[[#This Row],[Loss rate]]=""),"",tblDowntime[[#This Row],[Minutes]]/60*tblDowntime[[#This Row],[Loss rate]]))</f>
        <v>206.666666666667</v>
      </c>
      <c r="M55" s="33">
        <v>0</v>
      </c>
      <c r="N55" s="39">
        <f>IF(tblDowntime[[#This Row],[Date]]="","",IF(tblDowntime[[#This Row],[Production loss]]="","",tblDowntime[[#This Row],[Production loss]]+N(tblDowntime[[#This Row],[Repair cost]])))</f>
        <v>206.666666666667</v>
      </c>
      <c r="O55" s="40">
        <f>IF(tblDowntime[[#This Row],[Date]]="","",tblDowntime[[#This Row],[Date]]-WEEKDAY(tblDowntime[[#This Row],[Date]],2)+1)</f>
        <v>46272</v>
      </c>
      <c r="P55" s="40">
        <f>IF(tblDowntime[[#This Row],[Date]]="","",IF(AND(tblDowntime[[#This Row],[Date]]&gt;=FFrom,tblDowntime[[#This Row],[Date]]&lt;=FTo,OR(DashMachine="",tblDowntime[[#This Row],[Machine]]=DashMachine)),tblDowntime[[#This Row],[Date]],""))</f>
        <v>46275</v>
      </c>
      <c r="Q5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5" s="42" t="s">
        <v>140</v>
      </c>
    </row>
    <row r="56" spans="2:18" x14ac:dyDescent="0.25">
      <c r="B56" s="35">
        <v>46275</v>
      </c>
      <c r="C56" s="28" t="s">
        <v>95</v>
      </c>
      <c r="D56" s="28" t="s">
        <v>81</v>
      </c>
      <c r="E56" s="28" t="s">
        <v>98</v>
      </c>
      <c r="F56" s="36">
        <v>0.6944444444444444</v>
      </c>
      <c r="G56" s="36">
        <v>0.7326388888888888</v>
      </c>
      <c r="H56" s="37">
        <f>IF(tblDowntime[[#This Row],[Date]]="","",IF(OR(tblDowntime[[#This Row],[Start]]="",tblDowntime[[#This Row],[End]]=""),"",ROUND(MOD(tblDowntime[[#This Row],[End]]-tblDowntime[[#This Row],[Start]],1)*1440,0)))</f>
        <v>55</v>
      </c>
      <c r="I56" s="38" t="str">
        <f>IF(tblDowntime[[#This Row],[Date]]="","",IFERROR(INDEX(tblReasons[Type],MATCH(tblDowntime[[#This Row],[Reason]],tblReasons[Reason],0)),""))</f>
        <v>Planned</v>
      </c>
      <c r="J56" s="38" t="str">
        <f>IF(tblDowntime[[#This Row],[Date]]="","",IFERROR(INDEX(tblReasons[Loss category],MATCH(tblDowntime[[#This Row],[Reason]],tblReasons[Reason],0)),""))</f>
        <v>Changeover</v>
      </c>
      <c r="K56" s="37">
        <f>IF(tblDowntime[[#This Row],[Date]]="","",IFERROR(INDEX(tblMachines[Loss rate (per h)],MATCH(tblDowntime[[#This Row],[Machine]],tblMachines[Machine],0)),""))</f>
        <v>950</v>
      </c>
      <c r="L56" s="39">
        <f>IF(tblDowntime[[#This Row],[Date]]="","",IF(OR(tblDowntime[[#This Row],[Minutes]]="",tblDowntime[[#This Row],[Loss rate]]=""),"",tblDowntime[[#This Row],[Minutes]]/60*tblDowntime[[#This Row],[Loss rate]]))</f>
        <v>870.833333333333</v>
      </c>
      <c r="M56" s="33">
        <v>0</v>
      </c>
      <c r="N56" s="39">
        <f>IF(tblDowntime[[#This Row],[Date]]="","",IF(tblDowntime[[#This Row],[Production loss]]="","",tblDowntime[[#This Row],[Production loss]]+N(tblDowntime[[#This Row],[Repair cost]])))</f>
        <v>870.833333333333</v>
      </c>
      <c r="O56" s="40">
        <f>IF(tblDowntime[[#This Row],[Date]]="","",tblDowntime[[#This Row],[Date]]-WEEKDAY(tblDowntime[[#This Row],[Date]],2)+1)</f>
        <v>46272</v>
      </c>
      <c r="P56" s="40">
        <f>IF(tblDowntime[[#This Row],[Date]]="","",IF(AND(tblDowntime[[#This Row],[Date]]&gt;=FFrom,tblDowntime[[#This Row],[Date]]&lt;=FTo,OR(DashMachine="",tblDowntime[[#This Row],[Machine]]=DashMachine)),tblDowntime[[#This Row],[Date]],""))</f>
        <v>46275</v>
      </c>
      <c r="Q5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6" s="42" t="s">
        <v>139</v>
      </c>
    </row>
    <row r="57" spans="2:18" x14ac:dyDescent="0.25">
      <c r="B57" s="35">
        <v>46275</v>
      </c>
      <c r="C57" s="28" t="s">
        <v>95</v>
      </c>
      <c r="D57" s="28" t="s">
        <v>81</v>
      </c>
      <c r="E57" s="28" t="s">
        <v>105</v>
      </c>
      <c r="F57" s="36">
        <v>0.78125</v>
      </c>
      <c r="G57" s="36">
        <v>0.8472222222222222</v>
      </c>
      <c r="H57" s="37">
        <f>IF(tblDowntime[[#This Row],[Date]]="","",IF(OR(tblDowntime[[#This Row],[Start]]="",tblDowntime[[#This Row],[End]]=""),"",ROUND(MOD(tblDowntime[[#This Row],[End]]-tblDowntime[[#This Row],[Start]],1)*1440,0)))</f>
        <v>95</v>
      </c>
      <c r="I57" s="38" t="str">
        <f>IF(tblDowntime[[#This Row],[Date]]="","",IFERROR(INDEX(tblReasons[Type],MATCH(tblDowntime[[#This Row],[Reason]],tblReasons[Reason],0)),""))</f>
        <v>Unplanned</v>
      </c>
      <c r="J57" s="38" t="str">
        <f>IF(tblDowntime[[#This Row],[Date]]="","",IFERROR(INDEX(tblReasons[Loss category],MATCH(tblDowntime[[#This Row],[Reason]],tblReasons[Reason],0)),""))</f>
        <v>Breakdown</v>
      </c>
      <c r="K57" s="37">
        <f>IF(tblDowntime[[#This Row],[Date]]="","",IFERROR(INDEX(tblMachines[Loss rate (per h)],MATCH(tblDowntime[[#This Row],[Machine]],tblMachines[Machine],0)),""))</f>
        <v>950</v>
      </c>
      <c r="L57" s="39">
        <f>IF(tblDowntime[[#This Row],[Date]]="","",IF(OR(tblDowntime[[#This Row],[Minutes]]="",tblDowntime[[#This Row],[Loss rate]]=""),"",tblDowntime[[#This Row],[Minutes]]/60*tblDowntime[[#This Row],[Loss rate]]))</f>
        <v>1504.16666666667</v>
      </c>
      <c r="M57" s="33">
        <v>910</v>
      </c>
      <c r="N57" s="39">
        <f>IF(tblDowntime[[#This Row],[Date]]="","",IF(tblDowntime[[#This Row],[Production loss]]="","",tblDowntime[[#This Row],[Production loss]]+N(tblDowntime[[#This Row],[Repair cost]])))</f>
        <v>2414.16666666667</v>
      </c>
      <c r="O57" s="40">
        <f>IF(tblDowntime[[#This Row],[Date]]="","",tblDowntime[[#This Row],[Date]]-WEEKDAY(tblDowntime[[#This Row],[Date]],2)+1)</f>
        <v>46272</v>
      </c>
      <c r="P57" s="40">
        <f>IF(tblDowntime[[#This Row],[Date]]="","",IF(AND(tblDowntime[[#This Row],[Date]]&gt;=FFrom,tblDowntime[[#This Row],[Date]]&lt;=FTo,OR(DashMachine="",tblDowntime[[#This Row],[Machine]]=DashMachine)),tblDowntime[[#This Row],[Date]],""))</f>
        <v>46275</v>
      </c>
      <c r="Q5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7" s="42" t="s">
        <v>140</v>
      </c>
    </row>
    <row r="58" spans="2:18" x14ac:dyDescent="0.25">
      <c r="B58" s="35">
        <v>46275</v>
      </c>
      <c r="C58" s="28" t="s">
        <v>95</v>
      </c>
      <c r="D58" s="28" t="s">
        <v>89</v>
      </c>
      <c r="E58" s="28" t="s">
        <v>116</v>
      </c>
      <c r="F58" s="36">
        <v>0.6388888888888888</v>
      </c>
      <c r="G58" s="36">
        <v>0.6597222222222222</v>
      </c>
      <c r="H58" s="37">
        <f>IF(tblDowntime[[#This Row],[Date]]="","",IF(OR(tblDowntime[[#This Row],[Start]]="",tblDowntime[[#This Row],[End]]=""),"",ROUND(MOD(tblDowntime[[#This Row],[End]]-tblDowntime[[#This Row],[Start]],1)*1440,0)))</f>
        <v>30</v>
      </c>
      <c r="I58" s="38" t="str">
        <f>IF(tblDowntime[[#This Row],[Date]]="","",IFERROR(INDEX(tblReasons[Type],MATCH(tblDowntime[[#This Row],[Reason]],tblReasons[Reason],0)),""))</f>
        <v>Unplanned</v>
      </c>
      <c r="J58" s="38" t="str">
        <f>IF(tblDowntime[[#This Row],[Date]]="","",IFERROR(INDEX(tblReasons[Loss category],MATCH(tblDowntime[[#This Row],[Reason]],tblReasons[Reason],0)),""))</f>
        <v>Material</v>
      </c>
      <c r="K58" s="37">
        <f>IF(tblDowntime[[#This Row],[Date]]="","",IFERROR(INDEX(tblMachines[Loss rate (per h)],MATCH(tblDowntime[[#This Row],[Machine]],tblMachines[Machine],0)),""))</f>
        <v>540</v>
      </c>
      <c r="L58" s="39">
        <f>IF(tblDowntime[[#This Row],[Date]]="","",IF(OR(tblDowntime[[#This Row],[Minutes]]="",tblDowntime[[#This Row],[Loss rate]]=""),"",tblDowntime[[#This Row],[Minutes]]/60*tblDowntime[[#This Row],[Loss rate]]))</f>
        <v>270</v>
      </c>
      <c r="M58" s="33">
        <v>0</v>
      </c>
      <c r="N58" s="39">
        <f>IF(tblDowntime[[#This Row],[Date]]="","",IF(tblDowntime[[#This Row],[Production loss]]="","",tblDowntime[[#This Row],[Production loss]]+N(tblDowntime[[#This Row],[Repair cost]])))</f>
        <v>270</v>
      </c>
      <c r="O58" s="40">
        <f>IF(tblDowntime[[#This Row],[Date]]="","",tblDowntime[[#This Row],[Date]]-WEEKDAY(tblDowntime[[#This Row],[Date]],2)+1)</f>
        <v>46272</v>
      </c>
      <c r="P58" s="40">
        <f>IF(tblDowntime[[#This Row],[Date]]="","",IF(AND(tblDowntime[[#This Row],[Date]]&gt;=FFrom,tblDowntime[[#This Row],[Date]]&lt;=FTo,OR(DashMachine="",tblDowntime[[#This Row],[Machine]]=DashMachine)),tblDowntime[[#This Row],[Date]],""))</f>
        <v>46275</v>
      </c>
      <c r="Q5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8" s="42" t="s">
        <v>140</v>
      </c>
    </row>
    <row r="59" spans="2:18" x14ac:dyDescent="0.25">
      <c r="B59" s="35">
        <v>46276</v>
      </c>
      <c r="C59" s="28" t="s">
        <v>92</v>
      </c>
      <c r="D59" s="28" t="s">
        <v>83</v>
      </c>
      <c r="E59" s="28" t="s">
        <v>98</v>
      </c>
      <c r="F59" s="36">
        <v>0.3611111111111111</v>
      </c>
      <c r="G59" s="36">
        <v>0.3854166666666667</v>
      </c>
      <c r="H59" s="37">
        <f>IF(tblDowntime[[#This Row],[Date]]="","",IF(OR(tblDowntime[[#This Row],[Start]]="",tblDowntime[[#This Row],[End]]=""),"",ROUND(MOD(tblDowntime[[#This Row],[End]]-tblDowntime[[#This Row],[Start]],1)*1440,0)))</f>
        <v>35</v>
      </c>
      <c r="I59" s="38" t="str">
        <f>IF(tblDowntime[[#This Row],[Date]]="","",IFERROR(INDEX(tblReasons[Type],MATCH(tblDowntime[[#This Row],[Reason]],tblReasons[Reason],0)),""))</f>
        <v>Planned</v>
      </c>
      <c r="J59" s="38" t="str">
        <f>IF(tblDowntime[[#This Row],[Date]]="","",IFERROR(INDEX(tblReasons[Loss category],MATCH(tblDowntime[[#This Row],[Reason]],tblReasons[Reason],0)),""))</f>
        <v>Changeover</v>
      </c>
      <c r="K59" s="37">
        <f>IF(tblDowntime[[#This Row],[Date]]="","",IFERROR(INDEX(tblMachines[Loss rate (per h)],MATCH(tblDowntime[[#This Row],[Machine]],tblMachines[Machine],0)),""))</f>
        <v>620</v>
      </c>
      <c r="L59" s="39">
        <f>IF(tblDowntime[[#This Row],[Date]]="","",IF(OR(tblDowntime[[#This Row],[Minutes]]="",tblDowntime[[#This Row],[Loss rate]]=""),"",tblDowntime[[#This Row],[Minutes]]/60*tblDowntime[[#This Row],[Loss rate]]))</f>
        <v>361.666666666667</v>
      </c>
      <c r="M59" s="33">
        <v>0</v>
      </c>
      <c r="N59" s="39">
        <f>IF(tblDowntime[[#This Row],[Date]]="","",IF(tblDowntime[[#This Row],[Production loss]]="","",tblDowntime[[#This Row],[Production loss]]+N(tblDowntime[[#This Row],[Repair cost]])))</f>
        <v>361.666666666667</v>
      </c>
      <c r="O59" s="40">
        <f>IF(tblDowntime[[#This Row],[Date]]="","",tblDowntime[[#This Row],[Date]]-WEEKDAY(tblDowntime[[#This Row],[Date]],2)+1)</f>
        <v>46272</v>
      </c>
      <c r="P59" s="40">
        <f>IF(tblDowntime[[#This Row],[Date]]="","",IF(AND(tblDowntime[[#This Row],[Date]]&gt;=FFrom,tblDowntime[[#This Row],[Date]]&lt;=FTo,OR(DashMachine="",tblDowntime[[#This Row],[Machine]]=DashMachine)),tblDowntime[[#This Row],[Date]],""))</f>
        <v>46276</v>
      </c>
      <c r="Q5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59" s="42" t="s">
        <v>139</v>
      </c>
    </row>
    <row r="60" spans="2:18" x14ac:dyDescent="0.25">
      <c r="B60" s="35">
        <v>46276</v>
      </c>
      <c r="C60" s="28" t="s">
        <v>92</v>
      </c>
      <c r="D60" s="28" t="s">
        <v>83</v>
      </c>
      <c r="E60" s="28" t="s">
        <v>109</v>
      </c>
      <c r="F60" s="36">
        <v>0.4201388888888889</v>
      </c>
      <c r="G60" s="36">
        <v>0.4444444444444444</v>
      </c>
      <c r="H60" s="37">
        <f>IF(tblDowntime[[#This Row],[Date]]="","",IF(OR(tblDowntime[[#This Row],[Start]]="",tblDowntime[[#This Row],[End]]=""),"",ROUND(MOD(tblDowntime[[#This Row],[End]]-tblDowntime[[#This Row],[Start]],1)*1440,0)))</f>
        <v>35</v>
      </c>
      <c r="I60" s="38" t="str">
        <f>IF(tblDowntime[[#This Row],[Date]]="","",IFERROR(INDEX(tblReasons[Type],MATCH(tblDowntime[[#This Row],[Reason]],tblReasons[Reason],0)),""))</f>
        <v>Unplanned</v>
      </c>
      <c r="J60" s="38" t="str">
        <f>IF(tblDowntime[[#This Row],[Date]]="","",IFERROR(INDEX(tblReasons[Loss category],MATCH(tblDowntime[[#This Row],[Reason]],tblReasons[Reason],0)),""))</f>
        <v>Breakdown</v>
      </c>
      <c r="K60" s="37">
        <f>IF(tblDowntime[[#This Row],[Date]]="","",IFERROR(INDEX(tblMachines[Loss rate (per h)],MATCH(tblDowntime[[#This Row],[Machine]],tblMachines[Machine],0)),""))</f>
        <v>620</v>
      </c>
      <c r="L60" s="39">
        <f>IF(tblDowntime[[#This Row],[Date]]="","",IF(OR(tblDowntime[[#This Row],[Minutes]]="",tblDowntime[[#This Row],[Loss rate]]=""),"",tblDowntime[[#This Row],[Minutes]]/60*tblDowntime[[#This Row],[Loss rate]]))</f>
        <v>361.666666666667</v>
      </c>
      <c r="M60" s="33">
        <v>390</v>
      </c>
      <c r="N60" s="39">
        <f>IF(tblDowntime[[#This Row],[Date]]="","",IF(tblDowntime[[#This Row],[Production loss]]="","",tblDowntime[[#This Row],[Production loss]]+N(tblDowntime[[#This Row],[Repair cost]])))</f>
        <v>751.666666666667</v>
      </c>
      <c r="O60" s="40">
        <f>IF(tblDowntime[[#This Row],[Date]]="","",tblDowntime[[#This Row],[Date]]-WEEKDAY(tblDowntime[[#This Row],[Date]],2)+1)</f>
        <v>46272</v>
      </c>
      <c r="P60" s="40">
        <f>IF(tblDowntime[[#This Row],[Date]]="","",IF(AND(tblDowntime[[#This Row],[Date]]&gt;=FFrom,tblDowntime[[#This Row],[Date]]&lt;=FTo,OR(DashMachine="",tblDowntime[[#This Row],[Machine]]=DashMachine)),tblDowntime[[#This Row],[Date]],""))</f>
        <v>46276</v>
      </c>
      <c r="Q6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0" s="42" t="s">
        <v>140</v>
      </c>
    </row>
    <row r="61" spans="2:18" x14ac:dyDescent="0.25">
      <c r="B61" s="35">
        <v>46276</v>
      </c>
      <c r="C61" s="28" t="s">
        <v>92</v>
      </c>
      <c r="D61" s="28" t="s">
        <v>81</v>
      </c>
      <c r="E61" s="28" t="s">
        <v>98</v>
      </c>
      <c r="F61" s="36">
        <v>0.3888888888888889</v>
      </c>
      <c r="G61" s="36">
        <v>0.40625</v>
      </c>
      <c r="H61" s="37">
        <f>IF(tblDowntime[[#This Row],[Date]]="","",IF(OR(tblDowntime[[#This Row],[Start]]="",tblDowntime[[#This Row],[End]]=""),"",ROUND(MOD(tblDowntime[[#This Row],[End]]-tblDowntime[[#This Row],[Start]],1)*1440,0)))</f>
        <v>25</v>
      </c>
      <c r="I61" s="38" t="str">
        <f>IF(tblDowntime[[#This Row],[Date]]="","",IFERROR(INDEX(tblReasons[Type],MATCH(tblDowntime[[#This Row],[Reason]],tblReasons[Reason],0)),""))</f>
        <v>Planned</v>
      </c>
      <c r="J61" s="38" t="str">
        <f>IF(tblDowntime[[#This Row],[Date]]="","",IFERROR(INDEX(tblReasons[Loss category],MATCH(tblDowntime[[#This Row],[Reason]],tblReasons[Reason],0)),""))</f>
        <v>Changeover</v>
      </c>
      <c r="K61" s="37">
        <f>IF(tblDowntime[[#This Row],[Date]]="","",IFERROR(INDEX(tblMachines[Loss rate (per h)],MATCH(tblDowntime[[#This Row],[Machine]],tblMachines[Machine],0)),""))</f>
        <v>950</v>
      </c>
      <c r="L61" s="39">
        <f>IF(tblDowntime[[#This Row],[Date]]="","",IF(OR(tblDowntime[[#This Row],[Minutes]]="",tblDowntime[[#This Row],[Loss rate]]=""),"",tblDowntime[[#This Row],[Minutes]]/60*tblDowntime[[#This Row],[Loss rate]]))</f>
        <v>395.833333333333</v>
      </c>
      <c r="M61" s="33">
        <v>0</v>
      </c>
      <c r="N61" s="39">
        <f>IF(tblDowntime[[#This Row],[Date]]="","",IF(tblDowntime[[#This Row],[Production loss]]="","",tblDowntime[[#This Row],[Production loss]]+N(tblDowntime[[#This Row],[Repair cost]])))</f>
        <v>395.833333333333</v>
      </c>
      <c r="O61" s="40">
        <f>IF(tblDowntime[[#This Row],[Date]]="","",tblDowntime[[#This Row],[Date]]-WEEKDAY(tblDowntime[[#This Row],[Date]],2)+1)</f>
        <v>46272</v>
      </c>
      <c r="P61" s="40">
        <f>IF(tblDowntime[[#This Row],[Date]]="","",IF(AND(tblDowntime[[#This Row],[Date]]&gt;=FFrom,tblDowntime[[#This Row],[Date]]&lt;=FTo,OR(DashMachine="",tblDowntime[[#This Row],[Machine]]=DashMachine)),tblDowntime[[#This Row],[Date]],""))</f>
        <v>46276</v>
      </c>
      <c r="Q6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1" s="42" t="s">
        <v>139</v>
      </c>
    </row>
    <row r="62" spans="2:18" x14ac:dyDescent="0.25">
      <c r="B62" s="35">
        <v>46276</v>
      </c>
      <c r="C62" s="28" t="s">
        <v>95</v>
      </c>
      <c r="D62" s="28" t="s">
        <v>85</v>
      </c>
      <c r="E62" s="28" t="s">
        <v>116</v>
      </c>
      <c r="F62" s="36">
        <v>0.6805555555555556</v>
      </c>
      <c r="G62" s="36">
        <v>0.7118055555555556</v>
      </c>
      <c r="H62" s="37">
        <f>IF(tblDowntime[[#This Row],[Date]]="","",IF(OR(tblDowntime[[#This Row],[Start]]="",tblDowntime[[#This Row],[End]]=""),"",ROUND(MOD(tblDowntime[[#This Row],[End]]-tblDowntime[[#This Row],[Start]],1)*1440,0)))</f>
        <v>45</v>
      </c>
      <c r="I62" s="38" t="str">
        <f>IF(tblDowntime[[#This Row],[Date]]="","",IFERROR(INDEX(tblReasons[Type],MATCH(tblDowntime[[#This Row],[Reason]],tblReasons[Reason],0)),""))</f>
        <v>Unplanned</v>
      </c>
      <c r="J62" s="38" t="str">
        <f>IF(tblDowntime[[#This Row],[Date]]="","",IFERROR(INDEX(tblReasons[Loss category],MATCH(tblDowntime[[#This Row],[Reason]],tblReasons[Reason],0)),""))</f>
        <v>Material</v>
      </c>
      <c r="K62" s="37">
        <f>IF(tblDowntime[[#This Row],[Date]]="","",IFERROR(INDEX(tblMachines[Loss rate (per h)],MATCH(tblDowntime[[#This Row],[Machine]],tblMachines[Machine],0)),""))</f>
        <v>480</v>
      </c>
      <c r="L62" s="39">
        <f>IF(tblDowntime[[#This Row],[Date]]="","",IF(OR(tblDowntime[[#This Row],[Minutes]]="",tblDowntime[[#This Row],[Loss rate]]=""),"",tblDowntime[[#This Row],[Minutes]]/60*tblDowntime[[#This Row],[Loss rate]]))</f>
        <v>360</v>
      </c>
      <c r="M62" s="33">
        <v>0</v>
      </c>
      <c r="N62" s="39">
        <f>IF(tblDowntime[[#This Row],[Date]]="","",IF(tblDowntime[[#This Row],[Production loss]]="","",tblDowntime[[#This Row],[Production loss]]+N(tblDowntime[[#This Row],[Repair cost]])))</f>
        <v>360</v>
      </c>
      <c r="O62" s="40">
        <f>IF(tblDowntime[[#This Row],[Date]]="","",tblDowntime[[#This Row],[Date]]-WEEKDAY(tblDowntime[[#This Row],[Date]],2)+1)</f>
        <v>46272</v>
      </c>
      <c r="P62" s="40">
        <f>IF(tblDowntime[[#This Row],[Date]]="","",IF(AND(tblDowntime[[#This Row],[Date]]&gt;=FFrom,tblDowntime[[#This Row],[Date]]&lt;=FTo,OR(DashMachine="",tblDowntime[[#This Row],[Machine]]=DashMachine)),tblDowntime[[#This Row],[Date]],""))</f>
        <v>46276</v>
      </c>
      <c r="Q6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2" s="42" t="s">
        <v>140</v>
      </c>
    </row>
    <row r="63" spans="2:18" x14ac:dyDescent="0.25">
      <c r="B63" s="35">
        <v>46276</v>
      </c>
      <c r="C63" s="28" t="s">
        <v>95</v>
      </c>
      <c r="D63" s="28" t="s">
        <v>83</v>
      </c>
      <c r="E63" s="28" t="s">
        <v>98</v>
      </c>
      <c r="F63" s="36">
        <v>0.7083333333333334</v>
      </c>
      <c r="G63" s="36">
        <v>0.7361111111111112</v>
      </c>
      <c r="H63" s="37">
        <f>IF(tblDowntime[[#This Row],[Date]]="","",IF(OR(tblDowntime[[#This Row],[Start]]="",tblDowntime[[#This Row],[End]]=""),"",ROUND(MOD(tblDowntime[[#This Row],[End]]-tblDowntime[[#This Row],[Start]],1)*1440,0)))</f>
        <v>40</v>
      </c>
      <c r="I63" s="38" t="str">
        <f>IF(tblDowntime[[#This Row],[Date]]="","",IFERROR(INDEX(tblReasons[Type],MATCH(tblDowntime[[#This Row],[Reason]],tblReasons[Reason],0)),""))</f>
        <v>Planned</v>
      </c>
      <c r="J63" s="38" t="str">
        <f>IF(tblDowntime[[#This Row],[Date]]="","",IFERROR(INDEX(tblReasons[Loss category],MATCH(tblDowntime[[#This Row],[Reason]],tblReasons[Reason],0)),""))</f>
        <v>Changeover</v>
      </c>
      <c r="K63" s="37">
        <f>IF(tblDowntime[[#This Row],[Date]]="","",IFERROR(INDEX(tblMachines[Loss rate (per h)],MATCH(tblDowntime[[#This Row],[Machine]],tblMachines[Machine],0)),""))</f>
        <v>620</v>
      </c>
      <c r="L63" s="39">
        <f>IF(tblDowntime[[#This Row],[Date]]="","",IF(OR(tblDowntime[[#This Row],[Minutes]]="",tblDowntime[[#This Row],[Loss rate]]=""),"",tblDowntime[[#This Row],[Minutes]]/60*tblDowntime[[#This Row],[Loss rate]]))</f>
        <v>413.333333333333</v>
      </c>
      <c r="M63" s="33">
        <v>0</v>
      </c>
      <c r="N63" s="39">
        <f>IF(tblDowntime[[#This Row],[Date]]="","",IF(tblDowntime[[#This Row],[Production loss]]="","",tblDowntime[[#This Row],[Production loss]]+N(tblDowntime[[#This Row],[Repair cost]])))</f>
        <v>413.333333333333</v>
      </c>
      <c r="O63" s="40">
        <f>IF(tblDowntime[[#This Row],[Date]]="","",tblDowntime[[#This Row],[Date]]-WEEKDAY(tblDowntime[[#This Row],[Date]],2)+1)</f>
        <v>46272</v>
      </c>
      <c r="P63" s="40">
        <f>IF(tblDowntime[[#This Row],[Date]]="","",IF(AND(tblDowntime[[#This Row],[Date]]&gt;=FFrom,tblDowntime[[#This Row],[Date]]&lt;=FTo,OR(DashMachine="",tblDowntime[[#This Row],[Machine]]=DashMachine)),tblDowntime[[#This Row],[Date]],""))</f>
        <v>46276</v>
      </c>
      <c r="Q6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3" s="42" t="s">
        <v>139</v>
      </c>
    </row>
    <row r="64" spans="2:18" x14ac:dyDescent="0.25">
      <c r="B64" s="35">
        <v>46276</v>
      </c>
      <c r="C64" s="28" t="s">
        <v>95</v>
      </c>
      <c r="D64" s="28" t="s">
        <v>81</v>
      </c>
      <c r="E64" s="28" t="s">
        <v>122</v>
      </c>
      <c r="F64" s="36">
        <v>0.6527777777777778</v>
      </c>
      <c r="G64" s="36">
        <v>0.6666666666666666</v>
      </c>
      <c r="H64" s="37">
        <f>IF(tblDowntime[[#This Row],[Date]]="","",IF(OR(tblDowntime[[#This Row],[Start]]="",tblDowntime[[#This Row],[End]]=""),"",ROUND(MOD(tblDowntime[[#This Row],[End]]-tblDowntime[[#This Row],[Start]],1)*1440,0)))</f>
        <v>20</v>
      </c>
      <c r="I64" s="38" t="str">
        <f>IF(tblDowntime[[#This Row],[Date]]="","",IFERROR(INDEX(tblReasons[Type],MATCH(tblDowntime[[#This Row],[Reason]],tblReasons[Reason],0)),""))</f>
        <v>Unplanned</v>
      </c>
      <c r="J64" s="38" t="str">
        <f>IF(tblDowntime[[#This Row],[Date]]="","",IFERROR(INDEX(tblReasons[Loss category],MATCH(tblDowntime[[#This Row],[Reason]],tblReasons[Reason],0)),""))</f>
        <v>Labour</v>
      </c>
      <c r="K64" s="37">
        <f>IF(tblDowntime[[#This Row],[Date]]="","",IFERROR(INDEX(tblMachines[Loss rate (per h)],MATCH(tblDowntime[[#This Row],[Machine]],tblMachines[Machine],0)),""))</f>
        <v>950</v>
      </c>
      <c r="L64" s="39">
        <f>IF(tblDowntime[[#This Row],[Date]]="","",IF(OR(tblDowntime[[#This Row],[Minutes]]="",tblDowntime[[#This Row],[Loss rate]]=""),"",tblDowntime[[#This Row],[Minutes]]/60*tblDowntime[[#This Row],[Loss rate]]))</f>
        <v>316.666666666667</v>
      </c>
      <c r="M64" s="33">
        <v>0</v>
      </c>
      <c r="N64" s="39">
        <f>IF(tblDowntime[[#This Row],[Date]]="","",IF(tblDowntime[[#This Row],[Production loss]]="","",tblDowntime[[#This Row],[Production loss]]+N(tblDowntime[[#This Row],[Repair cost]])))</f>
        <v>316.666666666667</v>
      </c>
      <c r="O64" s="40">
        <f>IF(tblDowntime[[#This Row],[Date]]="","",tblDowntime[[#This Row],[Date]]-WEEKDAY(tblDowntime[[#This Row],[Date]],2)+1)</f>
        <v>46272</v>
      </c>
      <c r="P64" s="40">
        <f>IF(tblDowntime[[#This Row],[Date]]="","",IF(AND(tblDowntime[[#This Row],[Date]]&gt;=FFrom,tblDowntime[[#This Row],[Date]]&lt;=FTo,OR(DashMachine="",tblDowntime[[#This Row],[Machine]]=DashMachine)),tblDowntime[[#This Row],[Date]],""))</f>
        <v>46276</v>
      </c>
      <c r="Q6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4" s="42" t="s">
        <v>140</v>
      </c>
    </row>
    <row r="65" spans="2:18" x14ac:dyDescent="0.25">
      <c r="B65" s="35">
        <v>46279</v>
      </c>
      <c r="C65" s="28" t="s">
        <v>92</v>
      </c>
      <c r="D65" s="28" t="s">
        <v>87</v>
      </c>
      <c r="E65" s="28" t="s">
        <v>111</v>
      </c>
      <c r="F65" s="36">
        <v>0.3333333333333333</v>
      </c>
      <c r="G65" s="36">
        <v>0.3472222222222222</v>
      </c>
      <c r="H65" s="37">
        <f>IF(tblDowntime[[#This Row],[Date]]="","",IF(OR(tblDowntime[[#This Row],[Start]]="",tblDowntime[[#This Row],[End]]=""),"",ROUND(MOD(tblDowntime[[#This Row],[End]]-tblDowntime[[#This Row],[Start]],1)*1440,0)))</f>
        <v>20</v>
      </c>
      <c r="I65" s="38" t="str">
        <f>IF(tblDowntime[[#This Row],[Date]]="","",IFERROR(INDEX(tblReasons[Type],MATCH(tblDowntime[[#This Row],[Reason]],tblReasons[Reason],0)),""))</f>
        <v>Unplanned</v>
      </c>
      <c r="J65" s="38" t="str">
        <f>IF(tblDowntime[[#This Row],[Date]]="","",IFERROR(INDEX(tblReasons[Loss category],MATCH(tblDowntime[[#This Row],[Reason]],tblReasons[Reason],0)),""))</f>
        <v>Breakdown</v>
      </c>
      <c r="K65" s="37">
        <f>IF(tblDowntime[[#This Row],[Date]]="","",IFERROR(INDEX(tblMachines[Loss rate (per h)],MATCH(tblDowntime[[#This Row],[Machine]],tblMachines[Machine],0)),""))</f>
        <v>260</v>
      </c>
      <c r="L65" s="39">
        <f>IF(tblDowntime[[#This Row],[Date]]="","",IF(OR(tblDowntime[[#This Row],[Minutes]]="",tblDowntime[[#This Row],[Loss rate]]=""),"",tblDowntime[[#This Row],[Minutes]]/60*tblDowntime[[#This Row],[Loss rate]]))</f>
        <v>86.6666666666667</v>
      </c>
      <c r="M65" s="33">
        <v>160</v>
      </c>
      <c r="N65" s="39">
        <f>IF(tblDowntime[[#This Row],[Date]]="","",IF(tblDowntime[[#This Row],[Production loss]]="","",tblDowntime[[#This Row],[Production loss]]+N(tblDowntime[[#This Row],[Repair cost]])))</f>
        <v>246.666666666667</v>
      </c>
      <c r="O65" s="40">
        <f>IF(tblDowntime[[#This Row],[Date]]="","",tblDowntime[[#This Row],[Date]]-WEEKDAY(tblDowntime[[#This Row],[Date]],2)+1)</f>
        <v>46279</v>
      </c>
      <c r="P65" s="40">
        <f>IF(tblDowntime[[#This Row],[Date]]="","",IF(AND(tblDowntime[[#This Row],[Date]]&gt;=FFrom,tblDowntime[[#This Row],[Date]]&lt;=FTo,OR(DashMachine="",tblDowntime[[#This Row],[Machine]]=DashMachine)),tblDowntime[[#This Row],[Date]],""))</f>
        <v>46279</v>
      </c>
      <c r="Q6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5" s="42" t="s">
        <v>140</v>
      </c>
    </row>
    <row r="66" spans="2:18" x14ac:dyDescent="0.25">
      <c r="B66" s="35">
        <v>46279</v>
      </c>
      <c r="C66" s="28" t="s">
        <v>92</v>
      </c>
      <c r="D66" s="28" t="s">
        <v>83</v>
      </c>
      <c r="E66" s="28" t="s">
        <v>98</v>
      </c>
      <c r="F66" s="36">
        <v>0.3888888888888889</v>
      </c>
      <c r="G66" s="36">
        <v>0.4097222222222222</v>
      </c>
      <c r="H66" s="37">
        <f>IF(tblDowntime[[#This Row],[Date]]="","",IF(OR(tblDowntime[[#This Row],[Start]]="",tblDowntime[[#This Row],[End]]=""),"",ROUND(MOD(tblDowntime[[#This Row],[End]]-tblDowntime[[#This Row],[Start]],1)*1440,0)))</f>
        <v>30</v>
      </c>
      <c r="I66" s="38" t="str">
        <f>IF(tblDowntime[[#This Row],[Date]]="","",IFERROR(INDEX(tblReasons[Type],MATCH(tblDowntime[[#This Row],[Reason]],tblReasons[Reason],0)),""))</f>
        <v>Planned</v>
      </c>
      <c r="J66" s="38" t="str">
        <f>IF(tblDowntime[[#This Row],[Date]]="","",IFERROR(INDEX(tblReasons[Loss category],MATCH(tblDowntime[[#This Row],[Reason]],tblReasons[Reason],0)),""))</f>
        <v>Changeover</v>
      </c>
      <c r="K66" s="37">
        <f>IF(tblDowntime[[#This Row],[Date]]="","",IFERROR(INDEX(tblMachines[Loss rate (per h)],MATCH(tblDowntime[[#This Row],[Machine]],tblMachines[Machine],0)),""))</f>
        <v>620</v>
      </c>
      <c r="L66" s="39">
        <f>IF(tblDowntime[[#This Row],[Date]]="","",IF(OR(tblDowntime[[#This Row],[Minutes]]="",tblDowntime[[#This Row],[Loss rate]]=""),"",tblDowntime[[#This Row],[Minutes]]/60*tblDowntime[[#This Row],[Loss rate]]))</f>
        <v>310</v>
      </c>
      <c r="M66" s="33">
        <v>0</v>
      </c>
      <c r="N66" s="39">
        <f>IF(tblDowntime[[#This Row],[Date]]="","",IF(tblDowntime[[#This Row],[Production loss]]="","",tblDowntime[[#This Row],[Production loss]]+N(tblDowntime[[#This Row],[Repair cost]])))</f>
        <v>310</v>
      </c>
      <c r="O66" s="40">
        <f>IF(tblDowntime[[#This Row],[Date]]="","",tblDowntime[[#This Row],[Date]]-WEEKDAY(tblDowntime[[#This Row],[Date]],2)+1)</f>
        <v>46279</v>
      </c>
      <c r="P66" s="40">
        <f>IF(tblDowntime[[#This Row],[Date]]="","",IF(AND(tblDowntime[[#This Row],[Date]]&gt;=FFrom,tblDowntime[[#This Row],[Date]]&lt;=FTo,OR(DashMachine="",tblDowntime[[#This Row],[Machine]]=DashMachine)),tblDowntime[[#This Row],[Date]],""))</f>
        <v>46279</v>
      </c>
      <c r="Q6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6" s="42" t="s">
        <v>139</v>
      </c>
    </row>
    <row r="67" spans="2:18" x14ac:dyDescent="0.25">
      <c r="B67" s="35">
        <v>46279</v>
      </c>
      <c r="C67" s="28" t="s">
        <v>92</v>
      </c>
      <c r="D67" s="28" t="s">
        <v>81</v>
      </c>
      <c r="E67" s="28" t="s">
        <v>113</v>
      </c>
      <c r="F67" s="36">
        <v>0.3194444444444444</v>
      </c>
      <c r="G67" s="36">
        <v>0.3263888888888889</v>
      </c>
      <c r="H67" s="37">
        <f>IF(tblDowntime[[#This Row],[Date]]="","",IF(OR(tblDowntime[[#This Row],[Start]]="",tblDowntime[[#This Row],[End]]=""),"",ROUND(MOD(tblDowntime[[#This Row],[End]]-tblDowntime[[#This Row],[Start]],1)*1440,0)))</f>
        <v>10</v>
      </c>
      <c r="I67" s="38" t="str">
        <f>IF(tblDowntime[[#This Row],[Date]]="","",IFERROR(INDEX(tblReasons[Type],MATCH(tblDowntime[[#This Row],[Reason]],tblReasons[Reason],0)),""))</f>
        <v>Unplanned</v>
      </c>
      <c r="J67" s="38" t="str">
        <f>IF(tblDowntime[[#This Row],[Date]]="","",IFERROR(INDEX(tblReasons[Loss category],MATCH(tblDowntime[[#This Row],[Reason]],tblReasons[Reason],0)),""))</f>
        <v>Minor stop</v>
      </c>
      <c r="K67" s="37">
        <f>IF(tblDowntime[[#This Row],[Date]]="","",IFERROR(INDEX(tblMachines[Loss rate (per h)],MATCH(tblDowntime[[#This Row],[Machine]],tblMachines[Machine],0)),""))</f>
        <v>950</v>
      </c>
      <c r="L67" s="39">
        <f>IF(tblDowntime[[#This Row],[Date]]="","",IF(OR(tblDowntime[[#This Row],[Minutes]]="",tblDowntime[[#This Row],[Loss rate]]=""),"",tblDowntime[[#This Row],[Minutes]]/60*tblDowntime[[#This Row],[Loss rate]]))</f>
        <v>158.333333333333</v>
      </c>
      <c r="M67" s="33">
        <v>0</v>
      </c>
      <c r="N67" s="39">
        <f>IF(tblDowntime[[#This Row],[Date]]="","",IF(tblDowntime[[#This Row],[Production loss]]="","",tblDowntime[[#This Row],[Production loss]]+N(tblDowntime[[#This Row],[Repair cost]])))</f>
        <v>158.333333333333</v>
      </c>
      <c r="O67" s="40">
        <f>IF(tblDowntime[[#This Row],[Date]]="","",tblDowntime[[#This Row],[Date]]-WEEKDAY(tblDowntime[[#This Row],[Date]],2)+1)</f>
        <v>46279</v>
      </c>
      <c r="P67" s="40">
        <f>IF(tblDowntime[[#This Row],[Date]]="","",IF(AND(tblDowntime[[#This Row],[Date]]&gt;=FFrom,tblDowntime[[#This Row],[Date]]&lt;=FTo,OR(DashMachine="",tblDowntime[[#This Row],[Machine]]=DashMachine)),tblDowntime[[#This Row],[Date]],""))</f>
        <v>46279</v>
      </c>
      <c r="Q6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7" s="42" t="s">
        <v>140</v>
      </c>
    </row>
    <row r="68" spans="2:18" x14ac:dyDescent="0.25">
      <c r="B68" s="35">
        <v>46279</v>
      </c>
      <c r="C68" s="28" t="s">
        <v>95</v>
      </c>
      <c r="D68" s="28" t="s">
        <v>85</v>
      </c>
      <c r="E68" s="28" t="s">
        <v>116</v>
      </c>
      <c r="F68" s="36">
        <v>0.6805555555555556</v>
      </c>
      <c r="G68" s="36">
        <v>0.7118055555555556</v>
      </c>
      <c r="H68" s="37">
        <f>IF(tblDowntime[[#This Row],[Date]]="","",IF(OR(tblDowntime[[#This Row],[Start]]="",tblDowntime[[#This Row],[End]]=""),"",ROUND(MOD(tblDowntime[[#This Row],[End]]-tblDowntime[[#This Row],[Start]],1)*1440,0)))</f>
        <v>45</v>
      </c>
      <c r="I68" s="38" t="str">
        <f>IF(tblDowntime[[#This Row],[Date]]="","",IFERROR(INDEX(tblReasons[Type],MATCH(tblDowntime[[#This Row],[Reason]],tblReasons[Reason],0)),""))</f>
        <v>Unplanned</v>
      </c>
      <c r="J68" s="38" t="str">
        <f>IF(tblDowntime[[#This Row],[Date]]="","",IFERROR(INDEX(tblReasons[Loss category],MATCH(tblDowntime[[#This Row],[Reason]],tblReasons[Reason],0)),""))</f>
        <v>Material</v>
      </c>
      <c r="K68" s="37">
        <f>IF(tblDowntime[[#This Row],[Date]]="","",IFERROR(INDEX(tblMachines[Loss rate (per h)],MATCH(tblDowntime[[#This Row],[Machine]],tblMachines[Machine],0)),""))</f>
        <v>480</v>
      </c>
      <c r="L68" s="39">
        <f>IF(tblDowntime[[#This Row],[Date]]="","",IF(OR(tblDowntime[[#This Row],[Minutes]]="",tblDowntime[[#This Row],[Loss rate]]=""),"",tblDowntime[[#This Row],[Minutes]]/60*tblDowntime[[#This Row],[Loss rate]]))</f>
        <v>360</v>
      </c>
      <c r="M68" s="33">
        <v>0</v>
      </c>
      <c r="N68" s="39">
        <f>IF(tblDowntime[[#This Row],[Date]]="","",IF(tblDowntime[[#This Row],[Production loss]]="","",tblDowntime[[#This Row],[Production loss]]+N(tblDowntime[[#This Row],[Repair cost]])))</f>
        <v>360</v>
      </c>
      <c r="O68" s="40">
        <f>IF(tblDowntime[[#This Row],[Date]]="","",tblDowntime[[#This Row],[Date]]-WEEKDAY(tblDowntime[[#This Row],[Date]],2)+1)</f>
        <v>46279</v>
      </c>
      <c r="P68" s="40">
        <f>IF(tblDowntime[[#This Row],[Date]]="","",IF(AND(tblDowntime[[#This Row],[Date]]&gt;=FFrom,tblDowntime[[#This Row],[Date]]&lt;=FTo,OR(DashMachine="",tblDowntime[[#This Row],[Machine]]=DashMachine)),tblDowntime[[#This Row],[Date]],""))</f>
        <v>46279</v>
      </c>
      <c r="Q6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8" s="42" t="s">
        <v>140</v>
      </c>
    </row>
    <row r="69" spans="2:18" x14ac:dyDescent="0.25">
      <c r="B69" s="35">
        <v>46279</v>
      </c>
      <c r="C69" s="28" t="s">
        <v>95</v>
      </c>
      <c r="D69" s="28" t="s">
        <v>83</v>
      </c>
      <c r="E69" s="28" t="s">
        <v>113</v>
      </c>
      <c r="F69" s="36">
        <v>0.6388888888888888</v>
      </c>
      <c r="G69" s="36">
        <v>0.6423611111111112</v>
      </c>
      <c r="H69" s="37">
        <f>IF(tblDowntime[[#This Row],[Date]]="","",IF(OR(tblDowntime[[#This Row],[Start]]="",tblDowntime[[#This Row],[End]]=""),"",ROUND(MOD(tblDowntime[[#This Row],[End]]-tblDowntime[[#This Row],[Start]],1)*1440,0)))</f>
        <v>5</v>
      </c>
      <c r="I69" s="38" t="str">
        <f>IF(tblDowntime[[#This Row],[Date]]="","",IFERROR(INDEX(tblReasons[Type],MATCH(tblDowntime[[#This Row],[Reason]],tblReasons[Reason],0)),""))</f>
        <v>Unplanned</v>
      </c>
      <c r="J69" s="38" t="str">
        <f>IF(tblDowntime[[#This Row],[Date]]="","",IFERROR(INDEX(tblReasons[Loss category],MATCH(tblDowntime[[#This Row],[Reason]],tblReasons[Reason],0)),""))</f>
        <v>Minor stop</v>
      </c>
      <c r="K69" s="37">
        <f>IF(tblDowntime[[#This Row],[Date]]="","",IFERROR(INDEX(tblMachines[Loss rate (per h)],MATCH(tblDowntime[[#This Row],[Machine]],tblMachines[Machine],0)),""))</f>
        <v>620</v>
      </c>
      <c r="L69" s="39">
        <f>IF(tblDowntime[[#This Row],[Date]]="","",IF(OR(tblDowntime[[#This Row],[Minutes]]="",tblDowntime[[#This Row],[Loss rate]]=""),"",tblDowntime[[#This Row],[Minutes]]/60*tblDowntime[[#This Row],[Loss rate]]))</f>
        <v>51.6666666666667</v>
      </c>
      <c r="M69" s="33">
        <v>0</v>
      </c>
      <c r="N69" s="39">
        <f>IF(tblDowntime[[#This Row],[Date]]="","",IF(tblDowntime[[#This Row],[Production loss]]="","",tblDowntime[[#This Row],[Production loss]]+N(tblDowntime[[#This Row],[Repair cost]])))</f>
        <v>51.6666666666667</v>
      </c>
      <c r="O69" s="40">
        <f>IF(tblDowntime[[#This Row],[Date]]="","",tblDowntime[[#This Row],[Date]]-WEEKDAY(tblDowntime[[#This Row],[Date]],2)+1)</f>
        <v>46279</v>
      </c>
      <c r="P69" s="40">
        <f>IF(tblDowntime[[#This Row],[Date]]="","",IF(AND(tblDowntime[[#This Row],[Date]]&gt;=FFrom,tblDowntime[[#This Row],[Date]]&lt;=FTo,OR(DashMachine="",tblDowntime[[#This Row],[Machine]]=DashMachine)),tblDowntime[[#This Row],[Date]],""))</f>
        <v>46279</v>
      </c>
      <c r="Q6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69" s="42" t="s">
        <v>140</v>
      </c>
    </row>
    <row r="70" spans="2:18" x14ac:dyDescent="0.25">
      <c r="B70" s="35">
        <v>46279</v>
      </c>
      <c r="C70" s="28" t="s">
        <v>95</v>
      </c>
      <c r="D70" s="28" t="s">
        <v>81</v>
      </c>
      <c r="E70" s="28" t="s">
        <v>113</v>
      </c>
      <c r="F70" s="36">
        <v>0.7083333333333334</v>
      </c>
      <c r="G70" s="36">
        <v>0.7152777777777778</v>
      </c>
      <c r="H70" s="37">
        <f>IF(tblDowntime[[#This Row],[Date]]="","",IF(OR(tblDowntime[[#This Row],[Start]]="",tblDowntime[[#This Row],[End]]=""),"",ROUND(MOD(tblDowntime[[#This Row],[End]]-tblDowntime[[#This Row],[Start]],1)*1440,0)))</f>
        <v>10</v>
      </c>
      <c r="I70" s="38" t="str">
        <f>IF(tblDowntime[[#This Row],[Date]]="","",IFERROR(INDEX(tblReasons[Type],MATCH(tblDowntime[[#This Row],[Reason]],tblReasons[Reason],0)),""))</f>
        <v>Unplanned</v>
      </c>
      <c r="J70" s="38" t="str">
        <f>IF(tblDowntime[[#This Row],[Date]]="","",IFERROR(INDEX(tblReasons[Loss category],MATCH(tblDowntime[[#This Row],[Reason]],tblReasons[Reason],0)),""))</f>
        <v>Minor stop</v>
      </c>
      <c r="K70" s="37">
        <f>IF(tblDowntime[[#This Row],[Date]]="","",IFERROR(INDEX(tblMachines[Loss rate (per h)],MATCH(tblDowntime[[#This Row],[Machine]],tblMachines[Machine],0)),""))</f>
        <v>950</v>
      </c>
      <c r="L70" s="39">
        <f>IF(tblDowntime[[#This Row],[Date]]="","",IF(OR(tblDowntime[[#This Row],[Minutes]]="",tblDowntime[[#This Row],[Loss rate]]=""),"",tblDowntime[[#This Row],[Minutes]]/60*tblDowntime[[#This Row],[Loss rate]]))</f>
        <v>158.333333333333</v>
      </c>
      <c r="M70" s="33">
        <v>0</v>
      </c>
      <c r="N70" s="39">
        <f>IF(tblDowntime[[#This Row],[Date]]="","",IF(tblDowntime[[#This Row],[Production loss]]="","",tblDowntime[[#This Row],[Production loss]]+N(tblDowntime[[#This Row],[Repair cost]])))</f>
        <v>158.333333333333</v>
      </c>
      <c r="O70" s="40">
        <f>IF(tblDowntime[[#This Row],[Date]]="","",tblDowntime[[#This Row],[Date]]-WEEKDAY(tblDowntime[[#This Row],[Date]],2)+1)</f>
        <v>46279</v>
      </c>
      <c r="P70" s="40">
        <f>IF(tblDowntime[[#This Row],[Date]]="","",IF(AND(tblDowntime[[#This Row],[Date]]&gt;=FFrom,tblDowntime[[#This Row],[Date]]&lt;=FTo,OR(DashMachine="",tblDowntime[[#This Row],[Machine]]=DashMachine)),tblDowntime[[#This Row],[Date]],""))</f>
        <v>46279</v>
      </c>
      <c r="Q7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0" s="42" t="s">
        <v>140</v>
      </c>
    </row>
    <row r="71" spans="2:18" x14ac:dyDescent="0.25">
      <c r="B71" s="35">
        <v>46279</v>
      </c>
      <c r="C71" s="28" t="s">
        <v>95</v>
      </c>
      <c r="D71" s="28" t="s">
        <v>89</v>
      </c>
      <c r="E71" s="28" t="s">
        <v>122</v>
      </c>
      <c r="F71" s="36">
        <v>0.6944444444444444</v>
      </c>
      <c r="G71" s="36">
        <v>0.7118055555555556</v>
      </c>
      <c r="H71" s="37">
        <f>IF(tblDowntime[[#This Row],[Date]]="","",IF(OR(tblDowntime[[#This Row],[Start]]="",tblDowntime[[#This Row],[End]]=""),"",ROUND(MOD(tblDowntime[[#This Row],[End]]-tblDowntime[[#This Row],[Start]],1)*1440,0)))</f>
        <v>25</v>
      </c>
      <c r="I71" s="38" t="str">
        <f>IF(tblDowntime[[#This Row],[Date]]="","",IFERROR(INDEX(tblReasons[Type],MATCH(tblDowntime[[#This Row],[Reason]],tblReasons[Reason],0)),""))</f>
        <v>Unplanned</v>
      </c>
      <c r="J71" s="38" t="str">
        <f>IF(tblDowntime[[#This Row],[Date]]="","",IFERROR(INDEX(tblReasons[Loss category],MATCH(tblDowntime[[#This Row],[Reason]],tblReasons[Reason],0)),""))</f>
        <v>Labour</v>
      </c>
      <c r="K71" s="37">
        <f>IF(tblDowntime[[#This Row],[Date]]="","",IFERROR(INDEX(tblMachines[Loss rate (per h)],MATCH(tblDowntime[[#This Row],[Machine]],tblMachines[Machine],0)),""))</f>
        <v>540</v>
      </c>
      <c r="L71" s="39">
        <f>IF(tblDowntime[[#This Row],[Date]]="","",IF(OR(tblDowntime[[#This Row],[Minutes]]="",tblDowntime[[#This Row],[Loss rate]]=""),"",tblDowntime[[#This Row],[Minutes]]/60*tblDowntime[[#This Row],[Loss rate]]))</f>
        <v>225</v>
      </c>
      <c r="M71" s="33">
        <v>0</v>
      </c>
      <c r="N71" s="39">
        <f>IF(tblDowntime[[#This Row],[Date]]="","",IF(tblDowntime[[#This Row],[Production loss]]="","",tblDowntime[[#This Row],[Production loss]]+N(tblDowntime[[#This Row],[Repair cost]])))</f>
        <v>225</v>
      </c>
      <c r="O71" s="40">
        <f>IF(tblDowntime[[#This Row],[Date]]="","",tblDowntime[[#This Row],[Date]]-WEEKDAY(tblDowntime[[#This Row],[Date]],2)+1)</f>
        <v>46279</v>
      </c>
      <c r="P71" s="40">
        <f>IF(tblDowntime[[#This Row],[Date]]="","",IF(AND(tblDowntime[[#This Row],[Date]]&gt;=FFrom,tblDowntime[[#This Row],[Date]]&lt;=FTo,OR(DashMachine="",tblDowntime[[#This Row],[Machine]]=DashMachine)),tblDowntime[[#This Row],[Date]],""))</f>
        <v>46279</v>
      </c>
      <c r="Q7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1" s="42" t="s">
        <v>140</v>
      </c>
    </row>
    <row r="72" spans="2:18" x14ac:dyDescent="0.25">
      <c r="B72" s="35">
        <v>46280</v>
      </c>
      <c r="C72" s="28" t="s">
        <v>92</v>
      </c>
      <c r="D72" s="28" t="s">
        <v>85</v>
      </c>
      <c r="E72" s="28" t="s">
        <v>122</v>
      </c>
      <c r="F72" s="36">
        <v>0.3472222222222222</v>
      </c>
      <c r="G72" s="36">
        <v>0.3541666666666667</v>
      </c>
      <c r="H72" s="37">
        <f>IF(tblDowntime[[#This Row],[Date]]="","",IF(OR(tblDowntime[[#This Row],[Start]]="",tblDowntime[[#This Row],[End]]=""),"",ROUND(MOD(tblDowntime[[#This Row],[End]]-tblDowntime[[#This Row],[Start]],1)*1440,0)))</f>
        <v>10</v>
      </c>
      <c r="I72" s="38" t="str">
        <f>IF(tblDowntime[[#This Row],[Date]]="","",IFERROR(INDEX(tblReasons[Type],MATCH(tblDowntime[[#This Row],[Reason]],tblReasons[Reason],0)),""))</f>
        <v>Unplanned</v>
      </c>
      <c r="J72" s="38" t="str">
        <f>IF(tblDowntime[[#This Row],[Date]]="","",IFERROR(INDEX(tblReasons[Loss category],MATCH(tblDowntime[[#This Row],[Reason]],tblReasons[Reason],0)),""))</f>
        <v>Labour</v>
      </c>
      <c r="K72" s="37">
        <f>IF(tblDowntime[[#This Row],[Date]]="","",IFERROR(INDEX(tblMachines[Loss rate (per h)],MATCH(tblDowntime[[#This Row],[Machine]],tblMachines[Machine],0)),""))</f>
        <v>480</v>
      </c>
      <c r="L72" s="39">
        <f>IF(tblDowntime[[#This Row],[Date]]="","",IF(OR(tblDowntime[[#This Row],[Minutes]]="",tblDowntime[[#This Row],[Loss rate]]=""),"",tblDowntime[[#This Row],[Minutes]]/60*tblDowntime[[#This Row],[Loss rate]]))</f>
        <v>80</v>
      </c>
      <c r="M72" s="33">
        <v>0</v>
      </c>
      <c r="N72" s="39">
        <f>IF(tblDowntime[[#This Row],[Date]]="","",IF(tblDowntime[[#This Row],[Production loss]]="","",tblDowntime[[#This Row],[Production loss]]+N(tblDowntime[[#This Row],[Repair cost]])))</f>
        <v>80</v>
      </c>
      <c r="O72" s="40">
        <f>IF(tblDowntime[[#This Row],[Date]]="","",tblDowntime[[#This Row],[Date]]-WEEKDAY(tblDowntime[[#This Row],[Date]],2)+1)</f>
        <v>46279</v>
      </c>
      <c r="P72" s="40">
        <f>IF(tblDowntime[[#This Row],[Date]]="","",IF(AND(tblDowntime[[#This Row],[Date]]&gt;=FFrom,tblDowntime[[#This Row],[Date]]&lt;=FTo,OR(DashMachine="",tblDowntime[[#This Row],[Machine]]=DashMachine)),tblDowntime[[#This Row],[Date]],""))</f>
        <v>46280</v>
      </c>
      <c r="Q7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2" s="42" t="s">
        <v>140</v>
      </c>
    </row>
    <row r="73" spans="2:18" x14ac:dyDescent="0.25">
      <c r="B73" s="35">
        <v>46280</v>
      </c>
      <c r="C73" s="28" t="s">
        <v>92</v>
      </c>
      <c r="D73" s="28" t="s">
        <v>81</v>
      </c>
      <c r="E73" s="28" t="s">
        <v>116</v>
      </c>
      <c r="F73" s="36">
        <v>0.3055555555555556</v>
      </c>
      <c r="G73" s="36">
        <v>0.3263888888888889</v>
      </c>
      <c r="H73" s="37">
        <f>IF(tblDowntime[[#This Row],[Date]]="","",IF(OR(tblDowntime[[#This Row],[Start]]="",tblDowntime[[#This Row],[End]]=""),"",ROUND(MOD(tblDowntime[[#This Row],[End]]-tblDowntime[[#This Row],[Start]],1)*1440,0)))</f>
        <v>30</v>
      </c>
      <c r="I73" s="38" t="str">
        <f>IF(tblDowntime[[#This Row],[Date]]="","",IFERROR(INDEX(tblReasons[Type],MATCH(tblDowntime[[#This Row],[Reason]],tblReasons[Reason],0)),""))</f>
        <v>Unplanned</v>
      </c>
      <c r="J73" s="38" t="str">
        <f>IF(tblDowntime[[#This Row],[Date]]="","",IFERROR(INDEX(tblReasons[Loss category],MATCH(tblDowntime[[#This Row],[Reason]],tblReasons[Reason],0)),""))</f>
        <v>Material</v>
      </c>
      <c r="K73" s="37">
        <f>IF(tblDowntime[[#This Row],[Date]]="","",IFERROR(INDEX(tblMachines[Loss rate (per h)],MATCH(tblDowntime[[#This Row],[Machine]],tblMachines[Machine],0)),""))</f>
        <v>950</v>
      </c>
      <c r="L73" s="39">
        <f>IF(tblDowntime[[#This Row],[Date]]="","",IF(OR(tblDowntime[[#This Row],[Minutes]]="",tblDowntime[[#This Row],[Loss rate]]=""),"",tblDowntime[[#This Row],[Minutes]]/60*tblDowntime[[#This Row],[Loss rate]]))</f>
        <v>475</v>
      </c>
      <c r="M73" s="33">
        <v>0</v>
      </c>
      <c r="N73" s="39">
        <f>IF(tblDowntime[[#This Row],[Date]]="","",IF(tblDowntime[[#This Row],[Production loss]]="","",tblDowntime[[#This Row],[Production loss]]+N(tblDowntime[[#This Row],[Repair cost]])))</f>
        <v>475</v>
      </c>
      <c r="O73" s="40">
        <f>IF(tblDowntime[[#This Row],[Date]]="","",tblDowntime[[#This Row],[Date]]-WEEKDAY(tblDowntime[[#This Row],[Date]],2)+1)</f>
        <v>46279</v>
      </c>
      <c r="P73" s="40">
        <f>IF(tblDowntime[[#This Row],[Date]]="","",IF(AND(tblDowntime[[#This Row],[Date]]&gt;=FFrom,tblDowntime[[#This Row],[Date]]&lt;=FTo,OR(DashMachine="",tblDowntime[[#This Row],[Machine]]=DashMachine)),tblDowntime[[#This Row],[Date]],""))</f>
        <v>46280</v>
      </c>
      <c r="Q7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3" s="42" t="s">
        <v>140</v>
      </c>
    </row>
    <row r="74" spans="2:18" x14ac:dyDescent="0.25">
      <c r="B74" s="35">
        <v>46280</v>
      </c>
      <c r="C74" s="28" t="s">
        <v>92</v>
      </c>
      <c r="D74" s="28" t="s">
        <v>89</v>
      </c>
      <c r="E74" s="28" t="s">
        <v>109</v>
      </c>
      <c r="F74" s="36">
        <v>0.3472222222222222</v>
      </c>
      <c r="G74" s="36">
        <v>0.3715277777777778</v>
      </c>
      <c r="H74" s="37">
        <f>IF(tblDowntime[[#This Row],[Date]]="","",IF(OR(tblDowntime[[#This Row],[Start]]="",tblDowntime[[#This Row],[End]]=""),"",ROUND(MOD(tblDowntime[[#This Row],[End]]-tblDowntime[[#This Row],[Start]],1)*1440,0)))</f>
        <v>35</v>
      </c>
      <c r="I74" s="38" t="str">
        <f>IF(tblDowntime[[#This Row],[Date]]="","",IFERROR(INDEX(tblReasons[Type],MATCH(tblDowntime[[#This Row],[Reason]],tblReasons[Reason],0)),""))</f>
        <v>Unplanned</v>
      </c>
      <c r="J74" s="38" t="str">
        <f>IF(tblDowntime[[#This Row],[Date]]="","",IFERROR(INDEX(tblReasons[Loss category],MATCH(tblDowntime[[#This Row],[Reason]],tblReasons[Reason],0)),""))</f>
        <v>Breakdown</v>
      </c>
      <c r="K74" s="37">
        <f>IF(tblDowntime[[#This Row],[Date]]="","",IFERROR(INDEX(tblMachines[Loss rate (per h)],MATCH(tblDowntime[[#This Row],[Machine]],tblMachines[Machine],0)),""))</f>
        <v>540</v>
      </c>
      <c r="L74" s="39">
        <f>IF(tblDowntime[[#This Row],[Date]]="","",IF(OR(tblDowntime[[#This Row],[Minutes]]="",tblDowntime[[#This Row],[Loss rate]]=""),"",tblDowntime[[#This Row],[Minutes]]/60*tblDowntime[[#This Row],[Loss rate]]))</f>
        <v>315</v>
      </c>
      <c r="M74" s="33">
        <v>490</v>
      </c>
      <c r="N74" s="39">
        <f>IF(tblDowntime[[#This Row],[Date]]="","",IF(tblDowntime[[#This Row],[Production loss]]="","",tblDowntime[[#This Row],[Production loss]]+N(tblDowntime[[#This Row],[Repair cost]])))</f>
        <v>805</v>
      </c>
      <c r="O74" s="40">
        <f>IF(tblDowntime[[#This Row],[Date]]="","",tblDowntime[[#This Row],[Date]]-WEEKDAY(tblDowntime[[#This Row],[Date]],2)+1)</f>
        <v>46279</v>
      </c>
      <c r="P74" s="40">
        <f>IF(tblDowntime[[#This Row],[Date]]="","",IF(AND(tblDowntime[[#This Row],[Date]]&gt;=FFrom,tblDowntime[[#This Row],[Date]]&lt;=FTo,OR(DashMachine="",tblDowntime[[#This Row],[Machine]]=DashMachine)),tblDowntime[[#This Row],[Date]],""))</f>
        <v>46280</v>
      </c>
      <c r="Q7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4" s="42" t="s">
        <v>140</v>
      </c>
    </row>
    <row r="75" spans="2:18" x14ac:dyDescent="0.25">
      <c r="B75" s="35">
        <v>46280</v>
      </c>
      <c r="C75" s="28" t="s">
        <v>95</v>
      </c>
      <c r="D75" s="28" t="s">
        <v>83</v>
      </c>
      <c r="E75" s="28" t="s">
        <v>113</v>
      </c>
      <c r="F75" s="36">
        <v>0.6666666666666666</v>
      </c>
      <c r="G75" s="36">
        <v>0.6736111111111112</v>
      </c>
      <c r="H75" s="37">
        <f>IF(tblDowntime[[#This Row],[Date]]="","",IF(OR(tblDowntime[[#This Row],[Start]]="",tblDowntime[[#This Row],[End]]=""),"",ROUND(MOD(tblDowntime[[#This Row],[End]]-tblDowntime[[#This Row],[Start]],1)*1440,0)))</f>
        <v>10</v>
      </c>
      <c r="I75" s="38" t="str">
        <f>IF(tblDowntime[[#This Row],[Date]]="","",IFERROR(INDEX(tblReasons[Type],MATCH(tblDowntime[[#This Row],[Reason]],tblReasons[Reason],0)),""))</f>
        <v>Unplanned</v>
      </c>
      <c r="J75" s="38" t="str">
        <f>IF(tblDowntime[[#This Row],[Date]]="","",IFERROR(INDEX(tblReasons[Loss category],MATCH(tblDowntime[[#This Row],[Reason]],tblReasons[Reason],0)),""))</f>
        <v>Minor stop</v>
      </c>
      <c r="K75" s="37">
        <f>IF(tblDowntime[[#This Row],[Date]]="","",IFERROR(INDEX(tblMachines[Loss rate (per h)],MATCH(tblDowntime[[#This Row],[Machine]],tblMachines[Machine],0)),""))</f>
        <v>620</v>
      </c>
      <c r="L75" s="39">
        <f>IF(tblDowntime[[#This Row],[Date]]="","",IF(OR(tblDowntime[[#This Row],[Minutes]]="",tblDowntime[[#This Row],[Loss rate]]=""),"",tblDowntime[[#This Row],[Minutes]]/60*tblDowntime[[#This Row],[Loss rate]]))</f>
        <v>103.333333333333</v>
      </c>
      <c r="M75" s="33">
        <v>0</v>
      </c>
      <c r="N75" s="39">
        <f>IF(tblDowntime[[#This Row],[Date]]="","",IF(tblDowntime[[#This Row],[Production loss]]="","",tblDowntime[[#This Row],[Production loss]]+N(tblDowntime[[#This Row],[Repair cost]])))</f>
        <v>103.333333333333</v>
      </c>
      <c r="O75" s="40">
        <f>IF(tblDowntime[[#This Row],[Date]]="","",tblDowntime[[#This Row],[Date]]-WEEKDAY(tblDowntime[[#This Row],[Date]],2)+1)</f>
        <v>46279</v>
      </c>
      <c r="P75" s="40">
        <f>IF(tblDowntime[[#This Row],[Date]]="","",IF(AND(tblDowntime[[#This Row],[Date]]&gt;=FFrom,tblDowntime[[#This Row],[Date]]&lt;=FTo,OR(DashMachine="",tblDowntime[[#This Row],[Machine]]=DashMachine)),tblDowntime[[#This Row],[Date]],""))</f>
        <v>46280</v>
      </c>
      <c r="Q7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5" s="42" t="s">
        <v>140</v>
      </c>
    </row>
    <row r="76" spans="2:18" x14ac:dyDescent="0.25">
      <c r="B76" s="35">
        <v>46281</v>
      </c>
      <c r="C76" s="28" t="s">
        <v>92</v>
      </c>
      <c r="D76" s="28" t="s">
        <v>83</v>
      </c>
      <c r="E76" s="28" t="s">
        <v>98</v>
      </c>
      <c r="F76" s="36">
        <v>0.3055555555555556</v>
      </c>
      <c r="G76" s="36">
        <v>0.3298611111111111</v>
      </c>
      <c r="H76" s="37">
        <f>IF(tblDowntime[[#This Row],[Date]]="","",IF(OR(tblDowntime[[#This Row],[Start]]="",tblDowntime[[#This Row],[End]]=""),"",ROUND(MOD(tblDowntime[[#This Row],[End]]-tblDowntime[[#This Row],[Start]],1)*1440,0)))</f>
        <v>35</v>
      </c>
      <c r="I76" s="38" t="str">
        <f>IF(tblDowntime[[#This Row],[Date]]="","",IFERROR(INDEX(tblReasons[Type],MATCH(tblDowntime[[#This Row],[Reason]],tblReasons[Reason],0)),""))</f>
        <v>Planned</v>
      </c>
      <c r="J76" s="38" t="str">
        <f>IF(tblDowntime[[#This Row],[Date]]="","",IFERROR(INDEX(tblReasons[Loss category],MATCH(tblDowntime[[#This Row],[Reason]],tblReasons[Reason],0)),""))</f>
        <v>Changeover</v>
      </c>
      <c r="K76" s="37">
        <f>IF(tblDowntime[[#This Row],[Date]]="","",IFERROR(INDEX(tblMachines[Loss rate (per h)],MATCH(tblDowntime[[#This Row],[Machine]],tblMachines[Machine],0)),""))</f>
        <v>620</v>
      </c>
      <c r="L76" s="39">
        <f>IF(tblDowntime[[#This Row],[Date]]="","",IF(OR(tblDowntime[[#This Row],[Minutes]]="",tblDowntime[[#This Row],[Loss rate]]=""),"",tblDowntime[[#This Row],[Minutes]]/60*tblDowntime[[#This Row],[Loss rate]]))</f>
        <v>361.666666666667</v>
      </c>
      <c r="M76" s="33">
        <v>0</v>
      </c>
      <c r="N76" s="39">
        <f>IF(tblDowntime[[#This Row],[Date]]="","",IF(tblDowntime[[#This Row],[Production loss]]="","",tblDowntime[[#This Row],[Production loss]]+N(tblDowntime[[#This Row],[Repair cost]])))</f>
        <v>361.666666666667</v>
      </c>
      <c r="O76" s="40">
        <f>IF(tblDowntime[[#This Row],[Date]]="","",tblDowntime[[#This Row],[Date]]-WEEKDAY(tblDowntime[[#This Row],[Date]],2)+1)</f>
        <v>46279</v>
      </c>
      <c r="P76" s="40">
        <f>IF(tblDowntime[[#This Row],[Date]]="","",IF(AND(tblDowntime[[#This Row],[Date]]&gt;=FFrom,tblDowntime[[#This Row],[Date]]&lt;=FTo,OR(DashMachine="",tblDowntime[[#This Row],[Machine]]=DashMachine)),tblDowntime[[#This Row],[Date]],""))</f>
        <v>46281</v>
      </c>
      <c r="Q7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6" s="42" t="s">
        <v>139</v>
      </c>
    </row>
    <row r="77" spans="2:18" x14ac:dyDescent="0.25">
      <c r="B77" s="35">
        <v>46281</v>
      </c>
      <c r="C77" s="28" t="s">
        <v>92</v>
      </c>
      <c r="D77" s="28" t="s">
        <v>83</v>
      </c>
      <c r="E77" s="28" t="s">
        <v>102</v>
      </c>
      <c r="F77" s="36">
        <v>0.3506944444444444</v>
      </c>
      <c r="G77" s="36">
        <v>0.3923611111111111</v>
      </c>
      <c r="H77" s="37">
        <f>IF(tblDowntime[[#This Row],[Date]]="","",IF(OR(tblDowntime[[#This Row],[Start]]="",tblDowntime[[#This Row],[End]]=""),"",ROUND(MOD(tblDowntime[[#This Row],[End]]-tblDowntime[[#This Row],[Start]],1)*1440,0)))</f>
        <v>60</v>
      </c>
      <c r="I77" s="38" t="str">
        <f>IF(tblDowntime[[#This Row],[Date]]="","",IFERROR(INDEX(tblReasons[Type],MATCH(tblDowntime[[#This Row],[Reason]],tblReasons[Reason],0)),""))</f>
        <v>Planned</v>
      </c>
      <c r="J77" s="38" t="str">
        <f>IF(tblDowntime[[#This Row],[Date]]="","",IFERROR(INDEX(tblReasons[Loss category],MATCH(tblDowntime[[#This Row],[Reason]],tblReasons[Reason],0)),""))</f>
        <v>Maintenance</v>
      </c>
      <c r="K77" s="37">
        <f>IF(tblDowntime[[#This Row],[Date]]="","",IFERROR(INDEX(tblMachines[Loss rate (per h)],MATCH(tblDowntime[[#This Row],[Machine]],tblMachines[Machine],0)),""))</f>
        <v>620</v>
      </c>
      <c r="L77" s="39">
        <f>IF(tblDowntime[[#This Row],[Date]]="","",IF(OR(tblDowntime[[#This Row],[Minutes]]="",tblDowntime[[#This Row],[Loss rate]]=""),"",tblDowntime[[#This Row],[Minutes]]/60*tblDowntime[[#This Row],[Loss rate]]))</f>
        <v>620</v>
      </c>
      <c r="M77" s="33">
        <v>0</v>
      </c>
      <c r="N77" s="39">
        <f>IF(tblDowntime[[#This Row],[Date]]="","",IF(tblDowntime[[#This Row],[Production loss]]="","",tblDowntime[[#This Row],[Production loss]]+N(tblDowntime[[#This Row],[Repair cost]])))</f>
        <v>620</v>
      </c>
      <c r="O77" s="40">
        <f>IF(tblDowntime[[#This Row],[Date]]="","",tblDowntime[[#This Row],[Date]]-WEEKDAY(tblDowntime[[#This Row],[Date]],2)+1)</f>
        <v>46279</v>
      </c>
      <c r="P77" s="40">
        <f>IF(tblDowntime[[#This Row],[Date]]="","",IF(AND(tblDowntime[[#This Row],[Date]]&gt;=FFrom,tblDowntime[[#This Row],[Date]]&lt;=FTo,OR(DashMachine="",tblDowntime[[#This Row],[Machine]]=DashMachine)),tblDowntime[[#This Row],[Date]],""))</f>
        <v>46281</v>
      </c>
      <c r="Q7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7" s="42" t="s">
        <v>140</v>
      </c>
    </row>
    <row r="78" spans="2:18" x14ac:dyDescent="0.25">
      <c r="B78" s="35">
        <v>46281</v>
      </c>
      <c r="C78" s="28" t="s">
        <v>92</v>
      </c>
      <c r="D78" s="28" t="s">
        <v>83</v>
      </c>
      <c r="E78" s="28" t="s">
        <v>116</v>
      </c>
      <c r="F78" s="36">
        <v>0.4270833333333333</v>
      </c>
      <c r="G78" s="36">
        <v>0.4548611111111111</v>
      </c>
      <c r="H78" s="37">
        <f>IF(tblDowntime[[#This Row],[Date]]="","",IF(OR(tblDowntime[[#This Row],[Start]]="",tblDowntime[[#This Row],[End]]=""),"",ROUND(MOD(tblDowntime[[#This Row],[End]]-tblDowntime[[#This Row],[Start]],1)*1440,0)))</f>
        <v>40</v>
      </c>
      <c r="I78" s="38" t="str">
        <f>IF(tblDowntime[[#This Row],[Date]]="","",IFERROR(INDEX(tblReasons[Type],MATCH(tblDowntime[[#This Row],[Reason]],tblReasons[Reason],0)),""))</f>
        <v>Unplanned</v>
      </c>
      <c r="J78" s="38" t="str">
        <f>IF(tblDowntime[[#This Row],[Date]]="","",IFERROR(INDEX(tblReasons[Loss category],MATCH(tblDowntime[[#This Row],[Reason]],tblReasons[Reason],0)),""))</f>
        <v>Material</v>
      </c>
      <c r="K78" s="37">
        <f>IF(tblDowntime[[#This Row],[Date]]="","",IFERROR(INDEX(tblMachines[Loss rate (per h)],MATCH(tblDowntime[[#This Row],[Machine]],tblMachines[Machine],0)),""))</f>
        <v>620</v>
      </c>
      <c r="L78" s="39">
        <f>IF(tblDowntime[[#This Row],[Date]]="","",IF(OR(tblDowntime[[#This Row],[Minutes]]="",tblDowntime[[#This Row],[Loss rate]]=""),"",tblDowntime[[#This Row],[Minutes]]/60*tblDowntime[[#This Row],[Loss rate]]))</f>
        <v>413.333333333333</v>
      </c>
      <c r="M78" s="33">
        <v>0</v>
      </c>
      <c r="N78" s="39">
        <f>IF(tblDowntime[[#This Row],[Date]]="","",IF(tblDowntime[[#This Row],[Production loss]]="","",tblDowntime[[#This Row],[Production loss]]+N(tblDowntime[[#This Row],[Repair cost]])))</f>
        <v>413.333333333333</v>
      </c>
      <c r="O78" s="40">
        <f>IF(tblDowntime[[#This Row],[Date]]="","",tblDowntime[[#This Row],[Date]]-WEEKDAY(tblDowntime[[#This Row],[Date]],2)+1)</f>
        <v>46279</v>
      </c>
      <c r="P78" s="40">
        <f>IF(tblDowntime[[#This Row],[Date]]="","",IF(AND(tblDowntime[[#This Row],[Date]]&gt;=FFrom,tblDowntime[[#This Row],[Date]]&lt;=FTo,OR(DashMachine="",tblDowntime[[#This Row],[Machine]]=DashMachine)),tblDowntime[[#This Row],[Date]],""))</f>
        <v>46281</v>
      </c>
      <c r="Q7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8" s="42" t="s">
        <v>140</v>
      </c>
    </row>
    <row r="79" spans="2:18" x14ac:dyDescent="0.25">
      <c r="B79" s="35">
        <v>46281</v>
      </c>
      <c r="C79" s="28" t="s">
        <v>92</v>
      </c>
      <c r="D79" s="28" t="s">
        <v>81</v>
      </c>
      <c r="E79" s="28" t="s">
        <v>102</v>
      </c>
      <c r="F79" s="36">
        <v>0.3333333333333333</v>
      </c>
      <c r="G79" s="36">
        <v>0.3541666666666667</v>
      </c>
      <c r="H79" s="37">
        <f>IF(tblDowntime[[#This Row],[Date]]="","",IF(OR(tblDowntime[[#This Row],[Start]]="",tblDowntime[[#This Row],[End]]=""),"",ROUND(MOD(tblDowntime[[#This Row],[End]]-tblDowntime[[#This Row],[Start]],1)*1440,0)))</f>
        <v>30</v>
      </c>
      <c r="I79" s="38" t="str">
        <f>IF(tblDowntime[[#This Row],[Date]]="","",IFERROR(INDEX(tblReasons[Type],MATCH(tblDowntime[[#This Row],[Reason]],tblReasons[Reason],0)),""))</f>
        <v>Planned</v>
      </c>
      <c r="J79" s="38" t="str">
        <f>IF(tblDowntime[[#This Row],[Date]]="","",IFERROR(INDEX(tblReasons[Loss category],MATCH(tblDowntime[[#This Row],[Reason]],tblReasons[Reason],0)),""))</f>
        <v>Maintenance</v>
      </c>
      <c r="K79" s="37">
        <f>IF(tblDowntime[[#This Row],[Date]]="","",IFERROR(INDEX(tblMachines[Loss rate (per h)],MATCH(tblDowntime[[#This Row],[Machine]],tblMachines[Machine],0)),""))</f>
        <v>950</v>
      </c>
      <c r="L79" s="39">
        <f>IF(tblDowntime[[#This Row],[Date]]="","",IF(OR(tblDowntime[[#This Row],[Minutes]]="",tblDowntime[[#This Row],[Loss rate]]=""),"",tblDowntime[[#This Row],[Minutes]]/60*tblDowntime[[#This Row],[Loss rate]]))</f>
        <v>475</v>
      </c>
      <c r="M79" s="33">
        <v>0</v>
      </c>
      <c r="N79" s="39">
        <f>IF(tblDowntime[[#This Row],[Date]]="","",IF(tblDowntime[[#This Row],[Production loss]]="","",tblDowntime[[#This Row],[Production loss]]+N(tblDowntime[[#This Row],[Repair cost]])))</f>
        <v>475</v>
      </c>
      <c r="O79" s="40">
        <f>IF(tblDowntime[[#This Row],[Date]]="","",tblDowntime[[#This Row],[Date]]-WEEKDAY(tblDowntime[[#This Row],[Date]],2)+1)</f>
        <v>46279</v>
      </c>
      <c r="P79" s="40">
        <f>IF(tblDowntime[[#This Row],[Date]]="","",IF(AND(tblDowntime[[#This Row],[Date]]&gt;=FFrom,tblDowntime[[#This Row],[Date]]&lt;=FTo,OR(DashMachine="",tblDowntime[[#This Row],[Machine]]=DashMachine)),tblDowntime[[#This Row],[Date]],""))</f>
        <v>46281</v>
      </c>
      <c r="Q7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79" s="42" t="s">
        <v>140</v>
      </c>
    </row>
    <row r="80" spans="2:18" x14ac:dyDescent="0.25">
      <c r="B80" s="35">
        <v>46281</v>
      </c>
      <c r="C80" s="28" t="s">
        <v>92</v>
      </c>
      <c r="D80" s="28" t="s">
        <v>81</v>
      </c>
      <c r="E80" s="28" t="s">
        <v>105</v>
      </c>
      <c r="F80" s="36">
        <v>0.3958333333333333</v>
      </c>
      <c r="G80" s="36">
        <v>0.4652777777777778</v>
      </c>
      <c r="H80" s="37">
        <f>IF(tblDowntime[[#This Row],[Date]]="","",IF(OR(tblDowntime[[#This Row],[Start]]="",tblDowntime[[#This Row],[End]]=""),"",ROUND(MOD(tblDowntime[[#This Row],[End]]-tblDowntime[[#This Row],[Start]],1)*1440,0)))</f>
        <v>100</v>
      </c>
      <c r="I80" s="38" t="str">
        <f>IF(tblDowntime[[#This Row],[Date]]="","",IFERROR(INDEX(tblReasons[Type],MATCH(tblDowntime[[#This Row],[Reason]],tblReasons[Reason],0)),""))</f>
        <v>Unplanned</v>
      </c>
      <c r="J80" s="38" t="str">
        <f>IF(tblDowntime[[#This Row],[Date]]="","",IFERROR(INDEX(tblReasons[Loss category],MATCH(tblDowntime[[#This Row],[Reason]],tblReasons[Reason],0)),""))</f>
        <v>Breakdown</v>
      </c>
      <c r="K80" s="37">
        <f>IF(tblDowntime[[#This Row],[Date]]="","",IFERROR(INDEX(tblMachines[Loss rate (per h)],MATCH(tblDowntime[[#This Row],[Machine]],tblMachines[Machine],0)),""))</f>
        <v>950</v>
      </c>
      <c r="L80" s="39">
        <f>IF(tblDowntime[[#This Row],[Date]]="","",IF(OR(tblDowntime[[#This Row],[Minutes]]="",tblDowntime[[#This Row],[Loss rate]]=""),"",tblDowntime[[#This Row],[Minutes]]/60*tblDowntime[[#This Row],[Loss rate]]))</f>
        <v>1583.33333333333</v>
      </c>
      <c r="M80" s="33">
        <v>1050</v>
      </c>
      <c r="N80" s="39">
        <f>IF(tblDowntime[[#This Row],[Date]]="","",IF(tblDowntime[[#This Row],[Production loss]]="","",tblDowntime[[#This Row],[Production loss]]+N(tblDowntime[[#This Row],[Repair cost]])))</f>
        <v>2633.33333333333</v>
      </c>
      <c r="O80" s="40">
        <f>IF(tblDowntime[[#This Row],[Date]]="","",tblDowntime[[#This Row],[Date]]-WEEKDAY(tblDowntime[[#This Row],[Date]],2)+1)</f>
        <v>46279</v>
      </c>
      <c r="P80" s="40">
        <f>IF(tblDowntime[[#This Row],[Date]]="","",IF(AND(tblDowntime[[#This Row],[Date]]&gt;=FFrom,tblDowntime[[#This Row],[Date]]&lt;=FTo,OR(DashMachine="",tblDowntime[[#This Row],[Machine]]=DashMachine)),tblDowntime[[#This Row],[Date]],""))</f>
        <v>46281</v>
      </c>
      <c r="Q8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0" s="42" t="s">
        <v>140</v>
      </c>
    </row>
    <row r="81" spans="2:18" x14ac:dyDescent="0.25">
      <c r="B81" s="35">
        <v>46281</v>
      </c>
      <c r="C81" s="28" t="s">
        <v>95</v>
      </c>
      <c r="D81" s="28" t="s">
        <v>83</v>
      </c>
      <c r="E81" s="28" t="s">
        <v>113</v>
      </c>
      <c r="F81" s="36">
        <v>0.6944444444444444</v>
      </c>
      <c r="G81" s="36">
        <v>0.6979166666666666</v>
      </c>
      <c r="H81" s="37">
        <f>IF(tblDowntime[[#This Row],[Date]]="","",IF(OR(tblDowntime[[#This Row],[Start]]="",tblDowntime[[#This Row],[End]]=""),"",ROUND(MOD(tblDowntime[[#This Row],[End]]-tblDowntime[[#This Row],[Start]],1)*1440,0)))</f>
        <v>5</v>
      </c>
      <c r="I81" s="38" t="str">
        <f>IF(tblDowntime[[#This Row],[Date]]="","",IFERROR(INDEX(tblReasons[Type],MATCH(tblDowntime[[#This Row],[Reason]],tblReasons[Reason],0)),""))</f>
        <v>Unplanned</v>
      </c>
      <c r="J81" s="38" t="str">
        <f>IF(tblDowntime[[#This Row],[Date]]="","",IFERROR(INDEX(tblReasons[Loss category],MATCH(tblDowntime[[#This Row],[Reason]],tblReasons[Reason],0)),""))</f>
        <v>Minor stop</v>
      </c>
      <c r="K81" s="37">
        <f>IF(tblDowntime[[#This Row],[Date]]="","",IFERROR(INDEX(tblMachines[Loss rate (per h)],MATCH(tblDowntime[[#This Row],[Machine]],tblMachines[Machine],0)),""))</f>
        <v>620</v>
      </c>
      <c r="L81" s="39">
        <f>IF(tblDowntime[[#This Row],[Date]]="","",IF(OR(tblDowntime[[#This Row],[Minutes]]="",tblDowntime[[#This Row],[Loss rate]]=""),"",tblDowntime[[#This Row],[Minutes]]/60*tblDowntime[[#This Row],[Loss rate]]))</f>
        <v>51.6666666666667</v>
      </c>
      <c r="M81" s="33">
        <v>0</v>
      </c>
      <c r="N81" s="39">
        <f>IF(tblDowntime[[#This Row],[Date]]="","",IF(tblDowntime[[#This Row],[Production loss]]="","",tblDowntime[[#This Row],[Production loss]]+N(tblDowntime[[#This Row],[Repair cost]])))</f>
        <v>51.6666666666667</v>
      </c>
      <c r="O81" s="40">
        <f>IF(tblDowntime[[#This Row],[Date]]="","",tblDowntime[[#This Row],[Date]]-WEEKDAY(tblDowntime[[#This Row],[Date]],2)+1)</f>
        <v>46279</v>
      </c>
      <c r="P81" s="40">
        <f>IF(tblDowntime[[#This Row],[Date]]="","",IF(AND(tblDowntime[[#This Row],[Date]]&gt;=FFrom,tblDowntime[[#This Row],[Date]]&lt;=FTo,OR(DashMachine="",tblDowntime[[#This Row],[Machine]]=DashMachine)),tblDowntime[[#This Row],[Date]],""))</f>
        <v>46281</v>
      </c>
      <c r="Q8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1" s="42" t="s">
        <v>140</v>
      </c>
    </row>
    <row r="82" spans="2:18" x14ac:dyDescent="0.25">
      <c r="B82" s="35">
        <v>46281</v>
      </c>
      <c r="C82" s="28" t="s">
        <v>95</v>
      </c>
      <c r="D82" s="28" t="s">
        <v>81</v>
      </c>
      <c r="E82" s="28" t="s">
        <v>105</v>
      </c>
      <c r="F82" s="36">
        <v>0.6944444444444444</v>
      </c>
      <c r="G82" s="36">
        <v>0.75</v>
      </c>
      <c r="H82" s="37">
        <f>IF(tblDowntime[[#This Row],[Date]]="","",IF(OR(tblDowntime[[#This Row],[Start]]="",tblDowntime[[#This Row],[End]]=""),"",ROUND(MOD(tblDowntime[[#This Row],[End]]-tblDowntime[[#This Row],[Start]],1)*1440,0)))</f>
        <v>80</v>
      </c>
      <c r="I82" s="38" t="str">
        <f>IF(tblDowntime[[#This Row],[Date]]="","",IFERROR(INDEX(tblReasons[Type],MATCH(tblDowntime[[#This Row],[Reason]],tblReasons[Reason],0)),""))</f>
        <v>Unplanned</v>
      </c>
      <c r="J82" s="38" t="str">
        <f>IF(tblDowntime[[#This Row],[Date]]="","",IFERROR(INDEX(tblReasons[Loss category],MATCH(tblDowntime[[#This Row],[Reason]],tblReasons[Reason],0)),""))</f>
        <v>Breakdown</v>
      </c>
      <c r="K82" s="37">
        <f>IF(tblDowntime[[#This Row],[Date]]="","",IFERROR(INDEX(tblMachines[Loss rate (per h)],MATCH(tblDowntime[[#This Row],[Machine]],tblMachines[Machine],0)),""))</f>
        <v>950</v>
      </c>
      <c r="L82" s="39">
        <f>IF(tblDowntime[[#This Row],[Date]]="","",IF(OR(tblDowntime[[#This Row],[Minutes]]="",tblDowntime[[#This Row],[Loss rate]]=""),"",tblDowntime[[#This Row],[Minutes]]/60*tblDowntime[[#This Row],[Loss rate]]))</f>
        <v>1266.66666666667</v>
      </c>
      <c r="M82" s="33">
        <v>880</v>
      </c>
      <c r="N82" s="39">
        <f>IF(tblDowntime[[#This Row],[Date]]="","",IF(tblDowntime[[#This Row],[Production loss]]="","",tblDowntime[[#This Row],[Production loss]]+N(tblDowntime[[#This Row],[Repair cost]])))</f>
        <v>2146.66666666667</v>
      </c>
      <c r="O82" s="40">
        <f>IF(tblDowntime[[#This Row],[Date]]="","",tblDowntime[[#This Row],[Date]]-WEEKDAY(tblDowntime[[#This Row],[Date]],2)+1)</f>
        <v>46279</v>
      </c>
      <c r="P82" s="40">
        <f>IF(tblDowntime[[#This Row],[Date]]="","",IF(AND(tblDowntime[[#This Row],[Date]]&gt;=FFrom,tblDowntime[[#This Row],[Date]]&lt;=FTo,OR(DashMachine="",tblDowntime[[#This Row],[Machine]]=DashMachine)),tblDowntime[[#This Row],[Date]],""))</f>
        <v>46281</v>
      </c>
      <c r="Q8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2" s="42" t="s">
        <v>140</v>
      </c>
    </row>
    <row r="83" spans="2:18" x14ac:dyDescent="0.25">
      <c r="B83" s="35">
        <v>46282</v>
      </c>
      <c r="C83" s="28" t="s">
        <v>92</v>
      </c>
      <c r="D83" s="28" t="s">
        <v>85</v>
      </c>
      <c r="E83" s="28" t="s">
        <v>119</v>
      </c>
      <c r="F83" s="36">
        <v>0.2777777777777778</v>
      </c>
      <c r="G83" s="36">
        <v>0.2986111111111111</v>
      </c>
      <c r="H83" s="37">
        <f>IF(tblDowntime[[#This Row],[Date]]="","",IF(OR(tblDowntime[[#This Row],[Start]]="",tblDowntime[[#This Row],[End]]=""),"",ROUND(MOD(tblDowntime[[#This Row],[End]]-tblDowntime[[#This Row],[Start]],1)*1440,0)))</f>
        <v>30</v>
      </c>
      <c r="I83" s="38" t="str">
        <f>IF(tblDowntime[[#This Row],[Date]]="","",IFERROR(INDEX(tblReasons[Type],MATCH(tblDowntime[[#This Row],[Reason]],tblReasons[Reason],0)),""))</f>
        <v>Unplanned</v>
      </c>
      <c r="J83" s="38" t="str">
        <f>IF(tblDowntime[[#This Row],[Date]]="","",IFERROR(INDEX(tblReasons[Loss category],MATCH(tblDowntime[[#This Row],[Reason]],tblReasons[Reason],0)),""))</f>
        <v>Quality</v>
      </c>
      <c r="K83" s="37">
        <f>IF(tblDowntime[[#This Row],[Date]]="","",IFERROR(INDEX(tblMachines[Loss rate (per h)],MATCH(tblDowntime[[#This Row],[Machine]],tblMachines[Machine],0)),""))</f>
        <v>480</v>
      </c>
      <c r="L83" s="39">
        <f>IF(tblDowntime[[#This Row],[Date]]="","",IF(OR(tblDowntime[[#This Row],[Minutes]]="",tblDowntime[[#This Row],[Loss rate]]=""),"",tblDowntime[[#This Row],[Minutes]]/60*tblDowntime[[#This Row],[Loss rate]]))</f>
        <v>240</v>
      </c>
      <c r="M83" s="33">
        <v>0</v>
      </c>
      <c r="N83" s="39">
        <f>IF(tblDowntime[[#This Row],[Date]]="","",IF(tblDowntime[[#This Row],[Production loss]]="","",tblDowntime[[#This Row],[Production loss]]+N(tblDowntime[[#This Row],[Repair cost]])))</f>
        <v>240</v>
      </c>
      <c r="O83" s="40">
        <f>IF(tblDowntime[[#This Row],[Date]]="","",tblDowntime[[#This Row],[Date]]-WEEKDAY(tblDowntime[[#This Row],[Date]],2)+1)</f>
        <v>46279</v>
      </c>
      <c r="P83" s="40">
        <f>IF(tblDowntime[[#This Row],[Date]]="","",IF(AND(tblDowntime[[#This Row],[Date]]&gt;=FFrom,tblDowntime[[#This Row],[Date]]&lt;=FTo,OR(DashMachine="",tblDowntime[[#This Row],[Machine]]=DashMachine)),tblDowntime[[#This Row],[Date]],""))</f>
        <v>46282</v>
      </c>
      <c r="Q8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3" s="42" t="s">
        <v>140</v>
      </c>
    </row>
    <row r="84" spans="2:18" x14ac:dyDescent="0.25">
      <c r="B84" s="35">
        <v>46282</v>
      </c>
      <c r="C84" s="28" t="s">
        <v>92</v>
      </c>
      <c r="D84" s="28" t="s">
        <v>83</v>
      </c>
      <c r="E84" s="28" t="s">
        <v>113</v>
      </c>
      <c r="F84" s="36">
        <v>0.4166666666666667</v>
      </c>
      <c r="G84" s="36">
        <v>0.4236111111111111</v>
      </c>
      <c r="H84" s="37">
        <f>IF(tblDowntime[[#This Row],[Date]]="","",IF(OR(tblDowntime[[#This Row],[Start]]="",tblDowntime[[#This Row],[End]]=""),"",ROUND(MOD(tblDowntime[[#This Row],[End]]-tblDowntime[[#This Row],[Start]],1)*1440,0)))</f>
        <v>10</v>
      </c>
      <c r="I84" s="38" t="str">
        <f>IF(tblDowntime[[#This Row],[Date]]="","",IFERROR(INDEX(tblReasons[Type],MATCH(tblDowntime[[#This Row],[Reason]],tblReasons[Reason],0)),""))</f>
        <v>Unplanned</v>
      </c>
      <c r="J84" s="38" t="str">
        <f>IF(tblDowntime[[#This Row],[Date]]="","",IFERROR(INDEX(tblReasons[Loss category],MATCH(tblDowntime[[#This Row],[Reason]],tblReasons[Reason],0)),""))</f>
        <v>Minor stop</v>
      </c>
      <c r="K84" s="37">
        <f>IF(tblDowntime[[#This Row],[Date]]="","",IFERROR(INDEX(tblMachines[Loss rate (per h)],MATCH(tblDowntime[[#This Row],[Machine]],tblMachines[Machine],0)),""))</f>
        <v>620</v>
      </c>
      <c r="L84" s="39">
        <f>IF(tblDowntime[[#This Row],[Date]]="","",IF(OR(tblDowntime[[#This Row],[Minutes]]="",tblDowntime[[#This Row],[Loss rate]]=""),"",tblDowntime[[#This Row],[Minutes]]/60*tblDowntime[[#This Row],[Loss rate]]))</f>
        <v>103.333333333333</v>
      </c>
      <c r="M84" s="33">
        <v>0</v>
      </c>
      <c r="N84" s="39">
        <f>IF(tblDowntime[[#This Row],[Date]]="","",IF(tblDowntime[[#This Row],[Production loss]]="","",tblDowntime[[#This Row],[Production loss]]+N(tblDowntime[[#This Row],[Repair cost]])))</f>
        <v>103.333333333333</v>
      </c>
      <c r="O84" s="40">
        <f>IF(tblDowntime[[#This Row],[Date]]="","",tblDowntime[[#This Row],[Date]]-WEEKDAY(tblDowntime[[#This Row],[Date]],2)+1)</f>
        <v>46279</v>
      </c>
      <c r="P84" s="40">
        <f>IF(tblDowntime[[#This Row],[Date]]="","",IF(AND(tblDowntime[[#This Row],[Date]]&gt;=FFrom,tblDowntime[[#This Row],[Date]]&lt;=FTo,OR(DashMachine="",tblDowntime[[#This Row],[Machine]]=DashMachine)),tblDowntime[[#This Row],[Date]],""))</f>
        <v>46282</v>
      </c>
      <c r="Q8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4" s="42" t="s">
        <v>140</v>
      </c>
    </row>
    <row r="85" spans="2:18" x14ac:dyDescent="0.25">
      <c r="B85" s="35">
        <v>46282</v>
      </c>
      <c r="C85" s="28" t="s">
        <v>92</v>
      </c>
      <c r="D85" s="28" t="s">
        <v>81</v>
      </c>
      <c r="E85" s="28" t="s">
        <v>98</v>
      </c>
      <c r="F85" s="36">
        <v>0.375</v>
      </c>
      <c r="G85" s="36">
        <v>0.4027777777777778</v>
      </c>
      <c r="H85" s="37">
        <f>IF(tblDowntime[[#This Row],[Date]]="","",IF(OR(tblDowntime[[#This Row],[Start]]="",tblDowntime[[#This Row],[End]]=""),"",ROUND(MOD(tblDowntime[[#This Row],[End]]-tblDowntime[[#This Row],[Start]],1)*1440,0)))</f>
        <v>40</v>
      </c>
      <c r="I85" s="38" t="str">
        <f>IF(tblDowntime[[#This Row],[Date]]="","",IFERROR(INDEX(tblReasons[Type],MATCH(tblDowntime[[#This Row],[Reason]],tblReasons[Reason],0)),""))</f>
        <v>Planned</v>
      </c>
      <c r="J85" s="38" t="str">
        <f>IF(tblDowntime[[#This Row],[Date]]="","",IFERROR(INDEX(tblReasons[Loss category],MATCH(tblDowntime[[#This Row],[Reason]],tblReasons[Reason],0)),""))</f>
        <v>Changeover</v>
      </c>
      <c r="K85" s="37">
        <f>IF(tblDowntime[[#This Row],[Date]]="","",IFERROR(INDEX(tblMachines[Loss rate (per h)],MATCH(tblDowntime[[#This Row],[Machine]],tblMachines[Machine],0)),""))</f>
        <v>950</v>
      </c>
      <c r="L85" s="39">
        <f>IF(tblDowntime[[#This Row],[Date]]="","",IF(OR(tblDowntime[[#This Row],[Minutes]]="",tblDowntime[[#This Row],[Loss rate]]=""),"",tblDowntime[[#This Row],[Minutes]]/60*tblDowntime[[#This Row],[Loss rate]]))</f>
        <v>633.333333333333</v>
      </c>
      <c r="M85" s="33">
        <v>0</v>
      </c>
      <c r="N85" s="39">
        <f>IF(tblDowntime[[#This Row],[Date]]="","",IF(tblDowntime[[#This Row],[Production loss]]="","",tblDowntime[[#This Row],[Production loss]]+N(tblDowntime[[#This Row],[Repair cost]])))</f>
        <v>633.333333333333</v>
      </c>
      <c r="O85" s="40">
        <f>IF(tblDowntime[[#This Row],[Date]]="","",tblDowntime[[#This Row],[Date]]-WEEKDAY(tblDowntime[[#This Row],[Date]],2)+1)</f>
        <v>46279</v>
      </c>
      <c r="P85" s="40">
        <f>IF(tblDowntime[[#This Row],[Date]]="","",IF(AND(tblDowntime[[#This Row],[Date]]&gt;=FFrom,tblDowntime[[#This Row],[Date]]&lt;=FTo,OR(DashMachine="",tblDowntime[[#This Row],[Machine]]=DashMachine)),tblDowntime[[#This Row],[Date]],""))</f>
        <v>46282</v>
      </c>
      <c r="Q8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5" s="42" t="s">
        <v>139</v>
      </c>
    </row>
    <row r="86" spans="2:18" x14ac:dyDescent="0.25">
      <c r="B86" s="35">
        <v>46282</v>
      </c>
      <c r="C86" s="28" t="s">
        <v>92</v>
      </c>
      <c r="D86" s="28" t="s">
        <v>81</v>
      </c>
      <c r="E86" s="28" t="s">
        <v>105</v>
      </c>
      <c r="F86" s="36">
        <v>0.4583333333333333</v>
      </c>
      <c r="G86" s="36">
        <v>0.5208333333333334</v>
      </c>
      <c r="H86" s="37">
        <f>IF(tblDowntime[[#This Row],[Date]]="","",IF(OR(tblDowntime[[#This Row],[Start]]="",tblDowntime[[#This Row],[End]]=""),"",ROUND(MOD(tblDowntime[[#This Row],[End]]-tblDowntime[[#This Row],[Start]],1)*1440,0)))</f>
        <v>90</v>
      </c>
      <c r="I86" s="38" t="str">
        <f>IF(tblDowntime[[#This Row],[Date]]="","",IFERROR(INDEX(tblReasons[Type],MATCH(tblDowntime[[#This Row],[Reason]],tblReasons[Reason],0)),""))</f>
        <v>Unplanned</v>
      </c>
      <c r="J86" s="38" t="str">
        <f>IF(tblDowntime[[#This Row],[Date]]="","",IFERROR(INDEX(tblReasons[Loss category],MATCH(tblDowntime[[#This Row],[Reason]],tblReasons[Reason],0)),""))</f>
        <v>Breakdown</v>
      </c>
      <c r="K86" s="37">
        <f>IF(tblDowntime[[#This Row],[Date]]="","",IFERROR(INDEX(tblMachines[Loss rate (per h)],MATCH(tblDowntime[[#This Row],[Machine]],tblMachines[Machine],0)),""))</f>
        <v>950</v>
      </c>
      <c r="L86" s="39">
        <f>IF(tblDowntime[[#This Row],[Date]]="","",IF(OR(tblDowntime[[#This Row],[Minutes]]="",tblDowntime[[#This Row],[Loss rate]]=""),"",tblDowntime[[#This Row],[Minutes]]/60*tblDowntime[[#This Row],[Loss rate]]))</f>
        <v>1425</v>
      </c>
      <c r="M86" s="33">
        <v>440</v>
      </c>
      <c r="N86" s="39">
        <f>IF(tblDowntime[[#This Row],[Date]]="","",IF(tblDowntime[[#This Row],[Production loss]]="","",tblDowntime[[#This Row],[Production loss]]+N(tblDowntime[[#This Row],[Repair cost]])))</f>
        <v>1865</v>
      </c>
      <c r="O86" s="40">
        <f>IF(tblDowntime[[#This Row],[Date]]="","",tblDowntime[[#This Row],[Date]]-WEEKDAY(tblDowntime[[#This Row],[Date]],2)+1)</f>
        <v>46279</v>
      </c>
      <c r="P86" s="40">
        <f>IF(tblDowntime[[#This Row],[Date]]="","",IF(AND(tblDowntime[[#This Row],[Date]]&gt;=FFrom,tblDowntime[[#This Row],[Date]]&lt;=FTo,OR(DashMachine="",tblDowntime[[#This Row],[Machine]]=DashMachine)),tblDowntime[[#This Row],[Date]],""))</f>
        <v>46282</v>
      </c>
      <c r="Q8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6" s="42" t="s">
        <v>140</v>
      </c>
    </row>
    <row r="87" spans="2:18" x14ac:dyDescent="0.25">
      <c r="B87" s="35">
        <v>46282</v>
      </c>
      <c r="C87" s="28" t="s">
        <v>95</v>
      </c>
      <c r="D87" s="28" t="s">
        <v>89</v>
      </c>
      <c r="E87" s="28" t="s">
        <v>119</v>
      </c>
      <c r="F87" s="36">
        <v>0.6666666666666666</v>
      </c>
      <c r="G87" s="36">
        <v>0.6909722222222222</v>
      </c>
      <c r="H87" s="37">
        <f>IF(tblDowntime[[#This Row],[Date]]="","",IF(OR(tblDowntime[[#This Row],[Start]]="",tblDowntime[[#This Row],[End]]=""),"",ROUND(MOD(tblDowntime[[#This Row],[End]]-tblDowntime[[#This Row],[Start]],1)*1440,0)))</f>
        <v>35</v>
      </c>
      <c r="I87" s="38" t="str">
        <f>IF(tblDowntime[[#This Row],[Date]]="","",IFERROR(INDEX(tblReasons[Type],MATCH(tblDowntime[[#This Row],[Reason]],tblReasons[Reason],0)),""))</f>
        <v>Unplanned</v>
      </c>
      <c r="J87" s="38" t="str">
        <f>IF(tblDowntime[[#This Row],[Date]]="","",IFERROR(INDEX(tblReasons[Loss category],MATCH(tblDowntime[[#This Row],[Reason]],tblReasons[Reason],0)),""))</f>
        <v>Quality</v>
      </c>
      <c r="K87" s="37">
        <f>IF(tblDowntime[[#This Row],[Date]]="","",IFERROR(INDEX(tblMachines[Loss rate (per h)],MATCH(tblDowntime[[#This Row],[Machine]],tblMachines[Machine],0)),""))</f>
        <v>540</v>
      </c>
      <c r="L87" s="39">
        <f>IF(tblDowntime[[#This Row],[Date]]="","",IF(OR(tblDowntime[[#This Row],[Minutes]]="",tblDowntime[[#This Row],[Loss rate]]=""),"",tblDowntime[[#This Row],[Minutes]]/60*tblDowntime[[#This Row],[Loss rate]]))</f>
        <v>315</v>
      </c>
      <c r="M87" s="33">
        <v>0</v>
      </c>
      <c r="N87" s="39">
        <f>IF(tblDowntime[[#This Row],[Date]]="","",IF(tblDowntime[[#This Row],[Production loss]]="","",tblDowntime[[#This Row],[Production loss]]+N(tblDowntime[[#This Row],[Repair cost]])))</f>
        <v>315</v>
      </c>
      <c r="O87" s="40">
        <f>IF(tblDowntime[[#This Row],[Date]]="","",tblDowntime[[#This Row],[Date]]-WEEKDAY(tblDowntime[[#This Row],[Date]],2)+1)</f>
        <v>46279</v>
      </c>
      <c r="P87" s="40">
        <f>IF(tblDowntime[[#This Row],[Date]]="","",IF(AND(tblDowntime[[#This Row],[Date]]&gt;=FFrom,tblDowntime[[#This Row],[Date]]&lt;=FTo,OR(DashMachine="",tblDowntime[[#This Row],[Machine]]=DashMachine)),tblDowntime[[#This Row],[Date]],""))</f>
        <v>46282</v>
      </c>
      <c r="Q8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7" s="42" t="s">
        <v>140</v>
      </c>
    </row>
    <row r="88" spans="2:18" x14ac:dyDescent="0.25">
      <c r="B88" s="35">
        <v>46283</v>
      </c>
      <c r="C88" s="28" t="s">
        <v>92</v>
      </c>
      <c r="D88" s="28" t="s">
        <v>83</v>
      </c>
      <c r="E88" s="28" t="s">
        <v>105</v>
      </c>
      <c r="F88" s="36">
        <v>0.3055555555555556</v>
      </c>
      <c r="G88" s="36">
        <v>0.3472222222222222</v>
      </c>
      <c r="H88" s="37">
        <f>IF(tblDowntime[[#This Row],[Date]]="","",IF(OR(tblDowntime[[#This Row],[Start]]="",tblDowntime[[#This Row],[End]]=""),"",ROUND(MOD(tblDowntime[[#This Row],[End]]-tblDowntime[[#This Row],[Start]],1)*1440,0)))</f>
        <v>60</v>
      </c>
      <c r="I88" s="38" t="str">
        <f>IF(tblDowntime[[#This Row],[Date]]="","",IFERROR(INDEX(tblReasons[Type],MATCH(tblDowntime[[#This Row],[Reason]],tblReasons[Reason],0)),""))</f>
        <v>Unplanned</v>
      </c>
      <c r="J88" s="38" t="str">
        <f>IF(tblDowntime[[#This Row],[Date]]="","",IFERROR(INDEX(tblReasons[Loss category],MATCH(tblDowntime[[#This Row],[Reason]],tblReasons[Reason],0)),""))</f>
        <v>Breakdown</v>
      </c>
      <c r="K88" s="37">
        <f>IF(tblDowntime[[#This Row],[Date]]="","",IFERROR(INDEX(tblMachines[Loss rate (per h)],MATCH(tblDowntime[[#This Row],[Machine]],tblMachines[Machine],0)),""))</f>
        <v>620</v>
      </c>
      <c r="L88" s="39">
        <f>IF(tblDowntime[[#This Row],[Date]]="","",IF(OR(tblDowntime[[#This Row],[Minutes]]="",tblDowntime[[#This Row],[Loss rate]]=""),"",tblDowntime[[#This Row],[Minutes]]/60*tblDowntime[[#This Row],[Loss rate]]))</f>
        <v>620</v>
      </c>
      <c r="M88" s="33">
        <v>350</v>
      </c>
      <c r="N88" s="39">
        <f>IF(tblDowntime[[#This Row],[Date]]="","",IF(tblDowntime[[#This Row],[Production loss]]="","",tblDowntime[[#This Row],[Production loss]]+N(tblDowntime[[#This Row],[Repair cost]])))</f>
        <v>970</v>
      </c>
      <c r="O88" s="40">
        <f>IF(tblDowntime[[#This Row],[Date]]="","",tblDowntime[[#This Row],[Date]]-WEEKDAY(tblDowntime[[#This Row],[Date]],2)+1)</f>
        <v>46279</v>
      </c>
      <c r="P88" s="40">
        <f>IF(tblDowntime[[#This Row],[Date]]="","",IF(AND(tblDowntime[[#This Row],[Date]]&gt;=FFrom,tblDowntime[[#This Row],[Date]]&lt;=FTo,OR(DashMachine="",tblDowntime[[#This Row],[Machine]]=DashMachine)),tblDowntime[[#This Row],[Date]],""))</f>
        <v>46283</v>
      </c>
      <c r="Q8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8" s="42" t="s">
        <v>140</v>
      </c>
    </row>
    <row r="89" spans="2:18" x14ac:dyDescent="0.25">
      <c r="B89" s="35">
        <v>46283</v>
      </c>
      <c r="C89" s="28" t="s">
        <v>92</v>
      </c>
      <c r="D89" s="28" t="s">
        <v>81</v>
      </c>
      <c r="E89" s="28" t="s">
        <v>98</v>
      </c>
      <c r="F89" s="36">
        <v>0.3888888888888889</v>
      </c>
      <c r="G89" s="36">
        <v>0.4270833333333333</v>
      </c>
      <c r="H89" s="37">
        <f>IF(tblDowntime[[#This Row],[Date]]="","",IF(OR(tblDowntime[[#This Row],[Start]]="",tblDowntime[[#This Row],[End]]=""),"",ROUND(MOD(tblDowntime[[#This Row],[End]]-tblDowntime[[#This Row],[Start]],1)*1440,0)))</f>
        <v>55</v>
      </c>
      <c r="I89" s="38" t="str">
        <f>IF(tblDowntime[[#This Row],[Date]]="","",IFERROR(INDEX(tblReasons[Type],MATCH(tblDowntime[[#This Row],[Reason]],tblReasons[Reason],0)),""))</f>
        <v>Planned</v>
      </c>
      <c r="J89" s="38" t="str">
        <f>IF(tblDowntime[[#This Row],[Date]]="","",IFERROR(INDEX(tblReasons[Loss category],MATCH(tblDowntime[[#This Row],[Reason]],tblReasons[Reason],0)),""))</f>
        <v>Changeover</v>
      </c>
      <c r="K89" s="37">
        <f>IF(tblDowntime[[#This Row],[Date]]="","",IFERROR(INDEX(tblMachines[Loss rate (per h)],MATCH(tblDowntime[[#This Row],[Machine]],tblMachines[Machine],0)),""))</f>
        <v>950</v>
      </c>
      <c r="L89" s="39">
        <f>IF(tblDowntime[[#This Row],[Date]]="","",IF(OR(tblDowntime[[#This Row],[Minutes]]="",tblDowntime[[#This Row],[Loss rate]]=""),"",tblDowntime[[#This Row],[Minutes]]/60*tblDowntime[[#This Row],[Loss rate]]))</f>
        <v>870.833333333333</v>
      </c>
      <c r="M89" s="33">
        <v>0</v>
      </c>
      <c r="N89" s="39">
        <f>IF(tblDowntime[[#This Row],[Date]]="","",IF(tblDowntime[[#This Row],[Production loss]]="","",tblDowntime[[#This Row],[Production loss]]+N(tblDowntime[[#This Row],[Repair cost]])))</f>
        <v>870.833333333333</v>
      </c>
      <c r="O89" s="40">
        <f>IF(tblDowntime[[#This Row],[Date]]="","",tblDowntime[[#This Row],[Date]]-WEEKDAY(tblDowntime[[#This Row],[Date]],2)+1)</f>
        <v>46279</v>
      </c>
      <c r="P89" s="40">
        <f>IF(tblDowntime[[#This Row],[Date]]="","",IF(AND(tblDowntime[[#This Row],[Date]]&gt;=FFrom,tblDowntime[[#This Row],[Date]]&lt;=FTo,OR(DashMachine="",tblDowntime[[#This Row],[Machine]]=DashMachine)),tblDowntime[[#This Row],[Date]],""))</f>
        <v>46283</v>
      </c>
      <c r="Q8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89" s="42" t="s">
        <v>139</v>
      </c>
    </row>
    <row r="90" spans="2:18" x14ac:dyDescent="0.25">
      <c r="B90" s="35">
        <v>46283</v>
      </c>
      <c r="C90" s="28" t="s">
        <v>92</v>
      </c>
      <c r="D90" s="28" t="s">
        <v>81</v>
      </c>
      <c r="E90" s="28" t="s">
        <v>113</v>
      </c>
      <c r="F90" s="36">
        <v>0.4756944444444444</v>
      </c>
      <c r="G90" s="36">
        <v>0.4861111111111111</v>
      </c>
      <c r="H90" s="37">
        <f>IF(tblDowntime[[#This Row],[Date]]="","",IF(OR(tblDowntime[[#This Row],[Start]]="",tblDowntime[[#This Row],[End]]=""),"",ROUND(MOD(tblDowntime[[#This Row],[End]]-tblDowntime[[#This Row],[Start]],1)*1440,0)))</f>
        <v>15</v>
      </c>
      <c r="I90" s="38" t="str">
        <f>IF(tblDowntime[[#This Row],[Date]]="","",IFERROR(INDEX(tblReasons[Type],MATCH(tblDowntime[[#This Row],[Reason]],tblReasons[Reason],0)),""))</f>
        <v>Unplanned</v>
      </c>
      <c r="J90" s="38" t="str">
        <f>IF(tblDowntime[[#This Row],[Date]]="","",IFERROR(INDEX(tblReasons[Loss category],MATCH(tblDowntime[[#This Row],[Reason]],tblReasons[Reason],0)),""))</f>
        <v>Minor stop</v>
      </c>
      <c r="K90" s="37">
        <f>IF(tblDowntime[[#This Row],[Date]]="","",IFERROR(INDEX(tblMachines[Loss rate (per h)],MATCH(tblDowntime[[#This Row],[Machine]],tblMachines[Machine],0)),""))</f>
        <v>950</v>
      </c>
      <c r="L90" s="39">
        <f>IF(tblDowntime[[#This Row],[Date]]="","",IF(OR(tblDowntime[[#This Row],[Minutes]]="",tblDowntime[[#This Row],[Loss rate]]=""),"",tblDowntime[[#This Row],[Minutes]]/60*tblDowntime[[#This Row],[Loss rate]]))</f>
        <v>237.5</v>
      </c>
      <c r="M90" s="33">
        <v>0</v>
      </c>
      <c r="N90" s="39">
        <f>IF(tblDowntime[[#This Row],[Date]]="","",IF(tblDowntime[[#This Row],[Production loss]]="","",tblDowntime[[#This Row],[Production loss]]+N(tblDowntime[[#This Row],[Repair cost]])))</f>
        <v>237.5</v>
      </c>
      <c r="O90" s="40">
        <f>IF(tblDowntime[[#This Row],[Date]]="","",tblDowntime[[#This Row],[Date]]-WEEKDAY(tblDowntime[[#This Row],[Date]],2)+1)</f>
        <v>46279</v>
      </c>
      <c r="P90" s="40">
        <f>IF(tblDowntime[[#This Row],[Date]]="","",IF(AND(tblDowntime[[#This Row],[Date]]&gt;=FFrom,tblDowntime[[#This Row],[Date]]&lt;=FTo,OR(DashMachine="",tblDowntime[[#This Row],[Machine]]=DashMachine)),tblDowntime[[#This Row],[Date]],""))</f>
        <v>46283</v>
      </c>
      <c r="Q9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0" s="42" t="s">
        <v>140</v>
      </c>
    </row>
    <row r="91" spans="2:18" x14ac:dyDescent="0.25">
      <c r="B91" s="35">
        <v>46283</v>
      </c>
      <c r="C91" s="28" t="s">
        <v>92</v>
      </c>
      <c r="D91" s="28" t="s">
        <v>89</v>
      </c>
      <c r="E91" s="28" t="s">
        <v>119</v>
      </c>
      <c r="F91" s="36">
        <v>0.3194444444444444</v>
      </c>
      <c r="G91" s="36">
        <v>0.3298611111111111</v>
      </c>
      <c r="H91" s="37">
        <f>IF(tblDowntime[[#This Row],[Date]]="","",IF(OR(tblDowntime[[#This Row],[Start]]="",tblDowntime[[#This Row],[End]]=""),"",ROUND(MOD(tblDowntime[[#This Row],[End]]-tblDowntime[[#This Row],[Start]],1)*1440,0)))</f>
        <v>15</v>
      </c>
      <c r="I91" s="38" t="str">
        <f>IF(tblDowntime[[#This Row],[Date]]="","",IFERROR(INDEX(tblReasons[Type],MATCH(tblDowntime[[#This Row],[Reason]],tblReasons[Reason],0)),""))</f>
        <v>Unplanned</v>
      </c>
      <c r="J91" s="38" t="str">
        <f>IF(tblDowntime[[#This Row],[Date]]="","",IFERROR(INDEX(tblReasons[Loss category],MATCH(tblDowntime[[#This Row],[Reason]],tblReasons[Reason],0)),""))</f>
        <v>Quality</v>
      </c>
      <c r="K91" s="37">
        <f>IF(tblDowntime[[#This Row],[Date]]="","",IFERROR(INDEX(tblMachines[Loss rate (per h)],MATCH(tblDowntime[[#This Row],[Machine]],tblMachines[Machine],0)),""))</f>
        <v>540</v>
      </c>
      <c r="L91" s="39">
        <f>IF(tblDowntime[[#This Row],[Date]]="","",IF(OR(tblDowntime[[#This Row],[Minutes]]="",tblDowntime[[#This Row],[Loss rate]]=""),"",tblDowntime[[#This Row],[Minutes]]/60*tblDowntime[[#This Row],[Loss rate]]))</f>
        <v>135</v>
      </c>
      <c r="M91" s="33">
        <v>0</v>
      </c>
      <c r="N91" s="39">
        <f>IF(tblDowntime[[#This Row],[Date]]="","",IF(tblDowntime[[#This Row],[Production loss]]="","",tblDowntime[[#This Row],[Production loss]]+N(tblDowntime[[#This Row],[Repair cost]])))</f>
        <v>135</v>
      </c>
      <c r="O91" s="40">
        <f>IF(tblDowntime[[#This Row],[Date]]="","",tblDowntime[[#This Row],[Date]]-WEEKDAY(tblDowntime[[#This Row],[Date]],2)+1)</f>
        <v>46279</v>
      </c>
      <c r="P91" s="40">
        <f>IF(tblDowntime[[#This Row],[Date]]="","",IF(AND(tblDowntime[[#This Row],[Date]]&gt;=FFrom,tblDowntime[[#This Row],[Date]]&lt;=FTo,OR(DashMachine="",tblDowntime[[#This Row],[Machine]]=DashMachine)),tblDowntime[[#This Row],[Date]],""))</f>
        <v>46283</v>
      </c>
      <c r="Q9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1" s="42" t="s">
        <v>140</v>
      </c>
    </row>
    <row r="92" spans="2:18" x14ac:dyDescent="0.25">
      <c r="B92" s="35">
        <v>46283</v>
      </c>
      <c r="C92" s="28" t="s">
        <v>95</v>
      </c>
      <c r="D92" s="28" t="s">
        <v>83</v>
      </c>
      <c r="E92" s="28" t="s">
        <v>98</v>
      </c>
      <c r="F92" s="36">
        <v>0.6666666666666666</v>
      </c>
      <c r="G92" s="36">
        <v>0.6979166666666666</v>
      </c>
      <c r="H92" s="37">
        <f>IF(tblDowntime[[#This Row],[Date]]="","",IF(OR(tblDowntime[[#This Row],[Start]]="",tblDowntime[[#This Row],[End]]=""),"",ROUND(MOD(tblDowntime[[#This Row],[End]]-tblDowntime[[#This Row],[Start]],1)*1440,0)))</f>
        <v>45</v>
      </c>
      <c r="I92" s="38" t="str">
        <f>IF(tblDowntime[[#This Row],[Date]]="","",IFERROR(INDEX(tblReasons[Type],MATCH(tblDowntime[[#This Row],[Reason]],tblReasons[Reason],0)),""))</f>
        <v>Planned</v>
      </c>
      <c r="J92" s="38" t="str">
        <f>IF(tblDowntime[[#This Row],[Date]]="","",IFERROR(INDEX(tblReasons[Loss category],MATCH(tblDowntime[[#This Row],[Reason]],tblReasons[Reason],0)),""))</f>
        <v>Changeover</v>
      </c>
      <c r="K92" s="37">
        <f>IF(tblDowntime[[#This Row],[Date]]="","",IFERROR(INDEX(tblMachines[Loss rate (per h)],MATCH(tblDowntime[[#This Row],[Machine]],tblMachines[Machine],0)),""))</f>
        <v>620</v>
      </c>
      <c r="L92" s="39">
        <f>IF(tblDowntime[[#This Row],[Date]]="","",IF(OR(tblDowntime[[#This Row],[Minutes]]="",tblDowntime[[#This Row],[Loss rate]]=""),"",tblDowntime[[#This Row],[Minutes]]/60*tblDowntime[[#This Row],[Loss rate]]))</f>
        <v>465</v>
      </c>
      <c r="M92" s="33">
        <v>0</v>
      </c>
      <c r="N92" s="39">
        <f>IF(tblDowntime[[#This Row],[Date]]="","",IF(tblDowntime[[#This Row],[Production loss]]="","",tblDowntime[[#This Row],[Production loss]]+N(tblDowntime[[#This Row],[Repair cost]])))</f>
        <v>465</v>
      </c>
      <c r="O92" s="40">
        <f>IF(tblDowntime[[#This Row],[Date]]="","",tblDowntime[[#This Row],[Date]]-WEEKDAY(tblDowntime[[#This Row],[Date]],2)+1)</f>
        <v>46279</v>
      </c>
      <c r="P92" s="40">
        <f>IF(tblDowntime[[#This Row],[Date]]="","",IF(AND(tblDowntime[[#This Row],[Date]]&gt;=FFrom,tblDowntime[[#This Row],[Date]]&lt;=FTo,OR(DashMachine="",tblDowntime[[#This Row],[Machine]]=DashMachine)),tblDowntime[[#This Row],[Date]],""))</f>
        <v>46283</v>
      </c>
      <c r="Q9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2" s="42" t="s">
        <v>139</v>
      </c>
    </row>
    <row r="93" spans="2:18" x14ac:dyDescent="0.25">
      <c r="B93" s="35">
        <v>46283</v>
      </c>
      <c r="C93" s="28" t="s">
        <v>95</v>
      </c>
      <c r="D93" s="28" t="s">
        <v>83</v>
      </c>
      <c r="E93" s="28" t="s">
        <v>113</v>
      </c>
      <c r="F93" s="36">
        <v>0.7326388888888888</v>
      </c>
      <c r="G93" s="36">
        <v>0.7361111111111112</v>
      </c>
      <c r="H93" s="37">
        <f>IF(tblDowntime[[#This Row],[Date]]="","",IF(OR(tblDowntime[[#This Row],[Start]]="",tblDowntime[[#This Row],[End]]=""),"",ROUND(MOD(tblDowntime[[#This Row],[End]]-tblDowntime[[#This Row],[Start]],1)*1440,0)))</f>
        <v>5</v>
      </c>
      <c r="I93" s="38" t="str">
        <f>IF(tblDowntime[[#This Row],[Date]]="","",IFERROR(INDEX(tblReasons[Type],MATCH(tblDowntime[[#This Row],[Reason]],tblReasons[Reason],0)),""))</f>
        <v>Unplanned</v>
      </c>
      <c r="J93" s="38" t="str">
        <f>IF(tblDowntime[[#This Row],[Date]]="","",IFERROR(INDEX(tblReasons[Loss category],MATCH(tblDowntime[[#This Row],[Reason]],tblReasons[Reason],0)),""))</f>
        <v>Minor stop</v>
      </c>
      <c r="K93" s="37">
        <f>IF(tblDowntime[[#This Row],[Date]]="","",IFERROR(INDEX(tblMachines[Loss rate (per h)],MATCH(tblDowntime[[#This Row],[Machine]],tblMachines[Machine],0)),""))</f>
        <v>620</v>
      </c>
      <c r="L93" s="39">
        <f>IF(tblDowntime[[#This Row],[Date]]="","",IF(OR(tblDowntime[[#This Row],[Minutes]]="",tblDowntime[[#This Row],[Loss rate]]=""),"",tblDowntime[[#This Row],[Minutes]]/60*tblDowntime[[#This Row],[Loss rate]]))</f>
        <v>51.6666666666667</v>
      </c>
      <c r="M93" s="33">
        <v>0</v>
      </c>
      <c r="N93" s="39">
        <f>IF(tblDowntime[[#This Row],[Date]]="","",IF(tblDowntime[[#This Row],[Production loss]]="","",tblDowntime[[#This Row],[Production loss]]+N(tblDowntime[[#This Row],[Repair cost]])))</f>
        <v>51.6666666666667</v>
      </c>
      <c r="O93" s="40">
        <f>IF(tblDowntime[[#This Row],[Date]]="","",tblDowntime[[#This Row],[Date]]-WEEKDAY(tblDowntime[[#This Row],[Date]],2)+1)</f>
        <v>46279</v>
      </c>
      <c r="P93" s="40">
        <f>IF(tblDowntime[[#This Row],[Date]]="","",IF(AND(tblDowntime[[#This Row],[Date]]&gt;=FFrom,tblDowntime[[#This Row],[Date]]&lt;=FTo,OR(DashMachine="",tblDowntime[[#This Row],[Machine]]=DashMachine)),tblDowntime[[#This Row],[Date]],""))</f>
        <v>46283</v>
      </c>
      <c r="Q9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3" s="42" t="s">
        <v>140</v>
      </c>
    </row>
    <row r="94" spans="2:18" x14ac:dyDescent="0.25">
      <c r="B94" s="35">
        <v>46283</v>
      </c>
      <c r="C94" s="28" t="s">
        <v>95</v>
      </c>
      <c r="D94" s="28" t="s">
        <v>81</v>
      </c>
      <c r="E94" s="28" t="s">
        <v>98</v>
      </c>
      <c r="F94" s="36">
        <v>0.6527777777777778</v>
      </c>
      <c r="G94" s="36">
        <v>0.6805555555555556</v>
      </c>
      <c r="H94" s="37">
        <f>IF(tblDowntime[[#This Row],[Date]]="","",IF(OR(tblDowntime[[#This Row],[Start]]="",tblDowntime[[#This Row],[End]]=""),"",ROUND(MOD(tblDowntime[[#This Row],[End]]-tblDowntime[[#This Row],[Start]],1)*1440,0)))</f>
        <v>40</v>
      </c>
      <c r="I94" s="38" t="str">
        <f>IF(tblDowntime[[#This Row],[Date]]="","",IFERROR(INDEX(tblReasons[Type],MATCH(tblDowntime[[#This Row],[Reason]],tblReasons[Reason],0)),""))</f>
        <v>Planned</v>
      </c>
      <c r="J94" s="38" t="str">
        <f>IF(tblDowntime[[#This Row],[Date]]="","",IFERROR(INDEX(tblReasons[Loss category],MATCH(tblDowntime[[#This Row],[Reason]],tblReasons[Reason],0)),""))</f>
        <v>Changeover</v>
      </c>
      <c r="K94" s="37">
        <f>IF(tblDowntime[[#This Row],[Date]]="","",IFERROR(INDEX(tblMachines[Loss rate (per h)],MATCH(tblDowntime[[#This Row],[Machine]],tblMachines[Machine],0)),""))</f>
        <v>950</v>
      </c>
      <c r="L94" s="39">
        <f>IF(tblDowntime[[#This Row],[Date]]="","",IF(OR(tblDowntime[[#This Row],[Minutes]]="",tblDowntime[[#This Row],[Loss rate]]=""),"",tblDowntime[[#This Row],[Minutes]]/60*tblDowntime[[#This Row],[Loss rate]]))</f>
        <v>633.333333333333</v>
      </c>
      <c r="M94" s="33">
        <v>0</v>
      </c>
      <c r="N94" s="39">
        <f>IF(tblDowntime[[#This Row],[Date]]="","",IF(tblDowntime[[#This Row],[Production loss]]="","",tblDowntime[[#This Row],[Production loss]]+N(tblDowntime[[#This Row],[Repair cost]])))</f>
        <v>633.333333333333</v>
      </c>
      <c r="O94" s="40">
        <f>IF(tblDowntime[[#This Row],[Date]]="","",tblDowntime[[#This Row],[Date]]-WEEKDAY(tblDowntime[[#This Row],[Date]],2)+1)</f>
        <v>46279</v>
      </c>
      <c r="P94" s="40">
        <f>IF(tblDowntime[[#This Row],[Date]]="","",IF(AND(tblDowntime[[#This Row],[Date]]&gt;=FFrom,tblDowntime[[#This Row],[Date]]&lt;=FTo,OR(DashMachine="",tblDowntime[[#This Row],[Machine]]=DashMachine)),tblDowntime[[#This Row],[Date]],""))</f>
        <v>46283</v>
      </c>
      <c r="Q9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4" s="42" t="s">
        <v>139</v>
      </c>
    </row>
    <row r="95" spans="2:18" x14ac:dyDescent="0.25">
      <c r="B95" s="35">
        <v>46283</v>
      </c>
      <c r="C95" s="28" t="s">
        <v>95</v>
      </c>
      <c r="D95" s="28" t="s">
        <v>81</v>
      </c>
      <c r="E95" s="28" t="s">
        <v>116</v>
      </c>
      <c r="F95" s="36">
        <v>0.7291666666666666</v>
      </c>
      <c r="G95" s="36">
        <v>0.7465277777777778</v>
      </c>
      <c r="H95" s="37">
        <f>IF(tblDowntime[[#This Row],[Date]]="","",IF(OR(tblDowntime[[#This Row],[Start]]="",tblDowntime[[#This Row],[End]]=""),"",ROUND(MOD(tblDowntime[[#This Row],[End]]-tblDowntime[[#This Row],[Start]],1)*1440,0)))</f>
        <v>25</v>
      </c>
      <c r="I95" s="38" t="str">
        <f>IF(tblDowntime[[#This Row],[Date]]="","",IFERROR(INDEX(tblReasons[Type],MATCH(tblDowntime[[#This Row],[Reason]],tblReasons[Reason],0)),""))</f>
        <v>Unplanned</v>
      </c>
      <c r="J95" s="38" t="str">
        <f>IF(tblDowntime[[#This Row],[Date]]="","",IFERROR(INDEX(tblReasons[Loss category],MATCH(tblDowntime[[#This Row],[Reason]],tblReasons[Reason],0)),""))</f>
        <v>Material</v>
      </c>
      <c r="K95" s="37">
        <f>IF(tblDowntime[[#This Row],[Date]]="","",IFERROR(INDEX(tblMachines[Loss rate (per h)],MATCH(tblDowntime[[#This Row],[Machine]],tblMachines[Machine],0)),""))</f>
        <v>950</v>
      </c>
      <c r="L95" s="39">
        <f>IF(tblDowntime[[#This Row],[Date]]="","",IF(OR(tblDowntime[[#This Row],[Minutes]]="",tblDowntime[[#This Row],[Loss rate]]=""),"",tblDowntime[[#This Row],[Minutes]]/60*tblDowntime[[#This Row],[Loss rate]]))</f>
        <v>395.833333333333</v>
      </c>
      <c r="M95" s="33">
        <v>0</v>
      </c>
      <c r="N95" s="39">
        <f>IF(tblDowntime[[#This Row],[Date]]="","",IF(tblDowntime[[#This Row],[Production loss]]="","",tblDowntime[[#This Row],[Production loss]]+N(tblDowntime[[#This Row],[Repair cost]])))</f>
        <v>395.833333333333</v>
      </c>
      <c r="O95" s="40">
        <f>IF(tblDowntime[[#This Row],[Date]]="","",tblDowntime[[#This Row],[Date]]-WEEKDAY(tblDowntime[[#This Row],[Date]],2)+1)</f>
        <v>46279</v>
      </c>
      <c r="P95" s="40">
        <f>IF(tblDowntime[[#This Row],[Date]]="","",IF(AND(tblDowntime[[#This Row],[Date]]&gt;=FFrom,tblDowntime[[#This Row],[Date]]&lt;=FTo,OR(DashMachine="",tblDowntime[[#This Row],[Machine]]=DashMachine)),tblDowntime[[#This Row],[Date]],""))</f>
        <v>46283</v>
      </c>
      <c r="Q9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5" s="42" t="s">
        <v>140</v>
      </c>
    </row>
    <row r="96" spans="2:18" x14ac:dyDescent="0.25">
      <c r="B96" s="35">
        <v>46286</v>
      </c>
      <c r="C96" s="28" t="s">
        <v>92</v>
      </c>
      <c r="D96" s="28" t="s">
        <v>81</v>
      </c>
      <c r="E96" s="28" t="s">
        <v>113</v>
      </c>
      <c r="F96" s="36">
        <v>0.3333333333333333</v>
      </c>
      <c r="G96" s="36">
        <v>0.3402777777777778</v>
      </c>
      <c r="H96" s="37">
        <f>IF(tblDowntime[[#This Row],[Date]]="","",IF(OR(tblDowntime[[#This Row],[Start]]="",tblDowntime[[#This Row],[End]]=""),"",ROUND(MOD(tblDowntime[[#This Row],[End]]-tblDowntime[[#This Row],[Start]],1)*1440,0)))</f>
        <v>10</v>
      </c>
      <c r="I96" s="38" t="str">
        <f>IF(tblDowntime[[#This Row],[Date]]="","",IFERROR(INDEX(tblReasons[Type],MATCH(tblDowntime[[#This Row],[Reason]],tblReasons[Reason],0)),""))</f>
        <v>Unplanned</v>
      </c>
      <c r="J96" s="38" t="str">
        <f>IF(tblDowntime[[#This Row],[Date]]="","",IFERROR(INDEX(tblReasons[Loss category],MATCH(tblDowntime[[#This Row],[Reason]],tblReasons[Reason],0)),""))</f>
        <v>Minor stop</v>
      </c>
      <c r="K96" s="37">
        <f>IF(tblDowntime[[#This Row],[Date]]="","",IFERROR(INDEX(tblMachines[Loss rate (per h)],MATCH(tblDowntime[[#This Row],[Machine]],tblMachines[Machine],0)),""))</f>
        <v>950</v>
      </c>
      <c r="L96" s="39">
        <f>IF(tblDowntime[[#This Row],[Date]]="","",IF(OR(tblDowntime[[#This Row],[Minutes]]="",tblDowntime[[#This Row],[Loss rate]]=""),"",tblDowntime[[#This Row],[Minutes]]/60*tblDowntime[[#This Row],[Loss rate]]))</f>
        <v>158.333333333333</v>
      </c>
      <c r="M96" s="33">
        <v>0</v>
      </c>
      <c r="N96" s="39">
        <f>IF(tblDowntime[[#This Row],[Date]]="","",IF(tblDowntime[[#This Row],[Production loss]]="","",tblDowntime[[#This Row],[Production loss]]+N(tblDowntime[[#This Row],[Repair cost]])))</f>
        <v>158.333333333333</v>
      </c>
      <c r="O96" s="40">
        <f>IF(tblDowntime[[#This Row],[Date]]="","",tblDowntime[[#This Row],[Date]]-WEEKDAY(tblDowntime[[#This Row],[Date]],2)+1)</f>
        <v>46286</v>
      </c>
      <c r="P96" s="40">
        <f>IF(tblDowntime[[#This Row],[Date]]="","",IF(AND(tblDowntime[[#This Row],[Date]]&gt;=FFrom,tblDowntime[[#This Row],[Date]]&lt;=FTo,OR(DashMachine="",tblDowntime[[#This Row],[Machine]]=DashMachine)),tblDowntime[[#This Row],[Date]],""))</f>
        <v>46286</v>
      </c>
      <c r="Q9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6" s="42" t="s">
        <v>140</v>
      </c>
    </row>
    <row r="97" spans="2:18" x14ac:dyDescent="0.25">
      <c r="B97" s="35">
        <v>46286</v>
      </c>
      <c r="C97" s="28" t="s">
        <v>92</v>
      </c>
      <c r="D97" s="28" t="s">
        <v>89</v>
      </c>
      <c r="E97" s="28" t="s">
        <v>125</v>
      </c>
      <c r="F97" s="36">
        <v>0.4027777777777778</v>
      </c>
      <c r="G97" s="36">
        <v>0.4166666666666667</v>
      </c>
      <c r="H97" s="37">
        <f>IF(tblDowntime[[#This Row],[Date]]="","",IF(OR(tblDowntime[[#This Row],[Start]]="",tblDowntime[[#This Row],[End]]=""),"",ROUND(MOD(tblDowntime[[#This Row],[End]]-tblDowntime[[#This Row],[Start]],1)*1440,0)))</f>
        <v>20</v>
      </c>
      <c r="I97" s="38" t="str">
        <f>IF(tblDowntime[[#This Row],[Date]]="","",IFERROR(INDEX(tblReasons[Type],MATCH(tblDowntime[[#This Row],[Reason]],tblReasons[Reason],0)),""))</f>
        <v>Unplanned</v>
      </c>
      <c r="J97" s="38" t="str">
        <f>IF(tblDowntime[[#This Row],[Date]]="","",IFERROR(INDEX(tblReasons[Loss category],MATCH(tblDowntime[[#This Row],[Reason]],tblReasons[Reason],0)),""))</f>
        <v>Other</v>
      </c>
      <c r="K97" s="37">
        <f>IF(tblDowntime[[#This Row],[Date]]="","",IFERROR(INDEX(tblMachines[Loss rate (per h)],MATCH(tblDowntime[[#This Row],[Machine]],tblMachines[Machine],0)),""))</f>
        <v>540</v>
      </c>
      <c r="L97" s="39">
        <f>IF(tblDowntime[[#This Row],[Date]]="","",IF(OR(tblDowntime[[#This Row],[Minutes]]="",tblDowntime[[#This Row],[Loss rate]]=""),"",tblDowntime[[#This Row],[Minutes]]/60*tblDowntime[[#This Row],[Loss rate]]))</f>
        <v>180</v>
      </c>
      <c r="M97" s="33">
        <v>0</v>
      </c>
      <c r="N97" s="39">
        <f>IF(tblDowntime[[#This Row],[Date]]="","",IF(tblDowntime[[#This Row],[Production loss]]="","",tblDowntime[[#This Row],[Production loss]]+N(tblDowntime[[#This Row],[Repair cost]])))</f>
        <v>180</v>
      </c>
      <c r="O97" s="40">
        <f>IF(tblDowntime[[#This Row],[Date]]="","",tblDowntime[[#This Row],[Date]]-WEEKDAY(tblDowntime[[#This Row],[Date]],2)+1)</f>
        <v>46286</v>
      </c>
      <c r="P97" s="40">
        <f>IF(tblDowntime[[#This Row],[Date]]="","",IF(AND(tblDowntime[[#This Row],[Date]]&gt;=FFrom,tblDowntime[[#This Row],[Date]]&lt;=FTo,OR(DashMachine="",tblDowntime[[#This Row],[Machine]]=DashMachine)),tblDowntime[[#This Row],[Date]],""))</f>
        <v>46286</v>
      </c>
      <c r="Q9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7" s="42" t="s">
        <v>140</v>
      </c>
    </row>
    <row r="98" spans="2:18" x14ac:dyDescent="0.25">
      <c r="B98" s="35">
        <v>46286</v>
      </c>
      <c r="C98" s="28" t="s">
        <v>95</v>
      </c>
      <c r="D98" s="28" t="s">
        <v>83</v>
      </c>
      <c r="E98" s="28" t="s">
        <v>98</v>
      </c>
      <c r="F98" s="36">
        <v>0.7083333333333334</v>
      </c>
      <c r="G98" s="36">
        <v>0.7256944444444444</v>
      </c>
      <c r="H98" s="37">
        <f>IF(tblDowntime[[#This Row],[Date]]="","",IF(OR(tblDowntime[[#This Row],[Start]]="",tblDowntime[[#This Row],[End]]=""),"",ROUND(MOD(tblDowntime[[#This Row],[End]]-tblDowntime[[#This Row],[Start]],1)*1440,0)))</f>
        <v>25</v>
      </c>
      <c r="I98" s="38" t="str">
        <f>IF(tblDowntime[[#This Row],[Date]]="","",IFERROR(INDEX(tblReasons[Type],MATCH(tblDowntime[[#This Row],[Reason]],tblReasons[Reason],0)),""))</f>
        <v>Planned</v>
      </c>
      <c r="J98" s="38" t="str">
        <f>IF(tblDowntime[[#This Row],[Date]]="","",IFERROR(INDEX(tblReasons[Loss category],MATCH(tblDowntime[[#This Row],[Reason]],tblReasons[Reason],0)),""))</f>
        <v>Changeover</v>
      </c>
      <c r="K98" s="37">
        <f>IF(tblDowntime[[#This Row],[Date]]="","",IFERROR(INDEX(tblMachines[Loss rate (per h)],MATCH(tblDowntime[[#This Row],[Machine]],tblMachines[Machine],0)),""))</f>
        <v>620</v>
      </c>
      <c r="L98" s="39">
        <f>IF(tblDowntime[[#This Row],[Date]]="","",IF(OR(tblDowntime[[#This Row],[Minutes]]="",tblDowntime[[#This Row],[Loss rate]]=""),"",tblDowntime[[#This Row],[Minutes]]/60*tblDowntime[[#This Row],[Loss rate]]))</f>
        <v>258.333333333333</v>
      </c>
      <c r="M98" s="33">
        <v>0</v>
      </c>
      <c r="N98" s="39">
        <f>IF(tblDowntime[[#This Row],[Date]]="","",IF(tblDowntime[[#This Row],[Production loss]]="","",tblDowntime[[#This Row],[Production loss]]+N(tblDowntime[[#This Row],[Repair cost]])))</f>
        <v>258.333333333333</v>
      </c>
      <c r="O98" s="40">
        <f>IF(tblDowntime[[#This Row],[Date]]="","",tblDowntime[[#This Row],[Date]]-WEEKDAY(tblDowntime[[#This Row],[Date]],2)+1)</f>
        <v>46286</v>
      </c>
      <c r="P98" s="40">
        <f>IF(tblDowntime[[#This Row],[Date]]="","",IF(AND(tblDowntime[[#This Row],[Date]]&gt;=FFrom,tblDowntime[[#This Row],[Date]]&lt;=FTo,OR(DashMachine="",tblDowntime[[#This Row],[Machine]]=DashMachine)),tblDowntime[[#This Row],[Date]],""))</f>
        <v>46286</v>
      </c>
      <c r="Q9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8" s="42" t="s">
        <v>139</v>
      </c>
    </row>
    <row r="99" spans="2:18" x14ac:dyDescent="0.25">
      <c r="B99" s="35">
        <v>46286</v>
      </c>
      <c r="C99" s="28" t="s">
        <v>95</v>
      </c>
      <c r="D99" s="28" t="s">
        <v>83</v>
      </c>
      <c r="E99" s="28" t="s">
        <v>116</v>
      </c>
      <c r="F99" s="36">
        <v>0.7881944444444444</v>
      </c>
      <c r="G99" s="36">
        <v>0.8125</v>
      </c>
      <c r="H99" s="37">
        <f>IF(tblDowntime[[#This Row],[Date]]="","",IF(OR(tblDowntime[[#This Row],[Start]]="",tblDowntime[[#This Row],[End]]=""),"",ROUND(MOD(tblDowntime[[#This Row],[End]]-tblDowntime[[#This Row],[Start]],1)*1440,0)))</f>
        <v>35</v>
      </c>
      <c r="I99" s="38" t="str">
        <f>IF(tblDowntime[[#This Row],[Date]]="","",IFERROR(INDEX(tblReasons[Type],MATCH(tblDowntime[[#This Row],[Reason]],tblReasons[Reason],0)),""))</f>
        <v>Unplanned</v>
      </c>
      <c r="J99" s="38" t="str">
        <f>IF(tblDowntime[[#This Row],[Date]]="","",IFERROR(INDEX(tblReasons[Loss category],MATCH(tblDowntime[[#This Row],[Reason]],tblReasons[Reason],0)),""))</f>
        <v>Material</v>
      </c>
      <c r="K99" s="37">
        <f>IF(tblDowntime[[#This Row],[Date]]="","",IFERROR(INDEX(tblMachines[Loss rate (per h)],MATCH(tblDowntime[[#This Row],[Machine]],tblMachines[Machine],0)),""))</f>
        <v>620</v>
      </c>
      <c r="L99" s="39">
        <f>IF(tblDowntime[[#This Row],[Date]]="","",IF(OR(tblDowntime[[#This Row],[Minutes]]="",tblDowntime[[#This Row],[Loss rate]]=""),"",tblDowntime[[#This Row],[Minutes]]/60*tblDowntime[[#This Row],[Loss rate]]))</f>
        <v>361.666666666667</v>
      </c>
      <c r="M99" s="33">
        <v>0</v>
      </c>
      <c r="N99" s="39">
        <f>IF(tblDowntime[[#This Row],[Date]]="","",IF(tblDowntime[[#This Row],[Production loss]]="","",tblDowntime[[#This Row],[Production loss]]+N(tblDowntime[[#This Row],[Repair cost]])))</f>
        <v>361.666666666667</v>
      </c>
      <c r="O99" s="40">
        <f>IF(tblDowntime[[#This Row],[Date]]="","",tblDowntime[[#This Row],[Date]]-WEEKDAY(tblDowntime[[#This Row],[Date]],2)+1)</f>
        <v>46286</v>
      </c>
      <c r="P99" s="40">
        <f>IF(tblDowntime[[#This Row],[Date]]="","",IF(AND(tblDowntime[[#This Row],[Date]]&gt;=FFrom,tblDowntime[[#This Row],[Date]]&lt;=FTo,OR(DashMachine="",tblDowntime[[#This Row],[Machine]]=DashMachine)),tblDowntime[[#This Row],[Date]],""))</f>
        <v>46286</v>
      </c>
      <c r="Q9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99" s="42" t="s">
        <v>140</v>
      </c>
    </row>
    <row r="100" spans="2:18" x14ac:dyDescent="0.25">
      <c r="B100" s="35">
        <v>46286</v>
      </c>
      <c r="C100" s="28" t="s">
        <v>95</v>
      </c>
      <c r="D100" s="28" t="s">
        <v>81</v>
      </c>
      <c r="E100" s="28" t="s">
        <v>98</v>
      </c>
      <c r="F100" s="36">
        <v>0.75</v>
      </c>
      <c r="G100" s="36">
        <v>0.78125</v>
      </c>
      <c r="H100" s="37">
        <f>IF(tblDowntime[[#This Row],[Date]]="","",IF(OR(tblDowntime[[#This Row],[Start]]="",tblDowntime[[#This Row],[End]]=""),"",ROUND(MOD(tblDowntime[[#This Row],[End]]-tblDowntime[[#This Row],[Start]],1)*1440,0)))</f>
        <v>45</v>
      </c>
      <c r="I100" s="38" t="str">
        <f>IF(tblDowntime[[#This Row],[Date]]="","",IFERROR(INDEX(tblReasons[Type],MATCH(tblDowntime[[#This Row],[Reason]],tblReasons[Reason],0)),""))</f>
        <v>Planned</v>
      </c>
      <c r="J100" s="38" t="str">
        <f>IF(tblDowntime[[#This Row],[Date]]="","",IFERROR(INDEX(tblReasons[Loss category],MATCH(tblDowntime[[#This Row],[Reason]],tblReasons[Reason],0)),""))</f>
        <v>Changeover</v>
      </c>
      <c r="K100" s="37">
        <f>IF(tblDowntime[[#This Row],[Date]]="","",IFERROR(INDEX(tblMachines[Loss rate (per h)],MATCH(tblDowntime[[#This Row],[Machine]],tblMachines[Machine],0)),""))</f>
        <v>950</v>
      </c>
      <c r="L100" s="39">
        <f>IF(tblDowntime[[#This Row],[Date]]="","",IF(OR(tblDowntime[[#This Row],[Minutes]]="",tblDowntime[[#This Row],[Loss rate]]=""),"",tblDowntime[[#This Row],[Minutes]]/60*tblDowntime[[#This Row],[Loss rate]]))</f>
        <v>712.5</v>
      </c>
      <c r="M100" s="33">
        <v>0</v>
      </c>
      <c r="N100" s="39">
        <f>IF(tblDowntime[[#This Row],[Date]]="","",IF(tblDowntime[[#This Row],[Production loss]]="","",tblDowntime[[#This Row],[Production loss]]+N(tblDowntime[[#This Row],[Repair cost]])))</f>
        <v>712.5</v>
      </c>
      <c r="O100" s="40">
        <f>IF(tblDowntime[[#This Row],[Date]]="","",tblDowntime[[#This Row],[Date]]-WEEKDAY(tblDowntime[[#This Row],[Date]],2)+1)</f>
        <v>46286</v>
      </c>
      <c r="P100" s="40">
        <f>IF(tblDowntime[[#This Row],[Date]]="","",IF(AND(tblDowntime[[#This Row],[Date]]&gt;=FFrom,tblDowntime[[#This Row],[Date]]&lt;=FTo,OR(DashMachine="",tblDowntime[[#This Row],[Machine]]=DashMachine)),tblDowntime[[#This Row],[Date]],""))</f>
        <v>46286</v>
      </c>
      <c r="Q10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0" s="42" t="s">
        <v>139</v>
      </c>
    </row>
    <row r="101" spans="2:18" x14ac:dyDescent="0.25">
      <c r="B101" s="35">
        <v>46286</v>
      </c>
      <c r="C101" s="28" t="s">
        <v>95</v>
      </c>
      <c r="D101" s="28" t="s">
        <v>81</v>
      </c>
      <c r="E101" s="28" t="s">
        <v>113</v>
      </c>
      <c r="F101" s="36">
        <v>0.84375</v>
      </c>
      <c r="G101" s="36">
        <v>0.8506944444444444</v>
      </c>
      <c r="H101" s="37">
        <f>IF(tblDowntime[[#This Row],[Date]]="","",IF(OR(tblDowntime[[#This Row],[Start]]="",tblDowntime[[#This Row],[End]]=""),"",ROUND(MOD(tblDowntime[[#This Row],[End]]-tblDowntime[[#This Row],[Start]],1)*1440,0)))</f>
        <v>10</v>
      </c>
      <c r="I101" s="38" t="str">
        <f>IF(tblDowntime[[#This Row],[Date]]="","",IFERROR(INDEX(tblReasons[Type],MATCH(tblDowntime[[#This Row],[Reason]],tblReasons[Reason],0)),""))</f>
        <v>Unplanned</v>
      </c>
      <c r="J101" s="38" t="str">
        <f>IF(tblDowntime[[#This Row],[Date]]="","",IFERROR(INDEX(tblReasons[Loss category],MATCH(tblDowntime[[#This Row],[Reason]],tblReasons[Reason],0)),""))</f>
        <v>Minor stop</v>
      </c>
      <c r="K101" s="37">
        <f>IF(tblDowntime[[#This Row],[Date]]="","",IFERROR(INDEX(tblMachines[Loss rate (per h)],MATCH(tblDowntime[[#This Row],[Machine]],tblMachines[Machine],0)),""))</f>
        <v>950</v>
      </c>
      <c r="L101" s="39">
        <f>IF(tblDowntime[[#This Row],[Date]]="","",IF(OR(tblDowntime[[#This Row],[Minutes]]="",tblDowntime[[#This Row],[Loss rate]]=""),"",tblDowntime[[#This Row],[Minutes]]/60*tblDowntime[[#This Row],[Loss rate]]))</f>
        <v>158.333333333333</v>
      </c>
      <c r="M101" s="33">
        <v>0</v>
      </c>
      <c r="N101" s="39">
        <f>IF(tblDowntime[[#This Row],[Date]]="","",IF(tblDowntime[[#This Row],[Production loss]]="","",tblDowntime[[#This Row],[Production loss]]+N(tblDowntime[[#This Row],[Repair cost]])))</f>
        <v>158.333333333333</v>
      </c>
      <c r="O101" s="40">
        <f>IF(tblDowntime[[#This Row],[Date]]="","",tblDowntime[[#This Row],[Date]]-WEEKDAY(tblDowntime[[#This Row],[Date]],2)+1)</f>
        <v>46286</v>
      </c>
      <c r="P101" s="40">
        <f>IF(tblDowntime[[#This Row],[Date]]="","",IF(AND(tblDowntime[[#This Row],[Date]]&gt;=FFrom,tblDowntime[[#This Row],[Date]]&lt;=FTo,OR(DashMachine="",tblDowntime[[#This Row],[Machine]]=DashMachine)),tblDowntime[[#This Row],[Date]],""))</f>
        <v>46286</v>
      </c>
      <c r="Q10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1" s="42" t="s">
        <v>140</v>
      </c>
    </row>
    <row r="102" spans="2:18" x14ac:dyDescent="0.25">
      <c r="B102" s="35">
        <v>46286</v>
      </c>
      <c r="C102" s="28" t="s">
        <v>95</v>
      </c>
      <c r="D102" s="28" t="s">
        <v>89</v>
      </c>
      <c r="E102" s="28" t="s">
        <v>119</v>
      </c>
      <c r="F102" s="36">
        <v>0.6944444444444444</v>
      </c>
      <c r="G102" s="36">
        <v>0.7222222222222222</v>
      </c>
      <c r="H102" s="37">
        <f>IF(tblDowntime[[#This Row],[Date]]="","",IF(OR(tblDowntime[[#This Row],[Start]]="",tblDowntime[[#This Row],[End]]=""),"",ROUND(MOD(tblDowntime[[#This Row],[End]]-tblDowntime[[#This Row],[Start]],1)*1440,0)))</f>
        <v>40</v>
      </c>
      <c r="I102" s="38" t="str">
        <f>IF(tblDowntime[[#This Row],[Date]]="","",IFERROR(INDEX(tblReasons[Type],MATCH(tblDowntime[[#This Row],[Reason]],tblReasons[Reason],0)),""))</f>
        <v>Unplanned</v>
      </c>
      <c r="J102" s="38" t="str">
        <f>IF(tblDowntime[[#This Row],[Date]]="","",IFERROR(INDEX(tblReasons[Loss category],MATCH(tblDowntime[[#This Row],[Reason]],tblReasons[Reason],0)),""))</f>
        <v>Quality</v>
      </c>
      <c r="K102" s="37">
        <f>IF(tblDowntime[[#This Row],[Date]]="","",IFERROR(INDEX(tblMachines[Loss rate (per h)],MATCH(tblDowntime[[#This Row],[Machine]],tblMachines[Machine],0)),""))</f>
        <v>540</v>
      </c>
      <c r="L102" s="39">
        <f>IF(tblDowntime[[#This Row],[Date]]="","",IF(OR(tblDowntime[[#This Row],[Minutes]]="",tblDowntime[[#This Row],[Loss rate]]=""),"",tblDowntime[[#This Row],[Minutes]]/60*tblDowntime[[#This Row],[Loss rate]]))</f>
        <v>360</v>
      </c>
      <c r="M102" s="33">
        <v>0</v>
      </c>
      <c r="N102" s="39">
        <f>IF(tblDowntime[[#This Row],[Date]]="","",IF(tblDowntime[[#This Row],[Production loss]]="","",tblDowntime[[#This Row],[Production loss]]+N(tblDowntime[[#This Row],[Repair cost]])))</f>
        <v>360</v>
      </c>
      <c r="O102" s="40">
        <f>IF(tblDowntime[[#This Row],[Date]]="","",tblDowntime[[#This Row],[Date]]-WEEKDAY(tblDowntime[[#This Row],[Date]],2)+1)</f>
        <v>46286</v>
      </c>
      <c r="P102" s="40">
        <f>IF(tblDowntime[[#This Row],[Date]]="","",IF(AND(tblDowntime[[#This Row],[Date]]&gt;=FFrom,tblDowntime[[#This Row],[Date]]&lt;=FTo,OR(DashMachine="",tblDowntime[[#This Row],[Machine]]=DashMachine)),tblDowntime[[#This Row],[Date]],""))</f>
        <v>46286</v>
      </c>
      <c r="Q10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2" s="42" t="s">
        <v>140</v>
      </c>
    </row>
    <row r="103" spans="2:18" x14ac:dyDescent="0.25">
      <c r="B103" s="35">
        <v>46287</v>
      </c>
      <c r="C103" s="28" t="s">
        <v>92</v>
      </c>
      <c r="D103" s="28" t="s">
        <v>87</v>
      </c>
      <c r="E103" s="28" t="s">
        <v>122</v>
      </c>
      <c r="F103" s="36">
        <v>0.3472222222222222</v>
      </c>
      <c r="G103" s="36">
        <v>0.3541666666666667</v>
      </c>
      <c r="H103" s="37">
        <f>IF(tblDowntime[[#This Row],[Date]]="","",IF(OR(tblDowntime[[#This Row],[Start]]="",tblDowntime[[#This Row],[End]]=""),"",ROUND(MOD(tblDowntime[[#This Row],[End]]-tblDowntime[[#This Row],[Start]],1)*1440,0)))</f>
        <v>10</v>
      </c>
      <c r="I103" s="38" t="str">
        <f>IF(tblDowntime[[#This Row],[Date]]="","",IFERROR(INDEX(tblReasons[Type],MATCH(tblDowntime[[#This Row],[Reason]],tblReasons[Reason],0)),""))</f>
        <v>Unplanned</v>
      </c>
      <c r="J103" s="38" t="str">
        <f>IF(tblDowntime[[#This Row],[Date]]="","",IFERROR(INDEX(tblReasons[Loss category],MATCH(tblDowntime[[#This Row],[Reason]],tblReasons[Reason],0)),""))</f>
        <v>Labour</v>
      </c>
      <c r="K103" s="37">
        <f>IF(tblDowntime[[#This Row],[Date]]="","",IFERROR(INDEX(tblMachines[Loss rate (per h)],MATCH(tblDowntime[[#This Row],[Machine]],tblMachines[Machine],0)),""))</f>
        <v>260</v>
      </c>
      <c r="L103" s="39">
        <f>IF(tblDowntime[[#This Row],[Date]]="","",IF(OR(tblDowntime[[#This Row],[Minutes]]="",tblDowntime[[#This Row],[Loss rate]]=""),"",tblDowntime[[#This Row],[Minutes]]/60*tblDowntime[[#This Row],[Loss rate]]))</f>
        <v>43.3333333333333</v>
      </c>
      <c r="M103" s="33">
        <v>0</v>
      </c>
      <c r="N103" s="39">
        <f>IF(tblDowntime[[#This Row],[Date]]="","",IF(tblDowntime[[#This Row],[Production loss]]="","",tblDowntime[[#This Row],[Production loss]]+N(tblDowntime[[#This Row],[Repair cost]])))</f>
        <v>43.3333333333333</v>
      </c>
      <c r="O103" s="40">
        <f>IF(tblDowntime[[#This Row],[Date]]="","",tblDowntime[[#This Row],[Date]]-WEEKDAY(tblDowntime[[#This Row],[Date]],2)+1)</f>
        <v>46286</v>
      </c>
      <c r="P103" s="40">
        <f>IF(tblDowntime[[#This Row],[Date]]="","",IF(AND(tblDowntime[[#This Row],[Date]]&gt;=FFrom,tblDowntime[[#This Row],[Date]]&lt;=FTo,OR(DashMachine="",tblDowntime[[#This Row],[Machine]]=DashMachine)),tblDowntime[[#This Row],[Date]],""))</f>
        <v>46287</v>
      </c>
      <c r="Q10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3" s="42" t="s">
        <v>140</v>
      </c>
    </row>
    <row r="104" spans="2:18" x14ac:dyDescent="0.25">
      <c r="B104" s="35">
        <v>46287</v>
      </c>
      <c r="C104" s="28" t="s">
        <v>92</v>
      </c>
      <c r="D104" s="28" t="s">
        <v>83</v>
      </c>
      <c r="E104" s="28" t="s">
        <v>98</v>
      </c>
      <c r="F104" s="36">
        <v>0.3611111111111111</v>
      </c>
      <c r="G104" s="36">
        <v>0.3888888888888889</v>
      </c>
      <c r="H104" s="37">
        <f>IF(tblDowntime[[#This Row],[Date]]="","",IF(OR(tblDowntime[[#This Row],[Start]]="",tblDowntime[[#This Row],[End]]=""),"",ROUND(MOD(tblDowntime[[#This Row],[End]]-tblDowntime[[#This Row],[Start]],1)*1440,0)))</f>
        <v>40</v>
      </c>
      <c r="I104" s="38" t="str">
        <f>IF(tblDowntime[[#This Row],[Date]]="","",IFERROR(INDEX(tblReasons[Type],MATCH(tblDowntime[[#This Row],[Reason]],tblReasons[Reason],0)),""))</f>
        <v>Planned</v>
      </c>
      <c r="J104" s="38" t="str">
        <f>IF(tblDowntime[[#This Row],[Date]]="","",IFERROR(INDEX(tblReasons[Loss category],MATCH(tblDowntime[[#This Row],[Reason]],tblReasons[Reason],0)),""))</f>
        <v>Changeover</v>
      </c>
      <c r="K104" s="37">
        <f>IF(tblDowntime[[#This Row],[Date]]="","",IFERROR(INDEX(tblMachines[Loss rate (per h)],MATCH(tblDowntime[[#This Row],[Machine]],tblMachines[Machine],0)),""))</f>
        <v>620</v>
      </c>
      <c r="L104" s="39">
        <f>IF(tblDowntime[[#This Row],[Date]]="","",IF(OR(tblDowntime[[#This Row],[Minutes]]="",tblDowntime[[#This Row],[Loss rate]]=""),"",tblDowntime[[#This Row],[Minutes]]/60*tblDowntime[[#This Row],[Loss rate]]))</f>
        <v>413.333333333333</v>
      </c>
      <c r="M104" s="33">
        <v>0</v>
      </c>
      <c r="N104" s="39">
        <f>IF(tblDowntime[[#This Row],[Date]]="","",IF(tblDowntime[[#This Row],[Production loss]]="","",tblDowntime[[#This Row],[Production loss]]+N(tblDowntime[[#This Row],[Repair cost]])))</f>
        <v>413.333333333333</v>
      </c>
      <c r="O104" s="40">
        <f>IF(tblDowntime[[#This Row],[Date]]="","",tblDowntime[[#This Row],[Date]]-WEEKDAY(tblDowntime[[#This Row],[Date]],2)+1)</f>
        <v>46286</v>
      </c>
      <c r="P104" s="40">
        <f>IF(tblDowntime[[#This Row],[Date]]="","",IF(AND(tblDowntime[[#This Row],[Date]]&gt;=FFrom,tblDowntime[[#This Row],[Date]]&lt;=FTo,OR(DashMachine="",tblDowntime[[#This Row],[Machine]]=DashMachine)),tblDowntime[[#This Row],[Date]],""))</f>
        <v>46287</v>
      </c>
      <c r="Q10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4" s="42" t="s">
        <v>139</v>
      </c>
    </row>
    <row r="105" spans="2:18" x14ac:dyDescent="0.25">
      <c r="B105" s="35">
        <v>46287</v>
      </c>
      <c r="C105" s="28" t="s">
        <v>92</v>
      </c>
      <c r="D105" s="28" t="s">
        <v>83</v>
      </c>
      <c r="E105" s="28" t="s">
        <v>109</v>
      </c>
      <c r="F105" s="36">
        <v>0.4305555555555556</v>
      </c>
      <c r="G105" s="36">
        <v>0.4618055555555556</v>
      </c>
      <c r="H105" s="37">
        <f>IF(tblDowntime[[#This Row],[Date]]="","",IF(OR(tblDowntime[[#This Row],[Start]]="",tblDowntime[[#This Row],[End]]=""),"",ROUND(MOD(tblDowntime[[#This Row],[End]]-tblDowntime[[#This Row],[Start]],1)*1440,0)))</f>
        <v>45</v>
      </c>
      <c r="I105" s="38" t="str">
        <f>IF(tblDowntime[[#This Row],[Date]]="","",IFERROR(INDEX(tblReasons[Type],MATCH(tblDowntime[[#This Row],[Reason]],tblReasons[Reason],0)),""))</f>
        <v>Unplanned</v>
      </c>
      <c r="J105" s="38" t="str">
        <f>IF(tblDowntime[[#This Row],[Date]]="","",IFERROR(INDEX(tblReasons[Loss category],MATCH(tblDowntime[[#This Row],[Reason]],tblReasons[Reason],0)),""))</f>
        <v>Breakdown</v>
      </c>
      <c r="K105" s="37">
        <f>IF(tblDowntime[[#This Row],[Date]]="","",IFERROR(INDEX(tblMachines[Loss rate (per h)],MATCH(tblDowntime[[#This Row],[Machine]],tblMachines[Machine],0)),""))</f>
        <v>620</v>
      </c>
      <c r="L105" s="39">
        <f>IF(tblDowntime[[#This Row],[Date]]="","",IF(OR(tblDowntime[[#This Row],[Minutes]]="",tblDowntime[[#This Row],[Loss rate]]=""),"",tblDowntime[[#This Row],[Minutes]]/60*tblDowntime[[#This Row],[Loss rate]]))</f>
        <v>465</v>
      </c>
      <c r="M105" s="33">
        <v>280</v>
      </c>
      <c r="N105" s="39">
        <f>IF(tblDowntime[[#This Row],[Date]]="","",IF(tblDowntime[[#This Row],[Production loss]]="","",tblDowntime[[#This Row],[Production loss]]+N(tblDowntime[[#This Row],[Repair cost]])))</f>
        <v>745</v>
      </c>
      <c r="O105" s="40">
        <f>IF(tblDowntime[[#This Row],[Date]]="","",tblDowntime[[#This Row],[Date]]-WEEKDAY(tblDowntime[[#This Row],[Date]],2)+1)</f>
        <v>46286</v>
      </c>
      <c r="P105" s="40">
        <f>IF(tblDowntime[[#This Row],[Date]]="","",IF(AND(tblDowntime[[#This Row],[Date]]&gt;=FFrom,tblDowntime[[#This Row],[Date]]&lt;=FTo,OR(DashMachine="",tblDowntime[[#This Row],[Machine]]=DashMachine)),tblDowntime[[#This Row],[Date]],""))</f>
        <v>46287</v>
      </c>
      <c r="Q10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5" s="42" t="s">
        <v>140</v>
      </c>
    </row>
    <row r="106" spans="2:18" x14ac:dyDescent="0.25">
      <c r="B106" s="35">
        <v>46287</v>
      </c>
      <c r="C106" s="28" t="s">
        <v>95</v>
      </c>
      <c r="D106" s="28" t="s">
        <v>85</v>
      </c>
      <c r="E106" s="28" t="s">
        <v>109</v>
      </c>
      <c r="F106" s="36">
        <v>0.625</v>
      </c>
      <c r="G106" s="36">
        <v>0.6388888888888888</v>
      </c>
      <c r="H106" s="37">
        <f>IF(tblDowntime[[#This Row],[Date]]="","",IF(OR(tblDowntime[[#This Row],[Start]]="",tblDowntime[[#This Row],[End]]=""),"",ROUND(MOD(tblDowntime[[#This Row],[End]]-tblDowntime[[#This Row],[Start]],1)*1440,0)))</f>
        <v>20</v>
      </c>
      <c r="I106" s="38" t="str">
        <f>IF(tblDowntime[[#This Row],[Date]]="","",IFERROR(INDEX(tblReasons[Type],MATCH(tblDowntime[[#This Row],[Reason]],tblReasons[Reason],0)),""))</f>
        <v>Unplanned</v>
      </c>
      <c r="J106" s="38" t="str">
        <f>IF(tblDowntime[[#This Row],[Date]]="","",IFERROR(INDEX(tblReasons[Loss category],MATCH(tblDowntime[[#This Row],[Reason]],tblReasons[Reason],0)),""))</f>
        <v>Breakdown</v>
      </c>
      <c r="K106" s="37">
        <f>IF(tblDowntime[[#This Row],[Date]]="","",IFERROR(INDEX(tblMachines[Loss rate (per h)],MATCH(tblDowntime[[#This Row],[Machine]],tblMachines[Machine],0)),""))</f>
        <v>480</v>
      </c>
      <c r="L106" s="39">
        <f>IF(tblDowntime[[#This Row],[Date]]="","",IF(OR(tblDowntime[[#This Row],[Minutes]]="",tblDowntime[[#This Row],[Loss rate]]=""),"",tblDowntime[[#This Row],[Minutes]]/60*tblDowntime[[#This Row],[Loss rate]]))</f>
        <v>160</v>
      </c>
      <c r="M106" s="33">
        <v>440</v>
      </c>
      <c r="N106" s="39">
        <f>IF(tblDowntime[[#This Row],[Date]]="","",IF(tblDowntime[[#This Row],[Production loss]]="","",tblDowntime[[#This Row],[Production loss]]+N(tblDowntime[[#This Row],[Repair cost]])))</f>
        <v>600</v>
      </c>
      <c r="O106" s="40">
        <f>IF(tblDowntime[[#This Row],[Date]]="","",tblDowntime[[#This Row],[Date]]-WEEKDAY(tblDowntime[[#This Row],[Date]],2)+1)</f>
        <v>46286</v>
      </c>
      <c r="P106" s="40">
        <f>IF(tblDowntime[[#This Row],[Date]]="","",IF(AND(tblDowntime[[#This Row],[Date]]&gt;=FFrom,tblDowntime[[#This Row],[Date]]&lt;=FTo,OR(DashMachine="",tblDowntime[[#This Row],[Machine]]=DashMachine)),tblDowntime[[#This Row],[Date]],""))</f>
        <v>46287</v>
      </c>
      <c r="Q10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6" s="42" t="s">
        <v>140</v>
      </c>
    </row>
    <row r="107" spans="2:18" x14ac:dyDescent="0.25">
      <c r="B107" s="35">
        <v>46287</v>
      </c>
      <c r="C107" s="28" t="s">
        <v>95</v>
      </c>
      <c r="D107" s="28" t="s">
        <v>87</v>
      </c>
      <c r="E107" s="28" t="s">
        <v>111</v>
      </c>
      <c r="F107" s="36">
        <v>0.6944444444444444</v>
      </c>
      <c r="G107" s="36">
        <v>0.71875</v>
      </c>
      <c r="H107" s="37">
        <f>IF(tblDowntime[[#This Row],[Date]]="","",IF(OR(tblDowntime[[#This Row],[Start]]="",tblDowntime[[#This Row],[End]]=""),"",ROUND(MOD(tblDowntime[[#This Row],[End]]-tblDowntime[[#This Row],[Start]],1)*1440,0)))</f>
        <v>35</v>
      </c>
      <c r="I107" s="38" t="str">
        <f>IF(tblDowntime[[#This Row],[Date]]="","",IFERROR(INDEX(tblReasons[Type],MATCH(tblDowntime[[#This Row],[Reason]],tblReasons[Reason],0)),""))</f>
        <v>Unplanned</v>
      </c>
      <c r="J107" s="38" t="str">
        <f>IF(tblDowntime[[#This Row],[Date]]="","",IFERROR(INDEX(tblReasons[Loss category],MATCH(tblDowntime[[#This Row],[Reason]],tblReasons[Reason],0)),""))</f>
        <v>Breakdown</v>
      </c>
      <c r="K107" s="37">
        <f>IF(tblDowntime[[#This Row],[Date]]="","",IFERROR(INDEX(tblMachines[Loss rate (per h)],MATCH(tblDowntime[[#This Row],[Machine]],tblMachines[Machine],0)),""))</f>
        <v>260</v>
      </c>
      <c r="L107" s="39">
        <f>IF(tblDowntime[[#This Row],[Date]]="","",IF(OR(tblDowntime[[#This Row],[Minutes]]="",tblDowntime[[#This Row],[Loss rate]]=""),"",tblDowntime[[#This Row],[Minutes]]/60*tblDowntime[[#This Row],[Loss rate]]))</f>
        <v>151.666666666667</v>
      </c>
      <c r="M107" s="33">
        <v>80</v>
      </c>
      <c r="N107" s="39">
        <f>IF(tblDowntime[[#This Row],[Date]]="","",IF(tblDowntime[[#This Row],[Production loss]]="","",tblDowntime[[#This Row],[Production loss]]+N(tblDowntime[[#This Row],[Repair cost]])))</f>
        <v>231.666666666667</v>
      </c>
      <c r="O107" s="40">
        <f>IF(tblDowntime[[#This Row],[Date]]="","",tblDowntime[[#This Row],[Date]]-WEEKDAY(tblDowntime[[#This Row],[Date]],2)+1)</f>
        <v>46286</v>
      </c>
      <c r="P107" s="40">
        <f>IF(tblDowntime[[#This Row],[Date]]="","",IF(AND(tblDowntime[[#This Row],[Date]]&gt;=FFrom,tblDowntime[[#This Row],[Date]]&lt;=FTo,OR(DashMachine="",tblDowntime[[#This Row],[Machine]]=DashMachine)),tblDowntime[[#This Row],[Date]],""))</f>
        <v>46287</v>
      </c>
      <c r="Q10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7" s="42" t="s">
        <v>140</v>
      </c>
    </row>
    <row r="108" spans="2:18" x14ac:dyDescent="0.25">
      <c r="B108" s="35">
        <v>46288</v>
      </c>
      <c r="C108" s="28" t="s">
        <v>92</v>
      </c>
      <c r="D108" s="28" t="s">
        <v>87</v>
      </c>
      <c r="E108" s="28" t="s">
        <v>102</v>
      </c>
      <c r="F108" s="36">
        <v>0.4027777777777778</v>
      </c>
      <c r="G108" s="36">
        <v>0.4444444444444444</v>
      </c>
      <c r="H108" s="37">
        <f>IF(tblDowntime[[#This Row],[Date]]="","",IF(OR(tblDowntime[[#This Row],[Start]]="",tblDowntime[[#This Row],[End]]=""),"",ROUND(MOD(tblDowntime[[#This Row],[End]]-tblDowntime[[#This Row],[Start]],1)*1440,0)))</f>
        <v>60</v>
      </c>
      <c r="I108" s="38" t="str">
        <f>IF(tblDowntime[[#This Row],[Date]]="","",IFERROR(INDEX(tblReasons[Type],MATCH(tblDowntime[[#This Row],[Reason]],tblReasons[Reason],0)),""))</f>
        <v>Planned</v>
      </c>
      <c r="J108" s="38" t="str">
        <f>IF(tblDowntime[[#This Row],[Date]]="","",IFERROR(INDEX(tblReasons[Loss category],MATCH(tblDowntime[[#This Row],[Reason]],tblReasons[Reason],0)),""))</f>
        <v>Maintenance</v>
      </c>
      <c r="K108" s="37">
        <f>IF(tblDowntime[[#This Row],[Date]]="","",IFERROR(INDEX(tblMachines[Loss rate (per h)],MATCH(tblDowntime[[#This Row],[Machine]],tblMachines[Machine],0)),""))</f>
        <v>260</v>
      </c>
      <c r="L108" s="39">
        <f>IF(tblDowntime[[#This Row],[Date]]="","",IF(OR(tblDowntime[[#This Row],[Minutes]]="",tblDowntime[[#This Row],[Loss rate]]=""),"",tblDowntime[[#This Row],[Minutes]]/60*tblDowntime[[#This Row],[Loss rate]]))</f>
        <v>260</v>
      </c>
      <c r="M108" s="33">
        <v>0</v>
      </c>
      <c r="N108" s="39">
        <f>IF(tblDowntime[[#This Row],[Date]]="","",IF(tblDowntime[[#This Row],[Production loss]]="","",tblDowntime[[#This Row],[Production loss]]+N(tblDowntime[[#This Row],[Repair cost]])))</f>
        <v>260</v>
      </c>
      <c r="O108" s="40">
        <f>IF(tblDowntime[[#This Row],[Date]]="","",tblDowntime[[#This Row],[Date]]-WEEKDAY(tblDowntime[[#This Row],[Date]],2)+1)</f>
        <v>46286</v>
      </c>
      <c r="P108" s="40">
        <f>IF(tblDowntime[[#This Row],[Date]]="","",IF(AND(tblDowntime[[#This Row],[Date]]&gt;=FFrom,tblDowntime[[#This Row],[Date]]&lt;=FTo,OR(DashMachine="",tblDowntime[[#This Row],[Machine]]=DashMachine)),tblDowntime[[#This Row],[Date]],""))</f>
        <v>46288</v>
      </c>
      <c r="Q10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8" s="42" t="s">
        <v>140</v>
      </c>
    </row>
    <row r="109" spans="2:18" x14ac:dyDescent="0.25">
      <c r="B109" s="35">
        <v>46288</v>
      </c>
      <c r="C109" s="28" t="s">
        <v>92</v>
      </c>
      <c r="D109" s="28" t="s">
        <v>83</v>
      </c>
      <c r="E109" s="28" t="s">
        <v>98</v>
      </c>
      <c r="F109" s="36">
        <v>0.4027777777777778</v>
      </c>
      <c r="G109" s="36">
        <v>0.4270833333333333</v>
      </c>
      <c r="H109" s="37">
        <f>IF(tblDowntime[[#This Row],[Date]]="","",IF(OR(tblDowntime[[#This Row],[Start]]="",tblDowntime[[#This Row],[End]]=""),"",ROUND(MOD(tblDowntime[[#This Row],[End]]-tblDowntime[[#This Row],[Start]],1)*1440,0)))</f>
        <v>35</v>
      </c>
      <c r="I109" s="38" t="str">
        <f>IF(tblDowntime[[#This Row],[Date]]="","",IFERROR(INDEX(tblReasons[Type],MATCH(tblDowntime[[#This Row],[Reason]],tblReasons[Reason],0)),""))</f>
        <v>Planned</v>
      </c>
      <c r="J109" s="38" t="str">
        <f>IF(tblDowntime[[#This Row],[Date]]="","",IFERROR(INDEX(tblReasons[Loss category],MATCH(tblDowntime[[#This Row],[Reason]],tblReasons[Reason],0)),""))</f>
        <v>Changeover</v>
      </c>
      <c r="K109" s="37">
        <f>IF(tblDowntime[[#This Row],[Date]]="","",IFERROR(INDEX(tblMachines[Loss rate (per h)],MATCH(tblDowntime[[#This Row],[Machine]],tblMachines[Machine],0)),""))</f>
        <v>620</v>
      </c>
      <c r="L109" s="39">
        <f>IF(tblDowntime[[#This Row],[Date]]="","",IF(OR(tblDowntime[[#This Row],[Minutes]]="",tblDowntime[[#This Row],[Loss rate]]=""),"",tblDowntime[[#This Row],[Minutes]]/60*tblDowntime[[#This Row],[Loss rate]]))</f>
        <v>361.666666666667</v>
      </c>
      <c r="M109" s="33">
        <v>0</v>
      </c>
      <c r="N109" s="39">
        <f>IF(tblDowntime[[#This Row],[Date]]="","",IF(tblDowntime[[#This Row],[Production loss]]="","",tblDowntime[[#This Row],[Production loss]]+N(tblDowntime[[#This Row],[Repair cost]])))</f>
        <v>361.666666666667</v>
      </c>
      <c r="O109" s="40">
        <f>IF(tblDowntime[[#This Row],[Date]]="","",tblDowntime[[#This Row],[Date]]-WEEKDAY(tblDowntime[[#This Row],[Date]],2)+1)</f>
        <v>46286</v>
      </c>
      <c r="P109" s="40">
        <f>IF(tblDowntime[[#This Row],[Date]]="","",IF(AND(tblDowntime[[#This Row],[Date]]&gt;=FFrom,tblDowntime[[#This Row],[Date]]&lt;=FTo,OR(DashMachine="",tblDowntime[[#This Row],[Machine]]=DashMachine)),tblDowntime[[#This Row],[Date]],""))</f>
        <v>46288</v>
      </c>
      <c r="Q10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09" s="42" t="s">
        <v>139</v>
      </c>
    </row>
    <row r="110" spans="2:18" x14ac:dyDescent="0.25">
      <c r="B110" s="35">
        <v>46288</v>
      </c>
      <c r="C110" s="28" t="s">
        <v>92</v>
      </c>
      <c r="D110" s="28" t="s">
        <v>83</v>
      </c>
      <c r="E110" s="28" t="s">
        <v>113</v>
      </c>
      <c r="F110" s="36">
        <v>0.4895833333333333</v>
      </c>
      <c r="G110" s="36">
        <v>0.4965277777777778</v>
      </c>
      <c r="H110" s="37">
        <f>IF(tblDowntime[[#This Row],[Date]]="","",IF(OR(tblDowntime[[#This Row],[Start]]="",tblDowntime[[#This Row],[End]]=""),"",ROUND(MOD(tblDowntime[[#This Row],[End]]-tblDowntime[[#This Row],[Start]],1)*1440,0)))</f>
        <v>10</v>
      </c>
      <c r="I110" s="38" t="str">
        <f>IF(tblDowntime[[#This Row],[Date]]="","",IFERROR(INDEX(tblReasons[Type],MATCH(tblDowntime[[#This Row],[Reason]],tblReasons[Reason],0)),""))</f>
        <v>Unplanned</v>
      </c>
      <c r="J110" s="38" t="str">
        <f>IF(tblDowntime[[#This Row],[Date]]="","",IFERROR(INDEX(tblReasons[Loss category],MATCH(tblDowntime[[#This Row],[Reason]],tblReasons[Reason],0)),""))</f>
        <v>Minor stop</v>
      </c>
      <c r="K110" s="37">
        <f>IF(tblDowntime[[#This Row],[Date]]="","",IFERROR(INDEX(tblMachines[Loss rate (per h)],MATCH(tblDowntime[[#This Row],[Machine]],tblMachines[Machine],0)),""))</f>
        <v>620</v>
      </c>
      <c r="L110" s="39">
        <f>IF(tblDowntime[[#This Row],[Date]]="","",IF(OR(tblDowntime[[#This Row],[Minutes]]="",tblDowntime[[#This Row],[Loss rate]]=""),"",tblDowntime[[#This Row],[Minutes]]/60*tblDowntime[[#This Row],[Loss rate]]))</f>
        <v>103.333333333333</v>
      </c>
      <c r="M110" s="33">
        <v>0</v>
      </c>
      <c r="N110" s="39">
        <f>IF(tblDowntime[[#This Row],[Date]]="","",IF(tblDowntime[[#This Row],[Production loss]]="","",tblDowntime[[#This Row],[Production loss]]+N(tblDowntime[[#This Row],[Repair cost]])))</f>
        <v>103.333333333333</v>
      </c>
      <c r="O110" s="40">
        <f>IF(tblDowntime[[#This Row],[Date]]="","",tblDowntime[[#This Row],[Date]]-WEEKDAY(tblDowntime[[#This Row],[Date]],2)+1)</f>
        <v>46286</v>
      </c>
      <c r="P110" s="40">
        <f>IF(tblDowntime[[#This Row],[Date]]="","",IF(AND(tblDowntime[[#This Row],[Date]]&gt;=FFrom,tblDowntime[[#This Row],[Date]]&lt;=FTo,OR(DashMachine="",tblDowntime[[#This Row],[Machine]]=DashMachine)),tblDowntime[[#This Row],[Date]],""))</f>
        <v>46288</v>
      </c>
      <c r="Q11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0" s="42" t="s">
        <v>140</v>
      </c>
    </row>
    <row r="111" spans="2:18" x14ac:dyDescent="0.25">
      <c r="B111" s="35">
        <v>46288</v>
      </c>
      <c r="C111" s="28" t="s">
        <v>92</v>
      </c>
      <c r="D111" s="28" t="s">
        <v>81</v>
      </c>
      <c r="E111" s="28" t="s">
        <v>102</v>
      </c>
      <c r="F111" s="36">
        <v>0.3611111111111111</v>
      </c>
      <c r="G111" s="36">
        <v>0.3923611111111111</v>
      </c>
      <c r="H111" s="37">
        <f>IF(tblDowntime[[#This Row],[Date]]="","",IF(OR(tblDowntime[[#This Row],[Start]]="",tblDowntime[[#This Row],[End]]=""),"",ROUND(MOD(tblDowntime[[#This Row],[End]]-tblDowntime[[#This Row],[Start]],1)*1440,0)))</f>
        <v>45</v>
      </c>
      <c r="I111" s="38" t="str">
        <f>IF(tblDowntime[[#This Row],[Date]]="","",IFERROR(INDEX(tblReasons[Type],MATCH(tblDowntime[[#This Row],[Reason]],tblReasons[Reason],0)),""))</f>
        <v>Planned</v>
      </c>
      <c r="J111" s="38" t="str">
        <f>IF(tblDowntime[[#This Row],[Date]]="","",IFERROR(INDEX(tblReasons[Loss category],MATCH(tblDowntime[[#This Row],[Reason]],tblReasons[Reason],0)),""))</f>
        <v>Maintenance</v>
      </c>
      <c r="K111" s="37">
        <f>IF(tblDowntime[[#This Row],[Date]]="","",IFERROR(INDEX(tblMachines[Loss rate (per h)],MATCH(tblDowntime[[#This Row],[Machine]],tblMachines[Machine],0)),""))</f>
        <v>950</v>
      </c>
      <c r="L111" s="39">
        <f>IF(tblDowntime[[#This Row],[Date]]="","",IF(OR(tblDowntime[[#This Row],[Minutes]]="",tblDowntime[[#This Row],[Loss rate]]=""),"",tblDowntime[[#This Row],[Minutes]]/60*tblDowntime[[#This Row],[Loss rate]]))</f>
        <v>712.5</v>
      </c>
      <c r="M111" s="33">
        <v>0</v>
      </c>
      <c r="N111" s="39">
        <f>IF(tblDowntime[[#This Row],[Date]]="","",IF(tblDowntime[[#This Row],[Production loss]]="","",tblDowntime[[#This Row],[Production loss]]+N(tblDowntime[[#This Row],[Repair cost]])))</f>
        <v>712.5</v>
      </c>
      <c r="O111" s="40">
        <f>IF(tblDowntime[[#This Row],[Date]]="","",tblDowntime[[#This Row],[Date]]-WEEKDAY(tblDowntime[[#This Row],[Date]],2)+1)</f>
        <v>46286</v>
      </c>
      <c r="P111" s="40">
        <f>IF(tblDowntime[[#This Row],[Date]]="","",IF(AND(tblDowntime[[#This Row],[Date]]&gt;=FFrom,tblDowntime[[#This Row],[Date]]&lt;=FTo,OR(DashMachine="",tblDowntime[[#This Row],[Machine]]=DashMachine)),tblDowntime[[#This Row],[Date]],""))</f>
        <v>46288</v>
      </c>
      <c r="Q11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1" s="42" t="s">
        <v>140</v>
      </c>
    </row>
    <row r="112" spans="2:18" x14ac:dyDescent="0.25">
      <c r="B112" s="35">
        <v>46288</v>
      </c>
      <c r="C112" s="28" t="s">
        <v>95</v>
      </c>
      <c r="D112" s="28" t="s">
        <v>85</v>
      </c>
      <c r="E112" s="28" t="s">
        <v>122</v>
      </c>
      <c r="F112" s="36">
        <v>0.7083333333333334</v>
      </c>
      <c r="G112" s="36">
        <v>0.7222222222222222</v>
      </c>
      <c r="H112" s="37">
        <f>IF(tblDowntime[[#This Row],[Date]]="","",IF(OR(tblDowntime[[#This Row],[Start]]="",tblDowntime[[#This Row],[End]]=""),"",ROUND(MOD(tblDowntime[[#This Row],[End]]-tblDowntime[[#This Row],[Start]],1)*1440,0)))</f>
        <v>20</v>
      </c>
      <c r="I112" s="38" t="str">
        <f>IF(tblDowntime[[#This Row],[Date]]="","",IFERROR(INDEX(tblReasons[Type],MATCH(tblDowntime[[#This Row],[Reason]],tblReasons[Reason],0)),""))</f>
        <v>Unplanned</v>
      </c>
      <c r="J112" s="38" t="str">
        <f>IF(tblDowntime[[#This Row],[Date]]="","",IFERROR(INDEX(tblReasons[Loss category],MATCH(tblDowntime[[#This Row],[Reason]],tblReasons[Reason],0)),""))</f>
        <v>Labour</v>
      </c>
      <c r="K112" s="37">
        <f>IF(tblDowntime[[#This Row],[Date]]="","",IFERROR(INDEX(tblMachines[Loss rate (per h)],MATCH(tblDowntime[[#This Row],[Machine]],tblMachines[Machine],0)),""))</f>
        <v>480</v>
      </c>
      <c r="L112" s="39">
        <f>IF(tblDowntime[[#This Row],[Date]]="","",IF(OR(tblDowntime[[#This Row],[Minutes]]="",tblDowntime[[#This Row],[Loss rate]]=""),"",tblDowntime[[#This Row],[Minutes]]/60*tblDowntime[[#This Row],[Loss rate]]))</f>
        <v>160</v>
      </c>
      <c r="M112" s="33">
        <v>0</v>
      </c>
      <c r="N112" s="39">
        <f>IF(tblDowntime[[#This Row],[Date]]="","",IF(tblDowntime[[#This Row],[Production loss]]="","",tblDowntime[[#This Row],[Production loss]]+N(tblDowntime[[#This Row],[Repair cost]])))</f>
        <v>160</v>
      </c>
      <c r="O112" s="40">
        <f>IF(tblDowntime[[#This Row],[Date]]="","",tblDowntime[[#This Row],[Date]]-WEEKDAY(tblDowntime[[#This Row],[Date]],2)+1)</f>
        <v>46286</v>
      </c>
      <c r="P112" s="40">
        <f>IF(tblDowntime[[#This Row],[Date]]="","",IF(AND(tblDowntime[[#This Row],[Date]]&gt;=FFrom,tblDowntime[[#This Row],[Date]]&lt;=FTo,OR(DashMachine="",tblDowntime[[#This Row],[Machine]]=DashMachine)),tblDowntime[[#This Row],[Date]],""))</f>
        <v>46288</v>
      </c>
      <c r="Q11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2" s="42" t="s">
        <v>140</v>
      </c>
    </row>
    <row r="113" spans="2:18" x14ac:dyDescent="0.25">
      <c r="B113" s="35">
        <v>46288</v>
      </c>
      <c r="C113" s="28" t="s">
        <v>95</v>
      </c>
      <c r="D113" s="28" t="s">
        <v>83</v>
      </c>
      <c r="E113" s="28" t="s">
        <v>113</v>
      </c>
      <c r="F113" s="36">
        <v>0.6388888888888888</v>
      </c>
      <c r="G113" s="36">
        <v>0.6458333333333334</v>
      </c>
      <c r="H113" s="37">
        <f>IF(tblDowntime[[#This Row],[Date]]="","",IF(OR(tblDowntime[[#This Row],[Start]]="",tblDowntime[[#This Row],[End]]=""),"",ROUND(MOD(tblDowntime[[#This Row],[End]]-tblDowntime[[#This Row],[Start]],1)*1440,0)))</f>
        <v>10</v>
      </c>
      <c r="I113" s="38" t="str">
        <f>IF(tblDowntime[[#This Row],[Date]]="","",IFERROR(INDEX(tblReasons[Type],MATCH(tblDowntime[[#This Row],[Reason]],tblReasons[Reason],0)),""))</f>
        <v>Unplanned</v>
      </c>
      <c r="J113" s="38" t="str">
        <f>IF(tblDowntime[[#This Row],[Date]]="","",IFERROR(INDEX(tblReasons[Loss category],MATCH(tblDowntime[[#This Row],[Reason]],tblReasons[Reason],0)),""))</f>
        <v>Minor stop</v>
      </c>
      <c r="K113" s="37">
        <f>IF(tblDowntime[[#This Row],[Date]]="","",IFERROR(INDEX(tblMachines[Loss rate (per h)],MATCH(tblDowntime[[#This Row],[Machine]],tblMachines[Machine],0)),""))</f>
        <v>620</v>
      </c>
      <c r="L113" s="39">
        <f>IF(tblDowntime[[#This Row],[Date]]="","",IF(OR(tblDowntime[[#This Row],[Minutes]]="",tblDowntime[[#This Row],[Loss rate]]=""),"",tblDowntime[[#This Row],[Minutes]]/60*tblDowntime[[#This Row],[Loss rate]]))</f>
        <v>103.333333333333</v>
      </c>
      <c r="M113" s="33">
        <v>0</v>
      </c>
      <c r="N113" s="39">
        <f>IF(tblDowntime[[#This Row],[Date]]="","",IF(tblDowntime[[#This Row],[Production loss]]="","",tblDowntime[[#This Row],[Production loss]]+N(tblDowntime[[#This Row],[Repair cost]])))</f>
        <v>103.333333333333</v>
      </c>
      <c r="O113" s="40">
        <f>IF(tblDowntime[[#This Row],[Date]]="","",tblDowntime[[#This Row],[Date]]-WEEKDAY(tblDowntime[[#This Row],[Date]],2)+1)</f>
        <v>46286</v>
      </c>
      <c r="P113" s="40">
        <f>IF(tblDowntime[[#This Row],[Date]]="","",IF(AND(tblDowntime[[#This Row],[Date]]&gt;=FFrom,tblDowntime[[#This Row],[Date]]&lt;=FTo,OR(DashMachine="",tblDowntime[[#This Row],[Machine]]=DashMachine)),tblDowntime[[#This Row],[Date]],""))</f>
        <v>46288</v>
      </c>
      <c r="Q11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3" s="42" t="s">
        <v>140</v>
      </c>
    </row>
    <row r="114" spans="2:18" x14ac:dyDescent="0.25">
      <c r="B114" s="35">
        <v>46288</v>
      </c>
      <c r="C114" s="28" t="s">
        <v>95</v>
      </c>
      <c r="D114" s="28" t="s">
        <v>83</v>
      </c>
      <c r="E114" s="28" t="s">
        <v>109</v>
      </c>
      <c r="F114" s="36">
        <v>0.8194444444444444</v>
      </c>
      <c r="G114" s="36">
        <v>0.0798611111111111</v>
      </c>
      <c r="H114" s="37">
        <f>IF(tblDowntime[[#This Row],[Date]]="","",IF(OR(tblDowntime[[#This Row],[Start]]="",tblDowntime[[#This Row],[End]]=""),"",ROUND(MOD(tblDowntime[[#This Row],[End]]-tblDowntime[[#This Row],[Start]],1)*1440,0)))</f>
        <v>375</v>
      </c>
      <c r="I114" s="38" t="str">
        <f>IF(tblDowntime[[#This Row],[Date]]="","",IFERROR(INDEX(tblReasons[Type],MATCH(tblDowntime[[#This Row],[Reason]],tblReasons[Reason],0)),""))</f>
        <v>Unplanned</v>
      </c>
      <c r="J114" s="38" t="str">
        <f>IF(tblDowntime[[#This Row],[Date]]="","",IFERROR(INDEX(tblReasons[Loss category],MATCH(tblDowntime[[#This Row],[Reason]],tblReasons[Reason],0)),""))</f>
        <v>Breakdown</v>
      </c>
      <c r="K114" s="37">
        <f>IF(tblDowntime[[#This Row],[Date]]="","",IFERROR(INDEX(tblMachines[Loss rate (per h)],MATCH(tblDowntime[[#This Row],[Machine]],tblMachines[Machine],0)),""))</f>
        <v>620</v>
      </c>
      <c r="L114" s="39">
        <f>IF(tblDowntime[[#This Row],[Date]]="","",IF(OR(tblDowntime[[#This Row],[Minutes]]="",tblDowntime[[#This Row],[Loss rate]]=""),"",tblDowntime[[#This Row],[Minutes]]/60*tblDowntime[[#This Row],[Loss rate]]))</f>
        <v>3875</v>
      </c>
      <c r="M114" s="33">
        <v>3840</v>
      </c>
      <c r="N114" s="39">
        <f>IF(tblDowntime[[#This Row],[Date]]="","",IF(tblDowntime[[#This Row],[Production loss]]="","",tblDowntime[[#This Row],[Production loss]]+N(tblDowntime[[#This Row],[Repair cost]])))</f>
        <v>7715</v>
      </c>
      <c r="O114" s="40">
        <f>IF(tblDowntime[[#This Row],[Date]]="","",tblDowntime[[#This Row],[Date]]-WEEKDAY(tblDowntime[[#This Row],[Date]],2)+1)</f>
        <v>46286</v>
      </c>
      <c r="P114" s="40">
        <f>IF(tblDowntime[[#This Row],[Date]]="","",IF(AND(tblDowntime[[#This Row],[Date]]&gt;=FFrom,tblDowntime[[#This Row],[Date]]&lt;=FTo,OR(DashMachine="",tblDowntime[[#This Row],[Machine]]=DashMachine)),tblDowntime[[#This Row],[Date]],""))</f>
        <v>46288</v>
      </c>
      <c r="Q11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4" s="42" t="s">
        <v>141</v>
      </c>
    </row>
    <row r="115" spans="2:18" x14ac:dyDescent="0.25">
      <c r="B115" s="35">
        <v>46288</v>
      </c>
      <c r="C115" s="28" t="s">
        <v>95</v>
      </c>
      <c r="D115" s="28" t="s">
        <v>81</v>
      </c>
      <c r="E115" s="28" t="s">
        <v>113</v>
      </c>
      <c r="F115" s="36">
        <v>0.6805555555555556</v>
      </c>
      <c r="G115" s="36">
        <v>0.6909722222222222</v>
      </c>
      <c r="H115" s="37">
        <f>IF(tblDowntime[[#This Row],[Date]]="","",IF(OR(tblDowntime[[#This Row],[Start]]="",tblDowntime[[#This Row],[End]]=""),"",ROUND(MOD(tblDowntime[[#This Row],[End]]-tblDowntime[[#This Row],[Start]],1)*1440,0)))</f>
        <v>15</v>
      </c>
      <c r="I115" s="38" t="str">
        <f>IF(tblDowntime[[#This Row],[Date]]="","",IFERROR(INDEX(tblReasons[Type],MATCH(tblDowntime[[#This Row],[Reason]],tblReasons[Reason],0)),""))</f>
        <v>Unplanned</v>
      </c>
      <c r="J115" s="38" t="str">
        <f>IF(tblDowntime[[#This Row],[Date]]="","",IFERROR(INDEX(tblReasons[Loss category],MATCH(tblDowntime[[#This Row],[Reason]],tblReasons[Reason],0)),""))</f>
        <v>Minor stop</v>
      </c>
      <c r="K115" s="37">
        <f>IF(tblDowntime[[#This Row],[Date]]="","",IFERROR(INDEX(tblMachines[Loss rate (per h)],MATCH(tblDowntime[[#This Row],[Machine]],tblMachines[Machine],0)),""))</f>
        <v>950</v>
      </c>
      <c r="L115" s="39">
        <f>IF(tblDowntime[[#This Row],[Date]]="","",IF(OR(tblDowntime[[#This Row],[Minutes]]="",tblDowntime[[#This Row],[Loss rate]]=""),"",tblDowntime[[#This Row],[Minutes]]/60*tblDowntime[[#This Row],[Loss rate]]))</f>
        <v>237.5</v>
      </c>
      <c r="M115" s="33">
        <v>0</v>
      </c>
      <c r="N115" s="39">
        <f>IF(tblDowntime[[#This Row],[Date]]="","",IF(tblDowntime[[#This Row],[Production loss]]="","",tblDowntime[[#This Row],[Production loss]]+N(tblDowntime[[#This Row],[Repair cost]])))</f>
        <v>237.5</v>
      </c>
      <c r="O115" s="40">
        <f>IF(tblDowntime[[#This Row],[Date]]="","",tblDowntime[[#This Row],[Date]]-WEEKDAY(tblDowntime[[#This Row],[Date]],2)+1)</f>
        <v>46286</v>
      </c>
      <c r="P115" s="40">
        <f>IF(tblDowntime[[#This Row],[Date]]="","",IF(AND(tblDowntime[[#This Row],[Date]]&gt;=FFrom,tblDowntime[[#This Row],[Date]]&lt;=FTo,OR(DashMachine="",tblDowntime[[#This Row],[Machine]]=DashMachine)),tblDowntime[[#This Row],[Date]],""))</f>
        <v>46288</v>
      </c>
      <c r="Q11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5" s="42" t="s">
        <v>140</v>
      </c>
    </row>
    <row r="116" spans="2:18" x14ac:dyDescent="0.25">
      <c r="B116" s="35">
        <v>46288</v>
      </c>
      <c r="C116" s="28" t="s">
        <v>95</v>
      </c>
      <c r="D116" s="28" t="s">
        <v>81</v>
      </c>
      <c r="E116" s="28" t="s">
        <v>113</v>
      </c>
      <c r="F116" s="36">
        <v>0.7534722222222222</v>
      </c>
      <c r="G116" s="36">
        <v>0.7604166666666666</v>
      </c>
      <c r="H116" s="37">
        <f>IF(tblDowntime[[#This Row],[Date]]="","",IF(OR(tblDowntime[[#This Row],[Start]]="",tblDowntime[[#This Row],[End]]=""),"",ROUND(MOD(tblDowntime[[#This Row],[End]]-tblDowntime[[#This Row],[Start]],1)*1440,0)))</f>
        <v>10</v>
      </c>
      <c r="I116" s="38" t="str">
        <f>IF(tblDowntime[[#This Row],[Date]]="","",IFERROR(INDEX(tblReasons[Type],MATCH(tblDowntime[[#This Row],[Reason]],tblReasons[Reason],0)),""))</f>
        <v>Unplanned</v>
      </c>
      <c r="J116" s="38" t="str">
        <f>IF(tblDowntime[[#This Row],[Date]]="","",IFERROR(INDEX(tblReasons[Loss category],MATCH(tblDowntime[[#This Row],[Reason]],tblReasons[Reason],0)),""))</f>
        <v>Minor stop</v>
      </c>
      <c r="K116" s="37">
        <f>IF(tblDowntime[[#This Row],[Date]]="","",IFERROR(INDEX(tblMachines[Loss rate (per h)],MATCH(tblDowntime[[#This Row],[Machine]],tblMachines[Machine],0)),""))</f>
        <v>950</v>
      </c>
      <c r="L116" s="39">
        <f>IF(tblDowntime[[#This Row],[Date]]="","",IF(OR(tblDowntime[[#This Row],[Minutes]]="",tblDowntime[[#This Row],[Loss rate]]=""),"",tblDowntime[[#This Row],[Minutes]]/60*tblDowntime[[#This Row],[Loss rate]]))</f>
        <v>158.333333333333</v>
      </c>
      <c r="M116" s="33">
        <v>0</v>
      </c>
      <c r="N116" s="39">
        <f>IF(tblDowntime[[#This Row],[Date]]="","",IF(tblDowntime[[#This Row],[Production loss]]="","",tblDowntime[[#This Row],[Production loss]]+N(tblDowntime[[#This Row],[Repair cost]])))</f>
        <v>158.333333333333</v>
      </c>
      <c r="O116" s="40">
        <f>IF(tblDowntime[[#This Row],[Date]]="","",tblDowntime[[#This Row],[Date]]-WEEKDAY(tblDowntime[[#This Row],[Date]],2)+1)</f>
        <v>46286</v>
      </c>
      <c r="P116" s="40">
        <f>IF(tblDowntime[[#This Row],[Date]]="","",IF(AND(tblDowntime[[#This Row],[Date]]&gt;=FFrom,tblDowntime[[#This Row],[Date]]&lt;=FTo,OR(DashMachine="",tblDowntime[[#This Row],[Machine]]=DashMachine)),tblDowntime[[#This Row],[Date]],""))</f>
        <v>46288</v>
      </c>
      <c r="Q11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6" s="42" t="s">
        <v>140</v>
      </c>
    </row>
    <row r="117" spans="2:18" x14ac:dyDescent="0.25">
      <c r="B117" s="35">
        <v>46288</v>
      </c>
      <c r="C117" s="28" t="s">
        <v>95</v>
      </c>
      <c r="D117" s="28" t="s">
        <v>89</v>
      </c>
      <c r="E117" s="28" t="s">
        <v>109</v>
      </c>
      <c r="F117" s="36">
        <v>0.6111111111111112</v>
      </c>
      <c r="G117" s="36">
        <v>0.6493055555555556</v>
      </c>
      <c r="H117" s="37">
        <f>IF(tblDowntime[[#This Row],[Date]]="","",IF(OR(tblDowntime[[#This Row],[Start]]="",tblDowntime[[#This Row],[End]]=""),"",ROUND(MOD(tblDowntime[[#This Row],[End]]-tblDowntime[[#This Row],[Start]],1)*1440,0)))</f>
        <v>55</v>
      </c>
      <c r="I117" s="38" t="str">
        <f>IF(tblDowntime[[#This Row],[Date]]="","",IFERROR(INDEX(tblReasons[Type],MATCH(tblDowntime[[#This Row],[Reason]],tblReasons[Reason],0)),""))</f>
        <v>Unplanned</v>
      </c>
      <c r="J117" s="38" t="str">
        <f>IF(tblDowntime[[#This Row],[Date]]="","",IFERROR(INDEX(tblReasons[Loss category],MATCH(tblDowntime[[#This Row],[Reason]],tblReasons[Reason],0)),""))</f>
        <v>Breakdown</v>
      </c>
      <c r="K117" s="37">
        <f>IF(tblDowntime[[#This Row],[Date]]="","",IFERROR(INDEX(tblMachines[Loss rate (per h)],MATCH(tblDowntime[[#This Row],[Machine]],tblMachines[Machine],0)),""))</f>
        <v>540</v>
      </c>
      <c r="L117" s="39">
        <f>IF(tblDowntime[[#This Row],[Date]]="","",IF(OR(tblDowntime[[#This Row],[Minutes]]="",tblDowntime[[#This Row],[Loss rate]]=""),"",tblDowntime[[#This Row],[Minutes]]/60*tblDowntime[[#This Row],[Loss rate]]))</f>
        <v>495</v>
      </c>
      <c r="M117" s="33">
        <v>70</v>
      </c>
      <c r="N117" s="39">
        <f>IF(tblDowntime[[#This Row],[Date]]="","",IF(tblDowntime[[#This Row],[Production loss]]="","",tblDowntime[[#This Row],[Production loss]]+N(tblDowntime[[#This Row],[Repair cost]])))</f>
        <v>565</v>
      </c>
      <c r="O117" s="40">
        <f>IF(tblDowntime[[#This Row],[Date]]="","",tblDowntime[[#This Row],[Date]]-WEEKDAY(tblDowntime[[#This Row],[Date]],2)+1)</f>
        <v>46286</v>
      </c>
      <c r="P117" s="40">
        <f>IF(tblDowntime[[#This Row],[Date]]="","",IF(AND(tblDowntime[[#This Row],[Date]]&gt;=FFrom,tblDowntime[[#This Row],[Date]]&lt;=FTo,OR(DashMachine="",tblDowntime[[#This Row],[Machine]]=DashMachine)),tblDowntime[[#This Row],[Date]],""))</f>
        <v>46288</v>
      </c>
      <c r="Q11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7" s="42" t="s">
        <v>140</v>
      </c>
    </row>
    <row r="118" spans="2:18" x14ac:dyDescent="0.25">
      <c r="B118" s="35">
        <v>46289</v>
      </c>
      <c r="C118" s="28" t="s">
        <v>92</v>
      </c>
      <c r="D118" s="28" t="s">
        <v>83</v>
      </c>
      <c r="E118" s="28" t="s">
        <v>98</v>
      </c>
      <c r="F118" s="36">
        <v>0.2916666666666667</v>
      </c>
      <c r="G118" s="36">
        <v>0.3229166666666667</v>
      </c>
      <c r="H118" s="37">
        <f>IF(tblDowntime[[#This Row],[Date]]="","",IF(OR(tblDowntime[[#This Row],[Start]]="",tblDowntime[[#This Row],[End]]=""),"",ROUND(MOD(tblDowntime[[#This Row],[End]]-tblDowntime[[#This Row],[Start]],1)*1440,0)))</f>
        <v>45</v>
      </c>
      <c r="I118" s="38" t="str">
        <f>IF(tblDowntime[[#This Row],[Date]]="","",IFERROR(INDEX(tblReasons[Type],MATCH(tblDowntime[[#This Row],[Reason]],tblReasons[Reason],0)),""))</f>
        <v>Planned</v>
      </c>
      <c r="J118" s="38" t="str">
        <f>IF(tblDowntime[[#This Row],[Date]]="","",IFERROR(INDEX(tblReasons[Loss category],MATCH(tblDowntime[[#This Row],[Reason]],tblReasons[Reason],0)),""))</f>
        <v>Changeover</v>
      </c>
      <c r="K118" s="37">
        <f>IF(tblDowntime[[#This Row],[Date]]="","",IFERROR(INDEX(tblMachines[Loss rate (per h)],MATCH(tblDowntime[[#This Row],[Machine]],tblMachines[Machine],0)),""))</f>
        <v>620</v>
      </c>
      <c r="L118" s="39">
        <f>IF(tblDowntime[[#This Row],[Date]]="","",IF(OR(tblDowntime[[#This Row],[Minutes]]="",tblDowntime[[#This Row],[Loss rate]]=""),"",tblDowntime[[#This Row],[Minutes]]/60*tblDowntime[[#This Row],[Loss rate]]))</f>
        <v>465</v>
      </c>
      <c r="M118" s="33">
        <v>0</v>
      </c>
      <c r="N118" s="39">
        <f>IF(tblDowntime[[#This Row],[Date]]="","",IF(tblDowntime[[#This Row],[Production loss]]="","",tblDowntime[[#This Row],[Production loss]]+N(tblDowntime[[#This Row],[Repair cost]])))</f>
        <v>465</v>
      </c>
      <c r="O118" s="40">
        <f>IF(tblDowntime[[#This Row],[Date]]="","",tblDowntime[[#This Row],[Date]]-WEEKDAY(tblDowntime[[#This Row],[Date]],2)+1)</f>
        <v>46286</v>
      </c>
      <c r="P118" s="40">
        <f>IF(tblDowntime[[#This Row],[Date]]="","",IF(AND(tblDowntime[[#This Row],[Date]]&gt;=FFrom,tblDowntime[[#This Row],[Date]]&lt;=FTo,OR(DashMachine="",tblDowntime[[#This Row],[Machine]]=DashMachine)),tblDowntime[[#This Row],[Date]],""))</f>
        <v>46289</v>
      </c>
      <c r="Q11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8" s="42" t="s">
        <v>139</v>
      </c>
    </row>
    <row r="119" spans="2:18" x14ac:dyDescent="0.25">
      <c r="B119" s="35">
        <v>46289</v>
      </c>
      <c r="C119" s="28" t="s">
        <v>92</v>
      </c>
      <c r="D119" s="28" t="s">
        <v>81</v>
      </c>
      <c r="E119" s="28" t="s">
        <v>111</v>
      </c>
      <c r="F119" s="36">
        <v>0.2777777777777778</v>
      </c>
      <c r="G119" s="36">
        <v>0.2951388888888889</v>
      </c>
      <c r="H119" s="37">
        <f>IF(tblDowntime[[#This Row],[Date]]="","",IF(OR(tblDowntime[[#This Row],[Start]]="",tblDowntime[[#This Row],[End]]=""),"",ROUND(MOD(tblDowntime[[#This Row],[End]]-tblDowntime[[#This Row],[Start]],1)*1440,0)))</f>
        <v>25</v>
      </c>
      <c r="I119" s="38" t="str">
        <f>IF(tblDowntime[[#This Row],[Date]]="","",IFERROR(INDEX(tblReasons[Type],MATCH(tblDowntime[[#This Row],[Reason]],tblReasons[Reason],0)),""))</f>
        <v>Unplanned</v>
      </c>
      <c r="J119" s="38" t="str">
        <f>IF(tblDowntime[[#This Row],[Date]]="","",IFERROR(INDEX(tblReasons[Loss category],MATCH(tblDowntime[[#This Row],[Reason]],tblReasons[Reason],0)),""))</f>
        <v>Breakdown</v>
      </c>
      <c r="K119" s="37">
        <f>IF(tblDowntime[[#This Row],[Date]]="","",IFERROR(INDEX(tblMachines[Loss rate (per h)],MATCH(tblDowntime[[#This Row],[Machine]],tblMachines[Machine],0)),""))</f>
        <v>950</v>
      </c>
      <c r="L119" s="39">
        <f>IF(tblDowntime[[#This Row],[Date]]="","",IF(OR(tblDowntime[[#This Row],[Minutes]]="",tblDowntime[[#This Row],[Loss rate]]=""),"",tblDowntime[[#This Row],[Minutes]]/60*tblDowntime[[#This Row],[Loss rate]]))</f>
        <v>395.833333333333</v>
      </c>
      <c r="M119" s="33">
        <v>1180</v>
      </c>
      <c r="N119" s="39">
        <f>IF(tblDowntime[[#This Row],[Date]]="","",IF(tblDowntime[[#This Row],[Production loss]]="","",tblDowntime[[#This Row],[Production loss]]+N(tblDowntime[[#This Row],[Repair cost]])))</f>
        <v>1575.83333333333</v>
      </c>
      <c r="O119" s="40">
        <f>IF(tblDowntime[[#This Row],[Date]]="","",tblDowntime[[#This Row],[Date]]-WEEKDAY(tblDowntime[[#This Row],[Date]],2)+1)</f>
        <v>46286</v>
      </c>
      <c r="P119" s="40">
        <f>IF(tblDowntime[[#This Row],[Date]]="","",IF(AND(tblDowntime[[#This Row],[Date]]&gt;=FFrom,tblDowntime[[#This Row],[Date]]&lt;=FTo,OR(DashMachine="",tblDowntime[[#This Row],[Machine]]=DashMachine)),tblDowntime[[#This Row],[Date]],""))</f>
        <v>46289</v>
      </c>
      <c r="Q11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19" s="42" t="s">
        <v>140</v>
      </c>
    </row>
    <row r="120" spans="2:18" x14ac:dyDescent="0.25">
      <c r="B120" s="35">
        <v>46289</v>
      </c>
      <c r="C120" s="28" t="s">
        <v>95</v>
      </c>
      <c r="D120" s="28" t="s">
        <v>83</v>
      </c>
      <c r="E120" s="28" t="s">
        <v>113</v>
      </c>
      <c r="F120" s="36">
        <v>0.6666666666666666</v>
      </c>
      <c r="G120" s="36">
        <v>0.6701388888888888</v>
      </c>
      <c r="H120" s="37">
        <f>IF(tblDowntime[[#This Row],[Date]]="","",IF(OR(tblDowntime[[#This Row],[Start]]="",tblDowntime[[#This Row],[End]]=""),"",ROUND(MOD(tblDowntime[[#This Row],[End]]-tblDowntime[[#This Row],[Start]],1)*1440,0)))</f>
        <v>5</v>
      </c>
      <c r="I120" s="38" t="str">
        <f>IF(tblDowntime[[#This Row],[Date]]="","",IFERROR(INDEX(tblReasons[Type],MATCH(tblDowntime[[#This Row],[Reason]],tblReasons[Reason],0)),""))</f>
        <v>Unplanned</v>
      </c>
      <c r="J120" s="38" t="str">
        <f>IF(tblDowntime[[#This Row],[Date]]="","",IFERROR(INDEX(tblReasons[Loss category],MATCH(tblDowntime[[#This Row],[Reason]],tblReasons[Reason],0)),""))</f>
        <v>Minor stop</v>
      </c>
      <c r="K120" s="37">
        <f>IF(tblDowntime[[#This Row],[Date]]="","",IFERROR(INDEX(tblMachines[Loss rate (per h)],MATCH(tblDowntime[[#This Row],[Machine]],tblMachines[Machine],0)),""))</f>
        <v>620</v>
      </c>
      <c r="L120" s="39">
        <f>IF(tblDowntime[[#This Row],[Date]]="","",IF(OR(tblDowntime[[#This Row],[Minutes]]="",tblDowntime[[#This Row],[Loss rate]]=""),"",tblDowntime[[#This Row],[Minutes]]/60*tblDowntime[[#This Row],[Loss rate]]))</f>
        <v>51.6666666666667</v>
      </c>
      <c r="M120" s="33">
        <v>0</v>
      </c>
      <c r="N120" s="39">
        <f>IF(tblDowntime[[#This Row],[Date]]="","",IF(tblDowntime[[#This Row],[Production loss]]="","",tblDowntime[[#This Row],[Production loss]]+N(tblDowntime[[#This Row],[Repair cost]])))</f>
        <v>51.6666666666667</v>
      </c>
      <c r="O120" s="40">
        <f>IF(tblDowntime[[#This Row],[Date]]="","",tblDowntime[[#This Row],[Date]]-WEEKDAY(tblDowntime[[#This Row],[Date]],2)+1)</f>
        <v>46286</v>
      </c>
      <c r="P120" s="40">
        <f>IF(tblDowntime[[#This Row],[Date]]="","",IF(AND(tblDowntime[[#This Row],[Date]]&gt;=FFrom,tblDowntime[[#This Row],[Date]]&lt;=FTo,OR(DashMachine="",tblDowntime[[#This Row],[Machine]]=DashMachine)),tblDowntime[[#This Row],[Date]],""))</f>
        <v>46289</v>
      </c>
      <c r="Q12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0" s="42" t="s">
        <v>140</v>
      </c>
    </row>
    <row r="121" spans="2:18" x14ac:dyDescent="0.25">
      <c r="B121" s="35">
        <v>46289</v>
      </c>
      <c r="C121" s="28" t="s">
        <v>95</v>
      </c>
      <c r="D121" s="28" t="s">
        <v>81</v>
      </c>
      <c r="E121" s="28" t="s">
        <v>113</v>
      </c>
      <c r="F121" s="36">
        <v>0.625</v>
      </c>
      <c r="G121" s="36">
        <v>0.6354166666666666</v>
      </c>
      <c r="H121" s="37">
        <f>IF(tblDowntime[[#This Row],[Date]]="","",IF(OR(tblDowntime[[#This Row],[Start]]="",tblDowntime[[#This Row],[End]]=""),"",ROUND(MOD(tblDowntime[[#This Row],[End]]-tblDowntime[[#This Row],[Start]],1)*1440,0)))</f>
        <v>15</v>
      </c>
      <c r="I121" s="38" t="str">
        <f>IF(tblDowntime[[#This Row],[Date]]="","",IFERROR(INDEX(tblReasons[Type],MATCH(tblDowntime[[#This Row],[Reason]],tblReasons[Reason],0)),""))</f>
        <v>Unplanned</v>
      </c>
      <c r="J121" s="38" t="str">
        <f>IF(tblDowntime[[#This Row],[Date]]="","",IFERROR(INDEX(tblReasons[Loss category],MATCH(tblDowntime[[#This Row],[Reason]],tblReasons[Reason],0)),""))</f>
        <v>Minor stop</v>
      </c>
      <c r="K121" s="37">
        <f>IF(tblDowntime[[#This Row],[Date]]="","",IFERROR(INDEX(tblMachines[Loss rate (per h)],MATCH(tblDowntime[[#This Row],[Machine]],tblMachines[Machine],0)),""))</f>
        <v>950</v>
      </c>
      <c r="L121" s="39">
        <f>IF(tblDowntime[[#This Row],[Date]]="","",IF(OR(tblDowntime[[#This Row],[Minutes]]="",tblDowntime[[#This Row],[Loss rate]]=""),"",tblDowntime[[#This Row],[Minutes]]/60*tblDowntime[[#This Row],[Loss rate]]))</f>
        <v>237.5</v>
      </c>
      <c r="M121" s="33">
        <v>0</v>
      </c>
      <c r="N121" s="39">
        <f>IF(tblDowntime[[#This Row],[Date]]="","",IF(tblDowntime[[#This Row],[Production loss]]="","",tblDowntime[[#This Row],[Production loss]]+N(tblDowntime[[#This Row],[Repair cost]])))</f>
        <v>237.5</v>
      </c>
      <c r="O121" s="40">
        <f>IF(tblDowntime[[#This Row],[Date]]="","",tblDowntime[[#This Row],[Date]]-WEEKDAY(tblDowntime[[#This Row],[Date]],2)+1)</f>
        <v>46286</v>
      </c>
      <c r="P121" s="40">
        <f>IF(tblDowntime[[#This Row],[Date]]="","",IF(AND(tblDowntime[[#This Row],[Date]]&gt;=FFrom,tblDowntime[[#This Row],[Date]]&lt;=FTo,OR(DashMachine="",tblDowntime[[#This Row],[Machine]]=DashMachine)),tblDowntime[[#This Row],[Date]],""))</f>
        <v>46289</v>
      </c>
      <c r="Q12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1" s="42" t="s">
        <v>140</v>
      </c>
    </row>
    <row r="122" spans="2:18" x14ac:dyDescent="0.25">
      <c r="B122" s="35">
        <v>46289</v>
      </c>
      <c r="C122" s="28" t="s">
        <v>95</v>
      </c>
      <c r="D122" s="28" t="s">
        <v>89</v>
      </c>
      <c r="E122" s="28" t="s">
        <v>125</v>
      </c>
      <c r="F122" s="36">
        <v>0.6527777777777778</v>
      </c>
      <c r="G122" s="36">
        <v>0.6631944444444444</v>
      </c>
      <c r="H122" s="37">
        <f>IF(tblDowntime[[#This Row],[Date]]="","",IF(OR(tblDowntime[[#This Row],[Start]]="",tblDowntime[[#This Row],[End]]=""),"",ROUND(MOD(tblDowntime[[#This Row],[End]]-tblDowntime[[#This Row],[Start]],1)*1440,0)))</f>
        <v>15</v>
      </c>
      <c r="I122" s="38" t="str">
        <f>IF(tblDowntime[[#This Row],[Date]]="","",IFERROR(INDEX(tblReasons[Type],MATCH(tblDowntime[[#This Row],[Reason]],tblReasons[Reason],0)),""))</f>
        <v>Unplanned</v>
      </c>
      <c r="J122" s="38" t="str">
        <f>IF(tblDowntime[[#This Row],[Date]]="","",IFERROR(INDEX(tblReasons[Loss category],MATCH(tblDowntime[[#This Row],[Reason]],tblReasons[Reason],0)),""))</f>
        <v>Other</v>
      </c>
      <c r="K122" s="37">
        <f>IF(tblDowntime[[#This Row],[Date]]="","",IFERROR(INDEX(tblMachines[Loss rate (per h)],MATCH(tblDowntime[[#This Row],[Machine]],tblMachines[Machine],0)),""))</f>
        <v>540</v>
      </c>
      <c r="L122" s="39">
        <f>IF(tblDowntime[[#This Row],[Date]]="","",IF(OR(tblDowntime[[#This Row],[Minutes]]="",tblDowntime[[#This Row],[Loss rate]]=""),"",tblDowntime[[#This Row],[Minutes]]/60*tblDowntime[[#This Row],[Loss rate]]))</f>
        <v>135</v>
      </c>
      <c r="M122" s="33">
        <v>0</v>
      </c>
      <c r="N122" s="39">
        <f>IF(tblDowntime[[#This Row],[Date]]="","",IF(tblDowntime[[#This Row],[Production loss]]="","",tblDowntime[[#This Row],[Production loss]]+N(tblDowntime[[#This Row],[Repair cost]])))</f>
        <v>135</v>
      </c>
      <c r="O122" s="40">
        <f>IF(tblDowntime[[#This Row],[Date]]="","",tblDowntime[[#This Row],[Date]]-WEEKDAY(tblDowntime[[#This Row],[Date]],2)+1)</f>
        <v>46286</v>
      </c>
      <c r="P122" s="40">
        <f>IF(tblDowntime[[#This Row],[Date]]="","",IF(AND(tblDowntime[[#This Row],[Date]]&gt;=FFrom,tblDowntime[[#This Row],[Date]]&lt;=FTo,OR(DashMachine="",tblDowntime[[#This Row],[Machine]]=DashMachine)),tblDowntime[[#This Row],[Date]],""))</f>
        <v>46289</v>
      </c>
      <c r="Q12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2" s="42" t="s">
        <v>140</v>
      </c>
    </row>
    <row r="123" spans="2:18" x14ac:dyDescent="0.25">
      <c r="B123" s="35">
        <v>46290</v>
      </c>
      <c r="C123" s="28" t="s">
        <v>92</v>
      </c>
      <c r="D123" s="28" t="s">
        <v>83</v>
      </c>
      <c r="E123" s="28" t="s">
        <v>98</v>
      </c>
      <c r="F123" s="36">
        <v>0.3333333333333333</v>
      </c>
      <c r="G123" s="36">
        <v>0.3576388888888889</v>
      </c>
      <c r="H123" s="37">
        <f>IF(tblDowntime[[#This Row],[Date]]="","",IF(OR(tblDowntime[[#This Row],[Start]]="",tblDowntime[[#This Row],[End]]=""),"",ROUND(MOD(tblDowntime[[#This Row],[End]]-tblDowntime[[#This Row],[Start]],1)*1440,0)))</f>
        <v>35</v>
      </c>
      <c r="I123" s="38" t="str">
        <f>IF(tblDowntime[[#This Row],[Date]]="","",IFERROR(INDEX(tblReasons[Type],MATCH(tblDowntime[[#This Row],[Reason]],tblReasons[Reason],0)),""))</f>
        <v>Planned</v>
      </c>
      <c r="J123" s="38" t="str">
        <f>IF(tblDowntime[[#This Row],[Date]]="","",IFERROR(INDEX(tblReasons[Loss category],MATCH(tblDowntime[[#This Row],[Reason]],tblReasons[Reason],0)),""))</f>
        <v>Changeover</v>
      </c>
      <c r="K123" s="37">
        <f>IF(tblDowntime[[#This Row],[Date]]="","",IFERROR(INDEX(tblMachines[Loss rate (per h)],MATCH(tblDowntime[[#This Row],[Machine]],tblMachines[Machine],0)),""))</f>
        <v>620</v>
      </c>
      <c r="L123" s="39">
        <f>IF(tblDowntime[[#This Row],[Date]]="","",IF(OR(tblDowntime[[#This Row],[Minutes]]="",tblDowntime[[#This Row],[Loss rate]]=""),"",tblDowntime[[#This Row],[Minutes]]/60*tblDowntime[[#This Row],[Loss rate]]))</f>
        <v>361.666666666667</v>
      </c>
      <c r="M123" s="33">
        <v>0</v>
      </c>
      <c r="N123" s="39">
        <f>IF(tblDowntime[[#This Row],[Date]]="","",IF(tblDowntime[[#This Row],[Production loss]]="","",tblDowntime[[#This Row],[Production loss]]+N(tblDowntime[[#This Row],[Repair cost]])))</f>
        <v>361.666666666667</v>
      </c>
      <c r="O123" s="40">
        <f>IF(tblDowntime[[#This Row],[Date]]="","",tblDowntime[[#This Row],[Date]]-WEEKDAY(tblDowntime[[#This Row],[Date]],2)+1)</f>
        <v>46286</v>
      </c>
      <c r="P123" s="40">
        <f>IF(tblDowntime[[#This Row],[Date]]="","",IF(AND(tblDowntime[[#This Row],[Date]]&gt;=FFrom,tblDowntime[[#This Row],[Date]]&lt;=FTo,OR(DashMachine="",tblDowntime[[#This Row],[Machine]]=DashMachine)),tblDowntime[[#This Row],[Date]],""))</f>
        <v>46290</v>
      </c>
      <c r="Q12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3" s="42" t="s">
        <v>139</v>
      </c>
    </row>
    <row r="124" spans="2:18" x14ac:dyDescent="0.25">
      <c r="B124" s="35">
        <v>46290</v>
      </c>
      <c r="C124" s="28" t="s">
        <v>92</v>
      </c>
      <c r="D124" s="28" t="s">
        <v>83</v>
      </c>
      <c r="E124" s="28" t="s">
        <v>113</v>
      </c>
      <c r="F124" s="36">
        <v>0.3784722222222222</v>
      </c>
      <c r="G124" s="36">
        <v>0.3854166666666667</v>
      </c>
      <c r="H124" s="37">
        <f>IF(tblDowntime[[#This Row],[Date]]="","",IF(OR(tblDowntime[[#This Row],[Start]]="",tblDowntime[[#This Row],[End]]=""),"",ROUND(MOD(tblDowntime[[#This Row],[End]]-tblDowntime[[#This Row],[Start]],1)*1440,0)))</f>
        <v>10</v>
      </c>
      <c r="I124" s="38" t="str">
        <f>IF(tblDowntime[[#This Row],[Date]]="","",IFERROR(INDEX(tblReasons[Type],MATCH(tblDowntime[[#This Row],[Reason]],tblReasons[Reason],0)),""))</f>
        <v>Unplanned</v>
      </c>
      <c r="J124" s="38" t="str">
        <f>IF(tblDowntime[[#This Row],[Date]]="","",IFERROR(INDEX(tblReasons[Loss category],MATCH(tblDowntime[[#This Row],[Reason]],tblReasons[Reason],0)),""))</f>
        <v>Minor stop</v>
      </c>
      <c r="K124" s="37">
        <f>IF(tblDowntime[[#This Row],[Date]]="","",IFERROR(INDEX(tblMachines[Loss rate (per h)],MATCH(tblDowntime[[#This Row],[Machine]],tblMachines[Machine],0)),""))</f>
        <v>620</v>
      </c>
      <c r="L124" s="39">
        <f>IF(tblDowntime[[#This Row],[Date]]="","",IF(OR(tblDowntime[[#This Row],[Minutes]]="",tblDowntime[[#This Row],[Loss rate]]=""),"",tblDowntime[[#This Row],[Minutes]]/60*tblDowntime[[#This Row],[Loss rate]]))</f>
        <v>103.333333333333</v>
      </c>
      <c r="M124" s="33">
        <v>0</v>
      </c>
      <c r="N124" s="39">
        <f>IF(tblDowntime[[#This Row],[Date]]="","",IF(tblDowntime[[#This Row],[Production loss]]="","",tblDowntime[[#This Row],[Production loss]]+N(tblDowntime[[#This Row],[Repair cost]])))</f>
        <v>103.333333333333</v>
      </c>
      <c r="O124" s="40">
        <f>IF(tblDowntime[[#This Row],[Date]]="","",tblDowntime[[#This Row],[Date]]-WEEKDAY(tblDowntime[[#This Row],[Date]],2)+1)</f>
        <v>46286</v>
      </c>
      <c r="P124" s="40">
        <f>IF(tblDowntime[[#This Row],[Date]]="","",IF(AND(tblDowntime[[#This Row],[Date]]&gt;=FFrom,tblDowntime[[#This Row],[Date]]&lt;=FTo,OR(DashMachine="",tblDowntime[[#This Row],[Machine]]=DashMachine)),tblDowntime[[#This Row],[Date]],""))</f>
        <v>46290</v>
      </c>
      <c r="Q12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4" s="42" t="s">
        <v>140</v>
      </c>
    </row>
    <row r="125" spans="2:18" x14ac:dyDescent="0.25">
      <c r="B125" s="35">
        <v>46290</v>
      </c>
      <c r="C125" s="28" t="s">
        <v>92</v>
      </c>
      <c r="D125" s="28" t="s">
        <v>81</v>
      </c>
      <c r="E125" s="28" t="s">
        <v>116</v>
      </c>
      <c r="F125" s="36">
        <v>0.3888888888888889</v>
      </c>
      <c r="G125" s="36">
        <v>0.3993055555555556</v>
      </c>
      <c r="H125" s="37">
        <f>IF(tblDowntime[[#This Row],[Date]]="","",IF(OR(tblDowntime[[#This Row],[Start]]="",tblDowntime[[#This Row],[End]]=""),"",ROUND(MOD(tblDowntime[[#This Row],[End]]-tblDowntime[[#This Row],[Start]],1)*1440,0)))</f>
        <v>15</v>
      </c>
      <c r="I125" s="38" t="str">
        <f>IF(tblDowntime[[#This Row],[Date]]="","",IFERROR(INDEX(tblReasons[Type],MATCH(tblDowntime[[#This Row],[Reason]],tblReasons[Reason],0)),""))</f>
        <v>Unplanned</v>
      </c>
      <c r="J125" s="38" t="str">
        <f>IF(tblDowntime[[#This Row],[Date]]="","",IFERROR(INDEX(tblReasons[Loss category],MATCH(tblDowntime[[#This Row],[Reason]],tblReasons[Reason],0)),""))</f>
        <v>Material</v>
      </c>
      <c r="K125" s="37">
        <f>IF(tblDowntime[[#This Row],[Date]]="","",IFERROR(INDEX(tblMachines[Loss rate (per h)],MATCH(tblDowntime[[#This Row],[Machine]],tblMachines[Machine],0)),""))</f>
        <v>950</v>
      </c>
      <c r="L125" s="39">
        <f>IF(tblDowntime[[#This Row],[Date]]="","",IF(OR(tblDowntime[[#This Row],[Minutes]]="",tblDowntime[[#This Row],[Loss rate]]=""),"",tblDowntime[[#This Row],[Minutes]]/60*tblDowntime[[#This Row],[Loss rate]]))</f>
        <v>237.5</v>
      </c>
      <c r="M125" s="33">
        <v>0</v>
      </c>
      <c r="N125" s="39">
        <f>IF(tblDowntime[[#This Row],[Date]]="","",IF(tblDowntime[[#This Row],[Production loss]]="","",tblDowntime[[#This Row],[Production loss]]+N(tblDowntime[[#This Row],[Repair cost]])))</f>
        <v>237.5</v>
      </c>
      <c r="O125" s="40">
        <f>IF(tblDowntime[[#This Row],[Date]]="","",tblDowntime[[#This Row],[Date]]-WEEKDAY(tblDowntime[[#This Row],[Date]],2)+1)</f>
        <v>46286</v>
      </c>
      <c r="P125" s="40">
        <f>IF(tblDowntime[[#This Row],[Date]]="","",IF(AND(tblDowntime[[#This Row],[Date]]&gt;=FFrom,tblDowntime[[#This Row],[Date]]&lt;=FTo,OR(DashMachine="",tblDowntime[[#This Row],[Machine]]=DashMachine)),tblDowntime[[#This Row],[Date]],""))</f>
        <v>46290</v>
      </c>
      <c r="Q12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5" s="42" t="s">
        <v>140</v>
      </c>
    </row>
    <row r="126" spans="2:18" x14ac:dyDescent="0.25">
      <c r="B126" s="35">
        <v>46290</v>
      </c>
      <c r="C126" s="28" t="s">
        <v>92</v>
      </c>
      <c r="D126" s="28" t="s">
        <v>89</v>
      </c>
      <c r="E126" s="28" t="s">
        <v>109</v>
      </c>
      <c r="F126" s="36">
        <v>0.375</v>
      </c>
      <c r="G126" s="36">
        <v>0.3923611111111111</v>
      </c>
      <c r="H126" s="37">
        <f>IF(tblDowntime[[#This Row],[Date]]="","",IF(OR(tblDowntime[[#This Row],[Start]]="",tblDowntime[[#This Row],[End]]=""),"",ROUND(MOD(tblDowntime[[#This Row],[End]]-tblDowntime[[#This Row],[Start]],1)*1440,0)))</f>
        <v>25</v>
      </c>
      <c r="I126" s="38" t="str">
        <f>IF(tblDowntime[[#This Row],[Date]]="","",IFERROR(INDEX(tblReasons[Type],MATCH(tblDowntime[[#This Row],[Reason]],tblReasons[Reason],0)),""))</f>
        <v>Unplanned</v>
      </c>
      <c r="J126" s="38" t="str">
        <f>IF(tblDowntime[[#This Row],[Date]]="","",IFERROR(INDEX(tblReasons[Loss category],MATCH(tblDowntime[[#This Row],[Reason]],tblReasons[Reason],0)),""))</f>
        <v>Breakdown</v>
      </c>
      <c r="K126" s="37">
        <f>IF(tblDowntime[[#This Row],[Date]]="","",IFERROR(INDEX(tblMachines[Loss rate (per h)],MATCH(tblDowntime[[#This Row],[Machine]],tblMachines[Machine],0)),""))</f>
        <v>540</v>
      </c>
      <c r="L126" s="39">
        <f>IF(tblDowntime[[#This Row],[Date]]="","",IF(OR(tblDowntime[[#This Row],[Minutes]]="",tblDowntime[[#This Row],[Loss rate]]=""),"",tblDowntime[[#This Row],[Minutes]]/60*tblDowntime[[#This Row],[Loss rate]]))</f>
        <v>225</v>
      </c>
      <c r="M126" s="33">
        <v>410</v>
      </c>
      <c r="N126" s="39">
        <f>IF(tblDowntime[[#This Row],[Date]]="","",IF(tblDowntime[[#This Row],[Production loss]]="","",tblDowntime[[#This Row],[Production loss]]+N(tblDowntime[[#This Row],[Repair cost]])))</f>
        <v>635</v>
      </c>
      <c r="O126" s="40">
        <f>IF(tblDowntime[[#This Row],[Date]]="","",tblDowntime[[#This Row],[Date]]-WEEKDAY(tblDowntime[[#This Row],[Date]],2)+1)</f>
        <v>46286</v>
      </c>
      <c r="P126" s="40">
        <f>IF(tblDowntime[[#This Row],[Date]]="","",IF(AND(tblDowntime[[#This Row],[Date]]&gt;=FFrom,tblDowntime[[#This Row],[Date]]&lt;=FTo,OR(DashMachine="",tblDowntime[[#This Row],[Machine]]=DashMachine)),tblDowntime[[#This Row],[Date]],""))</f>
        <v>46290</v>
      </c>
      <c r="Q12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6" s="42" t="s">
        <v>140</v>
      </c>
    </row>
    <row r="127" spans="2:18" x14ac:dyDescent="0.25">
      <c r="B127" s="35">
        <v>46290</v>
      </c>
      <c r="C127" s="28" t="s">
        <v>95</v>
      </c>
      <c r="D127" s="28" t="s">
        <v>83</v>
      </c>
      <c r="E127" s="28" t="s">
        <v>119</v>
      </c>
      <c r="F127" s="36">
        <v>0.6666666666666666</v>
      </c>
      <c r="G127" s="36">
        <v>0.6875</v>
      </c>
      <c r="H127" s="37">
        <f>IF(tblDowntime[[#This Row],[Date]]="","",IF(OR(tblDowntime[[#This Row],[Start]]="",tblDowntime[[#This Row],[End]]=""),"",ROUND(MOD(tblDowntime[[#This Row],[End]]-tblDowntime[[#This Row],[Start]],1)*1440,0)))</f>
        <v>30</v>
      </c>
      <c r="I127" s="38" t="str">
        <f>IF(tblDowntime[[#This Row],[Date]]="","",IFERROR(INDEX(tblReasons[Type],MATCH(tblDowntime[[#This Row],[Reason]],tblReasons[Reason],0)),""))</f>
        <v>Unplanned</v>
      </c>
      <c r="J127" s="38" t="str">
        <f>IF(tblDowntime[[#This Row],[Date]]="","",IFERROR(INDEX(tblReasons[Loss category],MATCH(tblDowntime[[#This Row],[Reason]],tblReasons[Reason],0)),""))</f>
        <v>Quality</v>
      </c>
      <c r="K127" s="37">
        <f>IF(tblDowntime[[#This Row],[Date]]="","",IFERROR(INDEX(tblMachines[Loss rate (per h)],MATCH(tblDowntime[[#This Row],[Machine]],tblMachines[Machine],0)),""))</f>
        <v>620</v>
      </c>
      <c r="L127" s="39">
        <f>IF(tblDowntime[[#This Row],[Date]]="","",IF(OR(tblDowntime[[#This Row],[Minutes]]="",tblDowntime[[#This Row],[Loss rate]]=""),"",tblDowntime[[#This Row],[Minutes]]/60*tblDowntime[[#This Row],[Loss rate]]))</f>
        <v>310</v>
      </c>
      <c r="M127" s="33">
        <v>0</v>
      </c>
      <c r="N127" s="39">
        <f>IF(tblDowntime[[#This Row],[Date]]="","",IF(tblDowntime[[#This Row],[Production loss]]="","",tblDowntime[[#This Row],[Production loss]]+N(tblDowntime[[#This Row],[Repair cost]])))</f>
        <v>310</v>
      </c>
      <c r="O127" s="40">
        <f>IF(tblDowntime[[#This Row],[Date]]="","",tblDowntime[[#This Row],[Date]]-WEEKDAY(tblDowntime[[#This Row],[Date]],2)+1)</f>
        <v>46286</v>
      </c>
      <c r="P127" s="40">
        <f>IF(tblDowntime[[#This Row],[Date]]="","",IF(AND(tblDowntime[[#This Row],[Date]]&gt;=FFrom,tblDowntime[[#This Row],[Date]]&lt;=FTo,OR(DashMachine="",tblDowntime[[#This Row],[Machine]]=DashMachine)),tblDowntime[[#This Row],[Date]],""))</f>
        <v>46290</v>
      </c>
      <c r="Q12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7" s="42" t="s">
        <v>140</v>
      </c>
    </row>
    <row r="128" spans="2:18" x14ac:dyDescent="0.25">
      <c r="B128" s="35">
        <v>46293</v>
      </c>
      <c r="C128" s="28" t="s">
        <v>92</v>
      </c>
      <c r="D128" s="28" t="s">
        <v>83</v>
      </c>
      <c r="E128" s="28" t="s">
        <v>98</v>
      </c>
      <c r="F128" s="36">
        <v>0.3611111111111111</v>
      </c>
      <c r="G128" s="36">
        <v>0.3923611111111111</v>
      </c>
      <c r="H128" s="37">
        <f>IF(tblDowntime[[#This Row],[Date]]="","",IF(OR(tblDowntime[[#This Row],[Start]]="",tblDowntime[[#This Row],[End]]=""),"",ROUND(MOD(tblDowntime[[#This Row],[End]]-tblDowntime[[#This Row],[Start]],1)*1440,0)))</f>
        <v>45</v>
      </c>
      <c r="I128" s="38" t="str">
        <f>IF(tblDowntime[[#This Row],[Date]]="","",IFERROR(INDEX(tblReasons[Type],MATCH(tblDowntime[[#This Row],[Reason]],tblReasons[Reason],0)),""))</f>
        <v>Planned</v>
      </c>
      <c r="J128" s="38" t="str">
        <f>IF(tblDowntime[[#This Row],[Date]]="","",IFERROR(INDEX(tblReasons[Loss category],MATCH(tblDowntime[[#This Row],[Reason]],tblReasons[Reason],0)),""))</f>
        <v>Changeover</v>
      </c>
      <c r="K128" s="37">
        <f>IF(tblDowntime[[#This Row],[Date]]="","",IFERROR(INDEX(tblMachines[Loss rate (per h)],MATCH(tblDowntime[[#This Row],[Machine]],tblMachines[Machine],0)),""))</f>
        <v>620</v>
      </c>
      <c r="L128" s="39">
        <f>IF(tblDowntime[[#This Row],[Date]]="","",IF(OR(tblDowntime[[#This Row],[Minutes]]="",tblDowntime[[#This Row],[Loss rate]]=""),"",tblDowntime[[#This Row],[Minutes]]/60*tblDowntime[[#This Row],[Loss rate]]))</f>
        <v>465</v>
      </c>
      <c r="M128" s="33">
        <v>0</v>
      </c>
      <c r="N128" s="39">
        <f>IF(tblDowntime[[#This Row],[Date]]="","",IF(tblDowntime[[#This Row],[Production loss]]="","",tblDowntime[[#This Row],[Production loss]]+N(tblDowntime[[#This Row],[Repair cost]])))</f>
        <v>465</v>
      </c>
      <c r="O128" s="40">
        <f>IF(tblDowntime[[#This Row],[Date]]="","",tblDowntime[[#This Row],[Date]]-WEEKDAY(tblDowntime[[#This Row],[Date]],2)+1)</f>
        <v>46293</v>
      </c>
      <c r="P128" s="40">
        <f>IF(tblDowntime[[#This Row],[Date]]="","",IF(AND(tblDowntime[[#This Row],[Date]]&gt;=FFrom,tblDowntime[[#This Row],[Date]]&lt;=FTo,OR(DashMachine="",tblDowntime[[#This Row],[Machine]]=DashMachine)),tblDowntime[[#This Row],[Date]],""))</f>
        <v>46293</v>
      </c>
      <c r="Q12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8" s="42" t="s">
        <v>139</v>
      </c>
    </row>
    <row r="129" spans="2:18" x14ac:dyDescent="0.25">
      <c r="B129" s="35">
        <v>46293</v>
      </c>
      <c r="C129" s="28" t="s">
        <v>92</v>
      </c>
      <c r="D129" s="28" t="s">
        <v>81</v>
      </c>
      <c r="E129" s="28" t="s">
        <v>105</v>
      </c>
      <c r="F129" s="36">
        <v>0.3194444444444444</v>
      </c>
      <c r="G129" s="36">
        <v>0.3576388888888889</v>
      </c>
      <c r="H129" s="37">
        <f>IF(tblDowntime[[#This Row],[Date]]="","",IF(OR(tblDowntime[[#This Row],[Start]]="",tblDowntime[[#This Row],[End]]=""),"",ROUND(MOD(tblDowntime[[#This Row],[End]]-tblDowntime[[#This Row],[Start]],1)*1440,0)))</f>
        <v>55</v>
      </c>
      <c r="I129" s="38" t="str">
        <f>IF(tblDowntime[[#This Row],[Date]]="","",IFERROR(INDEX(tblReasons[Type],MATCH(tblDowntime[[#This Row],[Reason]],tblReasons[Reason],0)),""))</f>
        <v>Unplanned</v>
      </c>
      <c r="J129" s="38" t="str">
        <f>IF(tblDowntime[[#This Row],[Date]]="","",IFERROR(INDEX(tblReasons[Loss category],MATCH(tblDowntime[[#This Row],[Reason]],tblReasons[Reason],0)),""))</f>
        <v>Breakdown</v>
      </c>
      <c r="K129" s="37">
        <f>IF(tblDowntime[[#This Row],[Date]]="","",IFERROR(INDEX(tblMachines[Loss rate (per h)],MATCH(tblDowntime[[#This Row],[Machine]],tblMachines[Machine],0)),""))</f>
        <v>950</v>
      </c>
      <c r="L129" s="39">
        <f>IF(tblDowntime[[#This Row],[Date]]="","",IF(OR(tblDowntime[[#This Row],[Minutes]]="",tblDowntime[[#This Row],[Loss rate]]=""),"",tblDowntime[[#This Row],[Minutes]]/60*tblDowntime[[#This Row],[Loss rate]]))</f>
        <v>870.833333333333</v>
      </c>
      <c r="M129" s="33">
        <v>620</v>
      </c>
      <c r="N129" s="39">
        <f>IF(tblDowntime[[#This Row],[Date]]="","",IF(tblDowntime[[#This Row],[Production loss]]="","",tblDowntime[[#This Row],[Production loss]]+N(tblDowntime[[#This Row],[Repair cost]])))</f>
        <v>1490.83333333333</v>
      </c>
      <c r="O129" s="40">
        <f>IF(tblDowntime[[#This Row],[Date]]="","",tblDowntime[[#This Row],[Date]]-WEEKDAY(tblDowntime[[#This Row],[Date]],2)+1)</f>
        <v>46293</v>
      </c>
      <c r="P129" s="40">
        <f>IF(tblDowntime[[#This Row],[Date]]="","",IF(AND(tblDowntime[[#This Row],[Date]]&gt;=FFrom,tblDowntime[[#This Row],[Date]]&lt;=FTo,OR(DashMachine="",tblDowntime[[#This Row],[Machine]]=DashMachine)),tblDowntime[[#This Row],[Date]],""))</f>
        <v>46293</v>
      </c>
      <c r="Q12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29" s="42" t="s">
        <v>140</v>
      </c>
    </row>
    <row r="130" spans="2:18" x14ac:dyDescent="0.25">
      <c r="B130" s="35">
        <v>46293</v>
      </c>
      <c r="C130" s="28" t="s">
        <v>95</v>
      </c>
      <c r="D130" s="28" t="s">
        <v>85</v>
      </c>
      <c r="E130" s="28" t="s">
        <v>122</v>
      </c>
      <c r="F130" s="36">
        <v>0.7083333333333334</v>
      </c>
      <c r="G130" s="36">
        <v>0.71875</v>
      </c>
      <c r="H130" s="37">
        <f>IF(tblDowntime[[#This Row],[Date]]="","",IF(OR(tblDowntime[[#This Row],[Start]]="",tblDowntime[[#This Row],[End]]=""),"",ROUND(MOD(tblDowntime[[#This Row],[End]]-tblDowntime[[#This Row],[Start]],1)*1440,0)))</f>
        <v>15</v>
      </c>
      <c r="I130" s="38" t="str">
        <f>IF(tblDowntime[[#This Row],[Date]]="","",IFERROR(INDEX(tblReasons[Type],MATCH(tblDowntime[[#This Row],[Reason]],tblReasons[Reason],0)),""))</f>
        <v>Unplanned</v>
      </c>
      <c r="J130" s="38" t="str">
        <f>IF(tblDowntime[[#This Row],[Date]]="","",IFERROR(INDEX(tblReasons[Loss category],MATCH(tblDowntime[[#This Row],[Reason]],tblReasons[Reason],0)),""))</f>
        <v>Labour</v>
      </c>
      <c r="K130" s="37">
        <f>IF(tblDowntime[[#This Row],[Date]]="","",IFERROR(INDEX(tblMachines[Loss rate (per h)],MATCH(tblDowntime[[#This Row],[Machine]],tblMachines[Machine],0)),""))</f>
        <v>480</v>
      </c>
      <c r="L130" s="39">
        <f>IF(tblDowntime[[#This Row],[Date]]="","",IF(OR(tblDowntime[[#This Row],[Minutes]]="",tblDowntime[[#This Row],[Loss rate]]=""),"",tblDowntime[[#This Row],[Minutes]]/60*tblDowntime[[#This Row],[Loss rate]]))</f>
        <v>120</v>
      </c>
      <c r="M130" s="33">
        <v>0</v>
      </c>
      <c r="N130" s="39">
        <f>IF(tblDowntime[[#This Row],[Date]]="","",IF(tblDowntime[[#This Row],[Production loss]]="","",tblDowntime[[#This Row],[Production loss]]+N(tblDowntime[[#This Row],[Repair cost]])))</f>
        <v>120</v>
      </c>
      <c r="O130" s="40">
        <f>IF(tblDowntime[[#This Row],[Date]]="","",tblDowntime[[#This Row],[Date]]-WEEKDAY(tblDowntime[[#This Row],[Date]],2)+1)</f>
        <v>46293</v>
      </c>
      <c r="P130" s="40">
        <f>IF(tblDowntime[[#This Row],[Date]]="","",IF(AND(tblDowntime[[#This Row],[Date]]&gt;=FFrom,tblDowntime[[#This Row],[Date]]&lt;=FTo,OR(DashMachine="",tblDowntime[[#This Row],[Machine]]=DashMachine)),tblDowntime[[#This Row],[Date]],""))</f>
        <v>46293</v>
      </c>
      <c r="Q13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0" s="42" t="s">
        <v>140</v>
      </c>
    </row>
    <row r="131" spans="2:18" x14ac:dyDescent="0.25">
      <c r="B131" s="35">
        <v>46293</v>
      </c>
      <c r="C131" s="28" t="s">
        <v>95</v>
      </c>
      <c r="D131" s="28" t="s">
        <v>83</v>
      </c>
      <c r="E131" s="28" t="s">
        <v>113</v>
      </c>
      <c r="F131" s="36">
        <v>0.625</v>
      </c>
      <c r="G131" s="36">
        <v>0.6284722222222222</v>
      </c>
      <c r="H131" s="37">
        <f>IF(tblDowntime[[#This Row],[Date]]="","",IF(OR(tblDowntime[[#This Row],[Start]]="",tblDowntime[[#This Row],[End]]=""),"",ROUND(MOD(tblDowntime[[#This Row],[End]]-tblDowntime[[#This Row],[Start]],1)*1440,0)))</f>
        <v>5</v>
      </c>
      <c r="I131" s="38" t="str">
        <f>IF(tblDowntime[[#This Row],[Date]]="","",IFERROR(INDEX(tblReasons[Type],MATCH(tblDowntime[[#This Row],[Reason]],tblReasons[Reason],0)),""))</f>
        <v>Unplanned</v>
      </c>
      <c r="J131" s="38" t="str">
        <f>IF(tblDowntime[[#This Row],[Date]]="","",IFERROR(INDEX(tblReasons[Loss category],MATCH(tblDowntime[[#This Row],[Reason]],tblReasons[Reason],0)),""))</f>
        <v>Minor stop</v>
      </c>
      <c r="K131" s="37">
        <f>IF(tblDowntime[[#This Row],[Date]]="","",IFERROR(INDEX(tblMachines[Loss rate (per h)],MATCH(tblDowntime[[#This Row],[Machine]],tblMachines[Machine],0)),""))</f>
        <v>620</v>
      </c>
      <c r="L131" s="39">
        <f>IF(tblDowntime[[#This Row],[Date]]="","",IF(OR(tblDowntime[[#This Row],[Minutes]]="",tblDowntime[[#This Row],[Loss rate]]=""),"",tblDowntime[[#This Row],[Minutes]]/60*tblDowntime[[#This Row],[Loss rate]]))</f>
        <v>51.6666666666667</v>
      </c>
      <c r="M131" s="33">
        <v>0</v>
      </c>
      <c r="N131" s="39">
        <f>IF(tblDowntime[[#This Row],[Date]]="","",IF(tblDowntime[[#This Row],[Production loss]]="","",tblDowntime[[#This Row],[Production loss]]+N(tblDowntime[[#This Row],[Repair cost]])))</f>
        <v>51.6666666666667</v>
      </c>
      <c r="O131" s="40">
        <f>IF(tblDowntime[[#This Row],[Date]]="","",tblDowntime[[#This Row],[Date]]-WEEKDAY(tblDowntime[[#This Row],[Date]],2)+1)</f>
        <v>46293</v>
      </c>
      <c r="P131" s="40">
        <f>IF(tblDowntime[[#This Row],[Date]]="","",IF(AND(tblDowntime[[#This Row],[Date]]&gt;=FFrom,tblDowntime[[#This Row],[Date]]&lt;=FTo,OR(DashMachine="",tblDowntime[[#This Row],[Machine]]=DashMachine)),tblDowntime[[#This Row],[Date]],""))</f>
        <v>46293</v>
      </c>
      <c r="Q13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1" s="42" t="s">
        <v>140</v>
      </c>
    </row>
    <row r="132" spans="2:18" x14ac:dyDescent="0.25">
      <c r="B132" s="35">
        <v>46293</v>
      </c>
      <c r="C132" s="28" t="s">
        <v>95</v>
      </c>
      <c r="D132" s="28" t="s">
        <v>81</v>
      </c>
      <c r="E132" s="28" t="s">
        <v>105</v>
      </c>
      <c r="F132" s="36">
        <v>0.6111111111111112</v>
      </c>
      <c r="G132" s="36">
        <v>0.6701388888888888</v>
      </c>
      <c r="H132" s="37">
        <f>IF(tblDowntime[[#This Row],[Date]]="","",IF(OR(tblDowntime[[#This Row],[Start]]="",tblDowntime[[#This Row],[End]]=""),"",ROUND(MOD(tblDowntime[[#This Row],[End]]-tblDowntime[[#This Row],[Start]],1)*1440,0)))</f>
        <v>85</v>
      </c>
      <c r="I132" s="38" t="str">
        <f>IF(tblDowntime[[#This Row],[Date]]="","",IFERROR(INDEX(tblReasons[Type],MATCH(tblDowntime[[#This Row],[Reason]],tblReasons[Reason],0)),""))</f>
        <v>Unplanned</v>
      </c>
      <c r="J132" s="38" t="str">
        <f>IF(tblDowntime[[#This Row],[Date]]="","",IFERROR(INDEX(tblReasons[Loss category],MATCH(tblDowntime[[#This Row],[Reason]],tblReasons[Reason],0)),""))</f>
        <v>Breakdown</v>
      </c>
      <c r="K132" s="37">
        <f>IF(tblDowntime[[#This Row],[Date]]="","",IFERROR(INDEX(tblMachines[Loss rate (per h)],MATCH(tblDowntime[[#This Row],[Machine]],tblMachines[Machine],0)),""))</f>
        <v>950</v>
      </c>
      <c r="L132" s="39">
        <f>IF(tblDowntime[[#This Row],[Date]]="","",IF(OR(tblDowntime[[#This Row],[Minutes]]="",tblDowntime[[#This Row],[Loss rate]]=""),"",tblDowntime[[#This Row],[Minutes]]/60*tblDowntime[[#This Row],[Loss rate]]))</f>
        <v>1345.83333333333</v>
      </c>
      <c r="M132" s="33">
        <v>970</v>
      </c>
      <c r="N132" s="39">
        <f>IF(tblDowntime[[#This Row],[Date]]="","",IF(tblDowntime[[#This Row],[Production loss]]="","",tblDowntime[[#This Row],[Production loss]]+N(tblDowntime[[#This Row],[Repair cost]])))</f>
        <v>2315.83333333333</v>
      </c>
      <c r="O132" s="40">
        <f>IF(tblDowntime[[#This Row],[Date]]="","",tblDowntime[[#This Row],[Date]]-WEEKDAY(tblDowntime[[#This Row],[Date]],2)+1)</f>
        <v>46293</v>
      </c>
      <c r="P132" s="40">
        <f>IF(tblDowntime[[#This Row],[Date]]="","",IF(AND(tblDowntime[[#This Row],[Date]]&gt;=FFrom,tblDowntime[[#This Row],[Date]]&lt;=FTo,OR(DashMachine="",tblDowntime[[#This Row],[Machine]]=DashMachine)),tblDowntime[[#This Row],[Date]],""))</f>
        <v>46293</v>
      </c>
      <c r="Q13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2" s="42" t="s">
        <v>140</v>
      </c>
    </row>
    <row r="133" spans="2:18" x14ac:dyDescent="0.25">
      <c r="B133" s="35">
        <v>46294</v>
      </c>
      <c r="C133" s="28" t="s">
        <v>92</v>
      </c>
      <c r="D133" s="28" t="s">
        <v>85</v>
      </c>
      <c r="E133" s="28" t="s">
        <v>119</v>
      </c>
      <c r="F133" s="36">
        <v>0.4027777777777778</v>
      </c>
      <c r="G133" s="36">
        <v>0.4131944444444444</v>
      </c>
      <c r="H133" s="37">
        <f>IF(tblDowntime[[#This Row],[Date]]="","",IF(OR(tblDowntime[[#This Row],[Start]]="",tblDowntime[[#This Row],[End]]=""),"",ROUND(MOD(tblDowntime[[#This Row],[End]]-tblDowntime[[#This Row],[Start]],1)*1440,0)))</f>
        <v>15</v>
      </c>
      <c r="I133" s="38" t="str">
        <f>IF(tblDowntime[[#This Row],[Date]]="","",IFERROR(INDEX(tblReasons[Type],MATCH(tblDowntime[[#This Row],[Reason]],tblReasons[Reason],0)),""))</f>
        <v>Unplanned</v>
      </c>
      <c r="J133" s="38" t="str">
        <f>IF(tblDowntime[[#This Row],[Date]]="","",IFERROR(INDEX(tblReasons[Loss category],MATCH(tblDowntime[[#This Row],[Reason]],tblReasons[Reason],0)),""))</f>
        <v>Quality</v>
      </c>
      <c r="K133" s="37">
        <f>IF(tblDowntime[[#This Row],[Date]]="","",IFERROR(INDEX(tblMachines[Loss rate (per h)],MATCH(tblDowntime[[#This Row],[Machine]],tblMachines[Machine],0)),""))</f>
        <v>480</v>
      </c>
      <c r="L133" s="39">
        <f>IF(tblDowntime[[#This Row],[Date]]="","",IF(OR(tblDowntime[[#This Row],[Minutes]]="",tblDowntime[[#This Row],[Loss rate]]=""),"",tblDowntime[[#This Row],[Minutes]]/60*tblDowntime[[#This Row],[Loss rate]]))</f>
        <v>120</v>
      </c>
      <c r="M133" s="33">
        <v>0</v>
      </c>
      <c r="N133" s="39">
        <f>IF(tblDowntime[[#This Row],[Date]]="","",IF(tblDowntime[[#This Row],[Production loss]]="","",tblDowntime[[#This Row],[Production loss]]+N(tblDowntime[[#This Row],[Repair cost]])))</f>
        <v>120</v>
      </c>
      <c r="O133" s="40">
        <f>IF(tblDowntime[[#This Row],[Date]]="","",tblDowntime[[#This Row],[Date]]-WEEKDAY(tblDowntime[[#This Row],[Date]],2)+1)</f>
        <v>46293</v>
      </c>
      <c r="P133" s="40">
        <f>IF(tblDowntime[[#This Row],[Date]]="","",IF(AND(tblDowntime[[#This Row],[Date]]&gt;=FFrom,tblDowntime[[#This Row],[Date]]&lt;=FTo,OR(DashMachine="",tblDowntime[[#This Row],[Machine]]=DashMachine)),tblDowntime[[#This Row],[Date]],""))</f>
        <v>46294</v>
      </c>
      <c r="Q13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3" s="42" t="s">
        <v>140</v>
      </c>
    </row>
    <row r="134" spans="2:18" x14ac:dyDescent="0.25">
      <c r="B134" s="35">
        <v>46294</v>
      </c>
      <c r="C134" s="28" t="s">
        <v>92</v>
      </c>
      <c r="D134" s="28" t="s">
        <v>81</v>
      </c>
      <c r="E134" s="28" t="s">
        <v>98</v>
      </c>
      <c r="F134" s="36">
        <v>0.3194444444444444</v>
      </c>
      <c r="G134" s="36">
        <v>0.3506944444444444</v>
      </c>
      <c r="H134" s="37">
        <f>IF(tblDowntime[[#This Row],[Date]]="","",IF(OR(tblDowntime[[#This Row],[Start]]="",tblDowntime[[#This Row],[End]]=""),"",ROUND(MOD(tblDowntime[[#This Row],[End]]-tblDowntime[[#This Row],[Start]],1)*1440,0)))</f>
        <v>45</v>
      </c>
      <c r="I134" s="38" t="str">
        <f>IF(tblDowntime[[#This Row],[Date]]="","",IFERROR(INDEX(tblReasons[Type],MATCH(tblDowntime[[#This Row],[Reason]],tblReasons[Reason],0)),""))</f>
        <v>Planned</v>
      </c>
      <c r="J134" s="38" t="str">
        <f>IF(tblDowntime[[#This Row],[Date]]="","",IFERROR(INDEX(tblReasons[Loss category],MATCH(tblDowntime[[#This Row],[Reason]],tblReasons[Reason],0)),""))</f>
        <v>Changeover</v>
      </c>
      <c r="K134" s="37">
        <f>IF(tblDowntime[[#This Row],[Date]]="","",IFERROR(INDEX(tblMachines[Loss rate (per h)],MATCH(tblDowntime[[#This Row],[Machine]],tblMachines[Machine],0)),""))</f>
        <v>950</v>
      </c>
      <c r="L134" s="39">
        <f>IF(tblDowntime[[#This Row],[Date]]="","",IF(OR(tblDowntime[[#This Row],[Minutes]]="",tblDowntime[[#This Row],[Loss rate]]=""),"",tblDowntime[[#This Row],[Minutes]]/60*tblDowntime[[#This Row],[Loss rate]]))</f>
        <v>712.5</v>
      </c>
      <c r="M134" s="33">
        <v>0</v>
      </c>
      <c r="N134" s="39">
        <f>IF(tblDowntime[[#This Row],[Date]]="","",IF(tblDowntime[[#This Row],[Production loss]]="","",tblDowntime[[#This Row],[Production loss]]+N(tblDowntime[[#This Row],[Repair cost]])))</f>
        <v>712.5</v>
      </c>
      <c r="O134" s="40">
        <f>IF(tblDowntime[[#This Row],[Date]]="","",tblDowntime[[#This Row],[Date]]-WEEKDAY(tblDowntime[[#This Row],[Date]],2)+1)</f>
        <v>46293</v>
      </c>
      <c r="P134" s="40">
        <f>IF(tblDowntime[[#This Row],[Date]]="","",IF(AND(tblDowntime[[#This Row],[Date]]&gt;=FFrom,tblDowntime[[#This Row],[Date]]&lt;=FTo,OR(DashMachine="",tblDowntime[[#This Row],[Machine]]=DashMachine)),tblDowntime[[#This Row],[Date]],""))</f>
        <v>46294</v>
      </c>
      <c r="Q13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4" s="42" t="s">
        <v>139</v>
      </c>
    </row>
    <row r="135" spans="2:18" x14ac:dyDescent="0.25">
      <c r="B135" s="35">
        <v>46294</v>
      </c>
      <c r="C135" s="28" t="s">
        <v>92</v>
      </c>
      <c r="D135" s="28" t="s">
        <v>81</v>
      </c>
      <c r="E135" s="28" t="s">
        <v>119</v>
      </c>
      <c r="F135" s="36">
        <v>0.3784722222222222</v>
      </c>
      <c r="G135" s="36">
        <v>0.3993055555555556</v>
      </c>
      <c r="H135" s="37">
        <f>IF(tblDowntime[[#This Row],[Date]]="","",IF(OR(tblDowntime[[#This Row],[Start]]="",tblDowntime[[#This Row],[End]]=""),"",ROUND(MOD(tblDowntime[[#This Row],[End]]-tblDowntime[[#This Row],[Start]],1)*1440,0)))</f>
        <v>30</v>
      </c>
      <c r="I135" s="38" t="str">
        <f>IF(tblDowntime[[#This Row],[Date]]="","",IFERROR(INDEX(tblReasons[Type],MATCH(tblDowntime[[#This Row],[Reason]],tblReasons[Reason],0)),""))</f>
        <v>Unplanned</v>
      </c>
      <c r="J135" s="38" t="str">
        <f>IF(tblDowntime[[#This Row],[Date]]="","",IFERROR(INDEX(tblReasons[Loss category],MATCH(tblDowntime[[#This Row],[Reason]],tblReasons[Reason],0)),""))</f>
        <v>Quality</v>
      </c>
      <c r="K135" s="37">
        <f>IF(tblDowntime[[#This Row],[Date]]="","",IFERROR(INDEX(tblMachines[Loss rate (per h)],MATCH(tblDowntime[[#This Row],[Machine]],tblMachines[Machine],0)),""))</f>
        <v>950</v>
      </c>
      <c r="L135" s="39">
        <f>IF(tblDowntime[[#This Row],[Date]]="","",IF(OR(tblDowntime[[#This Row],[Minutes]]="",tblDowntime[[#This Row],[Loss rate]]=""),"",tblDowntime[[#This Row],[Minutes]]/60*tblDowntime[[#This Row],[Loss rate]]))</f>
        <v>475</v>
      </c>
      <c r="M135" s="33">
        <v>0</v>
      </c>
      <c r="N135" s="39">
        <f>IF(tblDowntime[[#This Row],[Date]]="","",IF(tblDowntime[[#This Row],[Production loss]]="","",tblDowntime[[#This Row],[Production loss]]+N(tblDowntime[[#This Row],[Repair cost]])))</f>
        <v>475</v>
      </c>
      <c r="O135" s="40">
        <f>IF(tblDowntime[[#This Row],[Date]]="","",tblDowntime[[#This Row],[Date]]-WEEKDAY(tblDowntime[[#This Row],[Date]],2)+1)</f>
        <v>46293</v>
      </c>
      <c r="P135" s="40">
        <f>IF(tblDowntime[[#This Row],[Date]]="","",IF(AND(tblDowntime[[#This Row],[Date]]&gt;=FFrom,tblDowntime[[#This Row],[Date]]&lt;=FTo,OR(DashMachine="",tblDowntime[[#This Row],[Machine]]=DashMachine)),tblDowntime[[#This Row],[Date]],""))</f>
        <v>46294</v>
      </c>
      <c r="Q13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5" s="42" t="s">
        <v>140</v>
      </c>
    </row>
    <row r="136" spans="2:18" x14ac:dyDescent="0.25">
      <c r="B136" s="35">
        <v>46294</v>
      </c>
      <c r="C136" s="28" t="s">
        <v>92</v>
      </c>
      <c r="D136" s="28" t="s">
        <v>89</v>
      </c>
      <c r="E136" s="28" t="s">
        <v>111</v>
      </c>
      <c r="F136" s="36">
        <v>0.3333333333333333</v>
      </c>
      <c r="G136" s="36">
        <v>0.34375</v>
      </c>
      <c r="H136" s="37">
        <f>IF(tblDowntime[[#This Row],[Date]]="","",IF(OR(tblDowntime[[#This Row],[Start]]="",tblDowntime[[#This Row],[End]]=""),"",ROUND(MOD(tblDowntime[[#This Row],[End]]-tblDowntime[[#This Row],[Start]],1)*1440,0)))</f>
        <v>15</v>
      </c>
      <c r="I136" s="38" t="str">
        <f>IF(tblDowntime[[#This Row],[Date]]="","",IFERROR(INDEX(tblReasons[Type],MATCH(tblDowntime[[#This Row],[Reason]],tblReasons[Reason],0)),""))</f>
        <v>Unplanned</v>
      </c>
      <c r="J136" s="38" t="str">
        <f>IF(tblDowntime[[#This Row],[Date]]="","",IFERROR(INDEX(tblReasons[Loss category],MATCH(tblDowntime[[#This Row],[Reason]],tblReasons[Reason],0)),""))</f>
        <v>Breakdown</v>
      </c>
      <c r="K136" s="37">
        <f>IF(tblDowntime[[#This Row],[Date]]="","",IFERROR(INDEX(tblMachines[Loss rate (per h)],MATCH(tblDowntime[[#This Row],[Machine]],tblMachines[Machine],0)),""))</f>
        <v>540</v>
      </c>
      <c r="L136" s="39">
        <f>IF(tblDowntime[[#This Row],[Date]]="","",IF(OR(tblDowntime[[#This Row],[Minutes]]="",tblDowntime[[#This Row],[Loss rate]]=""),"",tblDowntime[[#This Row],[Minutes]]/60*tblDowntime[[#This Row],[Loss rate]]))</f>
        <v>135</v>
      </c>
      <c r="M136" s="33">
        <v>340</v>
      </c>
      <c r="N136" s="39">
        <f>IF(tblDowntime[[#This Row],[Date]]="","",IF(tblDowntime[[#This Row],[Production loss]]="","",tblDowntime[[#This Row],[Production loss]]+N(tblDowntime[[#This Row],[Repair cost]])))</f>
        <v>475</v>
      </c>
      <c r="O136" s="40">
        <f>IF(tblDowntime[[#This Row],[Date]]="","",tblDowntime[[#This Row],[Date]]-WEEKDAY(tblDowntime[[#This Row],[Date]],2)+1)</f>
        <v>46293</v>
      </c>
      <c r="P136" s="40">
        <f>IF(tblDowntime[[#This Row],[Date]]="","",IF(AND(tblDowntime[[#This Row],[Date]]&gt;=FFrom,tblDowntime[[#This Row],[Date]]&lt;=FTo,OR(DashMachine="",tblDowntime[[#This Row],[Machine]]=DashMachine)),tblDowntime[[#This Row],[Date]],""))</f>
        <v>46294</v>
      </c>
      <c r="Q13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6" s="42" t="s">
        <v>140</v>
      </c>
    </row>
    <row r="137" spans="2:18" x14ac:dyDescent="0.25">
      <c r="B137" s="35">
        <v>46294</v>
      </c>
      <c r="C137" s="28" t="s">
        <v>95</v>
      </c>
      <c r="D137" s="28" t="s">
        <v>87</v>
      </c>
      <c r="E137" s="28" t="s">
        <v>116</v>
      </c>
      <c r="F137" s="36">
        <v>0.75</v>
      </c>
      <c r="G137" s="36">
        <v>0.7708333333333334</v>
      </c>
      <c r="H137" s="37">
        <f>IF(tblDowntime[[#This Row],[Date]]="","",IF(OR(tblDowntime[[#This Row],[Start]]="",tblDowntime[[#This Row],[End]]=""),"",ROUND(MOD(tblDowntime[[#This Row],[End]]-tblDowntime[[#This Row],[Start]],1)*1440,0)))</f>
        <v>30</v>
      </c>
      <c r="I137" s="38" t="str">
        <f>IF(tblDowntime[[#This Row],[Date]]="","",IFERROR(INDEX(tblReasons[Type],MATCH(tblDowntime[[#This Row],[Reason]],tblReasons[Reason],0)),""))</f>
        <v>Unplanned</v>
      </c>
      <c r="J137" s="38" t="str">
        <f>IF(tblDowntime[[#This Row],[Date]]="","",IFERROR(INDEX(tblReasons[Loss category],MATCH(tblDowntime[[#This Row],[Reason]],tblReasons[Reason],0)),""))</f>
        <v>Material</v>
      </c>
      <c r="K137" s="37">
        <f>IF(tblDowntime[[#This Row],[Date]]="","",IFERROR(INDEX(tblMachines[Loss rate (per h)],MATCH(tblDowntime[[#This Row],[Machine]],tblMachines[Machine],0)),""))</f>
        <v>260</v>
      </c>
      <c r="L137" s="39">
        <f>IF(tblDowntime[[#This Row],[Date]]="","",IF(OR(tblDowntime[[#This Row],[Minutes]]="",tblDowntime[[#This Row],[Loss rate]]=""),"",tblDowntime[[#This Row],[Minutes]]/60*tblDowntime[[#This Row],[Loss rate]]))</f>
        <v>130</v>
      </c>
      <c r="M137" s="33">
        <v>0</v>
      </c>
      <c r="N137" s="39">
        <f>IF(tblDowntime[[#This Row],[Date]]="","",IF(tblDowntime[[#This Row],[Production loss]]="","",tblDowntime[[#This Row],[Production loss]]+N(tblDowntime[[#This Row],[Repair cost]])))</f>
        <v>130</v>
      </c>
      <c r="O137" s="40">
        <f>IF(tblDowntime[[#This Row],[Date]]="","",tblDowntime[[#This Row],[Date]]-WEEKDAY(tblDowntime[[#This Row],[Date]],2)+1)</f>
        <v>46293</v>
      </c>
      <c r="P137" s="40">
        <f>IF(tblDowntime[[#This Row],[Date]]="","",IF(AND(tblDowntime[[#This Row],[Date]]&gt;=FFrom,tblDowntime[[#This Row],[Date]]&lt;=FTo,OR(DashMachine="",tblDowntime[[#This Row],[Machine]]=DashMachine)),tblDowntime[[#This Row],[Date]],""))</f>
        <v>46294</v>
      </c>
      <c r="Q13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7" s="42" t="s">
        <v>140</v>
      </c>
    </row>
    <row r="138" spans="2:18" x14ac:dyDescent="0.25">
      <c r="B138" s="35">
        <v>46294</v>
      </c>
      <c r="C138" s="28" t="s">
        <v>95</v>
      </c>
      <c r="D138" s="28" t="s">
        <v>83</v>
      </c>
      <c r="E138" s="28" t="s">
        <v>125</v>
      </c>
      <c r="F138" s="36">
        <v>0.6944444444444444</v>
      </c>
      <c r="G138" s="36">
        <v>0.7083333333333334</v>
      </c>
      <c r="H138" s="37">
        <f>IF(tblDowntime[[#This Row],[Date]]="","",IF(OR(tblDowntime[[#This Row],[Start]]="",tblDowntime[[#This Row],[End]]=""),"",ROUND(MOD(tblDowntime[[#This Row],[End]]-tblDowntime[[#This Row],[Start]],1)*1440,0)))</f>
        <v>20</v>
      </c>
      <c r="I138" s="38" t="str">
        <f>IF(tblDowntime[[#This Row],[Date]]="","",IFERROR(INDEX(tblReasons[Type],MATCH(tblDowntime[[#This Row],[Reason]],tblReasons[Reason],0)),""))</f>
        <v>Unplanned</v>
      </c>
      <c r="J138" s="38" t="str">
        <f>IF(tblDowntime[[#This Row],[Date]]="","",IFERROR(INDEX(tblReasons[Loss category],MATCH(tblDowntime[[#This Row],[Reason]],tblReasons[Reason],0)),""))</f>
        <v>Other</v>
      </c>
      <c r="K138" s="37">
        <f>IF(tblDowntime[[#This Row],[Date]]="","",IFERROR(INDEX(tblMachines[Loss rate (per h)],MATCH(tblDowntime[[#This Row],[Machine]],tblMachines[Machine],0)),""))</f>
        <v>620</v>
      </c>
      <c r="L138" s="39">
        <f>IF(tblDowntime[[#This Row],[Date]]="","",IF(OR(tblDowntime[[#This Row],[Minutes]]="",tblDowntime[[#This Row],[Loss rate]]=""),"",tblDowntime[[#This Row],[Minutes]]/60*tblDowntime[[#This Row],[Loss rate]]))</f>
        <v>206.666666666667</v>
      </c>
      <c r="M138" s="33">
        <v>0</v>
      </c>
      <c r="N138" s="39">
        <f>IF(tblDowntime[[#This Row],[Date]]="","",IF(tblDowntime[[#This Row],[Production loss]]="","",tblDowntime[[#This Row],[Production loss]]+N(tblDowntime[[#This Row],[Repair cost]])))</f>
        <v>206.666666666667</v>
      </c>
      <c r="O138" s="40">
        <f>IF(tblDowntime[[#This Row],[Date]]="","",tblDowntime[[#This Row],[Date]]-WEEKDAY(tblDowntime[[#This Row],[Date]],2)+1)</f>
        <v>46293</v>
      </c>
      <c r="P138" s="40">
        <f>IF(tblDowntime[[#This Row],[Date]]="","",IF(AND(tblDowntime[[#This Row],[Date]]&gt;=FFrom,tblDowntime[[#This Row],[Date]]&lt;=FTo,OR(DashMachine="",tblDowntime[[#This Row],[Machine]]=DashMachine)),tblDowntime[[#This Row],[Date]],""))</f>
        <v>46294</v>
      </c>
      <c r="Q13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8" s="42" t="s">
        <v>140</v>
      </c>
    </row>
    <row r="139" spans="2:18" x14ac:dyDescent="0.25">
      <c r="B139" s="35">
        <v>46295</v>
      </c>
      <c r="C139" s="28" t="s">
        <v>92</v>
      </c>
      <c r="D139" s="28" t="s">
        <v>85</v>
      </c>
      <c r="E139" s="28" t="s">
        <v>109</v>
      </c>
      <c r="F139" s="36">
        <v>0.3333333333333333</v>
      </c>
      <c r="G139" s="36">
        <v>0.3645833333333333</v>
      </c>
      <c r="H139" s="37">
        <f>IF(tblDowntime[[#This Row],[Date]]="","",IF(OR(tblDowntime[[#This Row],[Start]]="",tblDowntime[[#This Row],[End]]=""),"",ROUND(MOD(tblDowntime[[#This Row],[End]]-tblDowntime[[#This Row],[Start]],1)*1440,0)))</f>
        <v>45</v>
      </c>
      <c r="I139" s="38" t="str">
        <f>IF(tblDowntime[[#This Row],[Date]]="","",IFERROR(INDEX(tblReasons[Type],MATCH(tblDowntime[[#This Row],[Reason]],tblReasons[Reason],0)),""))</f>
        <v>Unplanned</v>
      </c>
      <c r="J139" s="38" t="str">
        <f>IF(tblDowntime[[#This Row],[Date]]="","",IFERROR(INDEX(tblReasons[Loss category],MATCH(tblDowntime[[#This Row],[Reason]],tblReasons[Reason],0)),""))</f>
        <v>Breakdown</v>
      </c>
      <c r="K139" s="37">
        <f>IF(tblDowntime[[#This Row],[Date]]="","",IFERROR(INDEX(tblMachines[Loss rate (per h)],MATCH(tblDowntime[[#This Row],[Machine]],tblMachines[Machine],0)),""))</f>
        <v>480</v>
      </c>
      <c r="L139" s="39">
        <f>IF(tblDowntime[[#This Row],[Date]]="","",IF(OR(tblDowntime[[#This Row],[Minutes]]="",tblDowntime[[#This Row],[Loss rate]]=""),"",tblDowntime[[#This Row],[Minutes]]/60*tblDowntime[[#This Row],[Loss rate]]))</f>
        <v>360</v>
      </c>
      <c r="M139" s="33">
        <v>590</v>
      </c>
      <c r="N139" s="39">
        <f>IF(tblDowntime[[#This Row],[Date]]="","",IF(tblDowntime[[#This Row],[Production loss]]="","",tblDowntime[[#This Row],[Production loss]]+N(tblDowntime[[#This Row],[Repair cost]])))</f>
        <v>950</v>
      </c>
      <c r="O139" s="40">
        <f>IF(tblDowntime[[#This Row],[Date]]="","",tblDowntime[[#This Row],[Date]]-WEEKDAY(tblDowntime[[#This Row],[Date]],2)+1)</f>
        <v>46293</v>
      </c>
      <c r="P139" s="40">
        <f>IF(tblDowntime[[#This Row],[Date]]="","",IF(AND(tblDowntime[[#This Row],[Date]]&gt;=FFrom,tblDowntime[[#This Row],[Date]]&lt;=FTo,OR(DashMachine="",tblDowntime[[#This Row],[Machine]]=DashMachine)),tblDowntime[[#This Row],[Date]],""))</f>
        <v>46295</v>
      </c>
      <c r="Q13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39" s="42" t="s">
        <v>140</v>
      </c>
    </row>
    <row r="140" spans="2:18" x14ac:dyDescent="0.25">
      <c r="B140" s="35">
        <v>46295</v>
      </c>
      <c r="C140" s="28" t="s">
        <v>92</v>
      </c>
      <c r="D140" s="28" t="s">
        <v>83</v>
      </c>
      <c r="E140" s="28" t="s">
        <v>116</v>
      </c>
      <c r="F140" s="36">
        <v>0.3611111111111111</v>
      </c>
      <c r="G140" s="36">
        <v>0.3819444444444444</v>
      </c>
      <c r="H140" s="37">
        <f>IF(tblDowntime[[#This Row],[Date]]="","",IF(OR(tblDowntime[[#This Row],[Start]]="",tblDowntime[[#This Row],[End]]=""),"",ROUND(MOD(tblDowntime[[#This Row],[End]]-tblDowntime[[#This Row],[Start]],1)*1440,0)))</f>
        <v>30</v>
      </c>
      <c r="I140" s="38" t="str">
        <f>IF(tblDowntime[[#This Row],[Date]]="","",IFERROR(INDEX(tblReasons[Type],MATCH(tblDowntime[[#This Row],[Reason]],tblReasons[Reason],0)),""))</f>
        <v>Unplanned</v>
      </c>
      <c r="J140" s="38" t="str">
        <f>IF(tblDowntime[[#This Row],[Date]]="","",IFERROR(INDEX(tblReasons[Loss category],MATCH(tblDowntime[[#This Row],[Reason]],tblReasons[Reason],0)),""))</f>
        <v>Material</v>
      </c>
      <c r="K140" s="37">
        <f>IF(tblDowntime[[#This Row],[Date]]="","",IFERROR(INDEX(tblMachines[Loss rate (per h)],MATCH(tblDowntime[[#This Row],[Machine]],tblMachines[Machine],0)),""))</f>
        <v>620</v>
      </c>
      <c r="L140" s="39">
        <f>IF(tblDowntime[[#This Row],[Date]]="","",IF(OR(tblDowntime[[#This Row],[Minutes]]="",tblDowntime[[#This Row],[Loss rate]]=""),"",tblDowntime[[#This Row],[Minutes]]/60*tblDowntime[[#This Row],[Loss rate]]))</f>
        <v>310</v>
      </c>
      <c r="M140" s="33">
        <v>0</v>
      </c>
      <c r="N140" s="39">
        <f>IF(tblDowntime[[#This Row],[Date]]="","",IF(tblDowntime[[#This Row],[Production loss]]="","",tblDowntime[[#This Row],[Production loss]]+N(tblDowntime[[#This Row],[Repair cost]])))</f>
        <v>310</v>
      </c>
      <c r="O140" s="40">
        <f>IF(tblDowntime[[#This Row],[Date]]="","",tblDowntime[[#This Row],[Date]]-WEEKDAY(tblDowntime[[#This Row],[Date]],2)+1)</f>
        <v>46293</v>
      </c>
      <c r="P140" s="40">
        <f>IF(tblDowntime[[#This Row],[Date]]="","",IF(AND(tblDowntime[[#This Row],[Date]]&gt;=FFrom,tblDowntime[[#This Row],[Date]]&lt;=FTo,OR(DashMachine="",tblDowntime[[#This Row],[Machine]]=DashMachine)),tblDowntime[[#This Row],[Date]],""))</f>
        <v>46295</v>
      </c>
      <c r="Q14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0" s="42" t="s">
        <v>140</v>
      </c>
    </row>
    <row r="141" spans="2:18" x14ac:dyDescent="0.25">
      <c r="B141" s="35">
        <v>46295</v>
      </c>
      <c r="C141" s="28" t="s">
        <v>92</v>
      </c>
      <c r="D141" s="28" t="s">
        <v>81</v>
      </c>
      <c r="E141" s="28" t="s">
        <v>98</v>
      </c>
      <c r="F141" s="36">
        <v>0.375</v>
      </c>
      <c r="G141" s="36">
        <v>0.3993055555555556</v>
      </c>
      <c r="H141" s="37">
        <f>IF(tblDowntime[[#This Row],[Date]]="","",IF(OR(tblDowntime[[#This Row],[Start]]="",tblDowntime[[#This Row],[End]]=""),"",ROUND(MOD(tblDowntime[[#This Row],[End]]-tblDowntime[[#This Row],[Start]],1)*1440,0)))</f>
        <v>35</v>
      </c>
      <c r="I141" s="38" t="str">
        <f>IF(tblDowntime[[#This Row],[Date]]="","",IFERROR(INDEX(tblReasons[Type],MATCH(tblDowntime[[#This Row],[Reason]],tblReasons[Reason],0)),""))</f>
        <v>Planned</v>
      </c>
      <c r="J141" s="38" t="str">
        <f>IF(tblDowntime[[#This Row],[Date]]="","",IFERROR(INDEX(tblReasons[Loss category],MATCH(tblDowntime[[#This Row],[Reason]],tblReasons[Reason],0)),""))</f>
        <v>Changeover</v>
      </c>
      <c r="K141" s="37">
        <f>IF(tblDowntime[[#This Row],[Date]]="","",IFERROR(INDEX(tblMachines[Loss rate (per h)],MATCH(tblDowntime[[#This Row],[Machine]],tblMachines[Machine],0)),""))</f>
        <v>950</v>
      </c>
      <c r="L141" s="39">
        <f>IF(tblDowntime[[#This Row],[Date]]="","",IF(OR(tblDowntime[[#This Row],[Minutes]]="",tblDowntime[[#This Row],[Loss rate]]=""),"",tblDowntime[[#This Row],[Minutes]]/60*tblDowntime[[#This Row],[Loss rate]]))</f>
        <v>554.166666666667</v>
      </c>
      <c r="M141" s="33">
        <v>0</v>
      </c>
      <c r="N141" s="39">
        <f>IF(tblDowntime[[#This Row],[Date]]="","",IF(tblDowntime[[#This Row],[Production loss]]="","",tblDowntime[[#This Row],[Production loss]]+N(tblDowntime[[#This Row],[Repair cost]])))</f>
        <v>554.166666666667</v>
      </c>
      <c r="O141" s="40">
        <f>IF(tblDowntime[[#This Row],[Date]]="","",tblDowntime[[#This Row],[Date]]-WEEKDAY(tblDowntime[[#This Row],[Date]],2)+1)</f>
        <v>46293</v>
      </c>
      <c r="P141" s="40">
        <f>IF(tblDowntime[[#This Row],[Date]]="","",IF(AND(tblDowntime[[#This Row],[Date]]&gt;=FFrom,tblDowntime[[#This Row],[Date]]&lt;=FTo,OR(DashMachine="",tblDowntime[[#This Row],[Machine]]=DashMachine)),tblDowntime[[#This Row],[Date]],""))</f>
        <v>46295</v>
      </c>
      <c r="Q14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1" s="42" t="s">
        <v>139</v>
      </c>
    </row>
    <row r="142" spans="2:18" x14ac:dyDescent="0.25">
      <c r="B142" s="35">
        <v>46295</v>
      </c>
      <c r="C142" s="28" t="s">
        <v>92</v>
      </c>
      <c r="D142" s="28" t="s">
        <v>81</v>
      </c>
      <c r="E142" s="28" t="s">
        <v>119</v>
      </c>
      <c r="F142" s="36">
        <v>0.4548611111111111</v>
      </c>
      <c r="G142" s="36">
        <v>0.4722222222222222</v>
      </c>
      <c r="H142" s="37">
        <f>IF(tblDowntime[[#This Row],[Date]]="","",IF(OR(tblDowntime[[#This Row],[Start]]="",tblDowntime[[#This Row],[End]]=""),"",ROUND(MOD(tblDowntime[[#This Row],[End]]-tblDowntime[[#This Row],[Start]],1)*1440,0)))</f>
        <v>25</v>
      </c>
      <c r="I142" s="38" t="str">
        <f>IF(tblDowntime[[#This Row],[Date]]="","",IFERROR(INDEX(tblReasons[Type],MATCH(tblDowntime[[#This Row],[Reason]],tblReasons[Reason],0)),""))</f>
        <v>Unplanned</v>
      </c>
      <c r="J142" s="38" t="str">
        <f>IF(tblDowntime[[#This Row],[Date]]="","",IFERROR(INDEX(tblReasons[Loss category],MATCH(tblDowntime[[#This Row],[Reason]],tblReasons[Reason],0)),""))</f>
        <v>Quality</v>
      </c>
      <c r="K142" s="37">
        <f>IF(tblDowntime[[#This Row],[Date]]="","",IFERROR(INDEX(tblMachines[Loss rate (per h)],MATCH(tblDowntime[[#This Row],[Machine]],tblMachines[Machine],0)),""))</f>
        <v>950</v>
      </c>
      <c r="L142" s="39">
        <f>IF(tblDowntime[[#This Row],[Date]]="","",IF(OR(tblDowntime[[#This Row],[Minutes]]="",tblDowntime[[#This Row],[Loss rate]]=""),"",tblDowntime[[#This Row],[Minutes]]/60*tblDowntime[[#This Row],[Loss rate]]))</f>
        <v>395.833333333333</v>
      </c>
      <c r="M142" s="33">
        <v>0</v>
      </c>
      <c r="N142" s="39">
        <f>IF(tblDowntime[[#This Row],[Date]]="","",IF(tblDowntime[[#This Row],[Production loss]]="","",tblDowntime[[#This Row],[Production loss]]+N(tblDowntime[[#This Row],[Repair cost]])))</f>
        <v>395.833333333333</v>
      </c>
      <c r="O142" s="40">
        <f>IF(tblDowntime[[#This Row],[Date]]="","",tblDowntime[[#This Row],[Date]]-WEEKDAY(tblDowntime[[#This Row],[Date]],2)+1)</f>
        <v>46293</v>
      </c>
      <c r="P142" s="40">
        <f>IF(tblDowntime[[#This Row],[Date]]="","",IF(AND(tblDowntime[[#This Row],[Date]]&gt;=FFrom,tblDowntime[[#This Row],[Date]]&lt;=FTo,OR(DashMachine="",tblDowntime[[#This Row],[Machine]]=DashMachine)),tblDowntime[[#This Row],[Date]],""))</f>
        <v>46295</v>
      </c>
      <c r="Q14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2" s="42" t="s">
        <v>140</v>
      </c>
    </row>
    <row r="143" spans="2:18" x14ac:dyDescent="0.25">
      <c r="B143" s="35">
        <v>46295</v>
      </c>
      <c r="C143" s="28" t="s">
        <v>92</v>
      </c>
      <c r="D143" s="28" t="s">
        <v>89</v>
      </c>
      <c r="E143" s="28" t="s">
        <v>102</v>
      </c>
      <c r="F143" s="36">
        <v>0.375</v>
      </c>
      <c r="G143" s="36">
        <v>0.3958333333333333</v>
      </c>
      <c r="H143" s="37">
        <f>IF(tblDowntime[[#This Row],[Date]]="","",IF(OR(tblDowntime[[#This Row],[Start]]="",tblDowntime[[#This Row],[End]]=""),"",ROUND(MOD(tblDowntime[[#This Row],[End]]-tblDowntime[[#This Row],[Start]],1)*1440,0)))</f>
        <v>30</v>
      </c>
      <c r="I143" s="38" t="str">
        <f>IF(tblDowntime[[#This Row],[Date]]="","",IFERROR(INDEX(tblReasons[Type],MATCH(tblDowntime[[#This Row],[Reason]],tblReasons[Reason],0)),""))</f>
        <v>Planned</v>
      </c>
      <c r="J143" s="38" t="str">
        <f>IF(tblDowntime[[#This Row],[Date]]="","",IFERROR(INDEX(tblReasons[Loss category],MATCH(tblDowntime[[#This Row],[Reason]],tblReasons[Reason],0)),""))</f>
        <v>Maintenance</v>
      </c>
      <c r="K143" s="37">
        <f>IF(tblDowntime[[#This Row],[Date]]="","",IFERROR(INDEX(tblMachines[Loss rate (per h)],MATCH(tblDowntime[[#This Row],[Machine]],tblMachines[Machine],0)),""))</f>
        <v>540</v>
      </c>
      <c r="L143" s="39">
        <f>IF(tblDowntime[[#This Row],[Date]]="","",IF(OR(tblDowntime[[#This Row],[Minutes]]="",tblDowntime[[#This Row],[Loss rate]]=""),"",tblDowntime[[#This Row],[Minutes]]/60*tblDowntime[[#This Row],[Loss rate]]))</f>
        <v>270</v>
      </c>
      <c r="M143" s="33">
        <v>0</v>
      </c>
      <c r="N143" s="39">
        <f>IF(tblDowntime[[#This Row],[Date]]="","",IF(tblDowntime[[#This Row],[Production loss]]="","",tblDowntime[[#This Row],[Production loss]]+N(tblDowntime[[#This Row],[Repair cost]])))</f>
        <v>270</v>
      </c>
      <c r="O143" s="40">
        <f>IF(tblDowntime[[#This Row],[Date]]="","",tblDowntime[[#This Row],[Date]]-WEEKDAY(tblDowntime[[#This Row],[Date]],2)+1)</f>
        <v>46293</v>
      </c>
      <c r="P143" s="40">
        <f>IF(tblDowntime[[#This Row],[Date]]="","",IF(AND(tblDowntime[[#This Row],[Date]]&gt;=FFrom,tblDowntime[[#This Row],[Date]]&lt;=FTo,OR(DashMachine="",tblDowntime[[#This Row],[Machine]]=DashMachine)),tblDowntime[[#This Row],[Date]],""))</f>
        <v>46295</v>
      </c>
      <c r="Q14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3" s="42" t="s">
        <v>140</v>
      </c>
    </row>
    <row r="144" spans="2:18" x14ac:dyDescent="0.25">
      <c r="B144" s="35">
        <v>46295</v>
      </c>
      <c r="C144" s="28" t="s">
        <v>95</v>
      </c>
      <c r="D144" s="28" t="s">
        <v>83</v>
      </c>
      <c r="E144" s="28" t="s">
        <v>113</v>
      </c>
      <c r="F144" s="36">
        <v>0.6944444444444444</v>
      </c>
      <c r="G144" s="36">
        <v>0.7013888888888888</v>
      </c>
      <c r="H144" s="37">
        <f>IF(tblDowntime[[#This Row],[Date]]="","",IF(OR(tblDowntime[[#This Row],[Start]]="",tblDowntime[[#This Row],[End]]=""),"",ROUND(MOD(tblDowntime[[#This Row],[End]]-tblDowntime[[#This Row],[Start]],1)*1440,0)))</f>
        <v>10</v>
      </c>
      <c r="I144" s="38" t="str">
        <f>IF(tblDowntime[[#This Row],[Date]]="","",IFERROR(INDEX(tblReasons[Type],MATCH(tblDowntime[[#This Row],[Reason]],tblReasons[Reason],0)),""))</f>
        <v>Unplanned</v>
      </c>
      <c r="J144" s="38" t="str">
        <f>IF(tblDowntime[[#This Row],[Date]]="","",IFERROR(INDEX(tblReasons[Loss category],MATCH(tblDowntime[[#This Row],[Reason]],tblReasons[Reason],0)),""))</f>
        <v>Minor stop</v>
      </c>
      <c r="K144" s="37">
        <f>IF(tblDowntime[[#This Row],[Date]]="","",IFERROR(INDEX(tblMachines[Loss rate (per h)],MATCH(tblDowntime[[#This Row],[Machine]],tblMachines[Machine],0)),""))</f>
        <v>620</v>
      </c>
      <c r="L144" s="39">
        <f>IF(tblDowntime[[#This Row],[Date]]="","",IF(OR(tblDowntime[[#This Row],[Minutes]]="",tblDowntime[[#This Row],[Loss rate]]=""),"",tblDowntime[[#This Row],[Minutes]]/60*tblDowntime[[#This Row],[Loss rate]]))</f>
        <v>103.333333333333</v>
      </c>
      <c r="M144" s="33">
        <v>0</v>
      </c>
      <c r="N144" s="39">
        <f>IF(tblDowntime[[#This Row],[Date]]="","",IF(tblDowntime[[#This Row],[Production loss]]="","",tblDowntime[[#This Row],[Production loss]]+N(tblDowntime[[#This Row],[Repair cost]])))</f>
        <v>103.333333333333</v>
      </c>
      <c r="O144" s="40">
        <f>IF(tblDowntime[[#This Row],[Date]]="","",tblDowntime[[#This Row],[Date]]-WEEKDAY(tblDowntime[[#This Row],[Date]],2)+1)</f>
        <v>46293</v>
      </c>
      <c r="P144" s="40">
        <f>IF(tblDowntime[[#This Row],[Date]]="","",IF(AND(tblDowntime[[#This Row],[Date]]&gt;=FFrom,tblDowntime[[#This Row],[Date]]&lt;=FTo,OR(DashMachine="",tblDowntime[[#This Row],[Machine]]=DashMachine)),tblDowntime[[#This Row],[Date]],""))</f>
        <v>46295</v>
      </c>
      <c r="Q14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4" s="42" t="s">
        <v>140</v>
      </c>
    </row>
    <row r="145" spans="2:18" x14ac:dyDescent="0.25">
      <c r="B145" s="35">
        <v>46295</v>
      </c>
      <c r="C145" s="28" t="s">
        <v>95</v>
      </c>
      <c r="D145" s="28" t="s">
        <v>81</v>
      </c>
      <c r="E145" s="28" t="s">
        <v>105</v>
      </c>
      <c r="F145" s="36">
        <v>0.625</v>
      </c>
      <c r="G145" s="36">
        <v>0.7013888888888888</v>
      </c>
      <c r="H145" s="37">
        <f>IF(tblDowntime[[#This Row],[Date]]="","",IF(OR(tblDowntime[[#This Row],[Start]]="",tblDowntime[[#This Row],[End]]=""),"",ROUND(MOD(tblDowntime[[#This Row],[End]]-tblDowntime[[#This Row],[Start]],1)*1440,0)))</f>
        <v>110</v>
      </c>
      <c r="I145" s="38" t="str">
        <f>IF(tblDowntime[[#This Row],[Date]]="","",IFERROR(INDEX(tblReasons[Type],MATCH(tblDowntime[[#This Row],[Reason]],tblReasons[Reason],0)),""))</f>
        <v>Unplanned</v>
      </c>
      <c r="J145" s="38" t="str">
        <f>IF(tblDowntime[[#This Row],[Date]]="","",IFERROR(INDEX(tblReasons[Loss category],MATCH(tblDowntime[[#This Row],[Reason]],tblReasons[Reason],0)),""))</f>
        <v>Breakdown</v>
      </c>
      <c r="K145" s="37">
        <f>IF(tblDowntime[[#This Row],[Date]]="","",IFERROR(INDEX(tblMachines[Loss rate (per h)],MATCH(tblDowntime[[#This Row],[Machine]],tblMachines[Machine],0)),""))</f>
        <v>950</v>
      </c>
      <c r="L145" s="39">
        <f>IF(tblDowntime[[#This Row],[Date]]="","",IF(OR(tblDowntime[[#This Row],[Minutes]]="",tblDowntime[[#This Row],[Loss rate]]=""),"",tblDowntime[[#This Row],[Minutes]]/60*tblDowntime[[#This Row],[Loss rate]]))</f>
        <v>1741.66666666667</v>
      </c>
      <c r="M145" s="33">
        <v>330</v>
      </c>
      <c r="N145" s="39">
        <f>IF(tblDowntime[[#This Row],[Date]]="","",IF(tblDowntime[[#This Row],[Production loss]]="","",tblDowntime[[#This Row],[Production loss]]+N(tblDowntime[[#This Row],[Repair cost]])))</f>
        <v>2071.66666666667</v>
      </c>
      <c r="O145" s="40">
        <f>IF(tblDowntime[[#This Row],[Date]]="","",tblDowntime[[#This Row],[Date]]-WEEKDAY(tblDowntime[[#This Row],[Date]],2)+1)</f>
        <v>46293</v>
      </c>
      <c r="P145" s="40">
        <f>IF(tblDowntime[[#This Row],[Date]]="","",IF(AND(tblDowntime[[#This Row],[Date]]&gt;=FFrom,tblDowntime[[#This Row],[Date]]&lt;=FTo,OR(DashMachine="",tblDowntime[[#This Row],[Machine]]=DashMachine)),tblDowntime[[#This Row],[Date]],""))</f>
        <v>46295</v>
      </c>
      <c r="Q14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5" s="42" t="s">
        <v>140</v>
      </c>
    </row>
    <row r="146" spans="2:18" x14ac:dyDescent="0.25">
      <c r="B146" s="35">
        <v>46296</v>
      </c>
      <c r="C146" s="28" t="s">
        <v>92</v>
      </c>
      <c r="D146" s="28" t="s">
        <v>83</v>
      </c>
      <c r="E146" s="28" t="s">
        <v>98</v>
      </c>
      <c r="F146" s="36">
        <v>0.3194444444444444</v>
      </c>
      <c r="G146" s="36">
        <v>0.3402777777777778</v>
      </c>
      <c r="H146" s="37">
        <f>IF(tblDowntime[[#This Row],[Date]]="","",IF(OR(tblDowntime[[#This Row],[Start]]="",tblDowntime[[#This Row],[End]]=""),"",ROUND(MOD(tblDowntime[[#This Row],[End]]-tblDowntime[[#This Row],[Start]],1)*1440,0)))</f>
        <v>30</v>
      </c>
      <c r="I146" s="38" t="str">
        <f>IF(tblDowntime[[#This Row],[Date]]="","",IFERROR(INDEX(tblReasons[Type],MATCH(tblDowntime[[#This Row],[Reason]],tblReasons[Reason],0)),""))</f>
        <v>Planned</v>
      </c>
      <c r="J146" s="38" t="str">
        <f>IF(tblDowntime[[#This Row],[Date]]="","",IFERROR(INDEX(tblReasons[Loss category],MATCH(tblDowntime[[#This Row],[Reason]],tblReasons[Reason],0)),""))</f>
        <v>Changeover</v>
      </c>
      <c r="K146" s="37">
        <f>IF(tblDowntime[[#This Row],[Date]]="","",IFERROR(INDEX(tblMachines[Loss rate (per h)],MATCH(tblDowntime[[#This Row],[Machine]],tblMachines[Machine],0)),""))</f>
        <v>620</v>
      </c>
      <c r="L146" s="39">
        <f>IF(tblDowntime[[#This Row],[Date]]="","",IF(OR(tblDowntime[[#This Row],[Minutes]]="",tblDowntime[[#This Row],[Loss rate]]=""),"",tblDowntime[[#This Row],[Minutes]]/60*tblDowntime[[#This Row],[Loss rate]]))</f>
        <v>310</v>
      </c>
      <c r="M146" s="33">
        <v>0</v>
      </c>
      <c r="N146" s="39">
        <f>IF(tblDowntime[[#This Row],[Date]]="","",IF(tblDowntime[[#This Row],[Production loss]]="","",tblDowntime[[#This Row],[Production loss]]+N(tblDowntime[[#This Row],[Repair cost]])))</f>
        <v>310</v>
      </c>
      <c r="O146" s="40">
        <f>IF(tblDowntime[[#This Row],[Date]]="","",tblDowntime[[#This Row],[Date]]-WEEKDAY(tblDowntime[[#This Row],[Date]],2)+1)</f>
        <v>46293</v>
      </c>
      <c r="P146" s="40">
        <f>IF(tblDowntime[[#This Row],[Date]]="","",IF(AND(tblDowntime[[#This Row],[Date]]&gt;=FFrom,tblDowntime[[#This Row],[Date]]&lt;=FTo,OR(DashMachine="",tblDowntime[[#This Row],[Machine]]=DashMachine)),tblDowntime[[#This Row],[Date]],""))</f>
        <v>46296</v>
      </c>
      <c r="Q14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6" s="42" t="s">
        <v>139</v>
      </c>
    </row>
    <row r="147" spans="2:18" x14ac:dyDescent="0.25">
      <c r="B147" s="35">
        <v>46296</v>
      </c>
      <c r="C147" s="28" t="s">
        <v>95</v>
      </c>
      <c r="D147" s="28" t="s">
        <v>89</v>
      </c>
      <c r="E147" s="28" t="s">
        <v>122</v>
      </c>
      <c r="F147" s="36">
        <v>0.75</v>
      </c>
      <c r="G147" s="36">
        <v>0.7673611111111112</v>
      </c>
      <c r="H147" s="37">
        <f>IF(tblDowntime[[#This Row],[Date]]="","",IF(OR(tblDowntime[[#This Row],[Start]]="",tblDowntime[[#This Row],[End]]=""),"",ROUND(MOD(tblDowntime[[#This Row],[End]]-tblDowntime[[#This Row],[Start]],1)*1440,0)))</f>
        <v>25</v>
      </c>
      <c r="I147" s="38" t="str">
        <f>IF(tblDowntime[[#This Row],[Date]]="","",IFERROR(INDEX(tblReasons[Type],MATCH(tblDowntime[[#This Row],[Reason]],tblReasons[Reason],0)),""))</f>
        <v>Unplanned</v>
      </c>
      <c r="J147" s="38" t="str">
        <f>IF(tblDowntime[[#This Row],[Date]]="","",IFERROR(INDEX(tblReasons[Loss category],MATCH(tblDowntime[[#This Row],[Reason]],tblReasons[Reason],0)),""))</f>
        <v>Labour</v>
      </c>
      <c r="K147" s="37">
        <f>IF(tblDowntime[[#This Row],[Date]]="","",IFERROR(INDEX(tblMachines[Loss rate (per h)],MATCH(tblDowntime[[#This Row],[Machine]],tblMachines[Machine],0)),""))</f>
        <v>540</v>
      </c>
      <c r="L147" s="39">
        <f>IF(tblDowntime[[#This Row],[Date]]="","",IF(OR(tblDowntime[[#This Row],[Minutes]]="",tblDowntime[[#This Row],[Loss rate]]=""),"",tblDowntime[[#This Row],[Minutes]]/60*tblDowntime[[#This Row],[Loss rate]]))</f>
        <v>225</v>
      </c>
      <c r="M147" s="33">
        <v>0</v>
      </c>
      <c r="N147" s="39">
        <f>IF(tblDowntime[[#This Row],[Date]]="","",IF(tblDowntime[[#This Row],[Production loss]]="","",tblDowntime[[#This Row],[Production loss]]+N(tblDowntime[[#This Row],[Repair cost]])))</f>
        <v>225</v>
      </c>
      <c r="O147" s="40">
        <f>IF(tblDowntime[[#This Row],[Date]]="","",tblDowntime[[#This Row],[Date]]-WEEKDAY(tblDowntime[[#This Row],[Date]],2)+1)</f>
        <v>46293</v>
      </c>
      <c r="P147" s="40">
        <f>IF(tblDowntime[[#This Row],[Date]]="","",IF(AND(tblDowntime[[#This Row],[Date]]&gt;=FFrom,tblDowntime[[#This Row],[Date]]&lt;=FTo,OR(DashMachine="",tblDowntime[[#This Row],[Machine]]=DashMachine)),tblDowntime[[#This Row],[Date]],""))</f>
        <v>46296</v>
      </c>
      <c r="Q14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7" s="42" t="s">
        <v>140</v>
      </c>
    </row>
    <row r="148" spans="2:18" x14ac:dyDescent="0.25">
      <c r="B148" s="35">
        <v>46297</v>
      </c>
      <c r="C148" s="28" t="s">
        <v>92</v>
      </c>
      <c r="D148" s="28" t="s">
        <v>85</v>
      </c>
      <c r="E148" s="28" t="s">
        <v>122</v>
      </c>
      <c r="F148" s="36">
        <v>0.375</v>
      </c>
      <c r="G148" s="36">
        <v>0.3784722222222222</v>
      </c>
      <c r="H148" s="37">
        <f>IF(tblDowntime[[#This Row],[Date]]="","",IF(OR(tblDowntime[[#This Row],[Start]]="",tblDowntime[[#This Row],[End]]=""),"",ROUND(MOD(tblDowntime[[#This Row],[End]]-tblDowntime[[#This Row],[Start]],1)*1440,0)))</f>
        <v>5</v>
      </c>
      <c r="I148" s="38" t="str">
        <f>IF(tblDowntime[[#This Row],[Date]]="","",IFERROR(INDEX(tblReasons[Type],MATCH(tblDowntime[[#This Row],[Reason]],tblReasons[Reason],0)),""))</f>
        <v>Unplanned</v>
      </c>
      <c r="J148" s="38" t="str">
        <f>IF(tblDowntime[[#This Row],[Date]]="","",IFERROR(INDEX(tblReasons[Loss category],MATCH(tblDowntime[[#This Row],[Reason]],tblReasons[Reason],0)),""))</f>
        <v>Labour</v>
      </c>
      <c r="K148" s="37">
        <f>IF(tblDowntime[[#This Row],[Date]]="","",IFERROR(INDEX(tblMachines[Loss rate (per h)],MATCH(tblDowntime[[#This Row],[Machine]],tblMachines[Machine],0)),""))</f>
        <v>480</v>
      </c>
      <c r="L148" s="39">
        <f>IF(tblDowntime[[#This Row],[Date]]="","",IF(OR(tblDowntime[[#This Row],[Minutes]]="",tblDowntime[[#This Row],[Loss rate]]=""),"",tblDowntime[[#This Row],[Minutes]]/60*tblDowntime[[#This Row],[Loss rate]]))</f>
        <v>40</v>
      </c>
      <c r="M148" s="33">
        <v>0</v>
      </c>
      <c r="N148" s="39">
        <f>IF(tblDowntime[[#This Row],[Date]]="","",IF(tblDowntime[[#This Row],[Production loss]]="","",tblDowntime[[#This Row],[Production loss]]+N(tblDowntime[[#This Row],[Repair cost]])))</f>
        <v>40</v>
      </c>
      <c r="O148" s="40">
        <f>IF(tblDowntime[[#This Row],[Date]]="","",tblDowntime[[#This Row],[Date]]-WEEKDAY(tblDowntime[[#This Row],[Date]],2)+1)</f>
        <v>46293</v>
      </c>
      <c r="P148" s="40">
        <f>IF(tblDowntime[[#This Row],[Date]]="","",IF(AND(tblDowntime[[#This Row],[Date]]&gt;=FFrom,tblDowntime[[#This Row],[Date]]&lt;=FTo,OR(DashMachine="",tblDowntime[[#This Row],[Machine]]=DashMachine)),tblDowntime[[#This Row],[Date]],""))</f>
        <v>46297</v>
      </c>
      <c r="Q14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8" s="42" t="s">
        <v>140</v>
      </c>
    </row>
    <row r="149" spans="2:18" x14ac:dyDescent="0.25">
      <c r="B149" s="35">
        <v>46297</v>
      </c>
      <c r="C149" s="28" t="s">
        <v>92</v>
      </c>
      <c r="D149" s="28" t="s">
        <v>83</v>
      </c>
      <c r="E149" s="28" t="s">
        <v>105</v>
      </c>
      <c r="F149" s="36">
        <v>0.2916666666666667</v>
      </c>
      <c r="G149" s="36">
        <v>0.3402777777777778</v>
      </c>
      <c r="H149" s="37">
        <f>IF(tblDowntime[[#This Row],[Date]]="","",IF(OR(tblDowntime[[#This Row],[Start]]="",tblDowntime[[#This Row],[End]]=""),"",ROUND(MOD(tblDowntime[[#This Row],[End]]-tblDowntime[[#This Row],[Start]],1)*1440,0)))</f>
        <v>70</v>
      </c>
      <c r="I149" s="38" t="str">
        <f>IF(tblDowntime[[#This Row],[Date]]="","",IFERROR(INDEX(tblReasons[Type],MATCH(tblDowntime[[#This Row],[Reason]],tblReasons[Reason],0)),""))</f>
        <v>Unplanned</v>
      </c>
      <c r="J149" s="38" t="str">
        <f>IF(tblDowntime[[#This Row],[Date]]="","",IFERROR(INDEX(tblReasons[Loss category],MATCH(tblDowntime[[#This Row],[Reason]],tblReasons[Reason],0)),""))</f>
        <v>Breakdown</v>
      </c>
      <c r="K149" s="37">
        <f>IF(tblDowntime[[#This Row],[Date]]="","",IFERROR(INDEX(tblMachines[Loss rate (per h)],MATCH(tblDowntime[[#This Row],[Machine]],tblMachines[Machine],0)),""))</f>
        <v>620</v>
      </c>
      <c r="L149" s="39">
        <f>IF(tblDowntime[[#This Row],[Date]]="","",IF(OR(tblDowntime[[#This Row],[Minutes]]="",tblDowntime[[#This Row],[Loss rate]]=""),"",tblDowntime[[#This Row],[Minutes]]/60*tblDowntime[[#This Row],[Loss rate]]))</f>
        <v>723.333333333333</v>
      </c>
      <c r="M149" s="33">
        <v>200</v>
      </c>
      <c r="N149" s="39">
        <f>IF(tblDowntime[[#This Row],[Date]]="","",IF(tblDowntime[[#This Row],[Production loss]]="","",tblDowntime[[#This Row],[Production loss]]+N(tblDowntime[[#This Row],[Repair cost]])))</f>
        <v>923.333333333333</v>
      </c>
      <c r="O149" s="40">
        <f>IF(tblDowntime[[#This Row],[Date]]="","",tblDowntime[[#This Row],[Date]]-WEEKDAY(tblDowntime[[#This Row],[Date]],2)+1)</f>
        <v>46293</v>
      </c>
      <c r="P149" s="40">
        <f>IF(tblDowntime[[#This Row],[Date]]="","",IF(AND(tblDowntime[[#This Row],[Date]]&gt;=FFrom,tblDowntime[[#This Row],[Date]]&lt;=FTo,OR(DashMachine="",tblDowntime[[#This Row],[Machine]]=DashMachine)),tblDowntime[[#This Row],[Date]],""))</f>
        <v>46297</v>
      </c>
      <c r="Q14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49" s="42" t="s">
        <v>140</v>
      </c>
    </row>
    <row r="150" spans="2:18" x14ac:dyDescent="0.25">
      <c r="B150" s="35">
        <v>46297</v>
      </c>
      <c r="C150" s="28" t="s">
        <v>95</v>
      </c>
      <c r="D150" s="28" t="s">
        <v>81</v>
      </c>
      <c r="E150" s="28" t="s">
        <v>98</v>
      </c>
      <c r="F150" s="36">
        <v>0.6388888888888888</v>
      </c>
      <c r="G150" s="36">
        <v>0.6666666666666666</v>
      </c>
      <c r="H150" s="37">
        <f>IF(tblDowntime[[#This Row],[Date]]="","",IF(OR(tblDowntime[[#This Row],[Start]]="",tblDowntime[[#This Row],[End]]=""),"",ROUND(MOD(tblDowntime[[#This Row],[End]]-tblDowntime[[#This Row],[Start]],1)*1440,0)))</f>
        <v>40</v>
      </c>
      <c r="I150" s="38" t="str">
        <f>IF(tblDowntime[[#This Row],[Date]]="","",IFERROR(INDEX(tblReasons[Type],MATCH(tblDowntime[[#This Row],[Reason]],tblReasons[Reason],0)),""))</f>
        <v>Planned</v>
      </c>
      <c r="J150" s="38" t="str">
        <f>IF(tblDowntime[[#This Row],[Date]]="","",IFERROR(INDEX(tblReasons[Loss category],MATCH(tblDowntime[[#This Row],[Reason]],tblReasons[Reason],0)),""))</f>
        <v>Changeover</v>
      </c>
      <c r="K150" s="37">
        <f>IF(tblDowntime[[#This Row],[Date]]="","",IFERROR(INDEX(tblMachines[Loss rate (per h)],MATCH(tblDowntime[[#This Row],[Machine]],tblMachines[Machine],0)),""))</f>
        <v>950</v>
      </c>
      <c r="L150" s="39">
        <f>IF(tblDowntime[[#This Row],[Date]]="","",IF(OR(tblDowntime[[#This Row],[Minutes]]="",tblDowntime[[#This Row],[Loss rate]]=""),"",tblDowntime[[#This Row],[Minutes]]/60*tblDowntime[[#This Row],[Loss rate]]))</f>
        <v>633.333333333333</v>
      </c>
      <c r="M150" s="33">
        <v>0</v>
      </c>
      <c r="N150" s="39">
        <f>IF(tblDowntime[[#This Row],[Date]]="","",IF(tblDowntime[[#This Row],[Production loss]]="","",tblDowntime[[#This Row],[Production loss]]+N(tblDowntime[[#This Row],[Repair cost]])))</f>
        <v>633.333333333333</v>
      </c>
      <c r="O150" s="40">
        <f>IF(tblDowntime[[#This Row],[Date]]="","",tblDowntime[[#This Row],[Date]]-WEEKDAY(tblDowntime[[#This Row],[Date]],2)+1)</f>
        <v>46293</v>
      </c>
      <c r="P150" s="40">
        <f>IF(tblDowntime[[#This Row],[Date]]="","",IF(AND(tblDowntime[[#This Row],[Date]]&gt;=FFrom,tblDowntime[[#This Row],[Date]]&lt;=FTo,OR(DashMachine="",tblDowntime[[#This Row],[Machine]]=DashMachine)),tblDowntime[[#This Row],[Date]],""))</f>
        <v>46297</v>
      </c>
      <c r="Q15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0" s="42" t="s">
        <v>139</v>
      </c>
    </row>
    <row r="151" spans="2:18" x14ac:dyDescent="0.25">
      <c r="B151" s="35">
        <v>46297</v>
      </c>
      <c r="C151" s="28" t="s">
        <v>95</v>
      </c>
      <c r="D151" s="28" t="s">
        <v>81</v>
      </c>
      <c r="E151" s="28" t="s">
        <v>116</v>
      </c>
      <c r="F151" s="36">
        <v>0.7291666666666666</v>
      </c>
      <c r="G151" s="36">
        <v>0.7395833333333334</v>
      </c>
      <c r="H151" s="37">
        <f>IF(tblDowntime[[#This Row],[Date]]="","",IF(OR(tblDowntime[[#This Row],[Start]]="",tblDowntime[[#This Row],[End]]=""),"",ROUND(MOD(tblDowntime[[#This Row],[End]]-tblDowntime[[#This Row],[Start]],1)*1440,0)))</f>
        <v>15</v>
      </c>
      <c r="I151" s="38" t="str">
        <f>IF(tblDowntime[[#This Row],[Date]]="","",IFERROR(INDEX(tblReasons[Type],MATCH(tblDowntime[[#This Row],[Reason]],tblReasons[Reason],0)),""))</f>
        <v>Unplanned</v>
      </c>
      <c r="J151" s="38" t="str">
        <f>IF(tblDowntime[[#This Row],[Date]]="","",IFERROR(INDEX(tblReasons[Loss category],MATCH(tblDowntime[[#This Row],[Reason]],tblReasons[Reason],0)),""))</f>
        <v>Material</v>
      </c>
      <c r="K151" s="37">
        <f>IF(tblDowntime[[#This Row],[Date]]="","",IFERROR(INDEX(tblMachines[Loss rate (per h)],MATCH(tblDowntime[[#This Row],[Machine]],tblMachines[Machine],0)),""))</f>
        <v>950</v>
      </c>
      <c r="L151" s="39">
        <f>IF(tblDowntime[[#This Row],[Date]]="","",IF(OR(tblDowntime[[#This Row],[Minutes]]="",tblDowntime[[#This Row],[Loss rate]]=""),"",tblDowntime[[#This Row],[Minutes]]/60*tblDowntime[[#This Row],[Loss rate]]))</f>
        <v>237.5</v>
      </c>
      <c r="M151" s="33">
        <v>0</v>
      </c>
      <c r="N151" s="39">
        <f>IF(tblDowntime[[#This Row],[Date]]="","",IF(tblDowntime[[#This Row],[Production loss]]="","",tblDowntime[[#This Row],[Production loss]]+N(tblDowntime[[#This Row],[Repair cost]])))</f>
        <v>237.5</v>
      </c>
      <c r="O151" s="40">
        <f>IF(tblDowntime[[#This Row],[Date]]="","",tblDowntime[[#This Row],[Date]]-WEEKDAY(tblDowntime[[#This Row],[Date]],2)+1)</f>
        <v>46293</v>
      </c>
      <c r="P151" s="40">
        <f>IF(tblDowntime[[#This Row],[Date]]="","",IF(AND(tblDowntime[[#This Row],[Date]]&gt;=FFrom,tblDowntime[[#This Row],[Date]]&lt;=FTo,OR(DashMachine="",tblDowntime[[#This Row],[Machine]]=DashMachine)),tblDowntime[[#This Row],[Date]],""))</f>
        <v>46297</v>
      </c>
      <c r="Q15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1" s="42" t="s">
        <v>140</v>
      </c>
    </row>
    <row r="152" spans="2:18" x14ac:dyDescent="0.25">
      <c r="B152" s="35">
        <v>46300</v>
      </c>
      <c r="C152" s="28" t="s">
        <v>92</v>
      </c>
      <c r="D152" s="28" t="s">
        <v>83</v>
      </c>
      <c r="E152" s="28" t="s">
        <v>98</v>
      </c>
      <c r="F152" s="36">
        <v>0.375</v>
      </c>
      <c r="G152" s="36">
        <v>0.3923611111111111</v>
      </c>
      <c r="H152" s="37">
        <f>IF(tblDowntime[[#This Row],[Date]]="","",IF(OR(tblDowntime[[#This Row],[Start]]="",tblDowntime[[#This Row],[End]]=""),"",ROUND(MOD(tblDowntime[[#This Row],[End]]-tblDowntime[[#This Row],[Start]],1)*1440,0)))</f>
        <v>25</v>
      </c>
      <c r="I152" s="38" t="str">
        <f>IF(tblDowntime[[#This Row],[Date]]="","",IFERROR(INDEX(tblReasons[Type],MATCH(tblDowntime[[#This Row],[Reason]],tblReasons[Reason],0)),""))</f>
        <v>Planned</v>
      </c>
      <c r="J152" s="38" t="str">
        <f>IF(tblDowntime[[#This Row],[Date]]="","",IFERROR(INDEX(tblReasons[Loss category],MATCH(tblDowntime[[#This Row],[Reason]],tblReasons[Reason],0)),""))</f>
        <v>Changeover</v>
      </c>
      <c r="K152" s="37">
        <f>IF(tblDowntime[[#This Row],[Date]]="","",IFERROR(INDEX(tblMachines[Loss rate (per h)],MATCH(tblDowntime[[#This Row],[Machine]],tblMachines[Machine],0)),""))</f>
        <v>620</v>
      </c>
      <c r="L152" s="39">
        <f>IF(tblDowntime[[#This Row],[Date]]="","",IF(OR(tblDowntime[[#This Row],[Minutes]]="",tblDowntime[[#This Row],[Loss rate]]=""),"",tblDowntime[[#This Row],[Minutes]]/60*tblDowntime[[#This Row],[Loss rate]]))</f>
        <v>258.333333333333</v>
      </c>
      <c r="M152" s="33">
        <v>0</v>
      </c>
      <c r="N152" s="39">
        <f>IF(tblDowntime[[#This Row],[Date]]="","",IF(tblDowntime[[#This Row],[Production loss]]="","",tblDowntime[[#This Row],[Production loss]]+N(tblDowntime[[#This Row],[Repair cost]])))</f>
        <v>258.333333333333</v>
      </c>
      <c r="O152" s="40">
        <f>IF(tblDowntime[[#This Row],[Date]]="","",tblDowntime[[#This Row],[Date]]-WEEKDAY(tblDowntime[[#This Row],[Date]],2)+1)</f>
        <v>46300</v>
      </c>
      <c r="P152" s="40">
        <f>IF(tblDowntime[[#This Row],[Date]]="","",IF(AND(tblDowntime[[#This Row],[Date]]&gt;=FFrom,tblDowntime[[#This Row],[Date]]&lt;=FTo,OR(DashMachine="",tblDowntime[[#This Row],[Machine]]=DashMachine)),tblDowntime[[#This Row],[Date]],""))</f>
        <v>46300</v>
      </c>
      <c r="Q15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2" s="42" t="s">
        <v>139</v>
      </c>
    </row>
    <row r="153" spans="2:18" x14ac:dyDescent="0.25">
      <c r="B153" s="35">
        <v>46300</v>
      </c>
      <c r="C153" s="28" t="s">
        <v>95</v>
      </c>
      <c r="D153" s="28" t="s">
        <v>85</v>
      </c>
      <c r="E153" s="28" t="s">
        <v>116</v>
      </c>
      <c r="F153" s="36">
        <v>0.6666666666666666</v>
      </c>
      <c r="G153" s="36">
        <v>0.6770833333333334</v>
      </c>
      <c r="H153" s="37">
        <f>IF(tblDowntime[[#This Row],[Date]]="","",IF(OR(tblDowntime[[#This Row],[Start]]="",tblDowntime[[#This Row],[End]]=""),"",ROUND(MOD(tblDowntime[[#This Row],[End]]-tblDowntime[[#This Row],[Start]],1)*1440,0)))</f>
        <v>15</v>
      </c>
      <c r="I153" s="38" t="str">
        <f>IF(tblDowntime[[#This Row],[Date]]="","",IFERROR(INDEX(tblReasons[Type],MATCH(tblDowntime[[#This Row],[Reason]],tblReasons[Reason],0)),""))</f>
        <v>Unplanned</v>
      </c>
      <c r="J153" s="38" t="str">
        <f>IF(tblDowntime[[#This Row],[Date]]="","",IFERROR(INDEX(tblReasons[Loss category],MATCH(tblDowntime[[#This Row],[Reason]],tblReasons[Reason],0)),""))</f>
        <v>Material</v>
      </c>
      <c r="K153" s="37">
        <f>IF(tblDowntime[[#This Row],[Date]]="","",IFERROR(INDEX(tblMachines[Loss rate (per h)],MATCH(tblDowntime[[#This Row],[Machine]],tblMachines[Machine],0)),""))</f>
        <v>480</v>
      </c>
      <c r="L153" s="39">
        <f>IF(tblDowntime[[#This Row],[Date]]="","",IF(OR(tblDowntime[[#This Row],[Minutes]]="",tblDowntime[[#This Row],[Loss rate]]=""),"",tblDowntime[[#This Row],[Minutes]]/60*tblDowntime[[#This Row],[Loss rate]]))</f>
        <v>120</v>
      </c>
      <c r="M153" s="33">
        <v>0</v>
      </c>
      <c r="N153" s="39">
        <f>IF(tblDowntime[[#This Row],[Date]]="","",IF(tblDowntime[[#This Row],[Production loss]]="","",tblDowntime[[#This Row],[Production loss]]+N(tblDowntime[[#This Row],[Repair cost]])))</f>
        <v>120</v>
      </c>
      <c r="O153" s="40">
        <f>IF(tblDowntime[[#This Row],[Date]]="","",tblDowntime[[#This Row],[Date]]-WEEKDAY(tblDowntime[[#This Row],[Date]],2)+1)</f>
        <v>46300</v>
      </c>
      <c r="P153" s="40">
        <f>IF(tblDowntime[[#This Row],[Date]]="","",IF(AND(tblDowntime[[#This Row],[Date]]&gt;=FFrom,tblDowntime[[#This Row],[Date]]&lt;=FTo,OR(DashMachine="",tblDowntime[[#This Row],[Machine]]=DashMachine)),tblDowntime[[#This Row],[Date]],""))</f>
        <v>46300</v>
      </c>
      <c r="Q15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3" s="42" t="s">
        <v>140</v>
      </c>
    </row>
    <row r="154" spans="2:18" x14ac:dyDescent="0.25">
      <c r="B154" s="35">
        <v>46300</v>
      </c>
      <c r="C154" s="28" t="s">
        <v>95</v>
      </c>
      <c r="D154" s="28" t="s">
        <v>85</v>
      </c>
      <c r="E154" s="28" t="s">
        <v>111</v>
      </c>
      <c r="F154" s="36">
        <v>0.7256944444444444</v>
      </c>
      <c r="G154" s="36">
        <v>0.7465277777777778</v>
      </c>
      <c r="H154" s="37">
        <f>IF(tblDowntime[[#This Row],[Date]]="","",IF(OR(tblDowntime[[#This Row],[Start]]="",tblDowntime[[#This Row],[End]]=""),"",ROUND(MOD(tblDowntime[[#This Row],[End]]-tblDowntime[[#This Row],[Start]],1)*1440,0)))</f>
        <v>30</v>
      </c>
      <c r="I154" s="38" t="str">
        <f>IF(tblDowntime[[#This Row],[Date]]="","",IFERROR(INDEX(tblReasons[Type],MATCH(tblDowntime[[#This Row],[Reason]],tblReasons[Reason],0)),""))</f>
        <v>Unplanned</v>
      </c>
      <c r="J154" s="38" t="str">
        <f>IF(tblDowntime[[#This Row],[Date]]="","",IFERROR(INDEX(tblReasons[Loss category],MATCH(tblDowntime[[#This Row],[Reason]],tblReasons[Reason],0)),""))</f>
        <v>Breakdown</v>
      </c>
      <c r="K154" s="37">
        <f>IF(tblDowntime[[#This Row],[Date]]="","",IFERROR(INDEX(tblMachines[Loss rate (per h)],MATCH(tblDowntime[[#This Row],[Machine]],tblMachines[Machine],0)),""))</f>
        <v>480</v>
      </c>
      <c r="L154" s="39">
        <f>IF(tblDowntime[[#This Row],[Date]]="","",IF(OR(tblDowntime[[#This Row],[Minutes]]="",tblDowntime[[#This Row],[Loss rate]]=""),"",tblDowntime[[#This Row],[Minutes]]/60*tblDowntime[[#This Row],[Loss rate]]))</f>
        <v>240</v>
      </c>
      <c r="M154" s="33">
        <v>610</v>
      </c>
      <c r="N154" s="39">
        <f>IF(tblDowntime[[#This Row],[Date]]="","",IF(tblDowntime[[#This Row],[Production loss]]="","",tblDowntime[[#This Row],[Production loss]]+N(tblDowntime[[#This Row],[Repair cost]])))</f>
        <v>850</v>
      </c>
      <c r="O154" s="40">
        <f>IF(tblDowntime[[#This Row],[Date]]="","",tblDowntime[[#This Row],[Date]]-WEEKDAY(tblDowntime[[#This Row],[Date]],2)+1)</f>
        <v>46300</v>
      </c>
      <c r="P154" s="40">
        <f>IF(tblDowntime[[#This Row],[Date]]="","",IF(AND(tblDowntime[[#This Row],[Date]]&gt;=FFrom,tblDowntime[[#This Row],[Date]]&lt;=FTo,OR(DashMachine="",tblDowntime[[#This Row],[Machine]]=DashMachine)),tblDowntime[[#This Row],[Date]],""))</f>
        <v>46300</v>
      </c>
      <c r="Q15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4" s="42" t="s">
        <v>140</v>
      </c>
    </row>
    <row r="155" spans="2:18" x14ac:dyDescent="0.25">
      <c r="B155" s="35">
        <v>46300</v>
      </c>
      <c r="C155" s="28" t="s">
        <v>95</v>
      </c>
      <c r="D155" s="28" t="s">
        <v>83</v>
      </c>
      <c r="E155" s="28" t="s">
        <v>98</v>
      </c>
      <c r="F155" s="36">
        <v>0.75</v>
      </c>
      <c r="G155" s="36">
        <v>0.7708333333333334</v>
      </c>
      <c r="H155" s="37">
        <f>IF(tblDowntime[[#This Row],[Date]]="","",IF(OR(tblDowntime[[#This Row],[Start]]="",tblDowntime[[#This Row],[End]]=""),"",ROUND(MOD(tblDowntime[[#This Row],[End]]-tblDowntime[[#This Row],[Start]],1)*1440,0)))</f>
        <v>30</v>
      </c>
      <c r="I155" s="38" t="str">
        <f>IF(tblDowntime[[#This Row],[Date]]="","",IFERROR(INDEX(tblReasons[Type],MATCH(tblDowntime[[#This Row],[Reason]],tblReasons[Reason],0)),""))</f>
        <v>Planned</v>
      </c>
      <c r="J155" s="38" t="str">
        <f>IF(tblDowntime[[#This Row],[Date]]="","",IFERROR(INDEX(tblReasons[Loss category],MATCH(tblDowntime[[#This Row],[Reason]],tblReasons[Reason],0)),""))</f>
        <v>Changeover</v>
      </c>
      <c r="K155" s="37">
        <f>IF(tblDowntime[[#This Row],[Date]]="","",IFERROR(INDEX(tblMachines[Loss rate (per h)],MATCH(tblDowntime[[#This Row],[Machine]],tblMachines[Machine],0)),""))</f>
        <v>620</v>
      </c>
      <c r="L155" s="39">
        <f>IF(tblDowntime[[#This Row],[Date]]="","",IF(OR(tblDowntime[[#This Row],[Minutes]]="",tblDowntime[[#This Row],[Loss rate]]=""),"",tblDowntime[[#This Row],[Minutes]]/60*tblDowntime[[#This Row],[Loss rate]]))</f>
        <v>310</v>
      </c>
      <c r="M155" s="33">
        <v>0</v>
      </c>
      <c r="N155" s="39">
        <f>IF(tblDowntime[[#This Row],[Date]]="","",IF(tblDowntime[[#This Row],[Production loss]]="","",tblDowntime[[#This Row],[Production loss]]+N(tblDowntime[[#This Row],[Repair cost]])))</f>
        <v>310</v>
      </c>
      <c r="O155" s="40">
        <f>IF(tblDowntime[[#This Row],[Date]]="","",tblDowntime[[#This Row],[Date]]-WEEKDAY(tblDowntime[[#This Row],[Date]],2)+1)</f>
        <v>46300</v>
      </c>
      <c r="P155" s="40">
        <f>IF(tblDowntime[[#This Row],[Date]]="","",IF(AND(tblDowntime[[#This Row],[Date]]&gt;=FFrom,tblDowntime[[#This Row],[Date]]&lt;=FTo,OR(DashMachine="",tblDowntime[[#This Row],[Machine]]=DashMachine)),tblDowntime[[#This Row],[Date]],""))</f>
        <v>46300</v>
      </c>
      <c r="Q15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5" s="42" t="s">
        <v>139</v>
      </c>
    </row>
    <row r="156" spans="2:18" x14ac:dyDescent="0.25">
      <c r="B156" s="35">
        <v>46300</v>
      </c>
      <c r="C156" s="28" t="s">
        <v>95</v>
      </c>
      <c r="D156" s="28" t="s">
        <v>83</v>
      </c>
      <c r="E156" s="28" t="s">
        <v>122</v>
      </c>
      <c r="F156" s="36">
        <v>0.7916666666666666</v>
      </c>
      <c r="G156" s="36">
        <v>0.8020833333333334</v>
      </c>
      <c r="H156" s="37">
        <f>IF(tblDowntime[[#This Row],[Date]]="","",IF(OR(tblDowntime[[#This Row],[Start]]="",tblDowntime[[#This Row],[End]]=""),"",ROUND(MOD(tblDowntime[[#This Row],[End]]-tblDowntime[[#This Row],[Start]],1)*1440,0)))</f>
        <v>15</v>
      </c>
      <c r="I156" s="38" t="str">
        <f>IF(tblDowntime[[#This Row],[Date]]="","",IFERROR(INDEX(tblReasons[Type],MATCH(tblDowntime[[#This Row],[Reason]],tblReasons[Reason],0)),""))</f>
        <v>Unplanned</v>
      </c>
      <c r="J156" s="38" t="str">
        <f>IF(tblDowntime[[#This Row],[Date]]="","",IFERROR(INDEX(tblReasons[Loss category],MATCH(tblDowntime[[#This Row],[Reason]],tblReasons[Reason],0)),""))</f>
        <v>Labour</v>
      </c>
      <c r="K156" s="37">
        <f>IF(tblDowntime[[#This Row],[Date]]="","",IFERROR(INDEX(tblMachines[Loss rate (per h)],MATCH(tblDowntime[[#This Row],[Machine]],tblMachines[Machine],0)),""))</f>
        <v>620</v>
      </c>
      <c r="L156" s="39">
        <f>IF(tblDowntime[[#This Row],[Date]]="","",IF(OR(tblDowntime[[#This Row],[Minutes]]="",tblDowntime[[#This Row],[Loss rate]]=""),"",tblDowntime[[#This Row],[Minutes]]/60*tblDowntime[[#This Row],[Loss rate]]))</f>
        <v>155</v>
      </c>
      <c r="M156" s="33">
        <v>0</v>
      </c>
      <c r="N156" s="39">
        <f>IF(tblDowntime[[#This Row],[Date]]="","",IF(tblDowntime[[#This Row],[Production loss]]="","",tblDowntime[[#This Row],[Production loss]]+N(tblDowntime[[#This Row],[Repair cost]])))</f>
        <v>155</v>
      </c>
      <c r="O156" s="40">
        <f>IF(tblDowntime[[#This Row],[Date]]="","",tblDowntime[[#This Row],[Date]]-WEEKDAY(tblDowntime[[#This Row],[Date]],2)+1)</f>
        <v>46300</v>
      </c>
      <c r="P156" s="40">
        <f>IF(tblDowntime[[#This Row],[Date]]="","",IF(AND(tblDowntime[[#This Row],[Date]]&gt;=FFrom,tblDowntime[[#This Row],[Date]]&lt;=FTo,OR(DashMachine="",tblDowntime[[#This Row],[Machine]]=DashMachine)),tblDowntime[[#This Row],[Date]],""))</f>
        <v>46300</v>
      </c>
      <c r="Q15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6" s="42" t="s">
        <v>140</v>
      </c>
    </row>
    <row r="157" spans="2:18" x14ac:dyDescent="0.25">
      <c r="B157" s="35">
        <v>46300</v>
      </c>
      <c r="C157" s="28" t="s">
        <v>95</v>
      </c>
      <c r="D157" s="28" t="s">
        <v>81</v>
      </c>
      <c r="E157" s="28" t="s">
        <v>125</v>
      </c>
      <c r="F157" s="36">
        <v>0.7361111111111112</v>
      </c>
      <c r="G157" s="36">
        <v>0.7465277777777778</v>
      </c>
      <c r="H157" s="37">
        <f>IF(tblDowntime[[#This Row],[Date]]="","",IF(OR(tblDowntime[[#This Row],[Start]]="",tblDowntime[[#This Row],[End]]=""),"",ROUND(MOD(tblDowntime[[#This Row],[End]]-tblDowntime[[#This Row],[Start]],1)*1440,0)))</f>
        <v>15</v>
      </c>
      <c r="I157" s="38" t="str">
        <f>IF(tblDowntime[[#This Row],[Date]]="","",IFERROR(INDEX(tblReasons[Type],MATCH(tblDowntime[[#This Row],[Reason]],tblReasons[Reason],0)),""))</f>
        <v>Unplanned</v>
      </c>
      <c r="J157" s="38" t="str">
        <f>IF(tblDowntime[[#This Row],[Date]]="","",IFERROR(INDEX(tblReasons[Loss category],MATCH(tblDowntime[[#This Row],[Reason]],tblReasons[Reason],0)),""))</f>
        <v>Other</v>
      </c>
      <c r="K157" s="37">
        <f>IF(tblDowntime[[#This Row],[Date]]="","",IFERROR(INDEX(tblMachines[Loss rate (per h)],MATCH(tblDowntime[[#This Row],[Machine]],tblMachines[Machine],0)),""))</f>
        <v>950</v>
      </c>
      <c r="L157" s="39">
        <f>IF(tblDowntime[[#This Row],[Date]]="","",IF(OR(tblDowntime[[#This Row],[Minutes]]="",tblDowntime[[#This Row],[Loss rate]]=""),"",tblDowntime[[#This Row],[Minutes]]/60*tblDowntime[[#This Row],[Loss rate]]))</f>
        <v>237.5</v>
      </c>
      <c r="M157" s="33">
        <v>0</v>
      </c>
      <c r="N157" s="39">
        <f>IF(tblDowntime[[#This Row],[Date]]="","",IF(tblDowntime[[#This Row],[Production loss]]="","",tblDowntime[[#This Row],[Production loss]]+N(tblDowntime[[#This Row],[Repair cost]])))</f>
        <v>237.5</v>
      </c>
      <c r="O157" s="40">
        <f>IF(tblDowntime[[#This Row],[Date]]="","",tblDowntime[[#This Row],[Date]]-WEEKDAY(tblDowntime[[#This Row],[Date]],2)+1)</f>
        <v>46300</v>
      </c>
      <c r="P157" s="40">
        <f>IF(tblDowntime[[#This Row],[Date]]="","",IF(AND(tblDowntime[[#This Row],[Date]]&gt;=FFrom,tblDowntime[[#This Row],[Date]]&lt;=FTo,OR(DashMachine="",tblDowntime[[#This Row],[Machine]]=DashMachine)),tblDowntime[[#This Row],[Date]],""))</f>
        <v>46300</v>
      </c>
      <c r="Q15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7" s="42" t="s">
        <v>140</v>
      </c>
    </row>
    <row r="158" spans="2:18" x14ac:dyDescent="0.25">
      <c r="B158" s="35">
        <v>46301</v>
      </c>
      <c r="C158" s="28" t="s">
        <v>92</v>
      </c>
      <c r="D158" s="28" t="s">
        <v>85</v>
      </c>
      <c r="E158" s="28" t="s">
        <v>111</v>
      </c>
      <c r="F158" s="36">
        <v>0.2777777777777778</v>
      </c>
      <c r="G158" s="36">
        <v>0.2881944444444444</v>
      </c>
      <c r="H158" s="37">
        <f>IF(tblDowntime[[#This Row],[Date]]="","",IF(OR(tblDowntime[[#This Row],[Start]]="",tblDowntime[[#This Row],[End]]=""),"",ROUND(MOD(tblDowntime[[#This Row],[End]]-tblDowntime[[#This Row],[Start]],1)*1440,0)))</f>
        <v>15</v>
      </c>
      <c r="I158" s="38" t="str">
        <f>IF(tblDowntime[[#This Row],[Date]]="","",IFERROR(INDEX(tblReasons[Type],MATCH(tblDowntime[[#This Row],[Reason]],tblReasons[Reason],0)),""))</f>
        <v>Unplanned</v>
      </c>
      <c r="J158" s="38" t="str">
        <f>IF(tblDowntime[[#This Row],[Date]]="","",IFERROR(INDEX(tblReasons[Loss category],MATCH(tblDowntime[[#This Row],[Reason]],tblReasons[Reason],0)),""))</f>
        <v>Breakdown</v>
      </c>
      <c r="K158" s="37">
        <f>IF(tblDowntime[[#This Row],[Date]]="","",IFERROR(INDEX(tblMachines[Loss rate (per h)],MATCH(tblDowntime[[#This Row],[Machine]],tblMachines[Machine],0)),""))</f>
        <v>480</v>
      </c>
      <c r="L158" s="39">
        <f>IF(tblDowntime[[#This Row],[Date]]="","",IF(OR(tblDowntime[[#This Row],[Minutes]]="",tblDowntime[[#This Row],[Loss rate]]=""),"",tblDowntime[[#This Row],[Minutes]]/60*tblDowntime[[#This Row],[Loss rate]]))</f>
        <v>120</v>
      </c>
      <c r="M158" s="33">
        <v>160</v>
      </c>
      <c r="N158" s="39">
        <f>IF(tblDowntime[[#This Row],[Date]]="","",IF(tblDowntime[[#This Row],[Production loss]]="","",tblDowntime[[#This Row],[Production loss]]+N(tblDowntime[[#This Row],[Repair cost]])))</f>
        <v>280</v>
      </c>
      <c r="O158" s="40">
        <f>IF(tblDowntime[[#This Row],[Date]]="","",tblDowntime[[#This Row],[Date]]-WEEKDAY(tblDowntime[[#This Row],[Date]],2)+1)</f>
        <v>46300</v>
      </c>
      <c r="P158" s="40">
        <f>IF(tblDowntime[[#This Row],[Date]]="","",IF(AND(tblDowntime[[#This Row],[Date]]&gt;=FFrom,tblDowntime[[#This Row],[Date]]&lt;=FTo,OR(DashMachine="",tblDowntime[[#This Row],[Machine]]=DashMachine)),tblDowntime[[#This Row],[Date]],""))</f>
        <v>46301</v>
      </c>
      <c r="Q15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8" s="42" t="s">
        <v>140</v>
      </c>
    </row>
    <row r="159" spans="2:18" x14ac:dyDescent="0.25">
      <c r="B159" s="35">
        <v>46301</v>
      </c>
      <c r="C159" s="28" t="s">
        <v>92</v>
      </c>
      <c r="D159" s="28" t="s">
        <v>83</v>
      </c>
      <c r="E159" s="28" t="s">
        <v>109</v>
      </c>
      <c r="F159" s="36">
        <v>0.3888888888888889</v>
      </c>
      <c r="G159" s="36">
        <v>0.4270833333333333</v>
      </c>
      <c r="H159" s="37">
        <f>IF(tblDowntime[[#This Row],[Date]]="","",IF(OR(tblDowntime[[#This Row],[Start]]="",tblDowntime[[#This Row],[End]]=""),"",ROUND(MOD(tblDowntime[[#This Row],[End]]-tblDowntime[[#This Row],[Start]],1)*1440,0)))</f>
        <v>55</v>
      </c>
      <c r="I159" s="38" t="str">
        <f>IF(tblDowntime[[#This Row],[Date]]="","",IFERROR(INDEX(tblReasons[Type],MATCH(tblDowntime[[#This Row],[Reason]],tblReasons[Reason],0)),""))</f>
        <v>Unplanned</v>
      </c>
      <c r="J159" s="38" t="str">
        <f>IF(tblDowntime[[#This Row],[Date]]="","",IFERROR(INDEX(tblReasons[Loss category],MATCH(tblDowntime[[#This Row],[Reason]],tblReasons[Reason],0)),""))</f>
        <v>Breakdown</v>
      </c>
      <c r="K159" s="37">
        <f>IF(tblDowntime[[#This Row],[Date]]="","",IFERROR(INDEX(tblMachines[Loss rate (per h)],MATCH(tblDowntime[[#This Row],[Machine]],tblMachines[Machine],0)),""))</f>
        <v>620</v>
      </c>
      <c r="L159" s="39">
        <f>IF(tblDowntime[[#This Row],[Date]]="","",IF(OR(tblDowntime[[#This Row],[Minutes]]="",tblDowntime[[#This Row],[Loss rate]]=""),"",tblDowntime[[#This Row],[Minutes]]/60*tblDowntime[[#This Row],[Loss rate]]))</f>
        <v>568.333333333333</v>
      </c>
      <c r="M159" s="33">
        <v>500</v>
      </c>
      <c r="N159" s="39">
        <f>IF(tblDowntime[[#This Row],[Date]]="","",IF(tblDowntime[[#This Row],[Production loss]]="","",tblDowntime[[#This Row],[Production loss]]+N(tblDowntime[[#This Row],[Repair cost]])))</f>
        <v>1068.33333333333</v>
      </c>
      <c r="O159" s="40">
        <f>IF(tblDowntime[[#This Row],[Date]]="","",tblDowntime[[#This Row],[Date]]-WEEKDAY(tblDowntime[[#This Row],[Date]],2)+1)</f>
        <v>46300</v>
      </c>
      <c r="P159" s="40">
        <f>IF(tblDowntime[[#This Row],[Date]]="","",IF(AND(tblDowntime[[#This Row],[Date]]&gt;=FFrom,tblDowntime[[#This Row],[Date]]&lt;=FTo,OR(DashMachine="",tblDowntime[[#This Row],[Machine]]=DashMachine)),tblDowntime[[#This Row],[Date]],""))</f>
        <v>46301</v>
      </c>
      <c r="Q15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59" s="42" t="s">
        <v>140</v>
      </c>
    </row>
    <row r="160" spans="2:18" x14ac:dyDescent="0.25">
      <c r="B160" s="35">
        <v>46301</v>
      </c>
      <c r="C160" s="28" t="s">
        <v>92</v>
      </c>
      <c r="D160" s="28" t="s">
        <v>81</v>
      </c>
      <c r="E160" s="28" t="s">
        <v>122</v>
      </c>
      <c r="F160" s="36">
        <v>0.2777777777777778</v>
      </c>
      <c r="G160" s="36">
        <v>0.2881944444444444</v>
      </c>
      <c r="H160" s="37">
        <f>IF(tblDowntime[[#This Row],[Date]]="","",IF(OR(tblDowntime[[#This Row],[Start]]="",tblDowntime[[#This Row],[End]]=""),"",ROUND(MOD(tblDowntime[[#This Row],[End]]-tblDowntime[[#This Row],[Start]],1)*1440,0)))</f>
        <v>15</v>
      </c>
      <c r="I160" s="38" t="str">
        <f>IF(tblDowntime[[#This Row],[Date]]="","",IFERROR(INDEX(tblReasons[Type],MATCH(tblDowntime[[#This Row],[Reason]],tblReasons[Reason],0)),""))</f>
        <v>Unplanned</v>
      </c>
      <c r="J160" s="38" t="str">
        <f>IF(tblDowntime[[#This Row],[Date]]="","",IFERROR(INDEX(tblReasons[Loss category],MATCH(tblDowntime[[#This Row],[Reason]],tblReasons[Reason],0)),""))</f>
        <v>Labour</v>
      </c>
      <c r="K160" s="37">
        <f>IF(tblDowntime[[#This Row],[Date]]="","",IFERROR(INDEX(tblMachines[Loss rate (per h)],MATCH(tblDowntime[[#This Row],[Machine]],tblMachines[Machine],0)),""))</f>
        <v>950</v>
      </c>
      <c r="L160" s="39">
        <f>IF(tblDowntime[[#This Row],[Date]]="","",IF(OR(tblDowntime[[#This Row],[Minutes]]="",tblDowntime[[#This Row],[Loss rate]]=""),"",tblDowntime[[#This Row],[Minutes]]/60*tblDowntime[[#This Row],[Loss rate]]))</f>
        <v>237.5</v>
      </c>
      <c r="M160" s="33">
        <v>0</v>
      </c>
      <c r="N160" s="39">
        <f>IF(tblDowntime[[#This Row],[Date]]="","",IF(tblDowntime[[#This Row],[Production loss]]="","",tblDowntime[[#This Row],[Production loss]]+N(tblDowntime[[#This Row],[Repair cost]])))</f>
        <v>237.5</v>
      </c>
      <c r="O160" s="40">
        <f>IF(tblDowntime[[#This Row],[Date]]="","",tblDowntime[[#This Row],[Date]]-WEEKDAY(tblDowntime[[#This Row],[Date]],2)+1)</f>
        <v>46300</v>
      </c>
      <c r="P160" s="40">
        <f>IF(tblDowntime[[#This Row],[Date]]="","",IF(AND(tblDowntime[[#This Row],[Date]]&gt;=FFrom,tblDowntime[[#This Row],[Date]]&lt;=FTo,OR(DashMachine="",tblDowntime[[#This Row],[Machine]]=DashMachine)),tblDowntime[[#This Row],[Date]],""))</f>
        <v>46301</v>
      </c>
      <c r="Q16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0" s="42" t="s">
        <v>140</v>
      </c>
    </row>
    <row r="161" spans="2:18" x14ac:dyDescent="0.25">
      <c r="B161" s="35">
        <v>46301</v>
      </c>
      <c r="C161" s="28" t="s">
        <v>92</v>
      </c>
      <c r="D161" s="28" t="s">
        <v>89</v>
      </c>
      <c r="E161" s="28" t="s">
        <v>111</v>
      </c>
      <c r="F161" s="36">
        <v>0.3055555555555556</v>
      </c>
      <c r="G161" s="36">
        <v>0.3125</v>
      </c>
      <c r="H161" s="37">
        <f>IF(tblDowntime[[#This Row],[Date]]="","",IF(OR(tblDowntime[[#This Row],[Start]]="",tblDowntime[[#This Row],[End]]=""),"",ROUND(MOD(tblDowntime[[#This Row],[End]]-tblDowntime[[#This Row],[Start]],1)*1440,0)))</f>
        <v>10</v>
      </c>
      <c r="I161" s="38" t="str">
        <f>IF(tblDowntime[[#This Row],[Date]]="","",IFERROR(INDEX(tblReasons[Type],MATCH(tblDowntime[[#This Row],[Reason]],tblReasons[Reason],0)),""))</f>
        <v>Unplanned</v>
      </c>
      <c r="J161" s="38" t="str">
        <f>IF(tblDowntime[[#This Row],[Date]]="","",IFERROR(INDEX(tblReasons[Loss category],MATCH(tblDowntime[[#This Row],[Reason]],tblReasons[Reason],0)),""))</f>
        <v>Breakdown</v>
      </c>
      <c r="K161" s="37">
        <f>IF(tblDowntime[[#This Row],[Date]]="","",IFERROR(INDEX(tblMachines[Loss rate (per h)],MATCH(tblDowntime[[#This Row],[Machine]],tblMachines[Machine],0)),""))</f>
        <v>540</v>
      </c>
      <c r="L161" s="39">
        <f>IF(tblDowntime[[#This Row],[Date]]="","",IF(OR(tblDowntime[[#This Row],[Minutes]]="",tblDowntime[[#This Row],[Loss rate]]=""),"",tblDowntime[[#This Row],[Minutes]]/60*tblDowntime[[#This Row],[Loss rate]]))</f>
        <v>90</v>
      </c>
      <c r="M161" s="33">
        <v>200</v>
      </c>
      <c r="N161" s="39">
        <f>IF(tblDowntime[[#This Row],[Date]]="","",IF(tblDowntime[[#This Row],[Production loss]]="","",tblDowntime[[#This Row],[Production loss]]+N(tblDowntime[[#This Row],[Repair cost]])))</f>
        <v>290</v>
      </c>
      <c r="O161" s="40">
        <f>IF(tblDowntime[[#This Row],[Date]]="","",tblDowntime[[#This Row],[Date]]-WEEKDAY(tblDowntime[[#This Row],[Date]],2)+1)</f>
        <v>46300</v>
      </c>
      <c r="P161" s="40">
        <f>IF(tblDowntime[[#This Row],[Date]]="","",IF(AND(tblDowntime[[#This Row],[Date]]&gt;=FFrom,tblDowntime[[#This Row],[Date]]&lt;=FTo,OR(DashMachine="",tblDowntime[[#This Row],[Machine]]=DashMachine)),tblDowntime[[#This Row],[Date]],""))</f>
        <v>46301</v>
      </c>
      <c r="Q16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1" s="42" t="s">
        <v>140</v>
      </c>
    </row>
    <row r="162" spans="2:18" x14ac:dyDescent="0.25">
      <c r="B162" s="35">
        <v>46301</v>
      </c>
      <c r="C162" s="28" t="s">
        <v>95</v>
      </c>
      <c r="D162" s="28" t="s">
        <v>81</v>
      </c>
      <c r="E162" s="28" t="s">
        <v>111</v>
      </c>
      <c r="F162" s="36">
        <v>0.6527777777777778</v>
      </c>
      <c r="G162" s="36">
        <v>0.6666666666666666</v>
      </c>
      <c r="H162" s="37">
        <f>IF(tblDowntime[[#This Row],[Date]]="","",IF(OR(tblDowntime[[#This Row],[Start]]="",tblDowntime[[#This Row],[End]]=""),"",ROUND(MOD(tblDowntime[[#This Row],[End]]-tblDowntime[[#This Row],[Start]],1)*1440,0)))</f>
        <v>20</v>
      </c>
      <c r="I162" s="38" t="str">
        <f>IF(tblDowntime[[#This Row],[Date]]="","",IFERROR(INDEX(tblReasons[Type],MATCH(tblDowntime[[#This Row],[Reason]],tblReasons[Reason],0)),""))</f>
        <v>Unplanned</v>
      </c>
      <c r="J162" s="38" t="str">
        <f>IF(tblDowntime[[#This Row],[Date]]="","",IFERROR(INDEX(tblReasons[Loss category],MATCH(tblDowntime[[#This Row],[Reason]],tblReasons[Reason],0)),""))</f>
        <v>Breakdown</v>
      </c>
      <c r="K162" s="37">
        <f>IF(tblDowntime[[#This Row],[Date]]="","",IFERROR(INDEX(tblMachines[Loss rate (per h)],MATCH(tblDowntime[[#This Row],[Machine]],tblMachines[Machine],0)),""))</f>
        <v>950</v>
      </c>
      <c r="L162" s="39">
        <f>IF(tblDowntime[[#This Row],[Date]]="","",IF(OR(tblDowntime[[#This Row],[Minutes]]="",tblDowntime[[#This Row],[Loss rate]]=""),"",tblDowntime[[#This Row],[Minutes]]/60*tblDowntime[[#This Row],[Loss rate]]))</f>
        <v>316.666666666667</v>
      </c>
      <c r="M162" s="33">
        <v>960</v>
      </c>
      <c r="N162" s="39">
        <f>IF(tblDowntime[[#This Row],[Date]]="","",IF(tblDowntime[[#This Row],[Production loss]]="","",tblDowntime[[#This Row],[Production loss]]+N(tblDowntime[[#This Row],[Repair cost]])))</f>
        <v>1276.66666666667</v>
      </c>
      <c r="O162" s="40">
        <f>IF(tblDowntime[[#This Row],[Date]]="","",tblDowntime[[#This Row],[Date]]-WEEKDAY(tblDowntime[[#This Row],[Date]],2)+1)</f>
        <v>46300</v>
      </c>
      <c r="P162" s="40">
        <f>IF(tblDowntime[[#This Row],[Date]]="","",IF(AND(tblDowntime[[#This Row],[Date]]&gt;=FFrom,tblDowntime[[#This Row],[Date]]&lt;=FTo,OR(DashMachine="",tblDowntime[[#This Row],[Machine]]=DashMachine)),tblDowntime[[#This Row],[Date]],""))</f>
        <v>46301</v>
      </c>
      <c r="Q16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2" s="42" t="s">
        <v>140</v>
      </c>
    </row>
    <row r="163" spans="2:18" x14ac:dyDescent="0.25">
      <c r="B163" s="35">
        <v>46302</v>
      </c>
      <c r="C163" s="28" t="s">
        <v>92</v>
      </c>
      <c r="D163" s="28" t="s">
        <v>85</v>
      </c>
      <c r="E163" s="28" t="s">
        <v>102</v>
      </c>
      <c r="F163" s="36">
        <v>0.2777777777777778</v>
      </c>
      <c r="G163" s="36">
        <v>0.2986111111111111</v>
      </c>
      <c r="H163" s="37">
        <f>IF(tblDowntime[[#This Row],[Date]]="","",IF(OR(tblDowntime[[#This Row],[Start]]="",tblDowntime[[#This Row],[End]]=""),"",ROUND(MOD(tblDowntime[[#This Row],[End]]-tblDowntime[[#This Row],[Start]],1)*1440,0)))</f>
        <v>30</v>
      </c>
      <c r="I163" s="38" t="str">
        <f>IF(tblDowntime[[#This Row],[Date]]="","",IFERROR(INDEX(tblReasons[Type],MATCH(tblDowntime[[#This Row],[Reason]],tblReasons[Reason],0)),""))</f>
        <v>Planned</v>
      </c>
      <c r="J163" s="38" t="str">
        <f>IF(tblDowntime[[#This Row],[Date]]="","",IFERROR(INDEX(tblReasons[Loss category],MATCH(tblDowntime[[#This Row],[Reason]],tblReasons[Reason],0)),""))</f>
        <v>Maintenance</v>
      </c>
      <c r="K163" s="37">
        <f>IF(tblDowntime[[#This Row],[Date]]="","",IFERROR(INDEX(tblMachines[Loss rate (per h)],MATCH(tblDowntime[[#This Row],[Machine]],tblMachines[Machine],0)),""))</f>
        <v>480</v>
      </c>
      <c r="L163" s="39">
        <f>IF(tblDowntime[[#This Row],[Date]]="","",IF(OR(tblDowntime[[#This Row],[Minutes]]="",tblDowntime[[#This Row],[Loss rate]]=""),"",tblDowntime[[#This Row],[Minutes]]/60*tblDowntime[[#This Row],[Loss rate]]))</f>
        <v>240</v>
      </c>
      <c r="M163" s="33">
        <v>0</v>
      </c>
      <c r="N163" s="39">
        <f>IF(tblDowntime[[#This Row],[Date]]="","",IF(tblDowntime[[#This Row],[Production loss]]="","",tblDowntime[[#This Row],[Production loss]]+N(tblDowntime[[#This Row],[Repair cost]])))</f>
        <v>240</v>
      </c>
      <c r="O163" s="40">
        <f>IF(tblDowntime[[#This Row],[Date]]="","",tblDowntime[[#This Row],[Date]]-WEEKDAY(tblDowntime[[#This Row],[Date]],2)+1)</f>
        <v>46300</v>
      </c>
      <c r="P163" s="40">
        <f>IF(tblDowntime[[#This Row],[Date]]="","",IF(AND(tblDowntime[[#This Row],[Date]]&gt;=FFrom,tblDowntime[[#This Row],[Date]]&lt;=FTo,OR(DashMachine="",tblDowntime[[#This Row],[Machine]]=DashMachine)),tblDowntime[[#This Row],[Date]],""))</f>
        <v>46302</v>
      </c>
      <c r="Q16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3" s="42" t="s">
        <v>140</v>
      </c>
    </row>
    <row r="164" spans="2:18" x14ac:dyDescent="0.25">
      <c r="B164" s="35">
        <v>46302</v>
      </c>
      <c r="C164" s="28" t="s">
        <v>92</v>
      </c>
      <c r="D164" s="28" t="s">
        <v>85</v>
      </c>
      <c r="E164" s="28" t="s">
        <v>116</v>
      </c>
      <c r="F164" s="36">
        <v>0.3263888888888889</v>
      </c>
      <c r="G164" s="36">
        <v>0.3472222222222222</v>
      </c>
      <c r="H164" s="37">
        <f>IF(tblDowntime[[#This Row],[Date]]="","",IF(OR(tblDowntime[[#This Row],[Start]]="",tblDowntime[[#This Row],[End]]=""),"",ROUND(MOD(tblDowntime[[#This Row],[End]]-tblDowntime[[#This Row],[Start]],1)*1440,0)))</f>
        <v>30</v>
      </c>
      <c r="I164" s="38" t="str">
        <f>IF(tblDowntime[[#This Row],[Date]]="","",IFERROR(INDEX(tblReasons[Type],MATCH(tblDowntime[[#This Row],[Reason]],tblReasons[Reason],0)),""))</f>
        <v>Unplanned</v>
      </c>
      <c r="J164" s="38" t="str">
        <f>IF(tblDowntime[[#This Row],[Date]]="","",IFERROR(INDEX(tblReasons[Loss category],MATCH(tblDowntime[[#This Row],[Reason]],tblReasons[Reason],0)),""))</f>
        <v>Material</v>
      </c>
      <c r="K164" s="37">
        <f>IF(tblDowntime[[#This Row],[Date]]="","",IFERROR(INDEX(tblMachines[Loss rate (per h)],MATCH(tblDowntime[[#This Row],[Machine]],tblMachines[Machine],0)),""))</f>
        <v>480</v>
      </c>
      <c r="L164" s="39">
        <f>IF(tblDowntime[[#This Row],[Date]]="","",IF(OR(tblDowntime[[#This Row],[Minutes]]="",tblDowntime[[#This Row],[Loss rate]]=""),"",tblDowntime[[#This Row],[Minutes]]/60*tblDowntime[[#This Row],[Loss rate]]))</f>
        <v>240</v>
      </c>
      <c r="M164" s="33">
        <v>0</v>
      </c>
      <c r="N164" s="39">
        <f>IF(tblDowntime[[#This Row],[Date]]="","",IF(tblDowntime[[#This Row],[Production loss]]="","",tblDowntime[[#This Row],[Production loss]]+N(tblDowntime[[#This Row],[Repair cost]])))</f>
        <v>240</v>
      </c>
      <c r="O164" s="40">
        <f>IF(tblDowntime[[#This Row],[Date]]="","",tblDowntime[[#This Row],[Date]]-WEEKDAY(tblDowntime[[#This Row],[Date]],2)+1)</f>
        <v>46300</v>
      </c>
      <c r="P164" s="40">
        <f>IF(tblDowntime[[#This Row],[Date]]="","",IF(AND(tblDowntime[[#This Row],[Date]]&gt;=FFrom,tblDowntime[[#This Row],[Date]]&lt;=FTo,OR(DashMachine="",tblDowntime[[#This Row],[Machine]]=DashMachine)),tblDowntime[[#This Row],[Date]],""))</f>
        <v>46302</v>
      </c>
      <c r="Q16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4" s="42" t="s">
        <v>140</v>
      </c>
    </row>
    <row r="165" spans="2:18" x14ac:dyDescent="0.25">
      <c r="B165" s="35">
        <v>46302</v>
      </c>
      <c r="C165" s="28" t="s">
        <v>92</v>
      </c>
      <c r="D165" s="28" t="s">
        <v>87</v>
      </c>
      <c r="E165" s="28" t="s">
        <v>102</v>
      </c>
      <c r="F165" s="36">
        <v>0.3194444444444444</v>
      </c>
      <c r="G165" s="36">
        <v>0.3611111111111111</v>
      </c>
      <c r="H165" s="37">
        <f>IF(tblDowntime[[#This Row],[Date]]="","",IF(OR(tblDowntime[[#This Row],[Start]]="",tblDowntime[[#This Row],[End]]=""),"",ROUND(MOD(tblDowntime[[#This Row],[End]]-tblDowntime[[#This Row],[Start]],1)*1440,0)))</f>
        <v>60</v>
      </c>
      <c r="I165" s="38" t="str">
        <f>IF(tblDowntime[[#This Row],[Date]]="","",IFERROR(INDEX(tblReasons[Type],MATCH(tblDowntime[[#This Row],[Reason]],tblReasons[Reason],0)),""))</f>
        <v>Planned</v>
      </c>
      <c r="J165" s="38" t="str">
        <f>IF(tblDowntime[[#This Row],[Date]]="","",IFERROR(INDEX(tblReasons[Loss category],MATCH(tblDowntime[[#This Row],[Reason]],tblReasons[Reason],0)),""))</f>
        <v>Maintenance</v>
      </c>
      <c r="K165" s="37">
        <f>IF(tblDowntime[[#This Row],[Date]]="","",IFERROR(INDEX(tblMachines[Loss rate (per h)],MATCH(tblDowntime[[#This Row],[Machine]],tblMachines[Machine],0)),""))</f>
        <v>260</v>
      </c>
      <c r="L165" s="39">
        <f>IF(tblDowntime[[#This Row],[Date]]="","",IF(OR(tblDowntime[[#This Row],[Minutes]]="",tblDowntime[[#This Row],[Loss rate]]=""),"",tblDowntime[[#This Row],[Minutes]]/60*tblDowntime[[#This Row],[Loss rate]]))</f>
        <v>260</v>
      </c>
      <c r="M165" s="33">
        <v>0</v>
      </c>
      <c r="N165" s="39">
        <f>IF(tblDowntime[[#This Row],[Date]]="","",IF(tblDowntime[[#This Row],[Production loss]]="","",tblDowntime[[#This Row],[Production loss]]+N(tblDowntime[[#This Row],[Repair cost]])))</f>
        <v>260</v>
      </c>
      <c r="O165" s="40">
        <f>IF(tblDowntime[[#This Row],[Date]]="","",tblDowntime[[#This Row],[Date]]-WEEKDAY(tblDowntime[[#This Row],[Date]],2)+1)</f>
        <v>46300</v>
      </c>
      <c r="P165" s="40">
        <f>IF(tblDowntime[[#This Row],[Date]]="","",IF(AND(tblDowntime[[#This Row],[Date]]&gt;=FFrom,tblDowntime[[#This Row],[Date]]&lt;=FTo,OR(DashMachine="",tblDowntime[[#This Row],[Machine]]=DashMachine)),tblDowntime[[#This Row],[Date]],""))</f>
        <v>46302</v>
      </c>
      <c r="Q16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5" s="42" t="s">
        <v>140</v>
      </c>
    </row>
    <row r="166" spans="2:18" x14ac:dyDescent="0.25">
      <c r="B166" s="35">
        <v>46302</v>
      </c>
      <c r="C166" s="28" t="s">
        <v>92</v>
      </c>
      <c r="D166" s="28" t="s">
        <v>83</v>
      </c>
      <c r="E166" s="28" t="s">
        <v>125</v>
      </c>
      <c r="F166" s="36">
        <v>0.3194444444444444</v>
      </c>
      <c r="G166" s="36">
        <v>0.3298611111111111</v>
      </c>
      <c r="H166" s="37">
        <f>IF(tblDowntime[[#This Row],[Date]]="","",IF(OR(tblDowntime[[#This Row],[Start]]="",tblDowntime[[#This Row],[End]]=""),"",ROUND(MOD(tblDowntime[[#This Row],[End]]-tblDowntime[[#This Row],[Start]],1)*1440,0)))</f>
        <v>15</v>
      </c>
      <c r="I166" s="38" t="str">
        <f>IF(tblDowntime[[#This Row],[Date]]="","",IFERROR(INDEX(tblReasons[Type],MATCH(tblDowntime[[#This Row],[Reason]],tblReasons[Reason],0)),""))</f>
        <v>Unplanned</v>
      </c>
      <c r="J166" s="38" t="str">
        <f>IF(tblDowntime[[#This Row],[Date]]="","",IFERROR(INDEX(tblReasons[Loss category],MATCH(tblDowntime[[#This Row],[Reason]],tblReasons[Reason],0)),""))</f>
        <v>Other</v>
      </c>
      <c r="K166" s="37">
        <f>IF(tblDowntime[[#This Row],[Date]]="","",IFERROR(INDEX(tblMachines[Loss rate (per h)],MATCH(tblDowntime[[#This Row],[Machine]],tblMachines[Machine],0)),""))</f>
        <v>620</v>
      </c>
      <c r="L166" s="39">
        <f>IF(tblDowntime[[#This Row],[Date]]="","",IF(OR(tblDowntime[[#This Row],[Minutes]]="",tblDowntime[[#This Row],[Loss rate]]=""),"",tblDowntime[[#This Row],[Minutes]]/60*tblDowntime[[#This Row],[Loss rate]]))</f>
        <v>155</v>
      </c>
      <c r="M166" s="33">
        <v>0</v>
      </c>
      <c r="N166" s="39">
        <f>IF(tblDowntime[[#This Row],[Date]]="","",IF(tblDowntime[[#This Row],[Production loss]]="","",tblDowntime[[#This Row],[Production loss]]+N(tblDowntime[[#This Row],[Repair cost]])))</f>
        <v>155</v>
      </c>
      <c r="O166" s="40">
        <f>IF(tblDowntime[[#This Row],[Date]]="","",tblDowntime[[#This Row],[Date]]-WEEKDAY(tblDowntime[[#This Row],[Date]],2)+1)</f>
        <v>46300</v>
      </c>
      <c r="P166" s="40">
        <f>IF(tblDowntime[[#This Row],[Date]]="","",IF(AND(tblDowntime[[#This Row],[Date]]&gt;=FFrom,tblDowntime[[#This Row],[Date]]&lt;=FTo,OR(DashMachine="",tblDowntime[[#This Row],[Machine]]=DashMachine)),tblDowntime[[#This Row],[Date]],""))</f>
        <v>46302</v>
      </c>
      <c r="Q16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6" s="42" t="s">
        <v>140</v>
      </c>
    </row>
    <row r="167" spans="2:18" x14ac:dyDescent="0.25">
      <c r="B167" s="35">
        <v>46302</v>
      </c>
      <c r="C167" s="28" t="s">
        <v>92</v>
      </c>
      <c r="D167" s="28" t="s">
        <v>81</v>
      </c>
      <c r="E167" s="28" t="s">
        <v>116</v>
      </c>
      <c r="F167" s="36">
        <v>0.2916666666666667</v>
      </c>
      <c r="G167" s="36">
        <v>0.3229166666666667</v>
      </c>
      <c r="H167" s="37">
        <f>IF(tblDowntime[[#This Row],[Date]]="","",IF(OR(tblDowntime[[#This Row],[Start]]="",tblDowntime[[#This Row],[End]]=""),"",ROUND(MOD(tblDowntime[[#This Row],[End]]-tblDowntime[[#This Row],[Start]],1)*1440,0)))</f>
        <v>45</v>
      </c>
      <c r="I167" s="38" t="str">
        <f>IF(tblDowntime[[#This Row],[Date]]="","",IFERROR(INDEX(tblReasons[Type],MATCH(tblDowntime[[#This Row],[Reason]],tblReasons[Reason],0)),""))</f>
        <v>Unplanned</v>
      </c>
      <c r="J167" s="38" t="str">
        <f>IF(tblDowntime[[#This Row],[Date]]="","",IFERROR(INDEX(tblReasons[Loss category],MATCH(tblDowntime[[#This Row],[Reason]],tblReasons[Reason],0)),""))</f>
        <v>Material</v>
      </c>
      <c r="K167" s="37">
        <f>IF(tblDowntime[[#This Row],[Date]]="","",IFERROR(INDEX(tblMachines[Loss rate (per h)],MATCH(tblDowntime[[#This Row],[Machine]],tblMachines[Machine],0)),""))</f>
        <v>950</v>
      </c>
      <c r="L167" s="39">
        <f>IF(tblDowntime[[#This Row],[Date]]="","",IF(OR(tblDowntime[[#This Row],[Minutes]]="",tblDowntime[[#This Row],[Loss rate]]=""),"",tblDowntime[[#This Row],[Minutes]]/60*tblDowntime[[#This Row],[Loss rate]]))</f>
        <v>712.5</v>
      </c>
      <c r="M167" s="33">
        <v>0</v>
      </c>
      <c r="N167" s="39">
        <f>IF(tblDowntime[[#This Row],[Date]]="","",IF(tblDowntime[[#This Row],[Production loss]]="","",tblDowntime[[#This Row],[Production loss]]+N(tblDowntime[[#This Row],[Repair cost]])))</f>
        <v>712.5</v>
      </c>
      <c r="O167" s="40">
        <f>IF(tblDowntime[[#This Row],[Date]]="","",tblDowntime[[#This Row],[Date]]-WEEKDAY(tblDowntime[[#This Row],[Date]],2)+1)</f>
        <v>46300</v>
      </c>
      <c r="P167" s="40">
        <f>IF(tblDowntime[[#This Row],[Date]]="","",IF(AND(tblDowntime[[#This Row],[Date]]&gt;=FFrom,tblDowntime[[#This Row],[Date]]&lt;=FTo,OR(DashMachine="",tblDowntime[[#This Row],[Machine]]=DashMachine)),tblDowntime[[#This Row],[Date]],""))</f>
        <v>46302</v>
      </c>
      <c r="Q16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7" s="42" t="s">
        <v>140</v>
      </c>
    </row>
    <row r="168" spans="2:18" x14ac:dyDescent="0.25">
      <c r="B168" s="35">
        <v>46302</v>
      </c>
      <c r="C168" s="28" t="s">
        <v>92</v>
      </c>
      <c r="D168" s="28" t="s">
        <v>81</v>
      </c>
      <c r="E168" s="28" t="s">
        <v>113</v>
      </c>
      <c r="F168" s="36">
        <v>0.3715277777777778</v>
      </c>
      <c r="G168" s="36">
        <v>0.375</v>
      </c>
      <c r="H168" s="37">
        <f>IF(tblDowntime[[#This Row],[Date]]="","",IF(OR(tblDowntime[[#This Row],[Start]]="",tblDowntime[[#This Row],[End]]=""),"",ROUND(MOD(tblDowntime[[#This Row],[End]]-tblDowntime[[#This Row],[Start]],1)*1440,0)))</f>
        <v>5</v>
      </c>
      <c r="I168" s="38" t="str">
        <f>IF(tblDowntime[[#This Row],[Date]]="","",IFERROR(INDEX(tblReasons[Type],MATCH(tblDowntime[[#This Row],[Reason]],tblReasons[Reason],0)),""))</f>
        <v>Unplanned</v>
      </c>
      <c r="J168" s="38" t="str">
        <f>IF(tblDowntime[[#This Row],[Date]]="","",IFERROR(INDEX(tblReasons[Loss category],MATCH(tblDowntime[[#This Row],[Reason]],tblReasons[Reason],0)),""))</f>
        <v>Minor stop</v>
      </c>
      <c r="K168" s="37">
        <f>IF(tblDowntime[[#This Row],[Date]]="","",IFERROR(INDEX(tblMachines[Loss rate (per h)],MATCH(tblDowntime[[#This Row],[Machine]],tblMachines[Machine],0)),""))</f>
        <v>950</v>
      </c>
      <c r="L168" s="39">
        <f>IF(tblDowntime[[#This Row],[Date]]="","",IF(OR(tblDowntime[[#This Row],[Minutes]]="",tblDowntime[[#This Row],[Loss rate]]=""),"",tblDowntime[[#This Row],[Minutes]]/60*tblDowntime[[#This Row],[Loss rate]]))</f>
        <v>79.1666666666667</v>
      </c>
      <c r="M168" s="33">
        <v>0</v>
      </c>
      <c r="N168" s="39">
        <f>IF(tblDowntime[[#This Row],[Date]]="","",IF(tblDowntime[[#This Row],[Production loss]]="","",tblDowntime[[#This Row],[Production loss]]+N(tblDowntime[[#This Row],[Repair cost]])))</f>
        <v>79.1666666666667</v>
      </c>
      <c r="O168" s="40">
        <f>IF(tblDowntime[[#This Row],[Date]]="","",tblDowntime[[#This Row],[Date]]-WEEKDAY(tblDowntime[[#This Row],[Date]],2)+1)</f>
        <v>46300</v>
      </c>
      <c r="P168" s="40">
        <f>IF(tblDowntime[[#This Row],[Date]]="","",IF(AND(tblDowntime[[#This Row],[Date]]&gt;=FFrom,tblDowntime[[#This Row],[Date]]&lt;=FTo,OR(DashMachine="",tblDowntime[[#This Row],[Machine]]=DashMachine)),tblDowntime[[#This Row],[Date]],""))</f>
        <v>46302</v>
      </c>
      <c r="Q16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8" s="42" t="s">
        <v>140</v>
      </c>
    </row>
    <row r="169" spans="2:18" x14ac:dyDescent="0.25">
      <c r="B169" s="35">
        <v>46302</v>
      </c>
      <c r="C169" s="28" t="s">
        <v>92</v>
      </c>
      <c r="D169" s="28" t="s">
        <v>89</v>
      </c>
      <c r="E169" s="28" t="s">
        <v>102</v>
      </c>
      <c r="F169" s="36">
        <v>0.2916666666666667</v>
      </c>
      <c r="G169" s="36">
        <v>0.3229166666666667</v>
      </c>
      <c r="H169" s="37">
        <f>IF(tblDowntime[[#This Row],[Date]]="","",IF(OR(tblDowntime[[#This Row],[Start]]="",tblDowntime[[#This Row],[End]]=""),"",ROUND(MOD(tblDowntime[[#This Row],[End]]-tblDowntime[[#This Row],[Start]],1)*1440,0)))</f>
        <v>45</v>
      </c>
      <c r="I169" s="38" t="str">
        <f>IF(tblDowntime[[#This Row],[Date]]="","",IFERROR(INDEX(tblReasons[Type],MATCH(tblDowntime[[#This Row],[Reason]],tblReasons[Reason],0)),""))</f>
        <v>Planned</v>
      </c>
      <c r="J169" s="38" t="str">
        <f>IF(tblDowntime[[#This Row],[Date]]="","",IFERROR(INDEX(tblReasons[Loss category],MATCH(tblDowntime[[#This Row],[Reason]],tblReasons[Reason],0)),""))</f>
        <v>Maintenance</v>
      </c>
      <c r="K169" s="37">
        <f>IF(tblDowntime[[#This Row],[Date]]="","",IFERROR(INDEX(tblMachines[Loss rate (per h)],MATCH(tblDowntime[[#This Row],[Machine]],tblMachines[Machine],0)),""))</f>
        <v>540</v>
      </c>
      <c r="L169" s="39">
        <f>IF(tblDowntime[[#This Row],[Date]]="","",IF(OR(tblDowntime[[#This Row],[Minutes]]="",tblDowntime[[#This Row],[Loss rate]]=""),"",tblDowntime[[#This Row],[Minutes]]/60*tblDowntime[[#This Row],[Loss rate]]))</f>
        <v>405</v>
      </c>
      <c r="M169" s="33">
        <v>0</v>
      </c>
      <c r="N169" s="39">
        <f>IF(tblDowntime[[#This Row],[Date]]="","",IF(tblDowntime[[#This Row],[Production loss]]="","",tblDowntime[[#This Row],[Production loss]]+N(tblDowntime[[#This Row],[Repair cost]])))</f>
        <v>405</v>
      </c>
      <c r="O169" s="40">
        <f>IF(tblDowntime[[#This Row],[Date]]="","",tblDowntime[[#This Row],[Date]]-WEEKDAY(tblDowntime[[#This Row],[Date]],2)+1)</f>
        <v>46300</v>
      </c>
      <c r="P169" s="40">
        <f>IF(tblDowntime[[#This Row],[Date]]="","",IF(AND(tblDowntime[[#This Row],[Date]]&gt;=FFrom,tblDowntime[[#This Row],[Date]]&lt;=FTo,OR(DashMachine="",tblDowntime[[#This Row],[Machine]]=DashMachine)),tblDowntime[[#This Row],[Date]],""))</f>
        <v>46302</v>
      </c>
      <c r="Q16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69" s="42" t="s">
        <v>140</v>
      </c>
    </row>
    <row r="170" spans="2:18" x14ac:dyDescent="0.25">
      <c r="B170" s="35">
        <v>46302</v>
      </c>
      <c r="C170" s="28" t="s">
        <v>92</v>
      </c>
      <c r="D170" s="28" t="s">
        <v>89</v>
      </c>
      <c r="E170" s="28" t="s">
        <v>119</v>
      </c>
      <c r="F170" s="36">
        <v>0.3506944444444444</v>
      </c>
      <c r="G170" s="36">
        <v>0.3645833333333333</v>
      </c>
      <c r="H170" s="37">
        <f>IF(tblDowntime[[#This Row],[Date]]="","",IF(OR(tblDowntime[[#This Row],[Start]]="",tblDowntime[[#This Row],[End]]=""),"",ROUND(MOD(tblDowntime[[#This Row],[End]]-tblDowntime[[#This Row],[Start]],1)*1440,0)))</f>
        <v>20</v>
      </c>
      <c r="I170" s="38" t="str">
        <f>IF(tblDowntime[[#This Row],[Date]]="","",IFERROR(INDEX(tblReasons[Type],MATCH(tblDowntime[[#This Row],[Reason]],tblReasons[Reason],0)),""))</f>
        <v>Unplanned</v>
      </c>
      <c r="J170" s="38" t="str">
        <f>IF(tblDowntime[[#This Row],[Date]]="","",IFERROR(INDEX(tblReasons[Loss category],MATCH(tblDowntime[[#This Row],[Reason]],tblReasons[Reason],0)),""))</f>
        <v>Quality</v>
      </c>
      <c r="K170" s="37">
        <f>IF(tblDowntime[[#This Row],[Date]]="","",IFERROR(INDEX(tblMachines[Loss rate (per h)],MATCH(tblDowntime[[#This Row],[Machine]],tblMachines[Machine],0)),""))</f>
        <v>540</v>
      </c>
      <c r="L170" s="39">
        <f>IF(tblDowntime[[#This Row],[Date]]="","",IF(OR(tblDowntime[[#This Row],[Minutes]]="",tblDowntime[[#This Row],[Loss rate]]=""),"",tblDowntime[[#This Row],[Minutes]]/60*tblDowntime[[#This Row],[Loss rate]]))</f>
        <v>180</v>
      </c>
      <c r="M170" s="33">
        <v>0</v>
      </c>
      <c r="N170" s="39">
        <f>IF(tblDowntime[[#This Row],[Date]]="","",IF(tblDowntime[[#This Row],[Production loss]]="","",tblDowntime[[#This Row],[Production loss]]+N(tblDowntime[[#This Row],[Repair cost]])))</f>
        <v>180</v>
      </c>
      <c r="O170" s="40">
        <f>IF(tblDowntime[[#This Row],[Date]]="","",tblDowntime[[#This Row],[Date]]-WEEKDAY(tblDowntime[[#This Row],[Date]],2)+1)</f>
        <v>46300</v>
      </c>
      <c r="P170" s="40">
        <f>IF(tblDowntime[[#This Row],[Date]]="","",IF(AND(tblDowntime[[#This Row],[Date]]&gt;=FFrom,tblDowntime[[#This Row],[Date]]&lt;=FTo,OR(DashMachine="",tblDowntime[[#This Row],[Machine]]=DashMachine)),tblDowntime[[#This Row],[Date]],""))</f>
        <v>46302</v>
      </c>
      <c r="Q17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0" s="42" t="s">
        <v>140</v>
      </c>
    </row>
    <row r="171" spans="2:18" x14ac:dyDescent="0.25">
      <c r="B171" s="35">
        <v>46302</v>
      </c>
      <c r="C171" s="28" t="s">
        <v>95</v>
      </c>
      <c r="D171" s="28" t="s">
        <v>85</v>
      </c>
      <c r="E171" s="28" t="s">
        <v>111</v>
      </c>
      <c r="F171" s="36">
        <v>0.6805555555555556</v>
      </c>
      <c r="G171" s="36">
        <v>0.7083333333333334</v>
      </c>
      <c r="H171" s="37">
        <f>IF(tblDowntime[[#This Row],[Date]]="","",IF(OR(tblDowntime[[#This Row],[Start]]="",tblDowntime[[#This Row],[End]]=""),"",ROUND(MOD(tblDowntime[[#This Row],[End]]-tblDowntime[[#This Row],[Start]],1)*1440,0)))</f>
        <v>40</v>
      </c>
      <c r="I171" s="38" t="str">
        <f>IF(tblDowntime[[#This Row],[Date]]="","",IFERROR(INDEX(tblReasons[Type],MATCH(tblDowntime[[#This Row],[Reason]],tblReasons[Reason],0)),""))</f>
        <v>Unplanned</v>
      </c>
      <c r="J171" s="38" t="str">
        <f>IF(tblDowntime[[#This Row],[Date]]="","",IFERROR(INDEX(tblReasons[Loss category],MATCH(tblDowntime[[#This Row],[Reason]],tblReasons[Reason],0)),""))</f>
        <v>Breakdown</v>
      </c>
      <c r="K171" s="37">
        <f>IF(tblDowntime[[#This Row],[Date]]="","",IFERROR(INDEX(tblMachines[Loss rate (per h)],MATCH(tblDowntime[[#This Row],[Machine]],tblMachines[Machine],0)),""))</f>
        <v>480</v>
      </c>
      <c r="L171" s="39">
        <f>IF(tblDowntime[[#This Row],[Date]]="","",IF(OR(tblDowntime[[#This Row],[Minutes]]="",tblDowntime[[#This Row],[Loss rate]]=""),"",tblDowntime[[#This Row],[Minutes]]/60*tblDowntime[[#This Row],[Loss rate]]))</f>
        <v>320</v>
      </c>
      <c r="M171" s="33">
        <v>90</v>
      </c>
      <c r="N171" s="39">
        <f>IF(tblDowntime[[#This Row],[Date]]="","",IF(tblDowntime[[#This Row],[Production loss]]="","",tblDowntime[[#This Row],[Production loss]]+N(tblDowntime[[#This Row],[Repair cost]])))</f>
        <v>410</v>
      </c>
      <c r="O171" s="40">
        <f>IF(tblDowntime[[#This Row],[Date]]="","",tblDowntime[[#This Row],[Date]]-WEEKDAY(tblDowntime[[#This Row],[Date]],2)+1)</f>
        <v>46300</v>
      </c>
      <c r="P171" s="40">
        <f>IF(tblDowntime[[#This Row],[Date]]="","",IF(AND(tblDowntime[[#This Row],[Date]]&gt;=FFrom,tblDowntime[[#This Row],[Date]]&lt;=FTo,OR(DashMachine="",tblDowntime[[#This Row],[Machine]]=DashMachine)),tblDowntime[[#This Row],[Date]],""))</f>
        <v>46302</v>
      </c>
      <c r="Q17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1" s="42" t="s">
        <v>140</v>
      </c>
    </row>
    <row r="172" spans="2:18" x14ac:dyDescent="0.25">
      <c r="B172" s="35">
        <v>46302</v>
      </c>
      <c r="C172" s="28" t="s">
        <v>95</v>
      </c>
      <c r="D172" s="28" t="s">
        <v>87</v>
      </c>
      <c r="E172" s="28" t="s">
        <v>122</v>
      </c>
      <c r="F172" s="36">
        <v>0.6111111111111112</v>
      </c>
      <c r="G172" s="36">
        <v>0.625</v>
      </c>
      <c r="H172" s="37">
        <f>IF(tblDowntime[[#This Row],[Date]]="","",IF(OR(tblDowntime[[#This Row],[Start]]="",tblDowntime[[#This Row],[End]]=""),"",ROUND(MOD(tblDowntime[[#This Row],[End]]-tblDowntime[[#This Row],[Start]],1)*1440,0)))</f>
        <v>20</v>
      </c>
      <c r="I172" s="38" t="str">
        <f>IF(tblDowntime[[#This Row],[Date]]="","",IFERROR(INDEX(tblReasons[Type],MATCH(tblDowntime[[#This Row],[Reason]],tblReasons[Reason],0)),""))</f>
        <v>Unplanned</v>
      </c>
      <c r="J172" s="38" t="str">
        <f>IF(tblDowntime[[#This Row],[Date]]="","",IFERROR(INDEX(tblReasons[Loss category],MATCH(tblDowntime[[#This Row],[Reason]],tblReasons[Reason],0)),""))</f>
        <v>Labour</v>
      </c>
      <c r="K172" s="37">
        <f>IF(tblDowntime[[#This Row],[Date]]="","",IFERROR(INDEX(tblMachines[Loss rate (per h)],MATCH(tblDowntime[[#This Row],[Machine]],tblMachines[Machine],0)),""))</f>
        <v>260</v>
      </c>
      <c r="L172" s="39">
        <f>IF(tblDowntime[[#This Row],[Date]]="","",IF(OR(tblDowntime[[#This Row],[Minutes]]="",tblDowntime[[#This Row],[Loss rate]]=""),"",tblDowntime[[#This Row],[Minutes]]/60*tblDowntime[[#This Row],[Loss rate]]))</f>
        <v>86.6666666666667</v>
      </c>
      <c r="M172" s="33">
        <v>0</v>
      </c>
      <c r="N172" s="39">
        <f>IF(tblDowntime[[#This Row],[Date]]="","",IF(tblDowntime[[#This Row],[Production loss]]="","",tblDowntime[[#This Row],[Production loss]]+N(tblDowntime[[#This Row],[Repair cost]])))</f>
        <v>86.6666666666667</v>
      </c>
      <c r="O172" s="40">
        <f>IF(tblDowntime[[#This Row],[Date]]="","",tblDowntime[[#This Row],[Date]]-WEEKDAY(tblDowntime[[#This Row],[Date]],2)+1)</f>
        <v>46300</v>
      </c>
      <c r="P172" s="40">
        <f>IF(tblDowntime[[#This Row],[Date]]="","",IF(AND(tblDowntime[[#This Row],[Date]]&gt;=FFrom,tblDowntime[[#This Row],[Date]]&lt;=FTo,OR(DashMachine="",tblDowntime[[#This Row],[Machine]]=DashMachine)),tblDowntime[[#This Row],[Date]],""))</f>
        <v>46302</v>
      </c>
      <c r="Q172"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2" s="42" t="s">
        <v>140</v>
      </c>
    </row>
    <row r="173" spans="2:18" x14ac:dyDescent="0.25">
      <c r="B173" s="35">
        <v>46303</v>
      </c>
      <c r="C173" s="28" t="s">
        <v>92</v>
      </c>
      <c r="D173" s="28" t="s">
        <v>87</v>
      </c>
      <c r="E173" s="28" t="s">
        <v>122</v>
      </c>
      <c r="F173" s="36">
        <v>0.2777777777777778</v>
      </c>
      <c r="G173" s="36">
        <v>0.2847222222222222</v>
      </c>
      <c r="H173" s="37">
        <f>IF(tblDowntime[[#This Row],[Date]]="","",IF(OR(tblDowntime[[#This Row],[Start]]="",tblDowntime[[#This Row],[End]]=""),"",ROUND(MOD(tblDowntime[[#This Row],[End]]-tblDowntime[[#This Row],[Start]],1)*1440,0)))</f>
        <v>10</v>
      </c>
      <c r="I173" s="38" t="str">
        <f>IF(tblDowntime[[#This Row],[Date]]="","",IFERROR(INDEX(tblReasons[Type],MATCH(tblDowntime[[#This Row],[Reason]],tblReasons[Reason],0)),""))</f>
        <v>Unplanned</v>
      </c>
      <c r="J173" s="38" t="str">
        <f>IF(tblDowntime[[#This Row],[Date]]="","",IFERROR(INDEX(tblReasons[Loss category],MATCH(tblDowntime[[#This Row],[Reason]],tblReasons[Reason],0)),""))</f>
        <v>Labour</v>
      </c>
      <c r="K173" s="37">
        <f>IF(tblDowntime[[#This Row],[Date]]="","",IFERROR(INDEX(tblMachines[Loss rate (per h)],MATCH(tblDowntime[[#This Row],[Machine]],tblMachines[Machine],0)),""))</f>
        <v>260</v>
      </c>
      <c r="L173" s="39">
        <f>IF(tblDowntime[[#This Row],[Date]]="","",IF(OR(tblDowntime[[#This Row],[Minutes]]="",tblDowntime[[#This Row],[Loss rate]]=""),"",tblDowntime[[#This Row],[Minutes]]/60*tblDowntime[[#This Row],[Loss rate]]))</f>
        <v>43.3333333333333</v>
      </c>
      <c r="M173" s="33">
        <v>0</v>
      </c>
      <c r="N173" s="39">
        <f>IF(tblDowntime[[#This Row],[Date]]="","",IF(tblDowntime[[#This Row],[Production loss]]="","",tblDowntime[[#This Row],[Production loss]]+N(tblDowntime[[#This Row],[Repair cost]])))</f>
        <v>43.3333333333333</v>
      </c>
      <c r="O173" s="40">
        <f>IF(tblDowntime[[#This Row],[Date]]="","",tblDowntime[[#This Row],[Date]]-WEEKDAY(tblDowntime[[#This Row],[Date]],2)+1)</f>
        <v>46300</v>
      </c>
      <c r="P173" s="40">
        <f>IF(tblDowntime[[#This Row],[Date]]="","",IF(AND(tblDowntime[[#This Row],[Date]]&gt;=FFrom,tblDowntime[[#This Row],[Date]]&lt;=FTo,OR(DashMachine="",tblDowntime[[#This Row],[Machine]]=DashMachine)),tblDowntime[[#This Row],[Date]],""))</f>
        <v>46303</v>
      </c>
      <c r="Q173"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3" s="42" t="s">
        <v>140</v>
      </c>
    </row>
    <row r="174" spans="2:18" x14ac:dyDescent="0.25">
      <c r="B174" s="35">
        <v>46303</v>
      </c>
      <c r="C174" s="28" t="s">
        <v>92</v>
      </c>
      <c r="D174" s="28" t="s">
        <v>81</v>
      </c>
      <c r="E174" s="28" t="s">
        <v>98</v>
      </c>
      <c r="F174" s="36">
        <v>0.3472222222222222</v>
      </c>
      <c r="G174" s="36">
        <v>0.375</v>
      </c>
      <c r="H174" s="37">
        <f>IF(tblDowntime[[#This Row],[Date]]="","",IF(OR(tblDowntime[[#This Row],[Start]]="",tblDowntime[[#This Row],[End]]=""),"",ROUND(MOD(tblDowntime[[#This Row],[End]]-tblDowntime[[#This Row],[Start]],1)*1440,0)))</f>
        <v>40</v>
      </c>
      <c r="I174" s="38" t="str">
        <f>IF(tblDowntime[[#This Row],[Date]]="","",IFERROR(INDEX(tblReasons[Type],MATCH(tblDowntime[[#This Row],[Reason]],tblReasons[Reason],0)),""))</f>
        <v>Planned</v>
      </c>
      <c r="J174" s="38" t="str">
        <f>IF(tblDowntime[[#This Row],[Date]]="","",IFERROR(INDEX(tblReasons[Loss category],MATCH(tblDowntime[[#This Row],[Reason]],tblReasons[Reason],0)),""))</f>
        <v>Changeover</v>
      </c>
      <c r="K174" s="37">
        <f>IF(tblDowntime[[#This Row],[Date]]="","",IFERROR(INDEX(tblMachines[Loss rate (per h)],MATCH(tblDowntime[[#This Row],[Machine]],tblMachines[Machine],0)),""))</f>
        <v>950</v>
      </c>
      <c r="L174" s="39">
        <f>IF(tblDowntime[[#This Row],[Date]]="","",IF(OR(tblDowntime[[#This Row],[Minutes]]="",tblDowntime[[#This Row],[Loss rate]]=""),"",tblDowntime[[#This Row],[Minutes]]/60*tblDowntime[[#This Row],[Loss rate]]))</f>
        <v>633.333333333333</v>
      </c>
      <c r="M174" s="33">
        <v>0</v>
      </c>
      <c r="N174" s="39">
        <f>IF(tblDowntime[[#This Row],[Date]]="","",IF(tblDowntime[[#This Row],[Production loss]]="","",tblDowntime[[#This Row],[Production loss]]+N(tblDowntime[[#This Row],[Repair cost]])))</f>
        <v>633.333333333333</v>
      </c>
      <c r="O174" s="40">
        <f>IF(tblDowntime[[#This Row],[Date]]="","",tblDowntime[[#This Row],[Date]]-WEEKDAY(tblDowntime[[#This Row],[Date]],2)+1)</f>
        <v>46300</v>
      </c>
      <c r="P174" s="40">
        <f>IF(tblDowntime[[#This Row],[Date]]="","",IF(AND(tblDowntime[[#This Row],[Date]]&gt;=FFrom,tblDowntime[[#This Row],[Date]]&lt;=FTo,OR(DashMachine="",tblDowntime[[#This Row],[Machine]]=DashMachine)),tblDowntime[[#This Row],[Date]],""))</f>
        <v>46303</v>
      </c>
      <c r="Q174"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4" s="42" t="s">
        <v>139</v>
      </c>
    </row>
    <row r="175" spans="2:18" x14ac:dyDescent="0.25">
      <c r="B175" s="35">
        <v>46303</v>
      </c>
      <c r="C175" s="28" t="s">
        <v>95</v>
      </c>
      <c r="D175" s="28" t="s">
        <v>83</v>
      </c>
      <c r="E175" s="28" t="s">
        <v>116</v>
      </c>
      <c r="F175" s="36">
        <v>0.6388888888888888</v>
      </c>
      <c r="G175" s="36">
        <v>0.65625</v>
      </c>
      <c r="H175" s="37">
        <f>IF(tblDowntime[[#This Row],[Date]]="","",IF(OR(tblDowntime[[#This Row],[Start]]="",tblDowntime[[#This Row],[End]]=""),"",ROUND(MOD(tblDowntime[[#This Row],[End]]-tblDowntime[[#This Row],[Start]],1)*1440,0)))</f>
        <v>25</v>
      </c>
      <c r="I175" s="38" t="str">
        <f>IF(tblDowntime[[#This Row],[Date]]="","",IFERROR(INDEX(tblReasons[Type],MATCH(tblDowntime[[#This Row],[Reason]],tblReasons[Reason],0)),""))</f>
        <v>Unplanned</v>
      </c>
      <c r="J175" s="38" t="str">
        <f>IF(tblDowntime[[#This Row],[Date]]="","",IFERROR(INDEX(tblReasons[Loss category],MATCH(tblDowntime[[#This Row],[Reason]],tblReasons[Reason],0)),""))</f>
        <v>Material</v>
      </c>
      <c r="K175" s="37">
        <f>IF(tblDowntime[[#This Row],[Date]]="","",IFERROR(INDEX(tblMachines[Loss rate (per h)],MATCH(tblDowntime[[#This Row],[Machine]],tblMachines[Machine],0)),""))</f>
        <v>620</v>
      </c>
      <c r="L175" s="39">
        <f>IF(tblDowntime[[#This Row],[Date]]="","",IF(OR(tblDowntime[[#This Row],[Minutes]]="",tblDowntime[[#This Row],[Loss rate]]=""),"",tblDowntime[[#This Row],[Minutes]]/60*tblDowntime[[#This Row],[Loss rate]]))</f>
        <v>258.333333333333</v>
      </c>
      <c r="M175" s="33">
        <v>0</v>
      </c>
      <c r="N175" s="39">
        <f>IF(tblDowntime[[#This Row],[Date]]="","",IF(tblDowntime[[#This Row],[Production loss]]="","",tblDowntime[[#This Row],[Production loss]]+N(tblDowntime[[#This Row],[Repair cost]])))</f>
        <v>258.333333333333</v>
      </c>
      <c r="O175" s="40">
        <f>IF(tblDowntime[[#This Row],[Date]]="","",tblDowntime[[#This Row],[Date]]-WEEKDAY(tblDowntime[[#This Row],[Date]],2)+1)</f>
        <v>46300</v>
      </c>
      <c r="P175" s="40">
        <f>IF(tblDowntime[[#This Row],[Date]]="","",IF(AND(tblDowntime[[#This Row],[Date]]&gt;=FFrom,tblDowntime[[#This Row],[Date]]&lt;=FTo,OR(DashMachine="",tblDowntime[[#This Row],[Machine]]=DashMachine)),tblDowntime[[#This Row],[Date]],""))</f>
        <v>46303</v>
      </c>
      <c r="Q175"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5" s="42" t="s">
        <v>140</v>
      </c>
    </row>
    <row r="176" spans="2:18" x14ac:dyDescent="0.25">
      <c r="B176" s="35">
        <v>46303</v>
      </c>
      <c r="C176" s="28" t="s">
        <v>95</v>
      </c>
      <c r="D176" s="28" t="s">
        <v>81</v>
      </c>
      <c r="E176" s="28" t="s">
        <v>116</v>
      </c>
      <c r="F176" s="36">
        <v>0.7222222222222222</v>
      </c>
      <c r="G176" s="36">
        <v>0.7326388888888888</v>
      </c>
      <c r="H176" s="37">
        <f>IF(tblDowntime[[#This Row],[Date]]="","",IF(OR(tblDowntime[[#This Row],[Start]]="",tblDowntime[[#This Row],[End]]=""),"",ROUND(MOD(tblDowntime[[#This Row],[End]]-tblDowntime[[#This Row],[Start]],1)*1440,0)))</f>
        <v>15</v>
      </c>
      <c r="I176" s="38" t="str">
        <f>IF(tblDowntime[[#This Row],[Date]]="","",IFERROR(INDEX(tblReasons[Type],MATCH(tblDowntime[[#This Row],[Reason]],tblReasons[Reason],0)),""))</f>
        <v>Unplanned</v>
      </c>
      <c r="J176" s="38" t="str">
        <f>IF(tblDowntime[[#This Row],[Date]]="","",IFERROR(INDEX(tblReasons[Loss category],MATCH(tblDowntime[[#This Row],[Reason]],tblReasons[Reason],0)),""))</f>
        <v>Material</v>
      </c>
      <c r="K176" s="37">
        <f>IF(tblDowntime[[#This Row],[Date]]="","",IFERROR(INDEX(tblMachines[Loss rate (per h)],MATCH(tblDowntime[[#This Row],[Machine]],tblMachines[Machine],0)),""))</f>
        <v>950</v>
      </c>
      <c r="L176" s="39">
        <f>IF(tblDowntime[[#This Row],[Date]]="","",IF(OR(tblDowntime[[#This Row],[Minutes]]="",tblDowntime[[#This Row],[Loss rate]]=""),"",tblDowntime[[#This Row],[Minutes]]/60*tblDowntime[[#This Row],[Loss rate]]))</f>
        <v>237.5</v>
      </c>
      <c r="M176" s="33">
        <v>0</v>
      </c>
      <c r="N176" s="39">
        <f>IF(tblDowntime[[#This Row],[Date]]="","",IF(tblDowntime[[#This Row],[Production loss]]="","",tblDowntime[[#This Row],[Production loss]]+N(tblDowntime[[#This Row],[Repair cost]])))</f>
        <v>237.5</v>
      </c>
      <c r="O176" s="40">
        <f>IF(tblDowntime[[#This Row],[Date]]="","",tblDowntime[[#This Row],[Date]]-WEEKDAY(tblDowntime[[#This Row],[Date]],2)+1)</f>
        <v>46300</v>
      </c>
      <c r="P176" s="40">
        <f>IF(tblDowntime[[#This Row],[Date]]="","",IF(AND(tblDowntime[[#This Row],[Date]]&gt;=FFrom,tblDowntime[[#This Row],[Date]]&lt;=FTo,OR(DashMachine="",tblDowntime[[#This Row],[Machine]]=DashMachine)),tblDowntime[[#This Row],[Date]],""))</f>
        <v>46303</v>
      </c>
      <c r="Q176"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6" s="42" t="s">
        <v>140</v>
      </c>
    </row>
    <row r="177" spans="2:18" x14ac:dyDescent="0.25">
      <c r="B177" s="35">
        <v>46304</v>
      </c>
      <c r="C177" s="28" t="s">
        <v>92</v>
      </c>
      <c r="D177" s="28" t="s">
        <v>83</v>
      </c>
      <c r="E177" s="28" t="s">
        <v>98</v>
      </c>
      <c r="F177" s="36">
        <v>0.2916666666666667</v>
      </c>
      <c r="G177" s="36">
        <v>0.3159722222222222</v>
      </c>
      <c r="H177" s="37">
        <f>IF(tblDowntime[[#This Row],[Date]]="","",IF(OR(tblDowntime[[#This Row],[Start]]="",tblDowntime[[#This Row],[End]]=""),"",ROUND(MOD(tblDowntime[[#This Row],[End]]-tblDowntime[[#This Row],[Start]],1)*1440,0)))</f>
        <v>35</v>
      </c>
      <c r="I177" s="38" t="str">
        <f>IF(tblDowntime[[#This Row],[Date]]="","",IFERROR(INDEX(tblReasons[Type],MATCH(tblDowntime[[#This Row],[Reason]],tblReasons[Reason],0)),""))</f>
        <v>Planned</v>
      </c>
      <c r="J177" s="38" t="str">
        <f>IF(tblDowntime[[#This Row],[Date]]="","",IFERROR(INDEX(tblReasons[Loss category],MATCH(tblDowntime[[#This Row],[Reason]],tblReasons[Reason],0)),""))</f>
        <v>Changeover</v>
      </c>
      <c r="K177" s="37">
        <f>IF(tblDowntime[[#This Row],[Date]]="","",IFERROR(INDEX(tblMachines[Loss rate (per h)],MATCH(tblDowntime[[#This Row],[Machine]],tblMachines[Machine],0)),""))</f>
        <v>620</v>
      </c>
      <c r="L177" s="39">
        <f>IF(tblDowntime[[#This Row],[Date]]="","",IF(OR(tblDowntime[[#This Row],[Minutes]]="",tblDowntime[[#This Row],[Loss rate]]=""),"",tblDowntime[[#This Row],[Minutes]]/60*tblDowntime[[#This Row],[Loss rate]]))</f>
        <v>361.666666666667</v>
      </c>
      <c r="M177" s="33">
        <v>0</v>
      </c>
      <c r="N177" s="39">
        <f>IF(tblDowntime[[#This Row],[Date]]="","",IF(tblDowntime[[#This Row],[Production loss]]="","",tblDowntime[[#This Row],[Production loss]]+N(tblDowntime[[#This Row],[Repair cost]])))</f>
        <v>361.666666666667</v>
      </c>
      <c r="O177" s="40">
        <f>IF(tblDowntime[[#This Row],[Date]]="","",tblDowntime[[#This Row],[Date]]-WEEKDAY(tblDowntime[[#This Row],[Date]],2)+1)</f>
        <v>46300</v>
      </c>
      <c r="P177" s="40">
        <f>IF(tblDowntime[[#This Row],[Date]]="","",IF(AND(tblDowntime[[#This Row],[Date]]&gt;=FFrom,tblDowntime[[#This Row],[Date]]&lt;=FTo,OR(DashMachine="",tblDowntime[[#This Row],[Machine]]=DashMachine)),tblDowntime[[#This Row],[Date]],""))</f>
        <v>46304</v>
      </c>
      <c r="Q177"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7" s="42" t="s">
        <v>139</v>
      </c>
    </row>
    <row r="178" spans="2:18" x14ac:dyDescent="0.25">
      <c r="B178" s="35">
        <v>46304</v>
      </c>
      <c r="C178" s="28" t="s">
        <v>92</v>
      </c>
      <c r="D178" s="28" t="s">
        <v>83</v>
      </c>
      <c r="E178" s="28" t="s">
        <v>116</v>
      </c>
      <c r="F178" s="36">
        <v>0.34375</v>
      </c>
      <c r="G178" s="36">
        <v>0.3715277777777778</v>
      </c>
      <c r="H178" s="37">
        <f>IF(tblDowntime[[#This Row],[Date]]="","",IF(OR(tblDowntime[[#This Row],[Start]]="",tblDowntime[[#This Row],[End]]=""),"",ROUND(MOD(tblDowntime[[#This Row],[End]]-tblDowntime[[#This Row],[Start]],1)*1440,0)))</f>
        <v>40</v>
      </c>
      <c r="I178" s="38" t="str">
        <f>IF(tblDowntime[[#This Row],[Date]]="","",IFERROR(INDEX(tblReasons[Type],MATCH(tblDowntime[[#This Row],[Reason]],tblReasons[Reason],0)),""))</f>
        <v>Unplanned</v>
      </c>
      <c r="J178" s="38" t="str">
        <f>IF(tblDowntime[[#This Row],[Date]]="","",IFERROR(INDEX(tblReasons[Loss category],MATCH(tblDowntime[[#This Row],[Reason]],tblReasons[Reason],0)),""))</f>
        <v>Material</v>
      </c>
      <c r="K178" s="37">
        <f>IF(tblDowntime[[#This Row],[Date]]="","",IFERROR(INDEX(tblMachines[Loss rate (per h)],MATCH(tblDowntime[[#This Row],[Machine]],tblMachines[Machine],0)),""))</f>
        <v>620</v>
      </c>
      <c r="L178" s="39">
        <f>IF(tblDowntime[[#This Row],[Date]]="","",IF(OR(tblDowntime[[#This Row],[Minutes]]="",tblDowntime[[#This Row],[Loss rate]]=""),"",tblDowntime[[#This Row],[Minutes]]/60*tblDowntime[[#This Row],[Loss rate]]))</f>
        <v>413.333333333333</v>
      </c>
      <c r="M178" s="33">
        <v>0</v>
      </c>
      <c r="N178" s="39">
        <f>IF(tblDowntime[[#This Row],[Date]]="","",IF(tblDowntime[[#This Row],[Production loss]]="","",tblDowntime[[#This Row],[Production loss]]+N(tblDowntime[[#This Row],[Repair cost]])))</f>
        <v>413.333333333333</v>
      </c>
      <c r="O178" s="40">
        <f>IF(tblDowntime[[#This Row],[Date]]="","",tblDowntime[[#This Row],[Date]]-WEEKDAY(tblDowntime[[#This Row],[Date]],2)+1)</f>
        <v>46300</v>
      </c>
      <c r="P178" s="40">
        <f>IF(tblDowntime[[#This Row],[Date]]="","",IF(AND(tblDowntime[[#This Row],[Date]]&gt;=FFrom,tblDowntime[[#This Row],[Date]]&lt;=FTo,OR(DashMachine="",tblDowntime[[#This Row],[Machine]]=DashMachine)),tblDowntime[[#This Row],[Date]],""))</f>
        <v>46304</v>
      </c>
      <c r="Q178"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8" s="42" t="s">
        <v>140</v>
      </c>
    </row>
    <row r="179" spans="2:18" x14ac:dyDescent="0.25">
      <c r="B179" s="35">
        <v>46304</v>
      </c>
      <c r="C179" s="28" t="s">
        <v>92</v>
      </c>
      <c r="D179" s="28" t="s">
        <v>81</v>
      </c>
      <c r="E179" s="28" t="s">
        <v>98</v>
      </c>
      <c r="F179" s="36">
        <v>0.2777777777777778</v>
      </c>
      <c r="G179" s="36">
        <v>0.3055555555555556</v>
      </c>
      <c r="H179" s="37">
        <f>IF(tblDowntime[[#This Row],[Date]]="","",IF(OR(tblDowntime[[#This Row],[Start]]="",tblDowntime[[#This Row],[End]]=""),"",ROUND(MOD(tblDowntime[[#This Row],[End]]-tblDowntime[[#This Row],[Start]],1)*1440,0)))</f>
        <v>40</v>
      </c>
      <c r="I179" s="38" t="str">
        <f>IF(tblDowntime[[#This Row],[Date]]="","",IFERROR(INDEX(tblReasons[Type],MATCH(tblDowntime[[#This Row],[Reason]],tblReasons[Reason],0)),""))</f>
        <v>Planned</v>
      </c>
      <c r="J179" s="38" t="str">
        <f>IF(tblDowntime[[#This Row],[Date]]="","",IFERROR(INDEX(tblReasons[Loss category],MATCH(tblDowntime[[#This Row],[Reason]],tblReasons[Reason],0)),""))</f>
        <v>Changeover</v>
      </c>
      <c r="K179" s="37">
        <f>IF(tblDowntime[[#This Row],[Date]]="","",IFERROR(INDEX(tblMachines[Loss rate (per h)],MATCH(tblDowntime[[#This Row],[Machine]],tblMachines[Machine],0)),""))</f>
        <v>950</v>
      </c>
      <c r="L179" s="39">
        <f>IF(tblDowntime[[#This Row],[Date]]="","",IF(OR(tblDowntime[[#This Row],[Minutes]]="",tblDowntime[[#This Row],[Loss rate]]=""),"",tblDowntime[[#This Row],[Minutes]]/60*tblDowntime[[#This Row],[Loss rate]]))</f>
        <v>633.333333333333</v>
      </c>
      <c r="M179" s="33">
        <v>0</v>
      </c>
      <c r="N179" s="39">
        <f>IF(tblDowntime[[#This Row],[Date]]="","",IF(tblDowntime[[#This Row],[Production loss]]="","",tblDowntime[[#This Row],[Production loss]]+N(tblDowntime[[#This Row],[Repair cost]])))</f>
        <v>633.333333333333</v>
      </c>
      <c r="O179" s="40">
        <f>IF(tblDowntime[[#This Row],[Date]]="","",tblDowntime[[#This Row],[Date]]-WEEKDAY(tblDowntime[[#This Row],[Date]],2)+1)</f>
        <v>46300</v>
      </c>
      <c r="P179" s="40">
        <f>IF(tblDowntime[[#This Row],[Date]]="","",IF(AND(tblDowntime[[#This Row],[Date]]&gt;=FFrom,tblDowntime[[#This Row],[Date]]&lt;=FTo,OR(DashMachine="",tblDowntime[[#This Row],[Machine]]=DashMachine)),tblDowntime[[#This Row],[Date]],""))</f>
        <v>46304</v>
      </c>
      <c r="Q179"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79" s="42" t="s">
        <v>139</v>
      </c>
    </row>
    <row r="180" spans="2:18" x14ac:dyDescent="0.25">
      <c r="B180" s="35">
        <v>46304</v>
      </c>
      <c r="C180" s="28" t="s">
        <v>95</v>
      </c>
      <c r="D180" s="28" t="s">
        <v>85</v>
      </c>
      <c r="E180" s="28" t="s">
        <v>122</v>
      </c>
      <c r="F180" s="36">
        <v>0.7361111111111112</v>
      </c>
      <c r="G180" s="36">
        <v>0.7465277777777778</v>
      </c>
      <c r="H180" s="37">
        <f>IF(tblDowntime[[#This Row],[Date]]="","",IF(OR(tblDowntime[[#This Row],[Start]]="",tblDowntime[[#This Row],[End]]=""),"",ROUND(MOD(tblDowntime[[#This Row],[End]]-tblDowntime[[#This Row],[Start]],1)*1440,0)))</f>
        <v>15</v>
      </c>
      <c r="I180" s="38" t="str">
        <f>IF(tblDowntime[[#This Row],[Date]]="","",IFERROR(INDEX(tblReasons[Type],MATCH(tblDowntime[[#This Row],[Reason]],tblReasons[Reason],0)),""))</f>
        <v>Unplanned</v>
      </c>
      <c r="J180" s="38" t="str">
        <f>IF(tblDowntime[[#This Row],[Date]]="","",IFERROR(INDEX(tblReasons[Loss category],MATCH(tblDowntime[[#This Row],[Reason]],tblReasons[Reason],0)),""))</f>
        <v>Labour</v>
      </c>
      <c r="K180" s="37">
        <f>IF(tblDowntime[[#This Row],[Date]]="","",IFERROR(INDEX(tblMachines[Loss rate (per h)],MATCH(tblDowntime[[#This Row],[Machine]],tblMachines[Machine],0)),""))</f>
        <v>480</v>
      </c>
      <c r="L180" s="39">
        <f>IF(tblDowntime[[#This Row],[Date]]="","",IF(OR(tblDowntime[[#This Row],[Minutes]]="",tblDowntime[[#This Row],[Loss rate]]=""),"",tblDowntime[[#This Row],[Minutes]]/60*tblDowntime[[#This Row],[Loss rate]]))</f>
        <v>120</v>
      </c>
      <c r="M180" s="33">
        <v>0</v>
      </c>
      <c r="N180" s="39">
        <f>IF(tblDowntime[[#This Row],[Date]]="","",IF(tblDowntime[[#This Row],[Production loss]]="","",tblDowntime[[#This Row],[Production loss]]+N(tblDowntime[[#This Row],[Repair cost]])))</f>
        <v>120</v>
      </c>
      <c r="O180" s="40">
        <f>IF(tblDowntime[[#This Row],[Date]]="","",tblDowntime[[#This Row],[Date]]-WEEKDAY(tblDowntime[[#This Row],[Date]],2)+1)</f>
        <v>46300</v>
      </c>
      <c r="P180" s="40">
        <f>IF(tblDowntime[[#This Row],[Date]]="","",IF(AND(tblDowntime[[#This Row],[Date]]&gt;=FFrom,tblDowntime[[#This Row],[Date]]&lt;=FTo,OR(DashMachine="",tblDowntime[[#This Row],[Machine]]=DashMachine)),tblDowntime[[#This Row],[Date]],""))</f>
        <v>46304</v>
      </c>
      <c r="Q180"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80" s="42" t="s">
        <v>140</v>
      </c>
    </row>
    <row r="181" spans="2:18" x14ac:dyDescent="0.25">
      <c r="B181" s="35">
        <v>46304</v>
      </c>
      <c r="C181" s="28" t="s">
        <v>95</v>
      </c>
      <c r="D181" s="28" t="s">
        <v>87</v>
      </c>
      <c r="E181" s="28" t="s">
        <v>122</v>
      </c>
      <c r="F181" s="36">
        <v>0.6944444444444444</v>
      </c>
      <c r="G181" s="36">
        <v>0.7083333333333334</v>
      </c>
      <c r="H181" s="37">
        <f>IF(tblDowntime[[#This Row],[Date]]="","",IF(OR(tblDowntime[[#This Row],[Start]]="",tblDowntime[[#This Row],[End]]=""),"",ROUND(MOD(tblDowntime[[#This Row],[End]]-tblDowntime[[#This Row],[Start]],1)*1440,0)))</f>
        <v>20</v>
      </c>
      <c r="I181" s="38" t="str">
        <f>IF(tblDowntime[[#This Row],[Date]]="","",IFERROR(INDEX(tblReasons[Type],MATCH(tblDowntime[[#This Row],[Reason]],tblReasons[Reason],0)),""))</f>
        <v>Unplanned</v>
      </c>
      <c r="J181" s="38" t="str">
        <f>IF(tblDowntime[[#This Row],[Date]]="","",IFERROR(INDEX(tblReasons[Loss category],MATCH(tblDowntime[[#This Row],[Reason]],tblReasons[Reason],0)),""))</f>
        <v>Labour</v>
      </c>
      <c r="K181" s="37">
        <f>IF(tblDowntime[[#This Row],[Date]]="","",IFERROR(INDEX(tblMachines[Loss rate (per h)],MATCH(tblDowntime[[#This Row],[Machine]],tblMachines[Machine],0)),""))</f>
        <v>260</v>
      </c>
      <c r="L181" s="39">
        <f>IF(tblDowntime[[#This Row],[Date]]="","",IF(OR(tblDowntime[[#This Row],[Minutes]]="",tblDowntime[[#This Row],[Loss rate]]=""),"",tblDowntime[[#This Row],[Minutes]]/60*tblDowntime[[#This Row],[Loss rate]]))</f>
        <v>86.6666666666667</v>
      </c>
      <c r="M181" s="33">
        <v>0</v>
      </c>
      <c r="N181" s="39">
        <f>IF(tblDowntime[[#This Row],[Date]]="","",IF(tblDowntime[[#This Row],[Production loss]]="","",tblDowntime[[#This Row],[Production loss]]+N(tblDowntime[[#This Row],[Repair cost]])))</f>
        <v>86.6666666666667</v>
      </c>
      <c r="O181" s="40">
        <f>IF(tblDowntime[[#This Row],[Date]]="","",tblDowntime[[#This Row],[Date]]-WEEKDAY(tblDowntime[[#This Row],[Date]],2)+1)</f>
        <v>46300</v>
      </c>
      <c r="P181" s="40">
        <f>IF(tblDowntime[[#This Row],[Date]]="","",IF(AND(tblDowntime[[#This Row],[Date]]&gt;=FFrom,tblDowntime[[#This Row],[Date]]&lt;=FTo,OR(DashMachine="",tblDowntime[[#This Row],[Machine]]=DashMachine)),tblDowntime[[#This Row],[Date]],""))</f>
        <v>46304</v>
      </c>
      <c r="Q181" s="41" t="str">
        <f>IF(tblDowntime[[#This Row],[Date]]="","",IF(tblDowntime[[#This Row],[Shift]]="","Missing shift",IF(tblDowntime[[#This Row],[Machine]]="","Missing machine",IF(tblDowntime[[#This Row],[Reason]]="","Missing reason",IF(tblDowntime[[#This Row],[Start]]="","Missing start",IF(tblDowntime[[#This Row],[End]]="","Missing end",IF(tblDowntime[[#This Row],[Type]]="","Reason not on Setup list",IF(tblDowntime[[#This Row],[Loss rate]]="","Machine not on Setup list",IF(tblDowntime[[#This Row],[Minutes]]=0,"Zero-length stop",IF(tblDowntime[[#This Row],[Minutes]]&gt;720,"Over 12 h: check start and end",IF(COUNTIFS(tblDowntime[Date],tblDowntime[[#This Row],[Date]],tblDowntime[Machine],tblDowntime[[#This Row],[Machine]],tblDowntime[Start],tblDowntime[[#This Row],[Start]])&gt;1,"Duplicate stop","OK")))))))))))</f>
        <v>OK</v>
      </c>
      <c r="R181" s="42" t="s">
        <v>140</v>
      </c>
    </row>
  </sheetData>
  <mergeCells count="3">
    <mergeCell ref="A1:R1"/>
    <mergeCell ref="B2:Q2"/>
    <mergeCell ref="B4:R4"/>
  </mergeCells>
  <conditionalFormatting sqref="N7:N681">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Q7:Q681">
    <cfRule type="expression" dxfId="3" priority="2">
      <formula>$Q7="OK"</formula>
    </cfRule>
    <cfRule type="expression" dxfId="1" priority="3">
      <formula>AND($Q7&lt;&gt;"",$Q7&lt;&gt;"OK")</formula>
    </cfRule>
  </conditionalFormatting>
  <dataValidations count="8">
    <dataValidation type="date" allowBlank="1" showInputMessage="1" showErrorMessage="1" errorTitle="Check this entry" error="Enter a date between 01 Jan 2000 and 31 Dec 2100." promptTitle="Date" prompt="The date the stop started. Enter a date between 01 Jan 2000 and 31 Dec 2100." sqref="B7:B681">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7:C681">
      <formula1>ShiftList</formula1>
    </dataValidation>
    <dataValidation type="list" allowBlank="1" showInputMessage="1" showErrorMessage="1" errorTitle="Check this entry" error="Pick from the list (edit the list on Setup: Machines)." promptTitle="Machine" prompt="Pick from the list (edit the list on Setup: Machines)." sqref="D7:D681">
      <formula1>Machines</formula1>
    </dataValidation>
    <dataValidation type="list" allowBlank="1" showInputMessage="1" showErrorMessage="1" errorTitle="Check this entry" error="Pick from the list (edit the list on Setup: Reasons)." promptTitle="Reason" prompt="Pick from the list (edit the list on Setup: Reasons)." sqref="E7:E681">
      <formula1>Reasons</formula1>
    </dataValidation>
    <dataValidation type="time" allowBlank="1" showInputMessage="1" showErrorMessage="1" errorTitle="Check this entry" error="Enter a time of day, e.g. 06:00." promptTitle="Start" prompt="Clock time the machine stopped (hh:mm). Enter a time of day, e.g. 06:00." sqref="F7:F681">
      <formula1>0</formula1>
      <formula2>0.999988425925926</formula2>
    </dataValidation>
    <dataValidation type="time" allowBlank="1" showInputMessage="1" showErrorMessage="1" errorTitle="Check this entry" error="Enter a time of day, e.g. 06:00." promptTitle="End" prompt="Clock time it was running again (hh:mm). An end earlier than the start is read as the next day. Enter a time of day, e.g. 06:00." sqref="G7:G681">
      <formula1>0</formula1>
      <formula2>0.999988425925926</formula2>
    </dataValidation>
    <dataValidation type="decimal" allowBlank="1" showInputMessage="1" showErrorMessage="1" errorTitle="Check this entry" error="Enter a number from 0 to 100,000,000." promptTitle="Repair cost" prompt="Parts, outside labour, call-out and recovery charges for this stop. 0 or blank when there were none. Enter a number from 0 to 100,000,000." sqref="M7:M681">
      <formula1>0</formula1>
      <formula2>100000000.0</formula2>
    </dataValidation>
    <dataValidation type="textLength" allowBlank="1" showInputMessage="1" showErrorMessage="1" errorTitle="Check this entry" error="Text up to 255 characters." promptTitle="Notes" prompt="Text up to 255 characters." sqref="R7:R681">
      <formula1>0</formula1>
      <formula2>255</formula2>
    </dataValidation>
  </dataValidations>
  <hyperlinks>
    <hyperlink ref="R2" r:id="rId1" tooltip="Free manufacturing calculators and templates"/>
  </hyperlinks>
  <pageMargins left="0.4" right="0.4" top="0.7" bottom="0.65" header="0.3" footer="0.3"/>
  <pageSetup fitToHeight="0" orientation="landscape"/>
  <headerFooter>
    <oddHeader>&amp;L&amp;8MFG Calcs - Downtime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N7:N681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10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27" t="s">
        <v>60</v>
      </c>
      <c r="C4" s="28"/>
      <c r="D4" s="28"/>
      <c r="F4" s="27" t="s">
        <v>142</v>
      </c>
      <c r="G4" s="43"/>
      <c r="H4" s="43"/>
      <c r="J4" s="27" t="s">
        <v>143</v>
      </c>
      <c r="K4" s="43"/>
      <c r="L4" s="43"/>
    </row>
    <row r="5" spans="1:12" x14ac:dyDescent="0.25">
      <c r="B5" s="44" t="str">
        <f>"Showing "&amp;COUNTIFS(tblDowntime[View date],"&gt;0")&amp;" stops for "&amp;IF(DashMachine="","all machines",DashMachine)&amp;". Leave the filters blank to include everything; dates are inclusive."</f>
        <v>Showing 175 stops for all machines. Leave the filters blank to include everything; dates are inclusive.</v>
      </c>
      <c r="C5" s="44"/>
      <c r="D5" s="44"/>
      <c r="E5" s="44"/>
      <c r="F5" s="44"/>
      <c r="G5" s="44"/>
      <c r="H5" s="44"/>
      <c r="I5" s="44"/>
      <c r="J5" s="44"/>
      <c r="K5" s="44"/>
      <c r="L5" s="44"/>
    </row>
    <row r="7" spans="1:12" ht="18" customHeight="1" x14ac:dyDescent="0.25">
      <c r="B7" s="45" t="s">
        <v>144</v>
      </c>
      <c r="C7" s="45"/>
      <c r="D7" s="45" t="s">
        <v>145</v>
      </c>
      <c r="E7" s="45"/>
      <c r="F7" s="45"/>
      <c r="G7" s="45" t="s">
        <v>146</v>
      </c>
      <c r="H7" s="45"/>
      <c r="I7" s="45"/>
      <c r="J7" s="45" t="str">
        <f>"UNPLANNED COST ("&amp;Currency&amp;", EST.)"</f>
        <v>UNPLANNED COST (USD, EST.)</v>
      </c>
      <c r="K7" s="45"/>
      <c r="L7" s="45"/>
    </row>
    <row r="8" spans="1:12" ht="21" customHeight="1" x14ac:dyDescent="0.25">
      <c r="B8" s="46">
        <f>SUMIFS(tblDowntime[Minutes],tblDowntime[Type],"Unplanned",tblDowntime[View date],"&gt;0")/60</f>
        <v>63.3333333333333</v>
      </c>
      <c r="C8" s="46"/>
      <c r="D8" s="46">
        <f>INDEX($D$54:$D$59,6)</f>
        <v>8.16666666666667</v>
      </c>
      <c r="E8" s="46"/>
      <c r="F8" s="46"/>
      <c r="G8" s="47">
        <f>COUNTIFS(tblDowntime[Type],"Unplanned",tblDowntime[View date],"&gt;0")</f>
        <v>126</v>
      </c>
      <c r="H8" s="47"/>
      <c r="I8" s="47"/>
      <c r="J8" s="47">
        <f>SUMIFS(tblDowntime[Total cost],tblDowntime[Type],"Unplanned",tblDowntime[View date],"&gt;0")</f>
        <v>65603.3333333333</v>
      </c>
      <c r="K8" s="47"/>
      <c r="L8" s="47"/>
    </row>
    <row r="9" spans="1:12" ht="21" customHeight="1" x14ac:dyDescent="0.25">
      <c r="B9" s="46"/>
      <c r="C9" s="46"/>
      <c r="D9" s="46"/>
      <c r="E9" s="46"/>
      <c r="F9" s="46"/>
      <c r="G9" s="47"/>
      <c r="H9" s="47"/>
      <c r="I9" s="47"/>
      <c r="J9" s="47"/>
      <c r="K9" s="47"/>
      <c r="L9" s="47"/>
    </row>
    <row r="10" spans="1:12" x14ac:dyDescent="0.25">
      <c r="B10" s="48" t="s">
        <v>147</v>
      </c>
      <c r="C10" s="48"/>
      <c r="D10" s="49">
        <f>WeeklyLimit</f>
        <v>12</v>
      </c>
      <c r="E10" s="49"/>
      <c r="F10" s="49"/>
      <c r="G10" s="48" t="s">
        <v>148</v>
      </c>
      <c r="H10" s="48"/>
      <c r="I10" s="48"/>
      <c r="J10" s="48" t="s">
        <v>149</v>
      </c>
      <c r="K10" s="48"/>
      <c r="L10" s="48"/>
    </row>
    <row r="11" spans="1:12" ht="18" customHeight="1" x14ac:dyDescent="0.25">
      <c r="B11" s="50"/>
      <c r="C11" s="50"/>
      <c r="D11" s="50" t="str">
        <f>IF(NOT(ISNUMBER(KpiLastWeek)),"No data",IF(KpiLastWeek&lt;=(WeeklyLimit*0.9),"On target",IF(KpiLastWeek&lt;=(WeeklyLimit),"Near target","Above target")))</f>
        <v>On target</v>
      </c>
      <c r="E11" s="50"/>
      <c r="F11" s="50"/>
      <c r="G11" s="50"/>
      <c r="H11" s="50"/>
      <c r="I11" s="50"/>
      <c r="J11" s="50"/>
      <c r="K11" s="50"/>
      <c r="L11" s="50"/>
    </row>
    <row r="29" spans="2:12" ht="18" customHeight="1" x14ac:dyDescent="0.25">
      <c r="B29" s="45" t="s">
        <v>150</v>
      </c>
      <c r="C29" s="45"/>
      <c r="D29" s="45" t="s">
        <v>151</v>
      </c>
      <c r="E29" s="45"/>
      <c r="F29" s="45"/>
      <c r="G29" s="45" t="s">
        <v>152</v>
      </c>
      <c r="H29" s="45"/>
      <c r="I29" s="45"/>
      <c r="J29" s="45" t="s">
        <v>153</v>
      </c>
      <c r="K29" s="45"/>
      <c r="L29" s="45"/>
    </row>
    <row r="30" spans="2:12" ht="21" customHeight="1" x14ac:dyDescent="0.25">
      <c r="B30" s="46">
        <f>SUMIFS(tblDowntime[Minutes],tblDowntime[Type],"Planned",tblDowntime[View date],"&gt;0")/60</f>
        <v>32.6666666666667</v>
      </c>
      <c r="C30" s="46"/>
      <c r="D30" s="46">
        <f>IF((COUNTIFS(tblDowntime[Type],"Unplanned",tblDowntime[View date],"&gt;0"))=0,"",(SUMIFS(tblDowntime[Minutes],tblDowntime[Type],"Unplanned",tblDowntime[View date],"&gt;0"))/(COUNTIFS(tblDowntime[Type],"Unplanned",tblDowntime[View date],"&gt;0")))</f>
        <v>30.1587301587302</v>
      </c>
      <c r="E30" s="46"/>
      <c r="F30" s="46"/>
      <c r="G30" s="51" t="str">
        <f>IF(INDEX($E$87:$E$96,1)&gt;0,INDEX($C$87:$C$96,1),"None logged")</f>
        <v>Die change</v>
      </c>
      <c r="H30" s="51"/>
      <c r="I30" s="51"/>
      <c r="J30" s="51" t="str">
        <f>IF(MAX($D$64:$D$68)&gt;0,INDEX($B$64:$B$68,MATCH(MAX($D$64:$D$68),$D$64:$D$68,0)),"None logged")</f>
        <v>PR-400</v>
      </c>
      <c r="K30" s="51"/>
      <c r="L30" s="51"/>
    </row>
    <row r="31" spans="2:12" ht="21" customHeight="1" x14ac:dyDescent="0.25">
      <c r="B31" s="46"/>
      <c r="C31" s="46"/>
      <c r="D31" s="46"/>
      <c r="E31" s="46"/>
      <c r="F31" s="46"/>
      <c r="G31" s="51"/>
      <c r="H31" s="51"/>
      <c r="I31" s="51"/>
      <c r="J31" s="51"/>
      <c r="K31" s="51"/>
      <c r="L31" s="51"/>
    </row>
    <row r="32" spans="2:12" x14ac:dyDescent="0.25">
      <c r="B32" s="48" t="s">
        <v>154</v>
      </c>
      <c r="C32" s="48"/>
      <c r="D32" s="48" t="s">
        <v>155</v>
      </c>
      <c r="E32" s="48"/>
      <c r="F32" s="48"/>
      <c r="G32" s="48" t="s">
        <v>156</v>
      </c>
      <c r="H32" s="48"/>
      <c r="I32" s="48"/>
      <c r="J32" s="48" t="s">
        <v>157</v>
      </c>
      <c r="K32" s="48"/>
      <c r="L32" s="48"/>
    </row>
    <row r="33" spans="2:12" ht="18" customHeight="1" x14ac:dyDescent="0.25">
      <c r="B33" s="50"/>
      <c r="C33" s="50"/>
      <c r="D33" s="50"/>
      <c r="E33" s="50"/>
      <c r="F33" s="50"/>
      <c r="G33" s="50"/>
      <c r="H33" s="50"/>
      <c r="I33" s="50"/>
      <c r="J33" s="50"/>
      <c r="K33" s="50"/>
      <c r="L33" s="50"/>
    </row>
    <row r="51" spans="2:9" x14ac:dyDescent="0.25">
      <c r="B51" s="30" t="s">
        <v>158</v>
      </c>
      <c r="C51" s="30"/>
      <c r="D51" s="30"/>
      <c r="E51" s="30"/>
      <c r="F51" s="30"/>
      <c r="G51" s="30"/>
      <c r="H51" s="30"/>
      <c r="I51" s="30"/>
    </row>
    <row r="52" spans="2:9" ht="32" customHeight="1" x14ac:dyDescent="0.25">
      <c r="B52" s="52" t="s">
        <v>159</v>
      </c>
      <c r="C52" s="32" t="s">
        <v>160</v>
      </c>
      <c r="D52" s="32" t="s">
        <v>161</v>
      </c>
      <c r="E52" s="32" t="s">
        <v>162</v>
      </c>
      <c r="F52" s="32" t="s">
        <v>163</v>
      </c>
      <c r="G52" s="32" t="s">
        <v>164</v>
      </c>
      <c r="H52" s="32" t="s">
        <v>165</v>
      </c>
      <c r="I52" s="32"/>
    </row>
    <row r="53" spans="2:9" ht="14" customHeight="1" x14ac:dyDescent="0.25">
      <c r="B53" s="31"/>
      <c r="C53" s="31"/>
      <c r="D53" s="31"/>
      <c r="E53" s="31"/>
      <c r="F53" s="31"/>
      <c r="G53" s="31" t="str">
        <f>Currency</f>
        <v>USD</v>
      </c>
      <c r="H53" s="31"/>
      <c r="I53" s="31"/>
    </row>
    <row r="54" spans="2:9" x14ac:dyDescent="0.25">
      <c r="B54" s="53">
        <f>IF($B$55="","",IF($B$55-1&lt;MIN(tblDowntime[View date]),"",$B$55-7))</f>
        <v>46265</v>
      </c>
      <c r="C54" s="37">
        <f>IF($B$54="","",COUNTIFS(tblDowntime[Week],$B$54,tblDowntime[View date],"&gt;0"))</f>
        <v>25</v>
      </c>
      <c r="D54" s="54">
        <f>IF($B$54="","",SUMIFS(tblDowntime[Minutes],tblDowntime[Week],$B$54,tblDowntime[Type],"Unplanned",tblDowntime[View date],"&gt;0")/60)</f>
        <v>9.33333333333333</v>
      </c>
      <c r="E54" s="54">
        <f>IF($B$54="","",SUMIFS(tblDowntime[Minutes],tblDowntime[Week],$B$54,tblDowntime[Type],"Planned",tblDowntime[View date],"&gt;0")/60)</f>
        <v>5.58333333333333</v>
      </c>
      <c r="F54" s="55">
        <f>WeeklyLimit</f>
        <v>12</v>
      </c>
      <c r="G54" s="37">
        <f>IF($B$54="","",SUMIFS(tblDowntime[Total cost],tblDowntime[Week],$B$54,tblDowntime[View date],"&gt;0"))</f>
        <v>15051.6666666667</v>
      </c>
      <c r="H54" s="38" t="str">
        <f>IF($B$54="","",IF($D$54&gt;WeeklyLimit,"Above target",IF($D$54&gt;WeeklyLimit*0.9,"Near target","On target")))</f>
        <v>On target</v>
      </c>
      <c r="I54" s="38"/>
    </row>
    <row r="55" spans="2:9" x14ac:dyDescent="0.25">
      <c r="B55" s="53">
        <f>IF($B$56="","",IF($B$56-1&lt;MIN(tblDowntime[View date]),"",$B$56-7))</f>
        <v>46272</v>
      </c>
      <c r="C55" s="37">
        <f>IF($B$55="","",COUNTIFS(tblDowntime[Week],$B$55,tblDowntime[View date],"&gt;0"))</f>
        <v>33</v>
      </c>
      <c r="D55" s="54">
        <f>IF($B$55="","",SUMIFS(tblDowntime[Minutes],tblDowntime[Week],$B$55,tblDowntime[Type],"Unplanned",tblDowntime[View date],"&gt;0")/60)</f>
        <v>9.58333333333333</v>
      </c>
      <c r="E55" s="54">
        <f>IF($B$55="","",SUMIFS(tblDowntime[Minutes],tblDowntime[Week],$B$55,tblDowntime[Type],"Planned",tblDowntime[View date],"&gt;0")/60)</f>
        <v>7.16666666666667</v>
      </c>
      <c r="F55" s="55">
        <f>WeeklyLimit</f>
        <v>12</v>
      </c>
      <c r="G55" s="37">
        <f>IF($B$55="","",SUMIFS(tblDowntime[Total cost],tblDowntime[Week],$B$55,tblDowntime[View date],"&gt;0"))</f>
        <v>13441.6666666667</v>
      </c>
      <c r="H55" s="38" t="str">
        <f>IF($B$55="","",IF($D$55&gt;WeeklyLimit,"Above target",IF($D$55&gt;WeeklyLimit*0.9,"Near target","On target")))</f>
        <v>On target</v>
      </c>
      <c r="I55" s="38"/>
    </row>
    <row r="56" spans="2:9" x14ac:dyDescent="0.25">
      <c r="B56" s="53">
        <f>IF($B$57="","",IF($B$57-1&lt;MIN(tblDowntime[View date]),"",$B$57-7))</f>
        <v>46279</v>
      </c>
      <c r="C56" s="37">
        <f>IF($B$56="","",COUNTIFS(tblDowntime[Week],$B$56,tblDowntime[View date],"&gt;0"))</f>
        <v>31</v>
      </c>
      <c r="D56" s="54">
        <f>IF($B$56="","",SUMIFS(tblDowntime[Minutes],tblDowntime[Week],$B$56,tblDowntime[Type],"Unplanned",tblDowntime[View date],"&gt;0")/60)</f>
        <v>11.8333333333333</v>
      </c>
      <c r="E56" s="54">
        <f>IF($B$56="","",SUMIFS(tblDowntime[Minutes],tblDowntime[Week],$B$56,tblDowntime[Type],"Planned",tblDowntime[View date],"&gt;0")/60)</f>
        <v>5.58333333333333</v>
      </c>
      <c r="F56" s="55">
        <f>WeeklyLimit</f>
        <v>12</v>
      </c>
      <c r="G56" s="37">
        <f>IF($B$56="","",SUMIFS(tblDowntime[Total cost],tblDowntime[Week],$B$56,tblDowntime[View date],"&gt;0"))</f>
        <v>16590.8333333333</v>
      </c>
      <c r="H56" s="38" t="str">
        <f>IF($B$56="","",IF($D$56&gt;WeeklyLimit,"Above target",IF($D$56&gt;WeeklyLimit*0.9,"Near target","On target")))</f>
        <v>Near target</v>
      </c>
      <c r="I56" s="38"/>
    </row>
    <row r="57" spans="2:9" x14ac:dyDescent="0.25">
      <c r="B57" s="53">
        <f>IF($B$58="","",IF($B$58-1&lt;MIN(tblDowntime[View date]),"",$B$58-7))</f>
        <v>46286</v>
      </c>
      <c r="C57" s="37">
        <f>IF($B$57="","",COUNTIFS(tblDowntime[Week],$B$57,tblDowntime[View date],"&gt;0"))</f>
        <v>32</v>
      </c>
      <c r="D57" s="54">
        <f>IF($B$57="","",SUMIFS(tblDowntime[Minutes],tblDowntime[Week],$B$57,tblDowntime[Type],"Unplanned",tblDowntime[View date],"&gt;0")/60)</f>
        <v>14.3333333333333</v>
      </c>
      <c r="E57" s="54">
        <f>IF($B$57="","",SUMIFS(tblDowntime[Minutes],tblDowntime[Week],$B$57,tblDowntime[Type],"Planned",tblDowntime[View date],"&gt;0")/60)</f>
        <v>5.5</v>
      </c>
      <c r="F57" s="55">
        <f>WeeklyLimit</f>
        <v>12</v>
      </c>
      <c r="G57" s="37">
        <f>IF($B$57="","",SUMIFS(tblDowntime[Total cost],tblDowntime[Week],$B$57,tblDowntime[View date],"&gt;0"))</f>
        <v>18711.6666666667</v>
      </c>
      <c r="H57" s="38" t="str">
        <f>IF($B$57="","",IF($D$57&gt;WeeklyLimit,"Above target",IF($D$57&gt;WeeklyLimit*0.9,"Near target","On target")))</f>
        <v>Above target</v>
      </c>
      <c r="I57" s="38"/>
    </row>
    <row r="58" spans="2:9" x14ac:dyDescent="0.25">
      <c r="B58" s="53">
        <f>IF($B$59="","",IF($B$59-1&lt;MIN(tblDowntime[View date]),"",$B$59-7))</f>
        <v>46293</v>
      </c>
      <c r="C58" s="37">
        <f>IF($B$58="","",COUNTIFS(tblDowntime[Week],$B$58,tblDowntime[View date],"&gt;0"))</f>
        <v>24</v>
      </c>
      <c r="D58" s="54">
        <f>IF($B$58="","",SUMIFS(tblDowntime[Minutes],tblDowntime[Week],$B$58,tblDowntime[Type],"Unplanned",tblDowntime[View date],"&gt;0")/60)</f>
        <v>10.0833333333333</v>
      </c>
      <c r="E58" s="54">
        <f>IF($B$58="","",SUMIFS(tblDowntime[Minutes],tblDowntime[Week],$B$58,tblDowntime[Type],"Planned",tblDowntime[View date],"&gt;0")/60)</f>
        <v>3.75</v>
      </c>
      <c r="F58" s="55">
        <f>WeeklyLimit</f>
        <v>12</v>
      </c>
      <c r="G58" s="37">
        <f>IF($B$58="","",SUMIFS(tblDowntime[Total cost],tblDowntime[Week],$B$58,tblDowntime[View date],"&gt;0"))</f>
        <v>13586.6666666667</v>
      </c>
      <c r="H58" s="38" t="str">
        <f>IF($B$58="","",IF($D$58&gt;WeeklyLimit,"Above target",IF($D$58&gt;WeeklyLimit*0.9,"Near target","On target")))</f>
        <v>On target</v>
      </c>
      <c r="I58" s="38"/>
    </row>
    <row r="59" spans="2:9" x14ac:dyDescent="0.25">
      <c r="B59" s="53">
        <f>IF(COUNT(tblDowntime[View date])=0,"",MAX(tblDowntime[View date])-WEEKDAY(MAX(tblDowntime[View date]),2)+1)</f>
        <v>46300</v>
      </c>
      <c r="C59" s="37">
        <f>IF($B$59="","",COUNTIFS(tblDowntime[Week],$B$59,tblDowntime[View date],"&gt;0"))</f>
        <v>30</v>
      </c>
      <c r="D59" s="54">
        <f>IF($B$59="","",SUMIFS(tblDowntime[Minutes],tblDowntime[Week],$B$59,tblDowntime[Type],"Unplanned",tblDowntime[View date],"&gt;0")/60)</f>
        <v>8.16666666666667</v>
      </c>
      <c r="E59" s="54">
        <f>IF($B$59="","",SUMIFS(tblDowntime[Minutes],tblDowntime[Week],$B$59,tblDowntime[Type],"Planned",tblDowntime[View date],"&gt;0")/60)</f>
        <v>5.08333333333333</v>
      </c>
      <c r="F59" s="55">
        <f>WeeklyLimit</f>
        <v>12</v>
      </c>
      <c r="G59" s="37">
        <f>IF($B$59="","",SUMIFS(tblDowntime[Total cost],tblDowntime[Week],$B$59,tblDowntime[View date],"&gt;0"))</f>
        <v>10639.1666666667</v>
      </c>
      <c r="H59" s="38" t="str">
        <f>IF($B$59="","",IF($D$59&gt;WeeklyLimit,"Above target",IF($D$59&gt;WeeklyLimit*0.9,"Near target","On target")))</f>
        <v>On target</v>
      </c>
      <c r="I59" s="38"/>
    </row>
    <row r="61" spans="2:9" x14ac:dyDescent="0.25">
      <c r="B61" s="30" t="s">
        <v>166</v>
      </c>
      <c r="C61" s="30"/>
      <c r="D61" s="30"/>
      <c r="E61" s="30"/>
      <c r="F61" s="30"/>
      <c r="G61" s="30"/>
      <c r="H61" s="30"/>
    </row>
    <row r="62" spans="2:9" ht="45.5" customHeight="1" x14ac:dyDescent="0.25">
      <c r="B62" s="52" t="s">
        <v>60</v>
      </c>
      <c r="C62" s="32" t="s">
        <v>167</v>
      </c>
      <c r="D62" s="32" t="s">
        <v>161</v>
      </c>
      <c r="E62" s="32" t="s">
        <v>162</v>
      </c>
      <c r="F62" s="32" t="s">
        <v>168</v>
      </c>
      <c r="G62" s="32" t="s">
        <v>169</v>
      </c>
      <c r="H62" s="32" t="s">
        <v>170</v>
      </c>
    </row>
    <row r="63" spans="2:9" ht="14" customHeight="1" x14ac:dyDescent="0.25">
      <c r="B63" s="31"/>
      <c r="C63" s="31"/>
      <c r="D63" s="31"/>
      <c r="E63" s="31"/>
      <c r="F63" s="31"/>
      <c r="G63" s="31" t="str">
        <f>Currency</f>
        <v>USD</v>
      </c>
      <c r="H63" s="31" t="str">
        <f>Currency</f>
        <v>USD</v>
      </c>
    </row>
    <row r="64" spans="2:9" x14ac:dyDescent="0.25">
      <c r="B64" s="56" t="str">
        <f>IFERROR(INDEX(tblMachines[Machine],1)&amp;"","")</f>
        <v>PR-400</v>
      </c>
      <c r="C64" s="37">
        <f>IF($B$64="","",COUNTIFS(tblDowntime[Machine],$B$64,tblDowntime[Type],"Unplanned",tblDowntime[View date],"&gt;0"))</f>
        <v>38</v>
      </c>
      <c r="D64" s="54">
        <f>IF($B$64="","",SUMIFS(tblDowntime[Minutes],tblDowntime[Machine],$B$64,tblDowntime[Type],"Unplanned",tblDowntime[View date],"&gt;0")/60)</f>
        <v>22.6666666666667</v>
      </c>
      <c r="E64" s="54">
        <f>IF($B$64="","",SUMIFS(tblDowntime[Minutes],tblDowntime[Machine],$B$64,tblDowntime[Type],"Planned",tblDowntime[View date],"&gt;0")/60)</f>
        <v>10</v>
      </c>
      <c r="F64" s="37">
        <f>IF($B$64="","",IF((COUNTIFS(tblDowntime[Machine],$B$64,tblDowntime[Type],"Unplanned",tblDowntime[View date],"&gt;0"))=0,"",(SUMIFS(tblDowntime[Minutes],tblDowntime[Machine],$B$64,tblDowntime[Type],"Unplanned",tblDowntime[View date],"&gt;0"))/(COUNTIFS(tblDowntime[Machine],$B$64,tblDowntime[Type],"Unplanned",tblDowntime[View date],"&gt;0"))))</f>
        <v>35.7894736842105</v>
      </c>
      <c r="G64" s="37">
        <f>IF($B$64="","",SUMIFS(tblDowntime[Total cost],tblDowntime[Machine],$B$64,tblDowntime[Type],"Unplanned",tblDowntime[View date],"&gt;0"))</f>
        <v>31893.3333333333</v>
      </c>
      <c r="H64" s="37">
        <f>IF($B$64="","",SUMIFS(tblDowntime[Total cost],tblDowntime[Machine],$B$64,tblDowntime[View date],"&gt;0"))</f>
        <v>41393.3333333333</v>
      </c>
    </row>
    <row r="65" spans="2:8" x14ac:dyDescent="0.25">
      <c r="B65" s="56" t="str">
        <f>IFERROR(INDEX(tblMachines[Machine],2)&amp;"","")</f>
        <v>PR-250</v>
      </c>
      <c r="C65" s="37">
        <f>IF($B$65="","",COUNTIFS(tblDowntime[Machine],$B$65,tblDowntime[Type],"Unplanned",tblDowntime[View date],"&gt;0"))</f>
        <v>35</v>
      </c>
      <c r="D65" s="54">
        <f>IF($B$65="","",SUMIFS(tblDowntime[Minutes],tblDowntime[Machine],$B$65,tblDowntime[Type],"Unplanned",tblDowntime[View date],"&gt;0")/60)</f>
        <v>19.4166666666667</v>
      </c>
      <c r="E65" s="54">
        <f>IF($B$65="","",SUMIFS(tblDowntime[Minutes],tblDowntime[Machine],$B$65,tblDowntime[Type],"Planned",tblDowntime[View date],"&gt;0")/60)</f>
        <v>16.4166666666667</v>
      </c>
      <c r="F65" s="37">
        <f>IF($B$65="","",IF((COUNTIFS(tblDowntime[Machine],$B$65,tblDowntime[Type],"Unplanned",tblDowntime[View date],"&gt;0"))=0,"",(SUMIFS(tblDowntime[Minutes],tblDowntime[Machine],$B$65,tblDowntime[Type],"Unplanned",tblDowntime[View date],"&gt;0"))/(COUNTIFS(tblDowntime[Machine],$B$65,tblDowntime[Type],"Unplanned",tblDowntime[View date],"&gt;0"))))</f>
        <v>33.2857142857143</v>
      </c>
      <c r="G65" s="37">
        <f>IF($B$65="","",SUMIFS(tblDowntime[Total cost],tblDowntime[Machine],$B$65,tblDowntime[Type],"Unplanned",tblDowntime[View date],"&gt;0"))</f>
        <v>19478.3333333333</v>
      </c>
      <c r="H65" s="37">
        <f>IF($B$65="","",SUMIFS(tblDowntime[Total cost],tblDowntime[Machine],$B$65,tblDowntime[View date],"&gt;0"))</f>
        <v>29656.6666666667</v>
      </c>
    </row>
    <row r="66" spans="2:8" x14ac:dyDescent="0.25">
      <c r="B66" s="56" t="str">
        <f>IFERROR(INDEX(tblMachines[Machine],3)&amp;"","")</f>
        <v>LS-01</v>
      </c>
      <c r="C66" s="37">
        <f>IF($B$66="","",COUNTIFS(tblDowntime[Machine],$B$66,tblDowntime[Type],"Unplanned",tblDowntime[View date],"&gt;0"))</f>
        <v>18</v>
      </c>
      <c r="D66" s="54">
        <f>IF($B$66="","",SUMIFS(tblDowntime[Minutes],tblDowntime[Machine],$B$66,tblDowntime[Type],"Unplanned",tblDowntime[View date],"&gt;0")/60)</f>
        <v>7.33333333333333</v>
      </c>
      <c r="E66" s="54">
        <f>IF($B$66="","",SUMIFS(tblDowntime[Minutes],tblDowntime[Machine],$B$66,tblDowntime[Type],"Planned",tblDowntime[View date],"&gt;0")/60)</f>
        <v>1.25</v>
      </c>
      <c r="F66" s="37">
        <f>IF($B$66="","",IF((COUNTIFS(tblDowntime[Machine],$B$66,tblDowntime[Type],"Unplanned",tblDowntime[View date],"&gt;0"))=0,"",(SUMIFS(tblDowntime[Minutes],tblDowntime[Machine],$B$66,tblDowntime[Type],"Unplanned",tblDowntime[View date],"&gt;0"))/(COUNTIFS(tblDowntime[Machine],$B$66,tblDowntime[Type],"Unplanned",tblDowntime[View date],"&gt;0"))))</f>
        <v>24.4444444444444</v>
      </c>
      <c r="G66" s="37">
        <f>IF($B$66="","",SUMIFS(tblDowntime[Total cost],tblDowntime[Machine],$B$66,tblDowntime[Type],"Unplanned",tblDowntime[View date],"&gt;0"))</f>
        <v>5600</v>
      </c>
      <c r="H66" s="37">
        <f>IF($B$66="","",SUMIFS(tblDowntime[Total cost],tblDowntime[Machine],$B$66,tblDowntime[View date],"&gt;0"))</f>
        <v>6200</v>
      </c>
    </row>
    <row r="67" spans="2:8" x14ac:dyDescent="0.25">
      <c r="B67" s="56" t="str">
        <f>IFERROR(INDEX(tblMachines[Machine],4)&amp;"","")</f>
        <v>PB-02</v>
      </c>
      <c r="C67" s="37">
        <f>IF($B$67="","",COUNTIFS(tblDowntime[Machine],$B$67,tblDowntime[Type],"Unplanned",tblDowntime[View date],"&gt;0"))</f>
        <v>15</v>
      </c>
      <c r="D67" s="54">
        <f>IF($B$67="","",SUMIFS(tblDowntime[Minutes],tblDowntime[Machine],$B$67,tblDowntime[Type],"Unplanned",tblDowntime[View date],"&gt;0")/60)</f>
        <v>5.83333333333333</v>
      </c>
      <c r="E67" s="54">
        <f>IF($B$67="","",SUMIFS(tblDowntime[Minutes],tblDowntime[Machine],$B$67,tblDowntime[Type],"Planned",tblDowntime[View date],"&gt;0")/60)</f>
        <v>2</v>
      </c>
      <c r="F67" s="37">
        <f>IF($B$67="","",IF((COUNTIFS(tblDowntime[Machine],$B$67,tblDowntime[Type],"Unplanned",tblDowntime[View date],"&gt;0"))=0,"",(SUMIFS(tblDowntime[Minutes],tblDowntime[Machine],$B$67,tblDowntime[Type],"Unplanned",tblDowntime[View date],"&gt;0"))/(COUNTIFS(tblDowntime[Machine],$B$67,tblDowntime[Type],"Unplanned",tblDowntime[View date],"&gt;0"))))</f>
        <v>23.3333333333333</v>
      </c>
      <c r="G67" s="37">
        <f>IF($B$67="","",SUMIFS(tblDowntime[Total cost],tblDowntime[Machine],$B$67,tblDowntime[Type],"Unplanned",tblDowntime[View date],"&gt;0"))</f>
        <v>2016.66666666667</v>
      </c>
      <c r="H67" s="37">
        <f>IF($B$67="","",SUMIFS(tblDowntime[Total cost],tblDowntime[Machine],$B$67,tblDowntime[View date],"&gt;0"))</f>
        <v>2536.66666666667</v>
      </c>
    </row>
    <row r="68" spans="2:8" x14ac:dyDescent="0.25">
      <c r="B68" s="56" t="str">
        <f>IFERROR(INDEX(tblMachines[Machine],5)&amp;"","")</f>
        <v>WR-03</v>
      </c>
      <c r="C68" s="37">
        <f>IF($B$68="","",COUNTIFS(tblDowntime[Machine],$B$68,tblDowntime[Type],"Unplanned",tblDowntime[View date],"&gt;0"))</f>
        <v>20</v>
      </c>
      <c r="D68" s="54">
        <f>IF($B$68="","",SUMIFS(tblDowntime[Minutes],tblDowntime[Machine],$B$68,tblDowntime[Type],"Unplanned",tblDowntime[View date],"&gt;0")/60)</f>
        <v>8.08333333333333</v>
      </c>
      <c r="E68" s="54">
        <f>IF($B$68="","",SUMIFS(tblDowntime[Minutes],tblDowntime[Machine],$B$68,tblDowntime[Type],"Planned",tblDowntime[View date],"&gt;0")/60)</f>
        <v>3</v>
      </c>
      <c r="F68" s="37">
        <f>IF($B$68="","",IF((COUNTIFS(tblDowntime[Machine],$B$68,tblDowntime[Type],"Unplanned",tblDowntime[View date],"&gt;0"))=0,"",(SUMIFS(tblDowntime[Minutes],tblDowntime[Machine],$B$68,tblDowntime[Type],"Unplanned",tblDowntime[View date],"&gt;0"))/(COUNTIFS(tblDowntime[Machine],$B$68,tblDowntime[Type],"Unplanned",tblDowntime[View date],"&gt;0"))))</f>
        <v>24.25</v>
      </c>
      <c r="G68" s="37">
        <f>IF($B$68="","",SUMIFS(tblDowntime[Total cost],tblDowntime[Machine],$B$68,tblDowntime[Type],"Unplanned",tblDowntime[View date],"&gt;0"))</f>
        <v>6615</v>
      </c>
      <c r="H68" s="37">
        <f>IF($B$68="","",SUMIFS(tblDowntime[Total cost],tblDowntime[Machine],$B$68,tblDowntime[View date],"&gt;0"))</f>
        <v>8235</v>
      </c>
    </row>
    <row r="70" spans="2:8" x14ac:dyDescent="0.25">
      <c r="B70" s="30" t="s">
        <v>171</v>
      </c>
      <c r="C70" s="30"/>
      <c r="D70" s="30"/>
      <c r="E70" s="30"/>
      <c r="F70" s="30"/>
      <c r="G70" s="30"/>
    </row>
    <row r="71" spans="2:8" ht="32" customHeight="1" x14ac:dyDescent="0.25">
      <c r="B71" s="52" t="s">
        <v>66</v>
      </c>
      <c r="C71" s="32" t="s">
        <v>67</v>
      </c>
      <c r="D71" s="32" t="s">
        <v>160</v>
      </c>
      <c r="E71" s="32" t="s">
        <v>64</v>
      </c>
      <c r="F71" s="32" t="s">
        <v>172</v>
      </c>
      <c r="G71" s="32" t="s">
        <v>164</v>
      </c>
    </row>
    <row r="72" spans="2:8" ht="14" customHeight="1" x14ac:dyDescent="0.25">
      <c r="B72" s="31"/>
      <c r="C72" s="31"/>
      <c r="D72" s="31"/>
      <c r="E72" s="31"/>
      <c r="F72" s="31"/>
      <c r="G72" s="31" t="str">
        <f>Currency</f>
        <v>USD</v>
      </c>
    </row>
    <row r="73" spans="2:8" x14ac:dyDescent="0.25">
      <c r="B73" s="56" t="str">
        <f>IFERROR(INDEX(tblReasons[Reason],1)&amp;"","")</f>
        <v>Die change</v>
      </c>
      <c r="C73" s="38" t="str">
        <f>IF($B$73="","",INDEX(tblReasons[Type],1)&amp;"")</f>
        <v>Planned</v>
      </c>
      <c r="D73" s="37">
        <f>IF($B$73="","",COUNTIFS(tblDowntime[Reason],$B$73,tblDowntime[View date],"&gt;0"))</f>
        <v>37</v>
      </c>
      <c r="E73" s="54">
        <f>IF($B$73="","",SUMIFS(tblDowntime[Minutes],tblDowntime[Reason],$B$73,tblDowntime[View date],"&gt;0")/60)</f>
        <v>23.4166666666667</v>
      </c>
      <c r="F73" s="37">
        <f>IF($B$73="","",IF((COUNTIFS(tblDowntime[Reason],$B$73,tblDowntime[View date],"&gt;0"))=0,"",(SUMIFS(tblDowntime[Minutes],tblDowntime[Reason],$B$73,tblDowntime[View date],"&gt;0"))/(COUNTIFS(tblDowntime[Reason],$B$73,tblDowntime[View date],"&gt;0"))))</f>
        <v>37.972972972973</v>
      </c>
      <c r="G73" s="37">
        <f>IF($B$73="","",SUMIFS(tblDowntime[Total cost],tblDowntime[Reason],$B$73,tblDowntime[View date],"&gt;0"))</f>
        <v>17405.8333333333</v>
      </c>
    </row>
    <row r="74" spans="2:8" x14ac:dyDescent="0.25">
      <c r="B74" s="56" t="str">
        <f>IFERROR(INDEX(tblReasons[Reason],2)&amp;"","")</f>
        <v>Planned maintenance</v>
      </c>
      <c r="C74" s="38" t="str">
        <f>IF($B$74="","",INDEX(tblReasons[Type],2)&amp;"")</f>
        <v>Planned</v>
      </c>
      <c r="D74" s="37">
        <f>IF($B$74="","",COUNTIFS(tblDowntime[Reason],$B$74,tblDowntime[View date],"&gt;0"))</f>
        <v>12</v>
      </c>
      <c r="E74" s="54">
        <f>IF($B$74="","",SUMIFS(tblDowntime[Minutes],tblDowntime[Reason],$B$74,tblDowntime[View date],"&gt;0")/60)</f>
        <v>9.25</v>
      </c>
      <c r="F74" s="37">
        <f>IF($B$74="","",IF((COUNTIFS(tblDowntime[Reason],$B$74,tblDowntime[View date],"&gt;0"))=0,"",(SUMIFS(tblDowntime[Minutes],tblDowntime[Reason],$B$74,tblDowntime[View date],"&gt;0"))/(COUNTIFS(tblDowntime[Reason],$B$74,tblDowntime[View date],"&gt;0"))))</f>
        <v>46.25</v>
      </c>
      <c r="G74" s="37">
        <f>IF($B$74="","",SUMIFS(tblDowntime[Total cost],tblDowntime[Reason],$B$74,tblDowntime[View date],"&gt;0"))</f>
        <v>5012.5</v>
      </c>
    </row>
    <row r="75" spans="2:8" x14ac:dyDescent="0.25">
      <c r="B75" s="56" t="str">
        <f>IFERROR(INDEX(tblReasons[Reason],3)&amp;"","")</f>
        <v>Die or tool repair</v>
      </c>
      <c r="C75" s="38" t="str">
        <f>IF($B$75="","",INDEX(tblReasons[Type],3)&amp;"")</f>
        <v>Unplanned</v>
      </c>
      <c r="D75" s="37">
        <f>IF($B$75="","",COUNTIFS(tblDowntime[Reason],$B$75,tblDowntime[View date],"&gt;0"))</f>
        <v>15</v>
      </c>
      <c r="E75" s="54">
        <f>IF($B$75="","",SUMIFS(tblDowntime[Minutes],tblDowntime[Reason],$B$75,tblDowntime[View date],"&gt;0")/60)</f>
        <v>17.75</v>
      </c>
      <c r="F75" s="37">
        <f>IF($B$75="","",IF((COUNTIFS(tblDowntime[Reason],$B$75,tblDowntime[View date],"&gt;0"))=0,"",(SUMIFS(tblDowntime[Minutes],tblDowntime[Reason],$B$75,tblDowntime[View date],"&gt;0"))/(COUNTIFS(tblDowntime[Reason],$B$75,tblDowntime[View date],"&gt;0"))))</f>
        <v>71</v>
      </c>
      <c r="G75" s="37">
        <f>IF($B$75="","",SUMIFS(tblDowntime[Total cost],tblDowntime[Reason],$B$75,tblDowntime[View date],"&gt;0"))</f>
        <v>24785</v>
      </c>
    </row>
    <row r="76" spans="2:8" x14ac:dyDescent="0.25">
      <c r="B76" s="56" t="str">
        <f>IFERROR(INDEX(tblReasons[Reason],4)&amp;"","")</f>
        <v>Hydraulic fault</v>
      </c>
      <c r="C76" s="38" t="str">
        <f>IF($B$76="","",INDEX(tblReasons[Type],4)&amp;"")</f>
        <v>Unplanned</v>
      </c>
      <c r="D76" s="37">
        <f>IF($B$76="","",COUNTIFS(tblDowntime[Reason],$B$76,tblDowntime[View date],"&gt;0"))</f>
        <v>11</v>
      </c>
      <c r="E76" s="54">
        <f>IF($B$76="","",SUMIFS(tblDowntime[Minutes],tblDowntime[Reason],$B$76,tblDowntime[View date],"&gt;0")/60)</f>
        <v>12.5833333333333</v>
      </c>
      <c r="F76" s="37">
        <f>IF($B$76="","",IF((COUNTIFS(tblDowntime[Reason],$B$76,tblDowntime[View date],"&gt;0"))=0,"",(SUMIFS(tblDowntime[Minutes],tblDowntime[Reason],$B$76,tblDowntime[View date],"&gt;0"))/(COUNTIFS(tblDowntime[Reason],$B$76,tblDowntime[View date],"&gt;0"))))</f>
        <v>68.6363636363636</v>
      </c>
      <c r="G76" s="37">
        <f>IF($B$76="","",SUMIFS(tblDowntime[Total cost],tblDowntime[Reason],$B$76,tblDowntime[View date],"&gt;0"))</f>
        <v>14930</v>
      </c>
    </row>
    <row r="77" spans="2:8" x14ac:dyDescent="0.25">
      <c r="B77" s="56" t="str">
        <f>IFERROR(INDEX(tblReasons[Reason],5)&amp;"","")</f>
        <v>Electrical fault</v>
      </c>
      <c r="C77" s="38" t="str">
        <f>IF($B$77="","",INDEX(tblReasons[Type],5)&amp;"")</f>
        <v>Unplanned</v>
      </c>
      <c r="D77" s="37">
        <f>IF($B$77="","",COUNTIFS(tblDowntime[Reason],$B$77,tblDowntime[View date],"&gt;0"))</f>
        <v>16</v>
      </c>
      <c r="E77" s="54">
        <f>IF($B$77="","",SUMIFS(tblDowntime[Minutes],tblDowntime[Reason],$B$77,tblDowntime[View date],"&gt;0")/60)</f>
        <v>7.08333333333333</v>
      </c>
      <c r="F77" s="37">
        <f>IF($B$77="","",IF((COUNTIFS(tblDowntime[Reason],$B$77,tblDowntime[View date],"&gt;0"))=0,"",(SUMIFS(tblDowntime[Minutes],tblDowntime[Reason],$B$77,tblDowntime[View date],"&gt;0"))/(COUNTIFS(tblDowntime[Reason],$B$77,tblDowntime[View date],"&gt;0"))))</f>
        <v>26.5625</v>
      </c>
      <c r="G77" s="37">
        <f>IF($B$77="","",SUMIFS(tblDowntime[Total cost],tblDowntime[Reason],$B$77,tblDowntime[View date],"&gt;0"))</f>
        <v>10077.5</v>
      </c>
    </row>
    <row r="78" spans="2:8" x14ac:dyDescent="0.25">
      <c r="B78" s="56" t="str">
        <f>IFERROR(INDEX(tblReasons[Reason],6)&amp;"","")</f>
        <v>Feeder or coil jam</v>
      </c>
      <c r="C78" s="38" t="str">
        <f>IF($B$78="","",INDEX(tblReasons[Type],6)&amp;"")</f>
        <v>Unplanned</v>
      </c>
      <c r="D78" s="37">
        <f>IF($B$78="","",COUNTIFS(tblDowntime[Reason],$B$78,tblDowntime[View date],"&gt;0"))</f>
        <v>25</v>
      </c>
      <c r="E78" s="54">
        <f>IF($B$78="","",SUMIFS(tblDowntime[Minutes],tblDowntime[Reason],$B$78,tblDowntime[View date],"&gt;0")/60)</f>
        <v>4</v>
      </c>
      <c r="F78" s="37">
        <f>IF($B$78="","",IF((COUNTIFS(tblDowntime[Reason],$B$78,tblDowntime[View date],"&gt;0"))=0,"",(SUMIFS(tblDowntime[Minutes],tblDowntime[Reason],$B$78,tblDowntime[View date],"&gt;0"))/(COUNTIFS(tblDowntime[Reason],$B$78,tblDowntime[View date],"&gt;0"))))</f>
        <v>9.6</v>
      </c>
      <c r="G78" s="37">
        <f>IF($B$78="","",SUMIFS(tblDowntime[Total cost],tblDowntime[Reason],$B$78,tblDowntime[View date],"&gt;0"))</f>
        <v>3222.5</v>
      </c>
    </row>
    <row r="79" spans="2:8" x14ac:dyDescent="0.25">
      <c r="B79" s="56" t="str">
        <f>IFERROR(INDEX(tblReasons[Reason],7)&amp;"","")</f>
        <v>Material shortage</v>
      </c>
      <c r="C79" s="38" t="str">
        <f>IF($B$79="","",INDEX(tblReasons[Type],7)&amp;"")</f>
        <v>Unplanned</v>
      </c>
      <c r="D79" s="37">
        <f>IF($B$79="","",COUNTIFS(tblDowntime[Reason],$B$79,tblDowntime[View date],"&gt;0"))</f>
        <v>19</v>
      </c>
      <c r="E79" s="54">
        <f>IF($B$79="","",SUMIFS(tblDowntime[Minutes],tblDowntime[Reason],$B$79,tblDowntime[View date],"&gt;0")/60)</f>
        <v>9.16666666666667</v>
      </c>
      <c r="F79" s="37">
        <f>IF($B$79="","",IF((COUNTIFS(tblDowntime[Reason],$B$79,tblDowntime[View date],"&gt;0"))=0,"",(SUMIFS(tblDowntime[Minutes],tblDowntime[Reason],$B$79,tblDowntime[View date],"&gt;0"))/(COUNTIFS(tblDowntime[Reason],$B$79,tblDowntime[View date],"&gt;0"))))</f>
        <v>28.9473684210526</v>
      </c>
      <c r="G79" s="37">
        <f>IF($B$79="","",SUMIFS(tblDowntime[Total cost],tblDowntime[Reason],$B$79,tblDowntime[View date],"&gt;0"))</f>
        <v>5820.83333333333</v>
      </c>
    </row>
    <row r="80" spans="2:8" x14ac:dyDescent="0.25">
      <c r="B80" s="56" t="str">
        <f>IFERROR(INDEX(tblReasons[Reason],8)&amp;"","")</f>
        <v>Quality hold</v>
      </c>
      <c r="C80" s="38" t="str">
        <f>IF($B$80="","",INDEX(tblReasons[Type],8)&amp;"")</f>
        <v>Unplanned</v>
      </c>
      <c r="D80" s="37">
        <f>IF($B$80="","",COUNTIFS(tblDowntime[Reason],$B$80,tblDowntime[View date],"&gt;0"))</f>
        <v>11</v>
      </c>
      <c r="E80" s="54">
        <f>IF($B$80="","",SUMIFS(tblDowntime[Minutes],tblDowntime[Reason],$B$80,tblDowntime[View date],"&gt;0")/60)</f>
        <v>5</v>
      </c>
      <c r="F80" s="37">
        <f>IF($B$80="","",IF((COUNTIFS(tblDowntime[Reason],$B$80,tblDowntime[View date],"&gt;0"))=0,"",(SUMIFS(tblDowntime[Minutes],tblDowntime[Reason],$B$80,tblDowntime[View date],"&gt;0"))/(COUNTIFS(tblDowntime[Reason],$B$80,tblDowntime[View date],"&gt;0"))))</f>
        <v>27.2727272727273</v>
      </c>
      <c r="G80" s="37">
        <f>IF($B$80="","",SUMIFS(tblDowntime[Total cost],tblDowntime[Reason],$B$80,tblDowntime[View date],"&gt;0"))</f>
        <v>2790.83333333333</v>
      </c>
    </row>
    <row r="81" spans="2:43" x14ac:dyDescent="0.25">
      <c r="B81" s="56" t="str">
        <f>IFERROR(INDEX(tblReasons[Reason],9)&amp;"","")</f>
        <v>Waiting for operator</v>
      </c>
      <c r="C81" s="38" t="str">
        <f>IF($B$81="","",INDEX(tblReasons[Type],9)&amp;"")</f>
        <v>Unplanned</v>
      </c>
      <c r="D81" s="37">
        <f>IF($B$81="","",COUNTIFS(tblDowntime[Reason],$B$81,tblDowntime[View date],"&gt;0"))</f>
        <v>21</v>
      </c>
      <c r="E81" s="54">
        <f>IF($B$81="","",SUMIFS(tblDowntime[Minutes],tblDowntime[Reason],$B$81,tblDowntime[View date],"&gt;0")/60)</f>
        <v>5.66666666666667</v>
      </c>
      <c r="F81" s="37">
        <f>IF($B$81="","",IF((COUNTIFS(tblDowntime[Reason],$B$81,tblDowntime[View date],"&gt;0"))=0,"",(SUMIFS(tblDowntime[Minutes],tblDowntime[Reason],$B$81,tblDowntime[View date],"&gt;0"))/(COUNTIFS(tblDowntime[Reason],$B$81,tblDowntime[View date],"&gt;0"))))</f>
        <v>16.1904761904762</v>
      </c>
      <c r="G81" s="37">
        <f>IF($B$81="","",SUMIFS(tblDowntime[Total cost],tblDowntime[Reason],$B$81,tblDowntime[View date],"&gt;0"))</f>
        <v>2842.5</v>
      </c>
    </row>
    <row r="82" spans="2:43" x14ac:dyDescent="0.25">
      <c r="B82" s="56" t="str">
        <f>IFERROR(INDEX(tblReasons[Reason],10)&amp;"","")</f>
        <v>Other</v>
      </c>
      <c r="C82" s="38" t="str">
        <f>IF($B$82="","",INDEX(tblReasons[Type],10)&amp;"")</f>
        <v>Unplanned</v>
      </c>
      <c r="D82" s="37">
        <f>IF($B$82="","",COUNTIFS(tblDowntime[Reason],$B$82,tblDowntime[View date],"&gt;0"))</f>
        <v>8</v>
      </c>
      <c r="E82" s="54">
        <f>IF($B$82="","",SUMIFS(tblDowntime[Minutes],tblDowntime[Reason],$B$82,tblDowntime[View date],"&gt;0")/60)</f>
        <v>2.08333333333333</v>
      </c>
      <c r="F82" s="37">
        <f>IF($B$82="","",IF((COUNTIFS(tblDowntime[Reason],$B$82,tblDowntime[View date],"&gt;0"))=0,"",(SUMIFS(tblDowntime[Minutes],tblDowntime[Reason],$B$82,tblDowntime[View date],"&gt;0"))/(COUNTIFS(tblDowntime[Reason],$B$82,tblDowntime[View date],"&gt;0"))))</f>
        <v>15.625</v>
      </c>
      <c r="G82" s="37">
        <f>IF($B$82="","",SUMIFS(tblDowntime[Total cost],tblDowntime[Reason],$B$82,tblDowntime[View date],"&gt;0"))</f>
        <v>1134.16666666667</v>
      </c>
    </row>
    <row r="84" spans="2:43" x14ac:dyDescent="0.25">
      <c r="B84" s="30" t="s">
        <v>173</v>
      </c>
      <c r="C84" s="30"/>
      <c r="D84" s="30"/>
      <c r="E84" s="30"/>
      <c r="F84" s="30"/>
      <c r="G84" s="30"/>
    </row>
    <row r="85" spans="2:43" ht="20" customHeight="1" x14ac:dyDescent="0.25">
      <c r="B85" s="32" t="s">
        <v>174</v>
      </c>
      <c r="C85" s="52" t="s">
        <v>66</v>
      </c>
      <c r="D85" s="52"/>
      <c r="E85" s="32" t="s">
        <v>130</v>
      </c>
      <c r="F85" s="32" t="s">
        <v>175</v>
      </c>
      <c r="G85" s="32" t="s">
        <v>176</v>
      </c>
      <c r="AO85" s="7" t="s">
        <v>177</v>
      </c>
      <c r="AP85" s="7" t="s">
        <v>178</v>
      </c>
      <c r="AQ85" s="7" t="s">
        <v>179</v>
      </c>
    </row>
    <row r="86" spans="2:43" x14ac:dyDescent="0.25">
      <c r="B86" s="31"/>
      <c r="C86" s="31"/>
      <c r="D86" s="31"/>
      <c r="E86" s="31" t="s">
        <v>180</v>
      </c>
      <c r="F86" s="31" t="s">
        <v>181</v>
      </c>
      <c r="G86" s="31" t="s">
        <v>181</v>
      </c>
    </row>
    <row r="87" spans="2:43" x14ac:dyDescent="0.25">
      <c r="B87" s="57">
        <v>1</v>
      </c>
      <c r="C87" s="38" t="str">
        <f>IF(INDEX($AP$87:$AP$96,MATCH(1,$AQ$87:$AQ$96,0))&lt;0,"",INDEX($AO$87:$AO$96,MATCH(1,$AQ$87:$AQ$96,0)))</f>
        <v>Die change</v>
      </c>
      <c r="D87" s="38"/>
      <c r="E87" s="37">
        <f>IF($C$87="","",INDEX($AP$87:$AP$96,MATCH(1,$AQ$87:$AQ$96,0)))</f>
        <v>1405</v>
      </c>
      <c r="F87" s="58">
        <f>IF(OR($C$87="",$E$97=0),"",$E$87/$E$97)</f>
        <v>0.243923611111111</v>
      </c>
      <c r="G87" s="58">
        <f>IF(OR($C$87="",$E$97=0),"",SUM($E$87:$E$87)/$E$97)</f>
        <v>0.243923611111111</v>
      </c>
      <c r="AO87" s="11" t="str">
        <f>IFERROR(INDEX(tblReasons[Reason],1)&amp;"","")</f>
        <v>Die change</v>
      </c>
      <c r="AP87" s="59">
        <f>IF($AO$87="",-1,SUMIFS(tblDowntime[Minutes],tblDowntime[Reason],$AO$87,tblDowntime[View date],"&gt;0"))</f>
        <v>1405</v>
      </c>
      <c r="AQ87" s="59">
        <f>COUNTIF($AP$87:$AP$96,"&gt;"&amp;$AP$87)+COUNTIF($AP$87:$AP$87,$AP$87)</f>
        <v>1</v>
      </c>
    </row>
    <row r="88" spans="2:43" x14ac:dyDescent="0.25">
      <c r="B88" s="57">
        <v>2</v>
      </c>
      <c r="C88" s="38" t="str">
        <f>IF(INDEX($AP$87:$AP$96,MATCH(2,$AQ$87:$AQ$96,0))&lt;0,"",INDEX($AO$87:$AO$96,MATCH(2,$AQ$87:$AQ$96,0)))</f>
        <v>Die or tool repair</v>
      </c>
      <c r="D88" s="38"/>
      <c r="E88" s="37">
        <f>IF($C$88="","",INDEX($AP$87:$AP$96,MATCH(2,$AQ$87:$AQ$96,0)))</f>
        <v>1065</v>
      </c>
      <c r="F88" s="58">
        <f>IF(OR($C$88="",$E$97=0),"",$E$88/$E$97)</f>
        <v>0.184895833333333</v>
      </c>
      <c r="G88" s="58">
        <f>IF(OR($C$88="",$E$97=0),"",SUM($E$87:$E$88)/$E$97)</f>
        <v>0.428819444444444</v>
      </c>
      <c r="AO88" s="11" t="str">
        <f>IFERROR(INDEX(tblReasons[Reason],2)&amp;"","")</f>
        <v>Planned maintenance</v>
      </c>
      <c r="AP88" s="59">
        <f>IF($AO$88="",-1,SUMIFS(tblDowntime[Minutes],tblDowntime[Reason],$AO$88,tblDowntime[View date],"&gt;0"))</f>
        <v>555</v>
      </c>
      <c r="AQ88" s="59">
        <f>COUNTIF($AP$87:$AP$96,"&gt;"&amp;$AP$88)+COUNTIF($AP$87:$AP$88,$AP$88)</f>
        <v>4</v>
      </c>
    </row>
    <row r="89" spans="2:43" x14ac:dyDescent="0.25">
      <c r="B89" s="57">
        <v>3</v>
      </c>
      <c r="C89" s="38" t="str">
        <f>IF(INDEX($AP$87:$AP$96,MATCH(3,$AQ$87:$AQ$96,0))&lt;0,"",INDEX($AO$87:$AO$96,MATCH(3,$AQ$87:$AQ$96,0)))</f>
        <v>Hydraulic fault</v>
      </c>
      <c r="D89" s="38"/>
      <c r="E89" s="37">
        <f>IF($C$89="","",INDEX($AP$87:$AP$96,MATCH(3,$AQ$87:$AQ$96,0)))</f>
        <v>755</v>
      </c>
      <c r="F89" s="58">
        <f>IF(OR($C$89="",$E$97=0),"",$E$89/$E$97)</f>
        <v>0.131076388888889</v>
      </c>
      <c r="G89" s="58">
        <f>IF(OR($C$89="",$E$97=0),"",SUM($E$87:$E$89)/$E$97)</f>
        <v>0.559895833333333</v>
      </c>
      <c r="AO89" s="11" t="str">
        <f>IFERROR(INDEX(tblReasons[Reason],3)&amp;"","")</f>
        <v>Die or tool repair</v>
      </c>
      <c r="AP89" s="59">
        <f>IF($AO$89="",-1,SUMIFS(tblDowntime[Minutes],tblDowntime[Reason],$AO$89,tblDowntime[View date],"&gt;0"))</f>
        <v>1065</v>
      </c>
      <c r="AQ89" s="59">
        <f>COUNTIF($AP$87:$AP$96,"&gt;"&amp;$AP$89)+COUNTIF($AP$87:$AP$89,$AP$89)</f>
        <v>2</v>
      </c>
    </row>
    <row r="90" spans="2:43" x14ac:dyDescent="0.25">
      <c r="B90" s="57">
        <v>4</v>
      </c>
      <c r="C90" s="38" t="str">
        <f>IF(INDEX($AP$87:$AP$96,MATCH(4,$AQ$87:$AQ$96,0))&lt;0,"",INDEX($AO$87:$AO$96,MATCH(4,$AQ$87:$AQ$96,0)))</f>
        <v>Planned maintenance</v>
      </c>
      <c r="D90" s="38"/>
      <c r="E90" s="37">
        <f>IF($C$90="","",INDEX($AP$87:$AP$96,MATCH(4,$AQ$87:$AQ$96,0)))</f>
        <v>555</v>
      </c>
      <c r="F90" s="58">
        <f>IF(OR($C$90="",$E$97=0),"",$E$90/$E$97)</f>
        <v>0.0963541666666667</v>
      </c>
      <c r="G90" s="58">
        <f>IF(OR($C$90="",$E$97=0),"",SUM($E$87:$E$90)/$E$97)</f>
        <v>0.65625</v>
      </c>
      <c r="AO90" s="11" t="str">
        <f>IFERROR(INDEX(tblReasons[Reason],4)&amp;"","")</f>
        <v>Hydraulic fault</v>
      </c>
      <c r="AP90" s="59">
        <f>IF($AO$90="",-1,SUMIFS(tblDowntime[Minutes],tblDowntime[Reason],$AO$90,tblDowntime[View date],"&gt;0"))</f>
        <v>755</v>
      </c>
      <c r="AQ90" s="59">
        <f>COUNTIF($AP$87:$AP$96,"&gt;"&amp;$AP$90)+COUNTIF($AP$87:$AP$90,$AP$90)</f>
        <v>3</v>
      </c>
    </row>
    <row r="91" spans="2:43" x14ac:dyDescent="0.25">
      <c r="B91" s="57">
        <v>5</v>
      </c>
      <c r="C91" s="38" t="str">
        <f>IF(INDEX($AP$87:$AP$96,MATCH(5,$AQ$87:$AQ$96,0))&lt;0,"",INDEX($AO$87:$AO$96,MATCH(5,$AQ$87:$AQ$96,0)))</f>
        <v>Material shortage</v>
      </c>
      <c r="D91" s="38"/>
      <c r="E91" s="37">
        <f>IF($C$91="","",INDEX($AP$87:$AP$96,MATCH(5,$AQ$87:$AQ$96,0)))</f>
        <v>550</v>
      </c>
      <c r="F91" s="58">
        <f>IF(OR($C$91="",$E$97=0),"",$E$91/$E$97)</f>
        <v>0.0954861111111111</v>
      </c>
      <c r="G91" s="58">
        <f>IF(OR($C$91="",$E$97=0),"",SUM($E$87:$E$91)/$E$97)</f>
        <v>0.751736111111111</v>
      </c>
      <c r="AO91" s="11" t="str">
        <f>IFERROR(INDEX(tblReasons[Reason],5)&amp;"","")</f>
        <v>Electrical fault</v>
      </c>
      <c r="AP91" s="59">
        <f>IF($AO$91="",-1,SUMIFS(tblDowntime[Minutes],tblDowntime[Reason],$AO$91,tblDowntime[View date],"&gt;0"))</f>
        <v>425</v>
      </c>
      <c r="AQ91" s="59">
        <f>COUNTIF($AP$87:$AP$96,"&gt;"&amp;$AP$91)+COUNTIF($AP$87:$AP$91,$AP$91)</f>
        <v>6</v>
      </c>
    </row>
    <row r="92" spans="2:43" x14ac:dyDescent="0.25">
      <c r="B92" s="57">
        <v>6</v>
      </c>
      <c r="C92" s="38" t="str">
        <f>IF(INDEX($AP$87:$AP$96,MATCH(6,$AQ$87:$AQ$96,0))&lt;0,"",INDEX($AO$87:$AO$96,MATCH(6,$AQ$87:$AQ$96,0)))</f>
        <v>Electrical fault</v>
      </c>
      <c r="D92" s="38"/>
      <c r="E92" s="37">
        <f>IF($C$92="","",INDEX($AP$87:$AP$96,MATCH(6,$AQ$87:$AQ$96,0)))</f>
        <v>425</v>
      </c>
      <c r="F92" s="58">
        <f>IF(OR($C$92="",$E$97=0),"",$E$92/$E$97)</f>
        <v>0.0737847222222222</v>
      </c>
      <c r="G92" s="58">
        <f>IF(OR($C$92="",$E$97=0),"",SUM($E$87:$E$92)/$E$97)</f>
        <v>0.825520833333333</v>
      </c>
      <c r="AO92" s="11" t="str">
        <f>IFERROR(INDEX(tblReasons[Reason],6)&amp;"","")</f>
        <v>Feeder or coil jam</v>
      </c>
      <c r="AP92" s="59">
        <f>IF($AO$92="",-1,SUMIFS(tblDowntime[Minutes],tblDowntime[Reason],$AO$92,tblDowntime[View date],"&gt;0"))</f>
        <v>240</v>
      </c>
      <c r="AQ92" s="59">
        <f>COUNTIF($AP$87:$AP$96,"&gt;"&amp;$AP$92)+COUNTIF($AP$87:$AP$92,$AP$92)</f>
        <v>9</v>
      </c>
    </row>
    <row r="93" spans="2:43" x14ac:dyDescent="0.25">
      <c r="B93" s="57">
        <v>7</v>
      </c>
      <c r="C93" s="38" t="str">
        <f>IF(INDEX($AP$87:$AP$96,MATCH(7,$AQ$87:$AQ$96,0))&lt;0,"",INDEX($AO$87:$AO$96,MATCH(7,$AQ$87:$AQ$96,0)))</f>
        <v>Waiting for operator</v>
      </c>
      <c r="D93" s="38"/>
      <c r="E93" s="37">
        <f>IF($C$93="","",INDEX($AP$87:$AP$96,MATCH(7,$AQ$87:$AQ$96,0)))</f>
        <v>340</v>
      </c>
      <c r="F93" s="58">
        <f>IF(OR($C$93="",$E$97=0),"",$E$93/$E$97)</f>
        <v>0.0590277777777778</v>
      </c>
      <c r="G93" s="58">
        <f>IF(OR($C$93="",$E$97=0),"",SUM($E$87:$E$93)/$E$97)</f>
        <v>0.884548611111111</v>
      </c>
      <c r="AO93" s="11" t="str">
        <f>IFERROR(INDEX(tblReasons[Reason],7)&amp;"","")</f>
        <v>Material shortage</v>
      </c>
      <c r="AP93" s="59">
        <f>IF($AO$93="",-1,SUMIFS(tblDowntime[Minutes],tblDowntime[Reason],$AO$93,tblDowntime[View date],"&gt;0"))</f>
        <v>550</v>
      </c>
      <c r="AQ93" s="59">
        <f>COUNTIF($AP$87:$AP$96,"&gt;"&amp;$AP$93)+COUNTIF($AP$87:$AP$93,$AP$93)</f>
        <v>5</v>
      </c>
    </row>
    <row r="94" spans="2:43" x14ac:dyDescent="0.25">
      <c r="B94" s="57">
        <v>8</v>
      </c>
      <c r="C94" s="38" t="str">
        <f>IF(INDEX($AP$87:$AP$96,MATCH(8,$AQ$87:$AQ$96,0))&lt;0,"",INDEX($AO$87:$AO$96,MATCH(8,$AQ$87:$AQ$96,0)))</f>
        <v>Quality hold</v>
      </c>
      <c r="D94" s="38"/>
      <c r="E94" s="37">
        <f>IF($C$94="","",INDEX($AP$87:$AP$96,MATCH(8,$AQ$87:$AQ$96,0)))</f>
        <v>300</v>
      </c>
      <c r="F94" s="58">
        <f>IF(OR($C$94="",$E$97=0),"",$E$94/$E$97)</f>
        <v>0.0520833333333333</v>
      </c>
      <c r="G94" s="58">
        <f>IF(OR($C$94="",$E$97=0),"",SUM($E$87:$E$94)/$E$97)</f>
        <v>0.936631944444444</v>
      </c>
      <c r="AO94" s="11" t="str">
        <f>IFERROR(INDEX(tblReasons[Reason],8)&amp;"","")</f>
        <v>Quality hold</v>
      </c>
      <c r="AP94" s="59">
        <f>IF($AO$94="",-1,SUMIFS(tblDowntime[Minutes],tblDowntime[Reason],$AO$94,tblDowntime[View date],"&gt;0"))</f>
        <v>300</v>
      </c>
      <c r="AQ94" s="59">
        <f>COUNTIF($AP$87:$AP$96,"&gt;"&amp;$AP$94)+COUNTIF($AP$87:$AP$94,$AP$94)</f>
        <v>8</v>
      </c>
    </row>
    <row r="95" spans="2:43" x14ac:dyDescent="0.25">
      <c r="B95" s="57">
        <v>9</v>
      </c>
      <c r="C95" s="38" t="str">
        <f>IF(INDEX($AP$87:$AP$96,MATCH(9,$AQ$87:$AQ$96,0))&lt;0,"",INDEX($AO$87:$AO$96,MATCH(9,$AQ$87:$AQ$96,0)))</f>
        <v>Feeder or coil jam</v>
      </c>
      <c r="D95" s="38"/>
      <c r="E95" s="37">
        <f>IF($C$95="","",INDEX($AP$87:$AP$96,MATCH(9,$AQ$87:$AQ$96,0)))</f>
        <v>240</v>
      </c>
      <c r="F95" s="58">
        <f>IF(OR($C$95="",$E$97=0),"",$E$95/$E$97)</f>
        <v>0.0416666666666667</v>
      </c>
      <c r="G95" s="58">
        <f>IF(OR($C$95="",$E$97=0),"",SUM($E$87:$E$95)/$E$97)</f>
        <v>0.978298611111111</v>
      </c>
      <c r="AO95" s="11" t="str">
        <f>IFERROR(INDEX(tblReasons[Reason],9)&amp;"","")</f>
        <v>Waiting for operator</v>
      </c>
      <c r="AP95" s="59">
        <f>IF($AO$95="",-1,SUMIFS(tblDowntime[Minutes],tblDowntime[Reason],$AO$95,tblDowntime[View date],"&gt;0"))</f>
        <v>340</v>
      </c>
      <c r="AQ95" s="59">
        <f>COUNTIF($AP$87:$AP$96,"&gt;"&amp;$AP$95)+COUNTIF($AP$87:$AP$95,$AP$95)</f>
        <v>7</v>
      </c>
    </row>
    <row r="96" spans="2:43" x14ac:dyDescent="0.25">
      <c r="B96" s="57">
        <v>10</v>
      </c>
      <c r="C96" s="38" t="str">
        <f>IF(INDEX($AP$87:$AP$96,MATCH(10,$AQ$87:$AQ$96,0))&lt;0,"",INDEX($AO$87:$AO$96,MATCH(10,$AQ$87:$AQ$96,0)))</f>
        <v>Other</v>
      </c>
      <c r="D96" s="38"/>
      <c r="E96" s="37">
        <f>IF($C$96="","",INDEX($AP$87:$AP$96,MATCH(10,$AQ$87:$AQ$96,0)))</f>
        <v>125</v>
      </c>
      <c r="F96" s="58">
        <f>IF(OR($C$96="",$E$97=0),"",$E$96/$E$97)</f>
        <v>0.0217013888888889</v>
      </c>
      <c r="G96" s="58">
        <f>IF(OR($C$96="",$E$97=0),"",SUM($E$87:$E$96)/$E$97)</f>
        <v>1</v>
      </c>
      <c r="AO96" s="11" t="str">
        <f>IFERROR(INDEX(tblReasons[Reason],10)&amp;"","")</f>
        <v>Other</v>
      </c>
      <c r="AP96" s="59">
        <f>IF($AO$96="",-1,SUMIFS(tblDowntime[Minutes],tblDowntime[Reason],$AO$96,tblDowntime[View date],"&gt;0"))</f>
        <v>125</v>
      </c>
      <c r="AQ96" s="59">
        <f>COUNTIF($AP$87:$AP$96,"&gt;"&amp;$AP$96)+COUNTIF($AP$87:$AP$96,$AP$96)</f>
        <v>10</v>
      </c>
    </row>
    <row r="97" spans="2:12" x14ac:dyDescent="0.25">
      <c r="B97" s="60"/>
      <c r="C97" s="60" t="s">
        <v>182</v>
      </c>
      <c r="D97" s="60"/>
      <c r="E97" s="61">
        <f>SUMIF($AP$87:$AP$96,"&gt;0")</f>
        <v>5760</v>
      </c>
      <c r="F97" s="60"/>
      <c r="G97" s="60"/>
    </row>
    <row r="99" spans="2:12" ht="8" customHeight="1" x14ac:dyDescent="0.25"/>
    <row r="100" spans="2:12" x14ac:dyDescent="0.25">
      <c r="B100" s="21" t="s">
        <v>183</v>
      </c>
      <c r="C100" s="21"/>
      <c r="D100" s="21"/>
      <c r="E100" s="21"/>
      <c r="F100" s="21"/>
      <c r="G100" s="21"/>
      <c r="H100" s="21"/>
      <c r="I100" s="21"/>
      <c r="J100" s="21"/>
      <c r="K100" s="21"/>
      <c r="L100" s="21"/>
    </row>
    <row r="101" spans="2:12" x14ac:dyDescent="0.25">
      <c r="B101" s="62">
        <f>IF(OR(COUNTA(tblMachines[Machine])&gt;5,COUNTA(tblReasons[Reason])&gt;10),"Setup lists are longer than the Dashboard blocks: some machines or reasons are not shown.","")</f>
        <v/>
      </c>
      <c r="C101" s="62"/>
      <c r="D101" s="62"/>
      <c r="E101" s="62"/>
      <c r="F101" s="62"/>
      <c r="G101" s="62"/>
      <c r="H101" s="62"/>
      <c r="I101" s="62"/>
      <c r="J101" s="62"/>
      <c r="K101" s="62"/>
      <c r="L101" s="62"/>
    </row>
  </sheetData>
  <sheetProtection sheet="1" formatColumns="0" formatRows="0"/>
  <mergeCells count="66">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I51"/>
    <mergeCell ref="H52:I52"/>
    <mergeCell ref="H53:I53"/>
    <mergeCell ref="H54:I54"/>
    <mergeCell ref="H55:I55"/>
    <mergeCell ref="H56:I56"/>
    <mergeCell ref="H57:I57"/>
    <mergeCell ref="H58:I58"/>
    <mergeCell ref="H59:I59"/>
    <mergeCell ref="B61:H61"/>
    <mergeCell ref="B70:G70"/>
    <mergeCell ref="B84:G84"/>
    <mergeCell ref="C85:D85"/>
    <mergeCell ref="C86:D86"/>
    <mergeCell ref="C87:D87"/>
    <mergeCell ref="C88:D88"/>
    <mergeCell ref="C89:D89"/>
    <mergeCell ref="C90:D90"/>
    <mergeCell ref="C91:D91"/>
    <mergeCell ref="C92:D92"/>
    <mergeCell ref="C93:D93"/>
    <mergeCell ref="C94:D94"/>
    <mergeCell ref="C95:D95"/>
    <mergeCell ref="C96:D96"/>
    <mergeCell ref="C97:D97"/>
    <mergeCell ref="B100:L100"/>
    <mergeCell ref="B101:L101"/>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87:E96">
    <cfRule type="dataBar" priority="42">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73:G82">
    <cfRule type="dataBar" priority="41">
      <dataBar>
        <cfvo type="num" val="0"/>
        <cfvo type="max"/>
        <color rgb="FFA8BDF0"/>
      </dataBar>
      <extLst>
        <ext xmlns:x14="http://schemas.microsoft.com/office/spreadsheetml/2009/9/main" uri="{B025F937-C7B1-47D3-B67F-A62EFF666E3E}">
          <x14:id>{DA7ABA51-AAAA-BBBB-0004-000000000002}</x14:id>
        </ext>
      </extLst>
    </cfRule>
  </conditionalFormatting>
  <conditionalFormatting sqref="H54:H59">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dataValidations count="3">
    <dataValidation type="list" allowBlank="1" showInputMessage="1" showErrorMessage="1" errorTitle="Check this entry" error="Pick from the list (edit the list on Setup: Machines)." promptTitle="Machine" prompt="Leave blank for all machines. Pick from the list (edit the list on Setup: Machines)." sqref="C4">
      <formula1>Machines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Downtime Tracker&amp;R&amp;8&amp;A</oddHeader>
    <oddFooter>&amp;L&amp;8mfgcalcs.com - free manufacturing templates&amp;R&amp;8Page &amp;P of &amp;N</oddFooter>
  </headerFooter>
  <rowBreaks count="4" manualBreakCount="4">
    <brk id="28" max="16383" man="1"/>
    <brk id="50" max="16383" man="1"/>
    <brk id="69" max="16383" man="1"/>
    <brk id="83"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E87:E96</xm:sqref>
        </x14:conditionalFormatting>
        <x14:conditionalFormatting xmlns:xm="http://schemas.microsoft.com/office/excel/2006/main">
          <x14:cfRule type="dataBar" id="{DA7ABA51-AAAA-BBBB-0004-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G73:G82</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184</v>
      </c>
      <c r="C4" s="8"/>
      <c r="D4" s="8"/>
    </row>
    <row r="5" spans="1:4" ht="5" customHeight="1"/>
    <row r="6" spans="1:4" ht="55.8" customHeight="1">
      <c r="B6" s="10" t="s">
        <v>185</v>
      </c>
      <c r="C6" s="10"/>
      <c r="D6" s="10"/>
    </row>
    <row r="8" spans="1:4" ht="21" customHeight="1">
      <c r="B8" s="8" t="s">
        <v>186</v>
      </c>
      <c r="C8" s="8"/>
      <c r="D8" s="8"/>
    </row>
    <row r="9" spans="1:4" ht="5" customHeight="1"/>
    <row r="10" spans="1:4" ht="20" customHeight="1">
      <c r="B10" s="52" t="s">
        <v>187</v>
      </c>
      <c r="C10" s="52" t="s">
        <v>188</v>
      </c>
      <c r="D10" s="32" t="s">
        <v>189</v>
      </c>
    </row>
    <row r="11" spans="1:4" ht="43.6" customHeight="1">
      <c r="B11" s="63" t="s">
        <v>130</v>
      </c>
      <c r="C11" s="64" t="s">
        <v>190</v>
      </c>
      <c r="D11" s="65" t="s">
        <v>180</v>
      </c>
    </row>
    <row r="12" spans="1:4" ht="30.4" customHeight="1">
      <c r="B12" s="63" t="s">
        <v>191</v>
      </c>
      <c r="C12" s="64" t="s">
        <v>192</v>
      </c>
      <c r="D12" s="65" t="s">
        <v>193</v>
      </c>
    </row>
    <row r="13" spans="1:4" ht="30.4" customHeight="1">
      <c r="B13" s="63" t="s">
        <v>131</v>
      </c>
      <c r="C13" s="64" t="s">
        <v>194</v>
      </c>
      <c r="D13" s="65" t="s">
        <v>195</v>
      </c>
    </row>
    <row r="14" spans="1:4" ht="17.2" customHeight="1">
      <c r="B14" s="63" t="s">
        <v>196</v>
      </c>
      <c r="C14" s="64" t="s">
        <v>197</v>
      </c>
      <c r="D14" s="65" t="s">
        <v>198</v>
      </c>
    </row>
    <row r="15" spans="1:4" ht="30.4" customHeight="1">
      <c r="B15" s="63" t="s">
        <v>199</v>
      </c>
      <c r="C15" s="64" t="s">
        <v>200</v>
      </c>
      <c r="D15" s="65" t="s">
        <v>198</v>
      </c>
    </row>
    <row r="16" spans="1:4" ht="17.2" customHeight="1">
      <c r="B16" s="63" t="s">
        <v>135</v>
      </c>
      <c r="C16" s="64" t="s">
        <v>201</v>
      </c>
      <c r="D16" s="65" t="s">
        <v>202</v>
      </c>
    </row>
    <row r="17" spans="2:4" ht="17.2" customHeight="1">
      <c r="B17" s="63" t="s">
        <v>203</v>
      </c>
      <c r="C17" s="64" t="s">
        <v>204</v>
      </c>
      <c r="D17" s="65" t="s">
        <v>205</v>
      </c>
    </row>
    <row r="18" spans="2:4" ht="56.8" customHeight="1">
      <c r="B18" s="63" t="s">
        <v>206</v>
      </c>
      <c r="C18" s="64" t="s">
        <v>207</v>
      </c>
      <c r="D18" s="65" t="s">
        <v>205</v>
      </c>
    </row>
    <row r="19" spans="2:4" ht="30.4" customHeight="1">
      <c r="B19" s="63" t="s">
        <v>208</v>
      </c>
      <c r="C19" s="64" t="s">
        <v>209</v>
      </c>
      <c r="D19" s="65" t="s">
        <v>180</v>
      </c>
    </row>
    <row r="20" spans="2:4" ht="30.4" customHeight="1">
      <c r="B20" s="63" t="s">
        <v>210</v>
      </c>
      <c r="C20" s="64" t="s">
        <v>211</v>
      </c>
      <c r="D20" s="65" t="s">
        <v>195</v>
      </c>
    </row>
    <row r="21" spans="2:4" ht="43.6" customHeight="1">
      <c r="B21" s="63" t="s">
        <v>212</v>
      </c>
      <c r="C21" s="64" t="s">
        <v>213</v>
      </c>
      <c r="D21" s="65" t="s">
        <v>214</v>
      </c>
    </row>
    <row r="23" spans="2:4" ht="21" customHeight="1">
      <c r="B23" s="8" t="s">
        <v>215</v>
      </c>
      <c r="C23" s="8"/>
      <c r="D23" s="8"/>
    </row>
    <row r="24" spans="2:4" ht="5" customHeight="1"/>
    <row r="25" spans="2:4" ht="16.2" customHeight="1">
      <c r="B25" s="26" t="s">
        <v>53</v>
      </c>
      <c r="C25" s="10" t="s">
        <v>216</v>
      </c>
      <c r="D25" s="10"/>
    </row>
    <row r="26" spans="2:4" ht="29.4" customHeight="1">
      <c r="B26" s="26" t="s">
        <v>53</v>
      </c>
      <c r="C26" s="10" t="s">
        <v>217</v>
      </c>
      <c r="D26" s="10"/>
    </row>
    <row r="27" spans="2:4" ht="29.4" customHeight="1">
      <c r="B27" s="26" t="s">
        <v>53</v>
      </c>
      <c r="C27" s="10" t="s">
        <v>218</v>
      </c>
      <c r="D27" s="10"/>
    </row>
    <row r="28" spans="2:4" ht="16.2" customHeight="1">
      <c r="B28" s="26" t="s">
        <v>53</v>
      </c>
      <c r="C28" s="10" t="s">
        <v>219</v>
      </c>
      <c r="D28" s="10"/>
    </row>
    <row r="30" spans="2:4" ht="21" customHeight="1">
      <c r="B30" s="8" t="s">
        <v>220</v>
      </c>
      <c r="C30" s="8"/>
      <c r="D30" s="8"/>
    </row>
    <row r="31" spans="2:4" ht="5" customHeight="1"/>
    <row r="32" spans="2:4" ht="16.2" customHeight="1">
      <c r="B32" s="26" t="s">
        <v>53</v>
      </c>
      <c r="C32" s="10" t="s">
        <v>221</v>
      </c>
      <c r="D32" s="10"/>
    </row>
    <row r="33" spans="2:4" ht="16.2" customHeight="1">
      <c r="B33" s="26" t="s">
        <v>53</v>
      </c>
      <c r="C33" s="10" t="s">
        <v>222</v>
      </c>
      <c r="D33" s="10"/>
    </row>
    <row r="34" spans="2:4" ht="42.6" customHeight="1">
      <c r="B34" s="26" t="s">
        <v>53</v>
      </c>
      <c r="C34" s="10" t="s">
        <v>223</v>
      </c>
      <c r="D34" s="10"/>
    </row>
    <row r="35" spans="2:4" ht="29.4" customHeight="1">
      <c r="B35" s="26" t="s">
        <v>53</v>
      </c>
      <c r="C35" s="10" t="s">
        <v>224</v>
      </c>
      <c r="D35" s="10"/>
    </row>
    <row r="37" spans="2:4" ht="21" customHeight="1">
      <c r="B37" s="8" t="s">
        <v>225</v>
      </c>
      <c r="C37" s="8"/>
      <c r="D37" s="8"/>
    </row>
    <row r="38" spans="2:4" ht="5" customHeight="1"/>
    <row r="39" spans="2:4" ht="69" customHeight="1">
      <c r="B39" s="10" t="s">
        <v>226</v>
      </c>
      <c r="C39" s="10"/>
      <c r="D39" s="10"/>
    </row>
    <row r="40" spans="2:4">
      <c r="B40" s="24" t="s">
        <v>227</v>
      </c>
      <c r="C40" s="24"/>
      <c r="D40" s="24"/>
    </row>
    <row r="42" spans="2:4" ht="21" customHeight="1">
      <c r="B42" s="8" t="s">
        <v>40</v>
      </c>
      <c r="C42" s="8"/>
      <c r="D42" s="8"/>
    </row>
    <row r="43" spans="2:4" ht="5" customHeight="1"/>
    <row r="44" spans="2:4" ht="42.6" customHeight="1">
      <c r="B44" s="10" t="s">
        <v>228</v>
      </c>
      <c r="C44" s="10"/>
      <c r="D44" s="10"/>
    </row>
    <row r="46" spans="2:4" ht="21" customHeight="1">
      <c r="B46" s="8" t="s">
        <v>229</v>
      </c>
      <c r="C46" s="8"/>
      <c r="D46" s="8"/>
    </row>
    <row r="47" spans="2:4" ht="5" customHeight="1"/>
    <row r="48" spans="2:4" ht="29.4" customHeight="1">
      <c r="B48" s="26" t="s">
        <v>53</v>
      </c>
      <c r="C48" s="10" t="s">
        <v>230</v>
      </c>
      <c r="D48" s="10"/>
    </row>
    <row r="49" spans="2:4" ht="16.2" customHeight="1">
      <c r="B49" s="26" t="s">
        <v>53</v>
      </c>
      <c r="C49" s="10" t="s">
        <v>231</v>
      </c>
      <c r="D49" s="10"/>
    </row>
    <row r="50" spans="2:4" ht="29.4" customHeight="1">
      <c r="B50" s="26" t="s">
        <v>53</v>
      </c>
      <c r="C50" s="10" t="s">
        <v>232</v>
      </c>
      <c r="D50" s="10"/>
    </row>
    <row r="51" spans="2:4">
      <c r="B51" s="21" t="s">
        <v>233</v>
      </c>
      <c r="C51" s="21"/>
      <c r="D51" s="21"/>
    </row>
    <row r="53" spans="2:4" ht="21" customHeight="1">
      <c r="B53" s="8" t="s">
        <v>234</v>
      </c>
      <c r="C53" s="8"/>
      <c r="D53" s="8"/>
    </row>
    <row r="54" spans="2:4" ht="5" customHeight="1"/>
    <row r="55" spans="2:4">
      <c r="B55" s="52" t="s">
        <v>48</v>
      </c>
      <c r="C55" s="52" t="s">
        <v>235</v>
      </c>
      <c r="D55" s="32" t="s">
        <v>127</v>
      </c>
    </row>
    <row r="56" spans="2:4" ht="16.2" customHeight="1">
      <c r="B56" s="66" t="s">
        <v>236</v>
      </c>
      <c r="C56" s="67" t="s">
        <v>237</v>
      </c>
      <c r="D56" s="68" t="s">
        <v>238</v>
      </c>
    </row>
    <row r="58" spans="2:4">
      <c r="B58" s="21" t="s">
        <v>59</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Downtime Tracker&amp;R&amp;8&amp;A</oddHeader>
    <oddFooter>&amp;L&amp;8mfgcalcs.com - free manufacturing templates&amp;R&amp;8Page &amp;P of &amp;N</oddFooter>
  </headerFooter>
  <rowBreaks count="2" manualBreakCount="2">
    <brk id="22"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R39"/>
  <sheetViews>
    <sheetView showGridLines="0" workbookViewId="0"/>
  </sheetViews>
  <sheetFormatPr defaultRowHeight="15"/>
  <cols>
    <col min="1" max="1" width="2.7109375" customWidth="1"/>
    <col min="2" max="19" width="12.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26</v>
      </c>
      <c r="C2" s="2"/>
      <c r="D2" s="2"/>
      <c r="E2" s="2"/>
      <c r="F2" s="2"/>
      <c r="G2" s="2"/>
      <c r="H2" s="2"/>
      <c r="I2" s="2"/>
      <c r="J2" s="2"/>
      <c r="K2" s="2"/>
      <c r="L2" s="2"/>
      <c r="M2" s="2"/>
      <c r="N2" s="2"/>
      <c r="O2" s="2"/>
      <c r="P2" s="2"/>
      <c r="Q2" s="2"/>
      <c r="R2" s="3" t="s">
        <v>2</v>
      </c>
    </row>
    <row r="3" spans="1:18" ht="6" customHeight="1"/>
    <row r="4" spans="1:18" ht="30" customHeight="1">
      <c r="B4" s="69" t="s">
        <v>239</v>
      </c>
      <c r="C4" s="69"/>
      <c r="D4" s="22" t="str">
        <f>IF(COUNTIF($K$11:$K$23,"PASS")=13,"PASS","FAIL")</f>
        <v>PASS</v>
      </c>
      <c r="E4" s="22"/>
      <c r="F4" s="23" t="str">
        <f>COUNTIF($K$11:$K$23,"PASS")&amp;" of 13 checks pass"</f>
        <v>13 of 13 checks pass</v>
      </c>
      <c r="G4" s="23"/>
      <c r="H4" s="23"/>
      <c r="I4" s="23"/>
      <c r="J4" s="23"/>
    </row>
    <row r="6" spans="1:18" ht="29.4" customHeight="1">
      <c r="B6" s="10" t="s">
        <v>240</v>
      </c>
      <c r="C6" s="10"/>
      <c r="D6" s="10"/>
      <c r="E6" s="10"/>
      <c r="F6" s="10"/>
      <c r="G6" s="10"/>
      <c r="H6" s="10"/>
      <c r="I6" s="10"/>
      <c r="J6" s="10"/>
      <c r="K6" s="10"/>
      <c r="L6" s="10"/>
    </row>
    <row r="8" spans="1:18" ht="21" customHeight="1">
      <c r="B8" s="8" t="s">
        <v>241</v>
      </c>
      <c r="C8" s="8"/>
      <c r="D8" s="8"/>
      <c r="E8" s="8"/>
      <c r="F8" s="8"/>
      <c r="G8" s="8"/>
      <c r="H8" s="8"/>
      <c r="I8" s="8"/>
      <c r="J8" s="8"/>
      <c r="K8" s="8"/>
      <c r="L8" s="8"/>
    </row>
    <row r="9" spans="1:18" ht="5" customHeight="1"/>
    <row r="10" spans="1:18" ht="30" customHeight="1">
      <c r="B10" s="32" t="s">
        <v>242</v>
      </c>
      <c r="C10" s="52" t="s">
        <v>137</v>
      </c>
      <c r="D10" s="52"/>
      <c r="E10" s="52"/>
      <c r="F10" s="52"/>
      <c r="G10" s="32" t="s">
        <v>243</v>
      </c>
      <c r="H10" s="32" t="s">
        <v>244</v>
      </c>
      <c r="I10" s="32" t="s">
        <v>245</v>
      </c>
      <c r="J10" s="32" t="s">
        <v>246</v>
      </c>
      <c r="K10" s="32" t="s">
        <v>247</v>
      </c>
    </row>
    <row r="11" spans="1:18" ht="16.2" customHeight="1">
      <c r="B11" s="57">
        <v>1</v>
      </c>
      <c r="C11" s="67" t="s">
        <v>248</v>
      </c>
      <c r="D11" s="67"/>
      <c r="E11" s="67"/>
      <c r="F11" s="67"/>
      <c r="G11" s="70">
        <v>360</v>
      </c>
      <c r="H11" s="37">
        <f>$H$36</f>
        <v>360</v>
      </c>
      <c r="I11" s="71">
        <f>IF(AND(ISNUMBER($G$11),ISNUMBER($H$11)),ABS($H$11-$G$11),"")</f>
        <v>0</v>
      </c>
      <c r="J11" s="72">
        <v>1E-09</v>
      </c>
      <c r="K11" s="73" t="str">
        <f>IF(AND(ISNUMBER($G$11),ISNUMBER($H$11)),IF(ABS($H$11-$G$11)&lt;=$J$11,"PASS","FAIL"),"FAIL")</f>
        <v>PASS</v>
      </c>
    </row>
    <row r="12" spans="1:18" ht="16.2" customHeight="1">
      <c r="B12" s="57">
        <v>2</v>
      </c>
      <c r="C12" s="67" t="s">
        <v>249</v>
      </c>
      <c r="D12" s="67"/>
      <c r="E12" s="67"/>
      <c r="F12" s="67"/>
      <c r="G12" s="74">
        <v>54000</v>
      </c>
      <c r="H12" s="39">
        <f>$L$36</f>
        <v>54000</v>
      </c>
      <c r="I12" s="71">
        <f>IF(AND(ISNUMBER($G$12),ISNUMBER($H$12)),ABS($H$12-$G$12),"")</f>
        <v>0</v>
      </c>
      <c r="J12" s="72">
        <v>1E-06</v>
      </c>
      <c r="K12" s="73" t="str">
        <f>IF(AND(ISNUMBER($G$12),ISNUMBER($H$12)),IF(ABS($H$12-$G$12)&lt;=$J$12,"PASS","FAIL"),"FAIL")</f>
        <v>PASS</v>
      </c>
    </row>
    <row r="13" spans="1:18" ht="16.2" customHeight="1">
      <c r="B13" s="57">
        <v>3</v>
      </c>
      <c r="C13" s="67" t="s">
        <v>250</v>
      </c>
      <c r="D13" s="67"/>
      <c r="E13" s="67"/>
      <c r="F13" s="67"/>
      <c r="G13" s="74">
        <v>68000</v>
      </c>
      <c r="H13" s="39">
        <f>$N$36</f>
        <v>68000</v>
      </c>
      <c r="I13" s="71">
        <f>IF(AND(ISNUMBER($G$13),ISNUMBER($H$13)),ABS($H$13-$G$13),"")</f>
        <v>0</v>
      </c>
      <c r="J13" s="72">
        <v>1E-06</v>
      </c>
      <c r="K13" s="73" t="str">
        <f>IF(AND(ISNUMBER($G$13),ISNUMBER($H$13)),IF(ABS($H$13-$G$13)&lt;=$J$13,"PASS","FAIL"),"FAIL")</f>
        <v>PASS</v>
      </c>
    </row>
    <row r="14" spans="1:18" ht="16.2" customHeight="1">
      <c r="B14" s="57">
        <v>4</v>
      </c>
      <c r="C14" s="67" t="s">
        <v>251</v>
      </c>
      <c r="D14" s="67"/>
      <c r="E14" s="67"/>
      <c r="F14" s="67"/>
      <c r="G14" s="70">
        <v>165</v>
      </c>
      <c r="H14" s="37">
        <f>$H$37</f>
        <v>165</v>
      </c>
      <c r="I14" s="71">
        <f>IF(AND(ISNUMBER($G$14),ISNUMBER($H$14)),ABS($H$14-$G$14),"")</f>
        <v>0</v>
      </c>
      <c r="J14" s="72">
        <v>1E-09</v>
      </c>
      <c r="K14" s="73" t="str">
        <f>IF(AND(ISNUMBER($G$14),ISNUMBER($H$14)),IF(ABS($H$14-$G$14)&lt;=$J$14,"PASS","FAIL"),"FAIL")</f>
        <v>PASS</v>
      </c>
    </row>
    <row r="15" spans="1:18" ht="16.2" customHeight="1">
      <c r="B15" s="57">
        <v>5</v>
      </c>
      <c r="C15" s="67" t="s">
        <v>252</v>
      </c>
      <c r="D15" s="67"/>
      <c r="E15" s="67"/>
      <c r="F15" s="67"/>
      <c r="G15" s="74">
        <v>1100</v>
      </c>
      <c r="H15" s="39">
        <f>$N$37</f>
        <v>1100</v>
      </c>
      <c r="I15" s="71">
        <f>IF(AND(ISNUMBER($G$15),ISNUMBER($H$15)),ABS($H$15-$G$15),"")</f>
        <v>0</v>
      </c>
      <c r="J15" s="72">
        <v>1E-06</v>
      </c>
      <c r="K15" s="73" t="str">
        <f>IF(AND(ISNUMBER($G$15),ISNUMBER($H$15)),IF(ABS($H$15-$G$15)&lt;=$J$15,"PASS","FAIL"),"FAIL")</f>
        <v>PASS</v>
      </c>
    </row>
    <row r="16" spans="1:18" ht="16.2" customHeight="1">
      <c r="B16" s="57">
        <v>6</v>
      </c>
      <c r="C16" s="67" t="s">
        <v>253</v>
      </c>
      <c r="D16" s="67"/>
      <c r="E16" s="67"/>
      <c r="F16" s="67"/>
      <c r="G16" s="74">
        <v>300</v>
      </c>
      <c r="H16" s="39">
        <f>$N$38</f>
        <v>300</v>
      </c>
      <c r="I16" s="71">
        <f>IF(AND(ISNUMBER($G$16),ISNUMBER($H$16)),ABS($H$16-$G$16),"")</f>
        <v>0</v>
      </c>
      <c r="J16" s="72">
        <v>1E-06</v>
      </c>
      <c r="K16" s="73" t="str">
        <f>IF(AND(ISNUMBER($G$16),ISNUMBER($H$16)),IF(ABS($H$16-$G$16)&lt;=$J$16,"PASS","FAIL"),"FAIL")</f>
        <v>PASS</v>
      </c>
    </row>
    <row r="17" spans="2:12" ht="16.2" customHeight="1">
      <c r="B17" s="57">
        <v>7</v>
      </c>
      <c r="C17" s="67" t="s">
        <v>254</v>
      </c>
      <c r="D17" s="67"/>
      <c r="E17" s="67"/>
      <c r="F17" s="67"/>
      <c r="G17" s="75">
        <v>46090</v>
      </c>
      <c r="H17" s="40">
        <f>$O$38</f>
        <v>46090</v>
      </c>
      <c r="I17" s="38"/>
      <c r="J17" s="68" t="s">
        <v>255</v>
      </c>
      <c r="K17" s="73" t="str">
        <f>IF($H$17&amp;""=$G$17&amp;"","PASS","FAIL")</f>
        <v>PASS</v>
      </c>
    </row>
    <row r="18" spans="2:12" ht="16.2" customHeight="1">
      <c r="B18" s="57">
        <v>8</v>
      </c>
      <c r="C18" s="67" t="s">
        <v>256</v>
      </c>
      <c r="D18" s="67"/>
      <c r="E18" s="67"/>
      <c r="F18" s="67"/>
      <c r="G18" s="66" t="s">
        <v>257</v>
      </c>
      <c r="H18" s="38" t="str">
        <f>$Q$39</f>
        <v>Zero-length stop</v>
      </c>
      <c r="I18" s="38"/>
      <c r="J18" s="68" t="s">
        <v>255</v>
      </c>
      <c r="K18" s="73" t="str">
        <f>IF($H$18&amp;""=$G$18&amp;"","PASS","FAIL")</f>
        <v>PASS</v>
      </c>
    </row>
    <row r="19" spans="2:12" ht="16.2" customHeight="1">
      <c r="B19" s="57">
        <v>9</v>
      </c>
      <c r="C19" s="67" t="s">
        <v>258</v>
      </c>
      <c r="D19" s="67"/>
      <c r="E19" s="67"/>
      <c r="F19" s="67"/>
      <c r="G19" s="74">
        <v>8.75</v>
      </c>
      <c r="H19" s="39">
        <f>SUMIFS(tblVerifyDowntime[Minutes],tblVerifyDowntime[Type],"Unplanned",tblVerifyDowntime[View date],"&gt;0")/60</f>
        <v>8.75</v>
      </c>
      <c r="I19" s="71">
        <f>IF(AND(ISNUMBER($G$19),ISNUMBER($H$19)),ABS($H$19-$G$19),"")</f>
        <v>0</v>
      </c>
      <c r="J19" s="72">
        <v>1E-09</v>
      </c>
      <c r="K19" s="73" t="str">
        <f>IF(AND(ISNUMBER($G$19),ISNUMBER($H$19)),IF(ABS($H$19-$G$19)&lt;=$J$19,"PASS","FAIL"),"FAIL")</f>
        <v>PASS</v>
      </c>
    </row>
    <row r="20" spans="2:12" ht="16.2" customHeight="1">
      <c r="B20" s="57">
        <v>10</v>
      </c>
      <c r="C20" s="67" t="s">
        <v>259</v>
      </c>
      <c r="D20" s="67"/>
      <c r="E20" s="67"/>
      <c r="F20" s="67"/>
      <c r="G20" s="74">
        <v>0.75</v>
      </c>
      <c r="H20" s="39">
        <f>SUMIFS(tblVerifyDowntime[Minutes],tblVerifyDowntime[Type],"Planned",tblVerifyDowntime[View date],"&gt;0")/60</f>
        <v>0.75</v>
      </c>
      <c r="I20" s="71">
        <f>IF(AND(ISNUMBER($G$20),ISNUMBER($H$20)),ABS($H$20-$G$20),"")</f>
        <v>0</v>
      </c>
      <c r="J20" s="72">
        <v>1E-09</v>
      </c>
      <c r="K20" s="73" t="str">
        <f>IF(AND(ISNUMBER($G$20),ISNUMBER($H$20)),IF(ABS($H$20-$G$20)&lt;=$J$20,"PASS","FAIL"),"FAIL")</f>
        <v>PASS</v>
      </c>
    </row>
    <row r="21" spans="2:12" ht="16.2" customHeight="1">
      <c r="B21" s="57">
        <v>11</v>
      </c>
      <c r="C21" s="67" t="s">
        <v>260</v>
      </c>
      <c r="D21" s="67"/>
      <c r="E21" s="67"/>
      <c r="F21" s="67"/>
      <c r="G21" s="74">
        <v>69100</v>
      </c>
      <c r="H21" s="39">
        <f>SUMIFS(tblVerifyDowntime[Total cost],tblVerifyDowntime[Type],"Unplanned",tblVerifyDowntime[View date],"&gt;0")</f>
        <v>69100</v>
      </c>
      <c r="I21" s="71">
        <f>IF(AND(ISNUMBER($G$21),ISNUMBER($H$21)),ABS($H$21-$G$21),"")</f>
        <v>0</v>
      </c>
      <c r="J21" s="72">
        <v>1E-06</v>
      </c>
      <c r="K21" s="73" t="str">
        <f>IF(AND(ISNUMBER($G$21),ISNUMBER($H$21)),IF(ABS($H$21-$G$21)&lt;=$J$21,"PASS","FAIL"),"FAIL")</f>
        <v>PASS</v>
      </c>
    </row>
    <row r="22" spans="2:12" ht="16.2" customHeight="1">
      <c r="B22" s="57">
        <v>12</v>
      </c>
      <c r="C22" s="67" t="s">
        <v>261</v>
      </c>
      <c r="D22" s="67"/>
      <c r="E22" s="67"/>
      <c r="F22" s="67"/>
      <c r="G22" s="74">
        <v>175</v>
      </c>
      <c r="H22" s="39">
        <f>IF((COUNTIFS(tblVerifyDowntime[Type],"Unplanned",tblVerifyDowntime[View date],"&gt;0"))=0,"",(SUMIFS(tblVerifyDowntime[Minutes],tblVerifyDowntime[Type],"Unplanned",tblVerifyDowntime[View date],"&gt;0"))/(COUNTIFS(tblVerifyDowntime[Type],"Unplanned",tblVerifyDowntime[View date],"&gt;0")))</f>
        <v>175</v>
      </c>
      <c r="I22" s="71">
        <f>IF(AND(ISNUMBER($G$22),ISNUMBER($H$22)),ABS($H$22-$G$22),"")</f>
        <v>0</v>
      </c>
      <c r="J22" s="72">
        <v>1E-09</v>
      </c>
      <c r="K22" s="73" t="str">
        <f>IF(AND(ISNUMBER($G$22),ISNUMBER($H$22)),IF(ABS($H$22-$G$22)&lt;=$J$22,"PASS","FAIL"),"FAIL")</f>
        <v>PASS</v>
      </c>
    </row>
    <row r="23" spans="2:12" ht="16.2" customHeight="1">
      <c r="B23" s="57">
        <v>13</v>
      </c>
      <c r="C23" s="67" t="s">
        <v>262</v>
      </c>
      <c r="D23" s="67"/>
      <c r="E23" s="67"/>
      <c r="F23" s="67"/>
      <c r="G23" s="74">
        <v>7305.263157894737</v>
      </c>
      <c r="H23" s="39">
        <f>IF((SUMIFS(tblVerifyDowntime[Minutes],tblVerifyDowntime[View date],"&gt;0")/60)=0,"",(SUMIFS(tblVerifyDowntime[Total cost],tblVerifyDowntime[View date],"&gt;0"))/(SUMIFS(tblVerifyDowntime[Minutes],tblVerifyDowntime[View date],"&gt;0")/60))</f>
        <v>7305.26315789474</v>
      </c>
      <c r="I23" s="71">
        <f>IF(AND(ISNUMBER($G$23),ISNUMBER($H$23)),ABS($H$23-$G$23),"")</f>
        <v>0</v>
      </c>
      <c r="J23" s="72">
        <v>1E-06</v>
      </c>
      <c r="K23" s="73" t="str">
        <f>IF(AND(ISNUMBER($G$23),ISNUMBER($H$23)),IF(ABS($H$23-$G$23)&lt;=$J$23,"PASS","FAIL"),"FAIL")</f>
        <v>PASS</v>
      </c>
    </row>
    <row r="25" spans="2:12" ht="21" customHeight="1">
      <c r="B25" s="8" t="s">
        <v>263</v>
      </c>
      <c r="C25" s="8"/>
      <c r="D25" s="8"/>
      <c r="E25" s="8"/>
      <c r="F25" s="8"/>
      <c r="G25" s="8"/>
      <c r="H25" s="8"/>
      <c r="I25" s="8"/>
      <c r="J25" s="8"/>
      <c r="K25" s="8"/>
      <c r="L25" s="8"/>
    </row>
    <row r="26" spans="2:12" ht="5" customHeight="1"/>
    <row r="27" spans="2:12">
      <c r="B27" s="21" t="s">
        <v>264</v>
      </c>
      <c r="C27" s="21"/>
      <c r="D27" s="21"/>
      <c r="E27" s="21"/>
      <c r="F27" s="21"/>
      <c r="G27" s="21"/>
      <c r="H27" s="21"/>
      <c r="I27" s="21"/>
      <c r="J27" s="21"/>
      <c r="K27" s="21"/>
      <c r="L27" s="21"/>
    </row>
    <row r="28" spans="2:12">
      <c r="B28" s="30" t="s">
        <v>265</v>
      </c>
      <c r="C28" s="30"/>
      <c r="D28" s="30"/>
      <c r="E28" s="30"/>
      <c r="F28" s="30"/>
    </row>
    <row r="29" spans="2:12">
      <c r="B29" s="27" t="s">
        <v>266</v>
      </c>
      <c r="C29" s="27"/>
      <c r="D29" s="27"/>
      <c r="E29" s="70">
        <v>0</v>
      </c>
      <c r="F29" s="7"/>
    </row>
    <row r="30" spans="2:12">
      <c r="B30" s="27" t="s">
        <v>267</v>
      </c>
      <c r="C30" s="27"/>
      <c r="D30" s="27"/>
      <c r="E30" s="70">
        <v>2958465</v>
      </c>
      <c r="F30" s="7"/>
    </row>
    <row r="31" spans="2:12">
      <c r="B31" s="27" t="s">
        <v>268</v>
      </c>
      <c r="C31" s="27"/>
      <c r="D31" s="27"/>
      <c r="E31" s="66" t="s">
        <v>140</v>
      </c>
      <c r="F31" s="66"/>
    </row>
    <row r="33" spans="2:18">
      <c r="B33" s="30" t="s">
        <v>269</v>
      </c>
      <c r="C33" s="30"/>
      <c r="D33" s="30"/>
      <c r="E33" s="30"/>
      <c r="F33" s="30"/>
      <c r="G33" s="30"/>
      <c r="H33" s="30"/>
      <c r="I33" s="30"/>
      <c r="J33" s="30"/>
      <c r="K33" s="30"/>
      <c r="L33" s="30"/>
    </row>
    <row r="34" spans="2:18" ht="14" customHeight="1">
      <c r="B34" s="31"/>
      <c r="C34" s="31"/>
      <c r="D34" s="31"/>
      <c r="E34" s="31"/>
      <c r="F34" s="31"/>
      <c r="G34" s="31"/>
      <c r="H34" s="31"/>
      <c r="I34" s="31"/>
      <c r="J34" s="31"/>
      <c r="K34" s="31" t="str">
        <f>Currency&amp;"/h"</f>
        <v>USD/h</v>
      </c>
      <c r="L34" s="31" t="str">
        <f>Currency</f>
        <v>USD</v>
      </c>
      <c r="M34" s="31" t="str">
        <f>Currency</f>
        <v>USD</v>
      </c>
      <c r="N34" s="31" t="str">
        <f>Currency</f>
        <v>USD</v>
      </c>
      <c r="O34" s="31"/>
      <c r="P34" s="31"/>
      <c r="Q34" s="31"/>
      <c r="R34" s="31"/>
    </row>
    <row r="35" spans="2:18" ht="32" customHeight="1">
      <c r="B35" s="32" t="s">
        <v>127</v>
      </c>
      <c r="C35" s="32" t="s">
        <v>63</v>
      </c>
      <c r="D35" s="32" t="s">
        <v>60</v>
      </c>
      <c r="E35" s="32" t="s">
        <v>66</v>
      </c>
      <c r="F35" s="32" t="s">
        <v>128</v>
      </c>
      <c r="G35" s="32" t="s">
        <v>129</v>
      </c>
      <c r="H35" s="32" t="s">
        <v>130</v>
      </c>
      <c r="I35" s="32" t="s">
        <v>67</v>
      </c>
      <c r="J35" s="32" t="s">
        <v>68</v>
      </c>
      <c r="K35" s="32" t="s">
        <v>131</v>
      </c>
      <c r="L35" s="32" t="s">
        <v>132</v>
      </c>
      <c r="M35" s="32" t="s">
        <v>133</v>
      </c>
      <c r="N35" s="32" t="s">
        <v>134</v>
      </c>
      <c r="O35" s="32" t="s">
        <v>135</v>
      </c>
      <c r="P35" s="32" t="s">
        <v>136</v>
      </c>
      <c r="Q35" s="32" t="s">
        <v>137</v>
      </c>
      <c r="R35" s="32" t="s">
        <v>65</v>
      </c>
    </row>
    <row r="36" spans="2:18">
      <c r="B36" s="75">
        <v>46083</v>
      </c>
      <c r="C36" s="66" t="s">
        <v>92</v>
      </c>
      <c r="D36" s="66" t="s">
        <v>270</v>
      </c>
      <c r="E36" s="66" t="s">
        <v>109</v>
      </c>
      <c r="F36" s="76">
        <v>0.25</v>
      </c>
      <c r="G36" s="76">
        <v>0.5</v>
      </c>
      <c r="H36" s="37">
        <f>IF(tblVerifyDowntime[[#This Row],[Date]]="","",IF(OR(tblVerifyDowntime[[#This Row],[Start]]="",tblVerifyDowntime[[#This Row],[End]]=""),"",ROUND(MOD(tblVerifyDowntime[[#This Row],[End]]-tblVerifyDowntime[[#This Row],[Start]],1)*1440,0)))</f>
        <v>360</v>
      </c>
      <c r="I36" s="66" t="s">
        <v>106</v>
      </c>
      <c r="J36" s="66" t="s">
        <v>107</v>
      </c>
      <c r="K36" s="70">
        <v>9000</v>
      </c>
      <c r="L36" s="39">
        <f>IF(tblVerifyDowntime[[#This Row],[Date]]="","",IF(OR(tblVerifyDowntime[[#This Row],[Minutes]]="",tblVerifyDowntime[[#This Row],[Loss rate]]=""),"",tblVerifyDowntime[[#This Row],[Minutes]]/60*tblVerifyDowntime[[#This Row],[Loss rate]]))</f>
        <v>54000</v>
      </c>
      <c r="M36" s="74">
        <v>14000</v>
      </c>
      <c r="N36" s="39">
        <f>IF(tblVerifyDowntime[[#This Row],[Date]]="","",IF(tblVerifyDowntime[[#This Row],[Production loss]]="","",tblVerifyDowntime[[#This Row],[Production loss]]+N(tblVerifyDowntime[[#This Row],[Repair cost]])))</f>
        <v>68000</v>
      </c>
      <c r="O36" s="40">
        <f>IF(tblVerifyDowntime[[#This Row],[Date]]="","",tblVerifyDowntime[[#This Row],[Date]]-WEEKDAY(tblVerifyDowntime[[#This Row],[Date]],2)+1)</f>
        <v>46083</v>
      </c>
      <c r="P36" s="40">
        <f>IF(tblVerifyDowntime[[#This Row],[Date]]="","",IF(AND(tblVerifyDowntime[[#This Row],[Date]]&gt;=$E$29,tblVerifyDowntime[[#This Row],[Date]]&lt;=$E$30,OR($E$31="",tblVerifyDowntime[[#This Row],[Machine]]=$E$31)),tblVerifyDowntime[[#This Row],[Date]],""))</f>
        <v>46083</v>
      </c>
      <c r="Q36" s="41" t="str">
        <f>IF(tblVerifyDowntime[[#This Row],[Date]]="","",IF(tblVerifyDowntime[[#This Row],[Shift]]="","Missing shift",IF(tblVerifyDowntime[[#This Row],[Machine]]="","Missing machine",IF(tblVerifyDowntime[[#This Row],[Reason]]="","Missing reason",IF(tblVerifyDowntime[[#This Row],[Start]]="","Missing start",IF(tblVerifyDowntime[[#This Row],[End]]="","Missing end",IF(tblVerifyDowntime[[#This Row],[Type]]="","Reason not on Setup list",IF(tblVerifyDowntime[[#This Row],[Loss rate]]="","Machine not on Setup list",IF(tblVerifyDowntime[[#This Row],[Minutes]]=0,"Zero-length stop",IF(tblVerifyDowntime[[#This Row],[Minutes]]&gt;720,"Over 12 h: check start and end",IF(COUNTIFS(tblVerifyDowntime[Date],tblVerifyDowntime[[#This Row],[Date]],tblVerifyDowntime[Machine],tblVerifyDowntime[[#This Row],[Machine]],tblVerifyDowntime[Start],tblVerifyDowntime[[#This Row],[Start]])&gt;1,"Duplicate stop","OK")))))))))))</f>
        <v>OK</v>
      </c>
      <c r="R36" s="66"/>
    </row>
    <row r="37" spans="2:18">
      <c r="B37" s="75">
        <v>46084</v>
      </c>
      <c r="C37" s="66" t="s">
        <v>95</v>
      </c>
      <c r="D37" s="66" t="s">
        <v>271</v>
      </c>
      <c r="E37" s="66" t="s">
        <v>111</v>
      </c>
      <c r="F37" s="76">
        <v>0.9375</v>
      </c>
      <c r="G37" s="76">
        <v>0.05208333333333334</v>
      </c>
      <c r="H37" s="37">
        <f>IF(tblVerifyDowntime[[#This Row],[Date]]="","",IF(OR(tblVerifyDowntime[[#This Row],[Start]]="",tblVerifyDowntime[[#This Row],[End]]=""),"",ROUND(MOD(tblVerifyDowntime[[#This Row],[End]]-tblVerifyDowntime[[#This Row],[Start]],1)*1440,0)))</f>
        <v>165</v>
      </c>
      <c r="I37" s="66" t="s">
        <v>106</v>
      </c>
      <c r="J37" s="66" t="s">
        <v>107</v>
      </c>
      <c r="K37" s="70">
        <v>400</v>
      </c>
      <c r="L37" s="39">
        <f>IF(tblVerifyDowntime[[#This Row],[Date]]="","",IF(OR(tblVerifyDowntime[[#This Row],[Minutes]]="",tblVerifyDowntime[[#This Row],[Loss rate]]=""),"",tblVerifyDowntime[[#This Row],[Minutes]]/60*tblVerifyDowntime[[#This Row],[Loss rate]]))</f>
        <v>1100</v>
      </c>
      <c r="M37" s="74">
        <v>0</v>
      </c>
      <c r="N37" s="39">
        <f>IF(tblVerifyDowntime[[#This Row],[Date]]="","",IF(tblVerifyDowntime[[#This Row],[Production loss]]="","",tblVerifyDowntime[[#This Row],[Production loss]]+N(tblVerifyDowntime[[#This Row],[Repair cost]])))</f>
        <v>1100</v>
      </c>
      <c r="O37" s="40">
        <f>IF(tblVerifyDowntime[[#This Row],[Date]]="","",tblVerifyDowntime[[#This Row],[Date]]-WEEKDAY(tblVerifyDowntime[[#This Row],[Date]],2)+1)</f>
        <v>46083</v>
      </c>
      <c r="P37" s="40">
        <f>IF(tblVerifyDowntime[[#This Row],[Date]]="","",IF(AND(tblVerifyDowntime[[#This Row],[Date]]&gt;=$E$29,tblVerifyDowntime[[#This Row],[Date]]&lt;=$E$30,OR($E$31="",tblVerifyDowntime[[#This Row],[Machine]]=$E$31)),tblVerifyDowntime[[#This Row],[Date]],""))</f>
        <v>46084</v>
      </c>
      <c r="Q37" s="41" t="str">
        <f>IF(tblVerifyDowntime[[#This Row],[Date]]="","",IF(tblVerifyDowntime[[#This Row],[Shift]]="","Missing shift",IF(tblVerifyDowntime[[#This Row],[Machine]]="","Missing machine",IF(tblVerifyDowntime[[#This Row],[Reason]]="","Missing reason",IF(tblVerifyDowntime[[#This Row],[Start]]="","Missing start",IF(tblVerifyDowntime[[#This Row],[End]]="","Missing end",IF(tblVerifyDowntime[[#This Row],[Type]]="","Reason not on Setup list",IF(tblVerifyDowntime[[#This Row],[Loss rate]]="","Machine not on Setup list",IF(tblVerifyDowntime[[#This Row],[Minutes]]=0,"Zero-length stop",IF(tblVerifyDowntime[[#This Row],[Minutes]]&gt;720,"Over 12 h: check start and end",IF(COUNTIFS(tblVerifyDowntime[Date],tblVerifyDowntime[[#This Row],[Date]],tblVerifyDowntime[Machine],tblVerifyDowntime[[#This Row],[Machine]],tblVerifyDowntime[Start],tblVerifyDowntime[[#This Row],[Start]])&gt;1,"Duplicate stop","OK")))))))))))</f>
        <v>OK</v>
      </c>
      <c r="R37" s="66"/>
    </row>
    <row r="38" spans="2:18">
      <c r="B38" s="75">
        <v>46090</v>
      </c>
      <c r="C38" s="66" t="s">
        <v>92</v>
      </c>
      <c r="D38" s="66" t="s">
        <v>271</v>
      </c>
      <c r="E38" s="66" t="s">
        <v>98</v>
      </c>
      <c r="F38" s="76">
        <v>0.3819444444444444</v>
      </c>
      <c r="G38" s="76">
        <v>0.4131944444444444</v>
      </c>
      <c r="H38" s="37">
        <f>IF(tblVerifyDowntime[[#This Row],[Date]]="","",IF(OR(tblVerifyDowntime[[#This Row],[Start]]="",tblVerifyDowntime[[#This Row],[End]]=""),"",ROUND(MOD(tblVerifyDowntime[[#This Row],[End]]-tblVerifyDowntime[[#This Row],[Start]],1)*1440,0)))</f>
        <v>45</v>
      </c>
      <c r="I38" s="66" t="s">
        <v>99</v>
      </c>
      <c r="J38" s="66" t="s">
        <v>100</v>
      </c>
      <c r="K38" s="70">
        <v>400</v>
      </c>
      <c r="L38" s="39">
        <f>IF(tblVerifyDowntime[[#This Row],[Date]]="","",IF(OR(tblVerifyDowntime[[#This Row],[Minutes]]="",tblVerifyDowntime[[#This Row],[Loss rate]]=""),"",tblVerifyDowntime[[#This Row],[Minutes]]/60*tblVerifyDowntime[[#This Row],[Loss rate]]))</f>
        <v>300</v>
      </c>
      <c r="M38" s="74"/>
      <c r="N38" s="39">
        <f>IF(tblVerifyDowntime[[#This Row],[Date]]="","",IF(tblVerifyDowntime[[#This Row],[Production loss]]="","",tblVerifyDowntime[[#This Row],[Production loss]]+N(tblVerifyDowntime[[#This Row],[Repair cost]])))</f>
        <v>300</v>
      </c>
      <c r="O38" s="40">
        <f>IF(tblVerifyDowntime[[#This Row],[Date]]="","",tblVerifyDowntime[[#This Row],[Date]]-WEEKDAY(tblVerifyDowntime[[#This Row],[Date]],2)+1)</f>
        <v>46090</v>
      </c>
      <c r="P38" s="40">
        <f>IF(tblVerifyDowntime[[#This Row],[Date]]="","",IF(AND(tblVerifyDowntime[[#This Row],[Date]]&gt;=$E$29,tblVerifyDowntime[[#This Row],[Date]]&lt;=$E$30,OR($E$31="",tblVerifyDowntime[[#This Row],[Machine]]=$E$31)),tblVerifyDowntime[[#This Row],[Date]],""))</f>
        <v>46090</v>
      </c>
      <c r="Q38" s="41" t="str">
        <f>IF(tblVerifyDowntime[[#This Row],[Date]]="","",IF(tblVerifyDowntime[[#This Row],[Shift]]="","Missing shift",IF(tblVerifyDowntime[[#This Row],[Machine]]="","Missing machine",IF(tblVerifyDowntime[[#This Row],[Reason]]="","Missing reason",IF(tblVerifyDowntime[[#This Row],[Start]]="","Missing start",IF(tblVerifyDowntime[[#This Row],[End]]="","Missing end",IF(tblVerifyDowntime[[#This Row],[Type]]="","Reason not on Setup list",IF(tblVerifyDowntime[[#This Row],[Loss rate]]="","Machine not on Setup list",IF(tblVerifyDowntime[[#This Row],[Minutes]]=0,"Zero-length stop",IF(tblVerifyDowntime[[#This Row],[Minutes]]&gt;720,"Over 12 h: check start and end",IF(COUNTIFS(tblVerifyDowntime[Date],tblVerifyDowntime[[#This Row],[Date]],tblVerifyDowntime[Machine],tblVerifyDowntime[[#This Row],[Machine]],tblVerifyDowntime[Start],tblVerifyDowntime[[#This Row],[Start]])&gt;1,"Duplicate stop","OK")))))))))))</f>
        <v>OK</v>
      </c>
      <c r="R38" s="66"/>
    </row>
    <row r="39" spans="2:18">
      <c r="B39" s="75">
        <v>46090</v>
      </c>
      <c r="C39" s="66" t="s">
        <v>92</v>
      </c>
      <c r="D39" s="66" t="s">
        <v>270</v>
      </c>
      <c r="E39" s="66" t="s">
        <v>125</v>
      </c>
      <c r="F39" s="76">
        <v>0.4166666666666667</v>
      </c>
      <c r="G39" s="76">
        <v>0.4166666666666667</v>
      </c>
      <c r="H39" s="37">
        <f>IF(tblVerifyDowntime[[#This Row],[Date]]="","",IF(OR(tblVerifyDowntime[[#This Row],[Start]]="",tblVerifyDowntime[[#This Row],[End]]=""),"",ROUND(MOD(tblVerifyDowntime[[#This Row],[End]]-tblVerifyDowntime[[#This Row],[Start]],1)*1440,0)))</f>
        <v>0</v>
      </c>
      <c r="I39" s="66" t="s">
        <v>106</v>
      </c>
      <c r="J39" s="66" t="s">
        <v>125</v>
      </c>
      <c r="K39" s="70">
        <v>9000</v>
      </c>
      <c r="L39" s="39">
        <f>IF(tblVerifyDowntime[[#This Row],[Date]]="","",IF(OR(tblVerifyDowntime[[#This Row],[Minutes]]="",tblVerifyDowntime[[#This Row],[Loss rate]]=""),"",tblVerifyDowntime[[#This Row],[Minutes]]/60*tblVerifyDowntime[[#This Row],[Loss rate]]))</f>
        <v>0</v>
      </c>
      <c r="M39" s="74">
        <v>0</v>
      </c>
      <c r="N39" s="39">
        <f>IF(tblVerifyDowntime[[#This Row],[Date]]="","",IF(tblVerifyDowntime[[#This Row],[Production loss]]="","",tblVerifyDowntime[[#This Row],[Production loss]]+N(tblVerifyDowntime[[#This Row],[Repair cost]])))</f>
        <v>0</v>
      </c>
      <c r="O39" s="40">
        <f>IF(tblVerifyDowntime[[#This Row],[Date]]="","",tblVerifyDowntime[[#This Row],[Date]]-WEEKDAY(tblVerifyDowntime[[#This Row],[Date]],2)+1)</f>
        <v>46090</v>
      </c>
      <c r="P39" s="40">
        <f>IF(tblVerifyDowntime[[#This Row],[Date]]="","",IF(AND(tblVerifyDowntime[[#This Row],[Date]]&gt;=$E$29,tblVerifyDowntime[[#This Row],[Date]]&lt;=$E$30,OR($E$31="",tblVerifyDowntime[[#This Row],[Machine]]=$E$31)),tblVerifyDowntime[[#This Row],[Date]],""))</f>
        <v>46090</v>
      </c>
      <c r="Q39" s="41" t="str">
        <f>IF(tblVerifyDowntime[[#This Row],[Date]]="","",IF(tblVerifyDowntime[[#This Row],[Shift]]="","Missing shift",IF(tblVerifyDowntime[[#This Row],[Machine]]="","Missing machine",IF(tblVerifyDowntime[[#This Row],[Reason]]="","Missing reason",IF(tblVerifyDowntime[[#This Row],[Start]]="","Missing start",IF(tblVerifyDowntime[[#This Row],[End]]="","Missing end",IF(tblVerifyDowntime[[#This Row],[Type]]="","Reason not on Setup list",IF(tblVerifyDowntime[[#This Row],[Loss rate]]="","Machine not on Setup list",IF(tblVerifyDowntime[[#This Row],[Minutes]]=0,"Zero-length stop",IF(tblVerifyDowntime[[#This Row],[Minutes]]&gt;720,"Over 12 h: check start and end",IF(COUNTIFS(tblVerifyDowntime[Date],tblVerifyDowntime[[#This Row],[Date]],tblVerifyDowntime[Machine],tblVerifyDowntime[[#This Row],[Machine]],tblVerifyDowntime[Start],tblVerifyDowntime[[#This Row],[Start]])&gt;1,"Duplicate stop","OK")))))))))))</f>
        <v>Zero-length stop</v>
      </c>
      <c r="R39" s="66"/>
    </row>
  </sheetData>
  <sheetProtection sheet="1" formatColumns="0" formatRows="0"/>
  <mergeCells count="29">
    <mergeCell ref="A1:R1"/>
    <mergeCell ref="B2:Q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B25:L25"/>
    <mergeCell ref="B27:L27"/>
    <mergeCell ref="B28:F28"/>
    <mergeCell ref="B29:D29"/>
    <mergeCell ref="B30:D30"/>
    <mergeCell ref="B31:D31"/>
    <mergeCell ref="E31:F31"/>
    <mergeCell ref="B33:L3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Q36:Q39">
    <cfRule type="expression" dxfId="3" priority="41">
      <formula>$Q36="OK"</formula>
    </cfRule>
    <cfRule type="expression" dxfId="1" priority="42">
      <formula>AND($Q36&lt;&gt;"",$Q36&lt;&gt;"OK")</formula>
    </cfRule>
  </conditionalFormatting>
  <hyperlinks>
    <hyperlink ref="R2" r:id="rId1" tooltip="Free manufacturing calculators and templates"/>
  </hyperlinks>
  <printOptions horizontalCentered="1"/>
  <pageMargins left="0.4" right="0.4" top="0.7" bottom="0.65" header="0.3" footer="0.3"/>
  <pageSetup fitToHeight="0" orientation="landscape"/>
  <headerFooter>
    <oddHeader>&amp;L&amp;8MFG Calcs - Downtime Tracker&amp;R&amp;8&amp;A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24</vt:i4>
      </vt:variant>
    </vt:vector>
  </HeadingPairs>
  <TitlesOfParts>
    <vt:vector size="30" baseType="lpstr">
      <vt:lpstr>Start Here</vt:lpstr>
      <vt:lpstr>Setup</vt:lpstr>
      <vt:lpstr>Downtime Log</vt:lpstr>
      <vt:lpstr>Dashboard</vt:lpstr>
      <vt:lpstr>Method</vt:lpstr>
      <vt:lpstr>Verify</vt:lpstr>
      <vt:lpstr>Currency</vt:lpstr>
      <vt:lpstr>DashFrom</vt:lpstr>
      <vt:lpstr>DashMachine</vt:lpstr>
      <vt:lpstr>DashTo</vt:lpstr>
      <vt:lpstr>KpiAvg</vt:lpstr>
      <vt:lpstr>KpiLastWeek</vt:lpstr>
      <vt:lpstr>KpiPlanH</vt:lpstr>
      <vt:lpstr>KpiStops</vt:lpstr>
      <vt:lpstr>KpiTop</vt:lpstr>
      <vt:lpstr>KpiUnplCost</vt:lpstr>
      <vt:lpstr>KpiUnplH</vt:lpstr>
      <vt:lpstr>KpiWorst</vt:lpstr>
      <vt:lpstr>PlantName</vt:lpstr>
      <vt:lpstr>Dashboard!Print_Area</vt:lpstr>
      <vt:lpstr>'Downtime Log'!Print_Area</vt:lpstr>
      <vt:lpstr>Method!Print_Area</vt:lpstr>
      <vt:lpstr>Setup!Print_Area</vt:lpstr>
      <vt:lpstr>'Start Here'!Print_Area</vt:lpstr>
      <vt:lpstr>Verify!Print_Area</vt:lpstr>
      <vt:lpstr>'Downtime Log'!Print_Titles</vt:lpstr>
      <vt:lpstr>Method!Print_Titles</vt:lpstr>
      <vt:lpstr>SelfCheck</vt:lpstr>
      <vt:lpstr>SelfCheckSummary</vt:lpstr>
      <vt:lpstr>WeeklyLimit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Downtime Tracker - free Excel template from MFG Calcs</dc:title>
  <dc:subject>Log every machine stop with its reason, start and end time, and see downtime hours, the cost of the stops and the biggest reasons update as you type.</dc:subject>
  <dc:creator>MFG Calcs</dc:creator>
  <cp:keywords>downtime, downtime tracker, reason codes, Pareto, unplanned downtime, downtime cost, maintenance, breakdown log</cp:keywords>
  <dc:description>https://www.mfgcalcs.com/templates/downtime-tracker - version 2.0.0,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v2.0.0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downtime-tracker</vt:lpwstr>
  </property>
  <property fmtid="{D5CDD505-2E9C-101B-9397-08002B2CF9AE}" pid="3" name="Template version">
    <vt:lpwstr>2.0.0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https://www.mfgcalcs.com/templates/downtime-tracker</vt:lpwstr>
  </property>
  <property fmtid="{D5CDD505-2E9C-101B-9397-08002B2CF9AE}" pid="7" name="Template sheet roles">
    <vt:lpwstr>Start Here=start;Setup=setup;Downtime Log=work;Dashboard=dashboard;Method=method;Verify=verify</vt:lpwstr>
  </property>
</Properties>
</file>