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Inspection Log" sheetId="3" r:id="rId3"/>
    <sheet name="Dashboard" sheetId="4" r:id="rId4"/>
    <sheet name="Method" sheetId="5" r:id="rId5"/>
    <sheet name="Verify" sheetId="6" r:id="rId6"/>
  </sheets>
  <definedNames>
    <definedName name="DashFrom">Dashboard!$G$4</definedName>
    <definedName name="DashLine">Dashboard!$C$4</definedName>
    <definedName name="DashTo">Dashboard!$K$4</definedName>
    <definedName name="FFrom">IF(DashFrom="",0,DashFrom)</definedName>
    <definedName name="FTo">IF(DashTo="",2958465,DashTo)</definedName>
    <definedName name="KpiDpmo">Dashboard!$B$8</definedName>
    <definedName name="KpiDpu">Dashboard!$G$8</definedName>
    <definedName name="KpiLots">Dashboard!$G$30</definedName>
    <definedName name="KpiOpp">Dashboard!$J$8</definedName>
    <definedName name="KpiOver">Dashboard!$J$30</definedName>
    <definedName name="KpiSigma">Dashboard!$D$8</definedName>
    <definedName name="KpiWorstLine">Dashboard!$B$30</definedName>
    <definedName name="KpiWorstProduct">Dashboard!$D$30</definedName>
    <definedName name="Lines">tblLines[Line]</definedName>
    <definedName name="PlantName">Setup!$C$6</definedName>
    <definedName name="_xlnm.Print_Area" localSheetId="3">Dashboard!$A$1:$L$75</definedName>
    <definedName name="_xlnm.Print_Area" localSheetId="2">'Inspection Log'!$A$1:$O$121</definedName>
    <definedName name="_xlnm.Print_Area" localSheetId="4">Method!$A$1:$D$56</definedName>
    <definedName name="_xlnm.Print_Area" localSheetId="1">Setup!$A$1:$E$27</definedName>
    <definedName name="_xlnm.Print_Area" localSheetId="0">'Start Here'!$A$1:$F$55</definedName>
    <definedName name="_xlnm.Print_Area" localSheetId="5">Verify!$A$1:$O$41</definedName>
    <definedName name="_xlnm.Print_Titles" localSheetId="2">'Inspection Log'!$1:$5</definedName>
    <definedName name="_xlnm.Print_Titles" localSheetId="4">Method!$1:$2</definedName>
    <definedName name="Products">tblProducts[Product]</definedName>
    <definedName name="ReportShift">Setup!$C$8</definedName>
    <definedName name="SelfCheck">Verify!$D$4</definedName>
    <definedName name="SelfCheckSummary">Verify!$F$4</definedName>
    <definedName name="TargetDpmo">Setup!$C$7</definedName>
  </definedNames>
  <calcPr calcId="124519" fullCalcOnLoad="1"/>
</workbook>
</file>

<file path=xl/sharedStrings.xml><?xml version="1.0" encoding="utf-8"?>
<sst xmlns="http://schemas.openxmlformats.org/spreadsheetml/2006/main" count="685" uniqueCount="213">
  <si>
    <t>DPMO and Sigma Level Tracker</t>
  </si>
  <si>
    <t>Read this first: what the workbook does and how to use it.</t>
  </si>
  <si>
    <t>mfgcalcs.com</t>
  </si>
  <si>
    <t>Log inspected lots and defects and see DPU, DPMO and sigma level by week, line and product against your DPMO target as you type.</t>
  </si>
  <si>
    <t>For: Quality engineers, process engineers and line leaders in electronics assembly and any plant that counts defects against defined opportunities.</t>
  </si>
  <si>
    <t>Version 1.0.0  ·  updated 15 October 2026</t>
  </si>
  <si>
    <t>Quick start</t>
  </si>
  <si>
    <t>1.</t>
  </si>
  <si>
    <t>On Setup, type your plant name, DPMO target and reporting shift, then replace the example lines and products with your own, with each product's opportunities per unit.</t>
  </si>
  <si>
    <t>2.</t>
  </si>
  <si>
    <t>On Inspection Log, add one row per inspected lot: date, line, product, units inspected and defects found.</t>
  </si>
  <si>
    <t>3.</t>
  </si>
  <si>
    <t>Read the Check column: anything other than OK names the problem in words.</t>
  </si>
  <si>
    <t>4.</t>
  </si>
  <si>
    <t>Open the Dashboard; use the line and date filters to look at one line or one week.</t>
  </si>
  <si>
    <t>What is in this workbook</t>
  </si>
  <si>
    <t>Start Here</t>
  </si>
  <si>
    <t>Setup</t>
  </si>
  <si>
    <t>Your plant, currency, targets and the dropdown lists.</t>
  </si>
  <si>
    <t>Inspection Log</t>
  </si>
  <si>
    <t>One row per inspected lot: units inspected and defects found. Opportunities come from the Products list.</t>
  </si>
  <si>
    <t>Dashboard</t>
  </si>
  <si>
    <t>DPMO, DPU and sigma level against your target, by week, line and product, for the line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</si>
  <si>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</si>
  <si>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</si>
  <si>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</si>
  <si>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</si>
  <si>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</si>
  <si>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</si>
  <si>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</si>
  <si>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</si>
  <si>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</si>
  <si>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</si>
  <si>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</si>
  <si>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</si>
  <si>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</si>
  <si>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</si>
  <si>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</si>
  <si>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</si>
  <si>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</si>
  <si>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</si>
  <si>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</si>
  <si>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</si>
  <si>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Defects per Million Opportunities Calculator on mfgcalcs.com</t>
  </si>
  <si>
    <t>Latest version</t>
  </si>
  <si>
    <t>mfgcalcs.com/templates/dpmo-sigma-calculator</t>
  </si>
  <si>
    <t>More free templates</t>
  </si>
  <si>
    <t>mfgcalcs.com/templates</t>
  </si>
  <si>
    <t>Version</t>
  </si>
  <si>
    <t>1.0.0 (updated 15 October 2026)</t>
  </si>
  <si>
    <t>About the example data</t>
  </si>
  <si>
    <t>Every number already in this workbook is example data for Brightwater Electronics, a fictional business invented for this template, so the dashboard and charts show something meaningful on day one. It covers three SMT lines and five board types over six weeks (7 September to 16 October 2026), generated from a fixed seed; SMT 2 has a feeder problem in week 2 and SMT 3 improves after a stencil change in week 5.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</si>
  <si>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</si>
  <si>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</si>
  <si>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</si>
  <si>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</si>
  <si>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</si>
  <si>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</si>
  <si>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</si>
  <si>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</si>
  <si>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Line</t>
  </si>
  <si>
    <t>Description</t>
  </si>
  <si>
    <t>Product</t>
  </si>
  <si>
    <t>Opportunities per unit</t>
  </si>
  <si>
    <t>Notes</t>
  </si>
  <si>
    <t>Plant and targets</t>
  </si>
  <si>
    <t>Plant or line name</t>
  </si>
  <si>
    <t>Brightwater Electronics (example)</t>
  </si>
  <si>
    <t>DPMO target (maximum)</t>
  </si>
  <si>
    <t>DPMO</t>
  </si>
  <si>
    <t>Reporting shift added to Z</t>
  </si>
  <si>
    <t>sigma</t>
  </si>
  <si>
    <t>The target is yours to set; nothing here assumes an industry figure. 'Near target' means within 5% above it. The sigma level is a normal-equivalent translation of the defect rate; the Dashboard shows the unshifted Z beside it.</t>
  </si>
  <si>
    <t>Lists that feed the dropdowns</t>
  </si>
  <si>
    <t>Lines or process steps</t>
  </si>
  <si>
    <t>SMT 1</t>
  </si>
  <si>
    <t>High-speed line, two placement machines</t>
  </si>
  <si>
    <t>SMT 2</t>
  </si>
  <si>
    <t>Flexible line, one placement machine</t>
  </si>
  <si>
    <t>SMT 3</t>
  </si>
  <si>
    <t>Prototype and low-volume line</t>
  </si>
  <si>
    <t>Products and opportunities per unit</t>
  </si>
  <si>
    <t>Count opportunities with one documented rule for every product, and only what the inspection actually checks; inflated counts make DPMO look better.</t>
  </si>
  <si>
    <t>CTL-220 controller</t>
  </si>
  <si>
    <t>412 parts, 1,428 joints</t>
  </si>
  <si>
    <t>PWR-45 power board</t>
  </si>
  <si>
    <t>188 parts, 772 joints</t>
  </si>
  <si>
    <t>SNS-8 sensor board</t>
  </si>
  <si>
    <t>96 parts, 424 joints</t>
  </si>
  <si>
    <t>DSP-10 display driver</t>
  </si>
  <si>
    <t>530 parts, 1,850 joints</t>
  </si>
  <si>
    <t>IO-16 interface</t>
  </si>
  <si>
    <t>251 parts, 959 joints</t>
  </si>
  <si>
    <t>Date</t>
  </si>
  <si>
    <t>Units inspected</t>
  </si>
  <si>
    <t>Defects found</t>
  </si>
  <si>
    <t>Opportunities</t>
  </si>
  <si>
    <t>DPU</t>
  </si>
  <si>
    <t>Sigma level</t>
  </si>
  <si>
    <t>DPMO status</t>
  </si>
  <si>
    <t>View date</t>
  </si>
  <si>
    <t>Check</t>
  </si>
  <si>
    <t>Example data for Brightwater Electronics (fictional). To clear: select the example rows, right-click, Delete &gt; Table Rows. Yellow = you type; blue = calculated; Check names any problem.</t>
  </si>
  <si>
    <t/>
  </si>
  <si>
    <t>Feeder 12 mispicks; feeder replaced 18 Sep</t>
  </si>
  <si>
    <t>New stencil and SPI limits from today</t>
  </si>
  <si>
    <t>From</t>
  </si>
  <si>
    <t>To</t>
  </si>
  <si>
    <t>SIGMA LEVEL (REPORTED)</t>
  </si>
  <si>
    <t>DEFECTS PER UNIT (DPU)</t>
  </si>
  <si>
    <t>OPPORTUNITIES INSPECTED</t>
  </si>
  <si>
    <t>Units x opportunities per unit</t>
  </si>
  <si>
    <t>HIGHEST-DPMO LINE</t>
  </si>
  <si>
    <t>HIGHEST-DPMO PRODUCT</t>
  </si>
  <si>
    <t>LOTS INSPECTED</t>
  </si>
  <si>
    <t>LOTS ABOVE TARGET</t>
  </si>
  <si>
    <t>Weekly (oldest first)</t>
  </si>
  <si>
    <t>Week starting (Mon)</t>
  </si>
  <si>
    <t>Units</t>
  </si>
  <si>
    <t>Defects</t>
  </si>
  <si>
    <t>Target</t>
  </si>
  <si>
    <t>By line</t>
  </si>
  <si>
    <t>By product</t>
  </si>
  <si>
    <t>The Dashboard shows the 3 lines and 5 products of the Setup lists and the last 6 weeks in view. If you add more lines or products, extend the 'By line' and 'By product' blocks (see Method) or they will not appear here.</t>
  </si>
  <si>
    <t>What this workbook calculates</t>
  </si>
  <si>
    <t>DPMO normalises a defect count to a million opportunities, so boards of very different complexity can be compared on one scale. An opportunity is one way a unit can fail that the inspection checks, for example a placed part or a solder joint; it is counted once per product with one written rule. The sigma level translates the defect rate into the normal-distribution Z with the same tail area, plus the reporting shift you declare.</t>
  </si>
  <si>
    <t>Calculations</t>
  </si>
  <si>
    <t>Quantity</t>
  </si>
  <si>
    <t>How it is calculated</t>
  </si>
  <si>
    <t>Looked up from the Products list on Setup by product (INDEX/MATCH).</t>
  </si>
  <si>
    <t>opportunities/unit</t>
  </si>
  <si>
    <t>Units inspected x opportunities per unit.</t>
  </si>
  <si>
    <t>opportunities</t>
  </si>
  <si>
    <t>Defects found / units inspected.</t>
  </si>
  <si>
    <t>defects/unit</t>
  </si>
  <si>
    <t>Defects found / opportunities x 1,000,000.</t>
  </si>
  <si>
    <t>Z (unshifted)</t>
  </si>
  <si>
    <t>-NORM.S.INV(defects / opportunities): the standard-normal value with that upper-tail area. Blank when there are no defects, or when defects reach the opportunities.</t>
  </si>
  <si>
    <t>Sigma level (reported)</t>
  </si>
  <si>
    <t>Z + the reporting shift on Setup (1.5 by convention, so 3.4 DPMO reads as 6.0).</t>
  </si>
  <si>
    <t>On target at or below the target, Near target up to 5% above it, otherwise Above target.</t>
  </si>
  <si>
    <t>words</t>
  </si>
  <si>
    <t>Roll-ups</t>
  </si>
  <si>
    <t>Every Dashboard figure sums defects, units and opportunities over the rows whose View date is filled in (inside the filters) and divides the sums: DPMO = SUMIFS(defects) / SUMIFS(opportunities) x 1,000,000. Weekly and by-product sigma levels use the same summed rate.</t>
  </si>
  <si>
    <t>-</t>
  </si>
  <si>
    <t>Highest-DPMO line and product</t>
  </si>
  <si>
    <t>The key with the largest DPMO in the by-line and by-product tables (INDEX/MATCH of MAX); the first one listed on a tie.</t>
  </si>
  <si>
    <t>Lots above target</t>
  </si>
  <si>
    <t>Lots in view whose own DPMO is above the target / lots in view.</t>
  </si>
  <si>
    <t>%</t>
  </si>
  <si>
    <t>Assumptions</t>
  </si>
  <si>
    <t>Defects are counted, not defective units: one board with three bad joints is three defects.</t>
  </si>
  <si>
    <t>Opportunities per unit are counted with one rule for every product and include only what the inspection checks.</t>
  </si>
  <si>
    <t>Each lot's inspection is complete (100% of the units in the row).</t>
  </si>
  <si>
    <t>Limitations</t>
  </si>
  <si>
    <t>The sigma level assumes a normal model for a count; it is a translation of the defect rate, not a measured process sigma.</t>
  </si>
  <si>
    <t>The 1.5 shift is a reporting convention from the Six Sigma literature, not a property of your process; set it to 0 to report the unshifted Z.</t>
  </si>
  <si>
    <t>DPMO depends on how opportunities are counted, so compare DPMO across plants only when they use the same counting rule.</t>
  </si>
  <si>
    <t>The Dashboard has fixed blocks for the lines and products in the example lists and the last 6 weeks.</t>
  </si>
  <si>
    <t>Agreement with the live calculator</t>
  </si>
  <si>
    <t>The live Defects per Million Opportunities calculator gives DPMO = defects / opportunities x 1,000,000 and the live Normal-Equivalent Sigma Level calculator gives Z = -inverse normal(defects / opportunities) plus a declared shift. For the same totals this workbook gives the same DPMO and sigma level (checked against both engines on every build). The calculators take one total; this workbook adds the lot log, the filters and the roll-ups.</t>
  </si>
  <si>
    <t>Open the Defects per Million Opportunities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</si>
  <si>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</si>
  <si>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</si>
  <si>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IPC-7912A, Calculation of DPMO and Manufacturing Indices for Printed Board Assemblies (opportunity counting).</t>
  </si>
  <si>
    <t>Harry, M. J., and Schroeder, R., Six Sigma, Doubleday, 2000 (sigma level and the 1.5 shift convention).</t>
  </si>
  <si>
    <t>MFG Calcs Defects per Million Opportunities and Normal-Equivalent Sigma Level calculators.</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</si>
  <si>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</si>
  <si>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</si>
  <si>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</si>
  <si>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</si>
  <si>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</si>
  <si>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</si>
  <si>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</si>
  <si>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</si>
  <si>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</si>
  <si>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</si>
  <si>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</si>
  <si>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</si>
  <si>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</si>
  <si>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</si>
  <si>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</si>
  <si>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(DPMO calculator example): DPMO</t>
  </si>
  <si>
    <t>Row 1 (DPMO calculator example): DPU</t>
  </si>
  <si>
    <t>Row 1 (DPMO calculator example): sigma level</t>
  </si>
  <si>
    <t>Row 2 (sigma calculator example): DPMO</t>
  </si>
  <si>
    <t>Row 2 (sigma calculator example): DPU</t>
  </si>
  <si>
    <t>Row 2 (sigma calculator example): sigma level</t>
  </si>
  <si>
    <t>Row 1: status against a 400 DPMO target</t>
  </si>
  <si>
    <t>On target</t>
  </si>
  <si>
    <t>exact</t>
  </si>
  <si>
    <t>Row 3 (no defects): DPMO</t>
  </si>
  <si>
    <t>Row 3 (no defects): sigma level is blank</t>
  </si>
  <si>
    <t>Row 4: Check reports defects &gt; opportunities</t>
  </si>
  <si>
    <t>Defects &gt; opportunities</t>
  </si>
  <si>
    <t>Row 4 (defects &gt; opportunities): sigma level is blank, not an error</t>
  </si>
  <si>
    <t>All rows: DPMO (Dashboard formula)</t>
  </si>
  <si>
    <t>All rows: DPU (Dashboard formula)</t>
  </si>
  <si>
    <t>All rows: Z unshifted (Dashboard formula)</t>
  </si>
  <si>
    <t>Fixed test inputs</t>
  </si>
  <si>
    <t>White cells are fixed test inputs; blue cells are the workbook's formulas evaluated on them.</t>
  </si>
  <si>
    <t>Parameters</t>
  </si>
  <si>
    <t>Filter: from (0 = no limit)</t>
  </si>
  <si>
    <t>Filter: to (2958465 = no limit)</t>
  </si>
  <si>
    <t>Filter: line (blank = all)</t>
  </si>
  <si>
    <t>DPMO target</t>
  </si>
  <si>
    <t>Reporting shift</t>
  </si>
  <si>
    <t>Test table: Lots</t>
  </si>
  <si>
    <t>L1</t>
  </si>
  <si>
    <t>P1</t>
  </si>
  <si>
    <t>L2</t>
  </si>
  <si>
    <t>P2</t>
  </si>
  <si>
    <t>P3</t>
  </si>
</sst>
</file>

<file path=xl/styles.xml><?xml version="1.0" encoding="utf-8"?>
<styleSheet xmlns="http://schemas.openxmlformats.org/spreadsheetml/2006/main">
  <numFmts count="8">
    <numFmt numFmtId="164" formatCode="#,##0"/>
    <numFmt numFmtId="165" formatCode="#,##0.0"/>
    <numFmt numFmtId="166" formatCode="d mmm yyyy"/>
    <numFmt numFmtId="167" formatCode="#,##0.000"/>
    <numFmt numFmtId="168" formatCode="#,##0.00"/>
    <numFmt numFmtId="169" formatCode="&quot;Target max &quot;#,##0"/>
    <numFmt numFmtId="170" formatCode="0.0%"/>
    <numFmt numFmtId="171"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166"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7"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170"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166" fontId="9" fillId="0" borderId="9" xfId="0" applyNumberFormat="1" applyFont="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7" fontId="10" fillId="0" borderId="9" xfId="0" applyNumberFormat="1" applyFont="1" applyBorder="1" applyAlignment="1">
      <alignment vertical="center"/>
    </xf>
    <xf numFmtId="168" fontId="10" fillId="0" borderId="9" xfId="0" applyNumberFormat="1" applyFont="1" applyBorder="1" applyAlignment="1">
      <alignment vertical="center"/>
    </xf>
    <xf numFmtId="0" fontId="10" fillId="4" borderId="3" xfId="0" applyFont="1" applyFill="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DPMO by week</a:t>
            </a:r>
          </a:p>
        </c:rich>
      </c:tx>
      <c:layout/>
    </c:title>
    <c:plotArea>
      <c:layout/>
      <c:barChart>
        <c:barDir val="col"/>
        <c:grouping val="clustered"/>
        <c:ser>
          <c:idx val="0"/>
          <c:order val="0"/>
          <c:tx>
            <c:v>DPMO</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Dashboard!$B$53:$B$58</c:f>
              <c:numCache>
                <c:formatCode>General</c:formatCode>
                <c:ptCount val="6"/>
                <c:pt idx="0">
                  <c:v>46272</c:v>
                </c:pt>
                <c:pt idx="1">
                  <c:v>46279</c:v>
                </c:pt>
                <c:pt idx="2">
                  <c:v>46286</c:v>
                </c:pt>
                <c:pt idx="3">
                  <c:v>46293</c:v>
                </c:pt>
                <c:pt idx="4">
                  <c:v>46300</c:v>
                </c:pt>
                <c:pt idx="5">
                  <c:v>46307</c:v>
                </c:pt>
              </c:numCache>
            </c:numRef>
          </c:cat>
          <c:val>
            <c:numRef>
              <c:f>Dashboard!$H$53:$H$58</c:f>
              <c:numCache>
                <c:formatCode>General</c:formatCode>
                <c:ptCount val="6"/>
                <c:pt idx="0">
                  <c:v>188.931115742443</c:v>
                </c:pt>
                <c:pt idx="1">
                  <c:v>406.275881107942</c:v>
                </c:pt>
                <c:pt idx="2">
                  <c:v>202.010980842212</c:v>
                </c:pt>
                <c:pt idx="3">
                  <c:v>213.411649534998</c:v>
                </c:pt>
                <c:pt idx="4">
                  <c:v>194.998152818157</c:v>
                </c:pt>
                <c:pt idx="5">
                  <c:v>196.905161410604</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Dashboard!$B$53:$B$58</c:f>
              <c:numCache>
                <c:formatCode>General</c:formatCode>
                <c:ptCount val="6"/>
                <c:pt idx="0">
                  <c:v>46272</c:v>
                </c:pt>
                <c:pt idx="1">
                  <c:v>46279</c:v>
                </c:pt>
                <c:pt idx="2">
                  <c:v>46286</c:v>
                </c:pt>
                <c:pt idx="3">
                  <c:v>46293</c:v>
                </c:pt>
                <c:pt idx="4">
                  <c:v>46300</c:v>
                </c:pt>
                <c:pt idx="5">
                  <c:v>46307</c:v>
                </c:pt>
              </c:numCache>
            </c:numRef>
          </c:cat>
          <c:val>
            <c:numRef>
              <c:f>Dashboard!$I$53:$I$58</c:f>
              <c:numCache>
                <c:formatCode>General</c:formatCode>
                <c:ptCount val="6"/>
                <c:pt idx="0">
                  <c:v>300</c:v>
                </c:pt>
                <c:pt idx="1">
                  <c:v>300</c:v>
                </c:pt>
                <c:pt idx="2">
                  <c:v>300</c:v>
                </c:pt>
                <c:pt idx="3">
                  <c:v>300</c:v>
                </c:pt>
                <c:pt idx="4">
                  <c:v>300</c:v>
                </c:pt>
                <c:pt idx="5">
                  <c:v>300</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DPMO by line</a:t>
            </a:r>
          </a:p>
        </c:rich>
      </c:tx>
      <c:layout/>
    </c:title>
    <c:plotArea>
      <c:layout/>
      <c:barChart>
        <c:barDir val="col"/>
        <c:grouping val="clustered"/>
        <c:ser>
          <c:idx val="0"/>
          <c:order val="0"/>
          <c:tx>
            <c:v>DPMO</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Dashboard!$B$62:$B$64</c:f>
              <c:strCache>
                <c:ptCount val="3"/>
                <c:pt idx="0">
                  <c:v>SMT 1</c:v>
                </c:pt>
                <c:pt idx="1">
                  <c:v>SMT 2</c:v>
                </c:pt>
                <c:pt idx="2">
                  <c:v>SMT 3</c:v>
                </c:pt>
              </c:strCache>
            </c:strRef>
          </c:cat>
          <c:val>
            <c:numRef>
              <c:f>Dashboard!$H$62:$H$64</c:f>
              <c:numCache>
                <c:formatCode>General</c:formatCode>
                <c:ptCount val="3"/>
                <c:pt idx="0">
                  <c:v>142.738091608484</c:v>
                </c:pt>
                <c:pt idx="1">
                  <c:v>316.318155774303</c:v>
                </c:pt>
                <c:pt idx="2">
                  <c:v>328.826306104488</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strRef>
              <c:f>Dashboard!$B$62:$B$64</c:f>
              <c:strCache>
                <c:ptCount val="3"/>
                <c:pt idx="0">
                  <c:v>SMT 1</c:v>
                </c:pt>
                <c:pt idx="1">
                  <c:v>SMT 2</c:v>
                </c:pt>
                <c:pt idx="2">
                  <c:v>SMT 3</c:v>
                </c:pt>
              </c:strCache>
            </c:strRef>
          </c:cat>
          <c:val>
            <c:numRef>
              <c:f>Dashboard!$I$62:$I$64</c:f>
              <c:numCache>
                <c:formatCode>General</c:formatCode>
                <c:ptCount val="3"/>
                <c:pt idx="0">
                  <c:v>300</c:v>
                </c:pt>
                <c:pt idx="1">
                  <c:v>300</c:v>
                </c:pt>
                <c:pt idx="2">
                  <c:v>300</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DPMO by product</a:t>
            </a:r>
          </a:p>
        </c:rich>
      </c:tx>
      <c:layout/>
    </c:title>
    <c:plotArea>
      <c:layout/>
      <c:barChart>
        <c:barDir val="col"/>
        <c:grouping val="clustered"/>
        <c:ser>
          <c:idx val="0"/>
          <c:order val="0"/>
          <c:tx>
            <c:v>DPMO</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Dashboard!$B$68:$B$72</c:f>
              <c:strCache>
                <c:ptCount val="5"/>
                <c:pt idx="0">
                  <c:v>CTL-220 controller</c:v>
                </c:pt>
                <c:pt idx="1">
                  <c:v>PWR-45 power board</c:v>
                </c:pt>
                <c:pt idx="2">
                  <c:v>SNS-8 sensor board</c:v>
                </c:pt>
                <c:pt idx="3">
                  <c:v>DSP-10 display driver</c:v>
                </c:pt>
                <c:pt idx="4">
                  <c:v>IO-16 interface</c:v>
                </c:pt>
              </c:strCache>
            </c:strRef>
          </c:cat>
          <c:val>
            <c:numRef>
              <c:f>Dashboard!$H$68:$H$72</c:f>
              <c:numCache>
                <c:formatCode>General</c:formatCode>
                <c:ptCount val="5"/>
                <c:pt idx="0">
                  <c:v>284.481302095066</c:v>
                </c:pt>
                <c:pt idx="1">
                  <c:v>291.749667994688</c:v>
                </c:pt>
                <c:pt idx="2">
                  <c:v>321.710999281093</c:v>
                </c:pt>
                <c:pt idx="3">
                  <c:v>176.979882862236</c:v>
                </c:pt>
                <c:pt idx="4">
                  <c:v>228.432402752928</c:v>
                </c:pt>
              </c:numCache>
            </c:numRef>
          </c:val>
        </c:ser>
        <c:gapWidth val="60"/>
        <c:overlap val="-10"/>
        <c:axId val="50030001"/>
        <c:axId val="50030002"/>
      </c:barChart>
      <c:lineChart>
        <c:grouping val="standard"/>
        <c:ser>
          <c:idx val="1"/>
          <c:order val="1"/>
          <c:tx>
            <c:v>Target</c:v>
          </c:tx>
          <c:spPr>
            <a:ln w="19050">
              <a:solidFill>
                <a:srgbClr val="4A5361"/>
              </a:solidFill>
              <a:prstDash val="dash"/>
            </a:ln>
          </c:spPr>
          <c:marker>
            <c:symbol val="none"/>
          </c:marker>
          <c:cat>
            <c:strRef>
              <c:f>Dashboard!$B$68:$B$72</c:f>
              <c:strCache>
                <c:ptCount val="5"/>
                <c:pt idx="0">
                  <c:v>CTL-220 controller</c:v>
                </c:pt>
                <c:pt idx="1">
                  <c:v>PWR-45 power board</c:v>
                </c:pt>
                <c:pt idx="2">
                  <c:v>SNS-8 sensor board</c:v>
                </c:pt>
                <c:pt idx="3">
                  <c:v>DSP-10 display driver</c:v>
                </c:pt>
                <c:pt idx="4">
                  <c:v>IO-16 interface</c:v>
                </c:pt>
              </c:strCache>
            </c:strRef>
          </c:cat>
          <c:val>
            <c:numRef>
              <c:f>Dashboard!$J$68:$J$72</c:f>
              <c:numCache>
                <c:formatCode>General</c:formatCode>
                <c:ptCount val="5"/>
                <c:pt idx="0">
                  <c:v>300</c:v>
                </c:pt>
                <c:pt idx="1">
                  <c:v>300</c:v>
                </c:pt>
                <c:pt idx="2">
                  <c:v>300</c:v>
                </c:pt>
                <c:pt idx="3">
                  <c:v>300</c:v>
                </c:pt>
                <c:pt idx="4">
                  <c:v>300</c:v>
                </c:pt>
              </c:numCache>
            </c:numRef>
          </c:val>
        </c:ser>
        <c:marker val="1"/>
        <c:axId val="50030001"/>
        <c:axId val="5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Sigma level by week (reported)</a:t>
            </a:r>
          </a:p>
        </c:rich>
      </c:tx>
      <c:layout/>
    </c:title>
    <c:plotArea>
      <c:layout/>
      <c:lineChart>
        <c:grouping val="standard"/>
        <c:ser>
          <c:idx val="0"/>
          <c:order val="0"/>
          <c:tx>
            <c:v>Sigma level</c:v>
          </c:tx>
          <c:spPr>
            <a:ln w="28575">
              <a:solidFill>
                <a:srgbClr val="3B64D8"/>
              </a:solidFill>
            </a:ln>
          </c:spPr>
          <c:marker>
            <c:symbol val="circle"/>
            <c:size val="5"/>
            <c:spPr>
              <a:solidFill>
                <a:srgbClr val="3B64D8"/>
              </a:solidFill>
              <a:ln>
                <a:solidFill>
                  <a:srgbClr val="3B64D8"/>
                </a:solidFill>
              </a:ln>
            </c:spPr>
          </c:marker>
          <c:dLbls>
            <c:numFmt formatCode="0.00" sourceLinked="0"/>
            <c:txPr>
              <a:bodyPr/>
              <a:lstStyle/>
              <a:p>
                <a:pPr>
                  <a:defRPr sz="800" b="0" baseline="0">
                    <a:solidFill>
                      <a:srgbClr val="1B2430"/>
                    </a:solidFill>
                    <a:latin typeface="Calibri"/>
                  </a:defRPr>
                </a:pPr>
                <a:endParaRPr lang="en-US"/>
              </a:p>
            </c:txPr>
            <c:showVal val="1"/>
          </c:dLbls>
          <c:cat>
            <c:numRef>
              <c:f>Dashboard!$B$53:$B$58</c:f>
              <c:numCache>
                <c:formatCode>General</c:formatCode>
                <c:ptCount val="6"/>
                <c:pt idx="0">
                  <c:v>46272</c:v>
                </c:pt>
                <c:pt idx="1">
                  <c:v>46279</c:v>
                </c:pt>
                <c:pt idx="2">
                  <c:v>46286</c:v>
                </c:pt>
                <c:pt idx="3">
                  <c:v>46293</c:v>
                </c:pt>
                <c:pt idx="4">
                  <c:v>46300</c:v>
                </c:pt>
                <c:pt idx="5">
                  <c:v>46307</c:v>
                </c:pt>
              </c:numCache>
            </c:numRef>
          </c:cat>
          <c:val>
            <c:numRef>
              <c:f>Dashboard!$J$53:$J$58</c:f>
              <c:numCache>
                <c:formatCode>General</c:formatCode>
                <c:ptCount val="6"/>
                <c:pt idx="0">
                  <c:v>5.05508130050846</c:v>
                </c:pt>
                <c:pt idx="1">
                  <c:v>4.84848330486563</c:v>
                </c:pt>
                <c:pt idx="2">
                  <c:v>5.03744262123651</c:v>
                </c:pt>
                <c:pt idx="3">
                  <c:v>5.02291805945833</c:v>
                </c:pt>
                <c:pt idx="4">
                  <c:v>5.04676229312769</c:v>
                </c:pt>
                <c:pt idx="5">
                  <c:v>5.04419736738424</c:v>
                </c:pt>
              </c:numCache>
            </c:numRef>
          </c:val>
        </c:ser>
        <c:marker val="1"/>
        <c:axId val="50040001"/>
        <c:axId val="50040002"/>
      </c:lineChart>
      <c:catAx>
        <c:axId val="5004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DPMO for each week in view, oldest first, with the DPMO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DPMO for each line over the dates in view, with the DPMO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Column chart of DPMO for each product over the dates in view, with the DPMO target as a dashed line, so boards of different complexity compare on one scal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Line chart of the reported sigma level for each week in view, oldest first; higher is bett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Lines" displayName="tblLines" ref="B15:C18" totalsRowShown="0">
  <autoFilter ref="B15:C18"/>
  <tableColumns count="2">
    <tableColumn id="1" name="Line"/>
    <tableColumn id="2" name="Description"/>
  </tableColumns>
  <tableStyleInfo name="TableStyleLight1" showFirstColumn="0" showLastColumn="0" showRowStripes="0" showColumnStripes="0"/>
</table>
</file>

<file path=xl/tables/table2.xml><?xml version="1.0" encoding="utf-8"?>
<table xmlns="http://schemas.openxmlformats.org/spreadsheetml/2006/main" id="2" name="tblProducts" displayName="tblProducts" ref="B22:D27" totalsRowShown="0">
  <autoFilter ref="B22:D27"/>
  <tableColumns count="3">
    <tableColumn id="1" name="Product"/>
    <tableColumn id="2" name="Opportunities per unit"/>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Lots" displayName="tblLots" ref="B5:O121" totalsRowShown="0">
  <autoFilter ref="B5:O121"/>
  <tableColumns count="14">
    <tableColumn id="1" name="Date"/>
    <tableColumn id="2" name="Line"/>
    <tableColumn id="3" name="Product"/>
    <tableColumn id="4" name="Units inspected"/>
    <tableColumn id="5" name="Defects found"/>
    <tableColumn id="6" name="Opportunities per unit">
      <calculatedColumnFormula>IF(tblLots[[#This Row],[Date]]="","",IFERROR(INDEX(tblProducts[Opportunities per unit],MATCH(tblLots[[#This Row],[Product]],tblProducts[Product],0)),""))</calculatedColumnFormula>
    </tableColumn>
    <tableColumn id="7" name="Opportunities">
      <calculatedColumnFormula>IF(tblLots[[#This Row],[Date]]="","",IF(tblLots[[#This Row],[Opportunities per unit]]="","",tblLots[[#This Row],[Units inspected]]*tblLots[[#This Row],[Opportunities per unit]]))</calculatedColumnFormula>
    </tableColumn>
    <tableColumn id="8" name="DPU">
      <calculatedColumnFormula>IF(tblLots[[#This Row],[Date]]="","",IF(tblLots[[#This Row],[Units inspected]]&gt;0,tblLots[[#This Row],[Defects found]]/tblLots[[#This Row],[Units inspected]],""))</calculatedColumnFormula>
    </tableColumn>
    <tableColumn id="9" name="DPMO">
      <calculatedColumnFormula>IF(tblLots[[#This Row],[Date]]="","",IF(N(tblLots[[#This Row],[Opportunities]])&gt;0,tblLots[[#This Row],[Defects found]]/tblLots[[#This Row],[Opportunities]]*1000000,""))</calculatedColumnFormula>
    </tableColumn>
    <tableColumn id="10" name="Sigma level">
      <calculatedColumnFormula>IF(tblLots[[#This Row],[Date]]="","",IF(AND(N(tblLots[[#This Row],[Opportunities]])&gt;0,tblLots[[#This Row],[Defects found]]&gt;0,tblLots[[#This Row],[Defects found]]&lt;tblLots[[#This Row],[Opportunities]]),-_xlfn.NORM.S.INV(tblLots[[#This Row],[Defects found]]/tblLots[[#This Row],[Opportunities]])+ReportShift,""))</calculatedColumnFormula>
    </tableColumn>
    <tableColumn id="11" name="DPMO status">
      <calculatedColumnFormula>IF(NOT(ISNUMBER(tblLots[[#This Row],[DPMO]])),"",IF(tblLots[[#This Row],[DPMO]]&lt;=TargetDpmo,"On target",IF(tblLots[[#This Row],[DPMO]]&lt;=TargetDpmo*(1+0.05),"Near target","Above target")))</calculatedColumnFormula>
    </tableColumn>
    <tableColumn id="12" name="View date">
      <calculatedColumnFormula>IF(tblLots[[#This Row],[Date]]="","",IF(AND(tblLots[[#This Row],[Date]]&gt;=FFrom,tblLots[[#This Row],[Date]]&lt;=FTo,OR(DashLine="",tblLots[[#This Row],[Line]]=DashLine)),tblLots[[#This Row],[Date]],""))</calculatedColumnFormula>
    </tableColumn>
    <tableColumn id="13" name="Check">
      <calculatedColumnFormula>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calculatedColumnFormula>
    </tableColumn>
    <tableColumn id="14" name="Notes"/>
  </tableColumns>
  <tableStyleInfo name="TableStyleLight1" showFirstColumn="0" showLastColumn="0" showRowStripes="0" showColumnStripes="0"/>
</table>
</file>

<file path=xl/tables/table4.xml><?xml version="1.0" encoding="utf-8"?>
<table xmlns="http://schemas.openxmlformats.org/spreadsheetml/2006/main" id="4" name="tblVerifyLots" displayName="tblVerifyLots" ref="B37:O41" totalsRowShown="0">
  <tableColumns count="14">
    <tableColumn id="1" name="Date"/>
    <tableColumn id="2" name="Line"/>
    <tableColumn id="3" name="Product"/>
    <tableColumn id="4" name="Units inspected"/>
    <tableColumn id="5" name="Defects found"/>
    <tableColumn id="6" name="Opportunities per unit"/>
    <tableColumn id="7" name="Opportunities">
      <calculatedColumnFormula>IF(tblVerifyLots[[#This Row],[Date]]="","",IF(tblVerifyLots[[#This Row],[Opportunities per unit]]="","",tblVerifyLots[[#This Row],[Units inspected]]*tblVerifyLots[[#This Row],[Opportunities per unit]]))</calculatedColumnFormula>
    </tableColumn>
    <tableColumn id="8" name="DPU">
      <calculatedColumnFormula>IF(tblVerifyLots[[#This Row],[Date]]="","",IF(tblVerifyLots[[#This Row],[Units inspected]]&gt;0,tblVerifyLots[[#This Row],[Defects found]]/tblVerifyLots[[#This Row],[Units inspected]],""))</calculatedColumnFormula>
    </tableColumn>
    <tableColumn id="9" name="DPMO">
      <calculatedColumnFormula>IF(tblVerifyLots[[#This Row],[Date]]="","",IF(N(tblVerifyLots[[#This Row],[Opportunities]])&gt;0,tblVerifyLots[[#This Row],[Defects found]]/tblVerifyLots[[#This Row],[Opportunities]]*1000000,""))</calculatedColumnFormula>
    </tableColumn>
    <tableColumn id="10" name="Sigma level">
      <calculatedColumnFormula>IF(tblVerifyLots[[#This Row],[Date]]="","",IF(AND(N(tblVerifyLots[[#This Row],[Opportunities]])&gt;0,tblVerifyLots[[#This Row],[Defects found]]&gt;0,tblVerifyLots[[#This Row],[Defects found]]&lt;tblVerifyLots[[#This Row],[Opportunities]]),-_xlfn.NORM.S.INV(tblVerifyLots[[#This Row],[Defects found]]/tblVerifyLots[[#This Row],[Opportunities]])+$E$34,""))</calculatedColumnFormula>
    </tableColumn>
    <tableColumn id="11" name="DPMO status">
      <calculatedColumnFormula>IF(NOT(ISNUMBER(tblVerifyLots[[#This Row],[DPMO]])),"",IF(tblVerifyLots[[#This Row],[DPMO]]&lt;=$E$33,"On target",IF(tblVerifyLots[[#This Row],[DPMO]]&lt;=$E$33*(1+0.05),"Near target","Above target")))</calculatedColumnFormula>
    </tableColumn>
    <tableColumn id="12" name="View date">
      <calculatedColumnFormula>IF(tblVerifyLots[[#This Row],[Date]]="","",IF(AND(tblVerifyLots[[#This Row],[Date]]&gt;=$E$30,tblVerifyLots[[#This Row],[Date]]&lt;=$E$31,OR($E$32="",tblVerifyLots[[#This Row],[Line]]=$E$32)),tblVerifyLots[[#This Row],[Date]],""))</calculatedColumnFormula>
    </tableColumn>
    <tableColumn id="13" name="Check">
      <calculatedColumnFormula>IF(tblVerifyLots[[#This Row],[Date]]="","",IF(tblVerifyLots[[#This Row],[Line]]="","Missing line",IF(tblVerifyLots[[#This Row],[Product]]="","Missing product",IF(tblVerifyLots[[#This Row],[Units inspected]]="","Missing units inspected",IF(tblVerifyLots[[#This Row],[Defects found]]="","Missing defects found",IF(tblVerifyLots[[#This Row],[Opportunities per unit]]="","Product not on Setup list",IF(tblVerifyLots[[#This Row],[Defects found]]&gt;tblVerifyLots[[#This Row],[Opportunities]],"Defects &gt; opportunities",IF(COUNTIFS(tblVerifyLots[Date],tblVerifyLots[[#This Row],[Date]],tblVerifyLots[Line],tblVerifyLots[[#This Row],[Line]],tblVerifyLots[Product],tblVerifyLots[[#This Row],[Product]],tblVerifyLots[Units inspected],tblVerifyLots[[#This Row],[Units inspected]])&gt;1,"Possible duplicate lot","OK"))))))))</calculatedColumnFormula>
    </tableColumn>
    <tableColumn id="14"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pmo-sigma-calculator" TargetMode="External"/><Relationship Id="rId2" Type="http://schemas.openxmlformats.org/officeDocument/2006/relationships/hyperlink" Target="https://www.mfgcalcs.com/calculators/quality-inspection-metrology/dpmo-calculator?utm_source=mfgcalcs-template&amp;utm_medium=xlsx&amp;utm_campaign=dpmo-sigma-calculator" TargetMode="External"/><Relationship Id="rId3" Type="http://schemas.openxmlformats.org/officeDocument/2006/relationships/hyperlink" Target="https://www.mfgcalcs.com/templates/dpmo-sigma-calculator?utm_source=mfgcalcs-template&amp;utm_medium=xlsx&amp;utm_campaign=dpmo-sigma-calculator" TargetMode="External"/><Relationship Id="rId4" Type="http://schemas.openxmlformats.org/officeDocument/2006/relationships/hyperlink" Target="https://www.mfgcalcs.com/templates?utm_source=mfgcalcs-template&amp;utm_medium=xlsx&amp;utm_campaign=dpmo-sigma-calculato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pmo-sigma-calculato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pmo-sigma-calculato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pmo-sigma-calculato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pmo-sigma-calculator" TargetMode="External"/><Relationship Id="rId2" Type="http://schemas.openxmlformats.org/officeDocument/2006/relationships/hyperlink" Target="https://www.mfgcalcs.com/calculators/quality-inspection-metrology/dpmo-calculator?utm_source=mfgcalcs-template&amp;utm_medium=xlsx&amp;utm_campaign=dpmo-sigma-calculato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pmo-sigma-calculator"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14 of 14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Inspection Log'!A1" tooltip="Go to Inspection Log" display="Inspection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DPMO and Sigma Level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7"/>
  <sheetViews>
    <sheetView showGridLines="0" workbookViewId="0"/>
  </sheetViews>
  <sheetFormatPr defaultRowHeight="15"/>
  <cols>
    <col min="1" max="1" width="2.7109375" customWidth="1"/>
    <col min="2" max="2" width="30.7109375" customWidth="1"/>
    <col min="3" max="3" width="16.7109375" customWidth="1"/>
    <col min="4" max="4" width="14.7109375" customWidth="1"/>
    <col min="5" max="5" width="34.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65</v>
      </c>
      <c r="C4" s="8"/>
      <c r="D4" s="8"/>
      <c r="E4" s="8"/>
    </row>
    <row r="5" spans="1:5" ht="5" customHeight="1"/>
    <row r="6" spans="1:5">
      <c r="B6" s="27" t="s">
        <v>66</v>
      </c>
      <c r="C6" s="28" t="s">
        <v>67</v>
      </c>
      <c r="D6" s="28"/>
    </row>
    <row r="7" spans="1:5">
      <c r="B7" s="27" t="s">
        <v>68</v>
      </c>
      <c r="C7" s="29">
        <v>300</v>
      </c>
      <c r="D7" s="7" t="s">
        <v>69</v>
      </c>
    </row>
    <row r="8" spans="1:5">
      <c r="B8" s="27" t="s">
        <v>70</v>
      </c>
      <c r="C8" s="30">
        <v>1.5</v>
      </c>
      <c r="D8" s="7" t="s">
        <v>71</v>
      </c>
    </row>
    <row r="10" spans="1:5" ht="35.4" customHeight="1">
      <c r="B10" s="25" t="s">
        <v>72</v>
      </c>
      <c r="C10" s="25"/>
      <c r="D10" s="25"/>
      <c r="E10" s="25"/>
    </row>
    <row r="12" spans="1:5" ht="21" customHeight="1">
      <c r="B12" s="8" t="s">
        <v>73</v>
      </c>
      <c r="C12" s="8"/>
      <c r="D12" s="8"/>
      <c r="E12" s="8"/>
    </row>
    <row r="13" spans="1:5" ht="5" customHeight="1"/>
    <row r="14" spans="1:5">
      <c r="B14" s="31" t="s">
        <v>74</v>
      </c>
      <c r="C14" s="31"/>
    </row>
    <row r="15" spans="1:5" ht="20" customHeight="1">
      <c r="B15" s="32" t="s">
        <v>60</v>
      </c>
      <c r="C15" s="32" t="s">
        <v>61</v>
      </c>
    </row>
    <row r="16" spans="1:5">
      <c r="B16" s="28" t="s">
        <v>75</v>
      </c>
      <c r="C16" s="33" t="s">
        <v>76</v>
      </c>
    </row>
    <row r="17" spans="2:4">
      <c r="B17" s="28" t="s">
        <v>77</v>
      </c>
      <c r="C17" s="33" t="s">
        <v>78</v>
      </c>
    </row>
    <row r="18" spans="2:4">
      <c r="B18" s="28" t="s">
        <v>79</v>
      </c>
      <c r="C18" s="33" t="s">
        <v>80</v>
      </c>
    </row>
    <row r="20" spans="2:4">
      <c r="B20" s="31" t="s">
        <v>81</v>
      </c>
      <c r="C20" s="31"/>
      <c r="D20" s="31"/>
    </row>
    <row r="21" spans="2:4" ht="29.76" customHeight="1">
      <c r="B21" s="34" t="s">
        <v>82</v>
      </c>
      <c r="C21" s="34"/>
      <c r="D21" s="34"/>
    </row>
    <row r="22" spans="2:4" ht="32" customHeight="1">
      <c r="B22" s="32" t="s">
        <v>62</v>
      </c>
      <c r="C22" s="32" t="s">
        <v>63</v>
      </c>
      <c r="D22" s="32" t="s">
        <v>64</v>
      </c>
    </row>
    <row r="23" spans="2:4">
      <c r="B23" s="28" t="s">
        <v>83</v>
      </c>
      <c r="C23" s="29">
        <v>1840</v>
      </c>
      <c r="D23" s="33" t="s">
        <v>84</v>
      </c>
    </row>
    <row r="24" spans="2:4">
      <c r="B24" s="28" t="s">
        <v>85</v>
      </c>
      <c r="C24" s="29">
        <v>960</v>
      </c>
      <c r="D24" s="33" t="s">
        <v>86</v>
      </c>
    </row>
    <row r="25" spans="2:4">
      <c r="B25" s="28" t="s">
        <v>87</v>
      </c>
      <c r="C25" s="29">
        <v>520</v>
      </c>
      <c r="D25" s="33" t="s">
        <v>88</v>
      </c>
    </row>
    <row r="26" spans="2:4">
      <c r="B26" s="28" t="s">
        <v>89</v>
      </c>
      <c r="C26" s="29">
        <v>2380</v>
      </c>
      <c r="D26" s="33" t="s">
        <v>90</v>
      </c>
    </row>
    <row r="27" spans="2:4">
      <c r="B27" s="28" t="s">
        <v>91</v>
      </c>
      <c r="C27" s="29">
        <v>1210</v>
      </c>
      <c r="D27" s="33" t="s">
        <v>92</v>
      </c>
    </row>
  </sheetData>
  <mergeCells count="9">
    <mergeCell ref="A1:E1"/>
    <mergeCell ref="B2:D2"/>
    <mergeCell ref="B4:E4"/>
    <mergeCell ref="C6:D6"/>
    <mergeCell ref="B10:E10"/>
    <mergeCell ref="B12:E12"/>
    <mergeCell ref="B14:C14"/>
    <mergeCell ref="B20:D20"/>
    <mergeCell ref="B21:D21"/>
  </mergeCells>
  <dataValidations count="8">
    <dataValidation type="textLength" allowBlank="1" showInputMessage="1" showErrorMessage="1" errorTitle="Check this entry" error="Text up to 80 characters." promptTitle="Plant or line name" prompt="Shown on the Dashboard header. Text up to 80 characters." sqref="C6">
      <formula1>0</formula1>
      <formula2>80</formula2>
    </dataValidation>
    <dataValidation type="decimal" allowBlank="1" showInputMessage="1" showErrorMessage="1" errorTitle="Check this entry" error="Enter a number from 0 to 1,000,000." promptTitle="DPMO target (maximum)" prompt="Your own target: the most defects per million opportunities you accept. Lower is better. Enter a number from 0 to 1,000,000." sqref="C7">
      <formula1>0</formula1>
      <formula2>1000000</formula2>
    </dataValidation>
    <dataValidation type="decimal" allowBlank="1" showInputMessage="1" showErrorMessage="1" errorTitle="Check this entry" error="Enter a number from -6 to 6." promptTitle="Reporting shift added to Z" prompt="1.5 is the Six Sigma reporting convention (3.4 DPMO = 6 sigma). It is a convention, not a measurement; use 0 for the unshifted value. Enter a number from -6 to 6." sqref="C8">
      <formula1>-6</formula1>
      <formula2>6</formula2>
    </dataValidation>
    <dataValidation type="textLength" allowBlank="1" showInputMessage="1" showErrorMessage="1" errorTitle="Check this entry" error="Text up to 40 characters." promptTitle="Line" prompt="Text up to 40 characters." sqref="B16:B118">
      <formula1>0</formula1>
      <formula2>40</formula2>
    </dataValidation>
    <dataValidation type="textLength" allowBlank="1" showInputMessage="1" showErrorMessage="1" errorTitle="Check this entry" error="Text up to 120 characters." promptTitle="Description" prompt="Text up to 120 characters." sqref="C16:C118">
      <formula1>0</formula1>
      <formula2>120</formula2>
    </dataValidation>
    <dataValidation type="textLength" allowBlank="1" showInputMessage="1" showErrorMessage="1" errorTitle="Check this entry" error="Text up to 60 characters." promptTitle="Product" prompt="Text up to 60 characters." sqref="B23:B127">
      <formula1>0</formula1>
      <formula2>60</formula2>
    </dataValidation>
    <dataValidation type="whole" allowBlank="1" showInputMessage="1" showErrorMessage="1" errorTitle="Check this entry" error="Enter a whole number from 1 to 10,000,000." promptTitle="Opportunities per unit" prompt="Ways one unit can fail that your inspection checks, counted once per product (e.g. parts + solder joints per IPC-7912A). Keep the rule the same for every product. Enter a whole number from 1 to 10,000,000." sqref="C23:C127">
      <formula1>1</formula1>
      <formula2>10000000</formula2>
    </dataValidation>
    <dataValidation type="textLength" allowBlank="1" showInputMessage="1" showErrorMessage="1" errorTitle="Check this entry" error="Text up to 120 characters." promptTitle="Notes" prompt="Text up to 120 characters." sqref="D23:D127">
      <formula1>0</formula1>
      <formula2>120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DPMO and Sigma Level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O121"/>
  <sheetViews>
    <sheetView workbookViewId="0">
      <pane xSplit="4" ySplit="5" topLeftCell="E6" activePane="bottomRight" state="frozen"/>
      <selection pane="topRight" activeCell="E1" sqref="E1"/>
      <selection pane="bottomLeft" activeCell="A6" sqref="A6"/>
      <selection pane="bottomRight"/>
    </sheetView>
  </sheetViews>
  <sheetFormatPr defaultRowHeight="15"/>
  <cols>
    <col min="1" max="1" width="2.7109375" customWidth="1"/>
    <col min="2" max="2" width="12.28515625" customWidth="1"/>
    <col min="3" max="3" width="9.7109375" customWidth="1"/>
    <col min="4" max="4" width="19.7109375" customWidth="1"/>
    <col min="5" max="5" width="10.7109375" customWidth="1"/>
    <col min="6" max="6" width="10.28515625" customWidth="1"/>
    <col min="7" max="8" width="12.7109375" customWidth="1"/>
    <col min="9" max="11" width="8.7109375" customWidth="1"/>
    <col min="12" max="12" width="12.7109375" customWidth="1"/>
    <col min="13" max="13" width="12.28515625" customWidth="1"/>
    <col min="14" max="14" width="24.7109375" customWidth="1"/>
    <col min="15" max="15" width="30.7109375" customWidth="1"/>
  </cols>
  <sheetData>
    <row r="1" spans="1:15" ht="30" customHeight="1">
      <c r="A1" s="1" t="s">
        <v>0</v>
      </c>
      <c r="B1" s="1"/>
      <c r="C1" s="1"/>
      <c r="D1" s="1"/>
      <c r="E1" s="1"/>
      <c r="F1" s="1"/>
      <c r="G1" s="1"/>
      <c r="H1" s="1"/>
      <c r="I1" s="1"/>
      <c r="J1" s="1"/>
      <c r="K1" s="1"/>
      <c r="L1" s="1"/>
      <c r="M1" s="1"/>
      <c r="N1" s="1"/>
      <c r="O1" s="1"/>
    </row>
    <row r="2" spans="1:15" ht="21" customHeight="1">
      <c r="B2" s="2" t="s">
        <v>20</v>
      </c>
      <c r="C2" s="2"/>
      <c r="D2" s="2"/>
      <c r="E2" s="2"/>
      <c r="F2" s="2"/>
      <c r="G2" s="2"/>
      <c r="H2" s="2"/>
      <c r="I2" s="2"/>
      <c r="J2" s="2"/>
      <c r="K2" s="2"/>
      <c r="L2" s="2"/>
      <c r="M2" s="2"/>
      <c r="N2" s="2"/>
      <c r="O2" s="3" t="s">
        <v>2</v>
      </c>
    </row>
    <row r="3" spans="1:15" ht="6" customHeight="1"/>
    <row r="4" spans="1:15" ht="29.76" customHeight="1">
      <c r="B4" s="34" t="s">
        <v>102</v>
      </c>
      <c r="C4" s="34"/>
      <c r="D4" s="34"/>
      <c r="E4" s="34"/>
      <c r="F4" s="34"/>
      <c r="G4" s="34"/>
      <c r="H4" s="34"/>
      <c r="I4" s="34"/>
      <c r="J4" s="34"/>
      <c r="K4" s="34"/>
      <c r="L4" s="34"/>
      <c r="M4" s="34"/>
      <c r="N4" s="34"/>
      <c r="O4" s="34"/>
    </row>
    <row r="5" spans="1:15" ht="32" customHeight="1">
      <c r="B5" s="32" t="s">
        <v>93</v>
      </c>
      <c r="C5" s="32" t="s">
        <v>60</v>
      </c>
      <c r="D5" s="32" t="s">
        <v>62</v>
      </c>
      <c r="E5" s="32" t="s">
        <v>94</v>
      </c>
      <c r="F5" s="32" t="s">
        <v>95</v>
      </c>
      <c r="G5" s="32" t="s">
        <v>63</v>
      </c>
      <c r="H5" s="32" t="s">
        <v>96</v>
      </c>
      <c r="I5" s="32" t="s">
        <v>97</v>
      </c>
      <c r="J5" s="32" t="s">
        <v>69</v>
      </c>
      <c r="K5" s="32" t="s">
        <v>98</v>
      </c>
      <c r="L5" s="32" t="s">
        <v>99</v>
      </c>
      <c r="M5" s="32" t="s">
        <v>100</v>
      </c>
      <c r="N5" s="32" t="s">
        <v>101</v>
      </c>
      <c r="O5" s="32" t="s">
        <v>64</v>
      </c>
    </row>
    <row r="6" spans="1:15">
      <c r="B6" s="35">
        <v>46272</v>
      </c>
      <c r="C6" s="28" t="s">
        <v>75</v>
      </c>
      <c r="D6" s="28" t="s">
        <v>83</v>
      </c>
      <c r="E6" s="29">
        <v>260</v>
      </c>
      <c r="F6" s="29">
        <v>74</v>
      </c>
      <c r="G6" s="36">
        <f>IF(tblLots[[#This Row],[Date]]="","",IFERROR(INDEX(tblProducts[Opportunities per unit],MATCH(tblLots[[#This Row],[Product]],tblProducts[Product],0)),""))</f>
        <v>1840</v>
      </c>
      <c r="H6" s="36">
        <f>IF(tblLots[[#This Row],[Date]]="","",IF(tblLots[[#This Row],[Opportunities per unit]]="","",tblLots[[#This Row],[Units inspected]]*tblLots[[#This Row],[Opportunities per unit]]))</f>
        <v>478400</v>
      </c>
      <c r="I6" s="37">
        <f>IF(tblLots[[#This Row],[Date]]="","",IF(tblLots[[#This Row],[Units inspected]]&gt;0,tblLots[[#This Row],[Defects found]]/tblLots[[#This Row],[Units inspected]],""))</f>
        <v>0.284615384615385</v>
      </c>
      <c r="J6" s="36">
        <f>IF(tblLots[[#This Row],[Date]]="","",IF(N(tblLots[[#This Row],[Opportunities]])&gt;0,tblLots[[#This Row],[Defects found]]/tblLots[[#This Row],[Opportunities]]*1000000,""))</f>
        <v>154.682274247492</v>
      </c>
      <c r="K6" s="38">
        <f>IF(tblLots[[#This Row],[Date]]="","",IF(AND(N(tblLots[[#This Row],[Opportunities]])&gt;0,tblLots[[#This Row],[Defects found]]&gt;0,tblLots[[#This Row],[Defects found]]&lt;tblLots[[#This Row],[Opportunities]]),-_xlfn.NORM.S.INV(tblLots[[#This Row],[Defects found]]/tblLots[[#This Row],[Opportunities]])+ReportShift,""))</f>
        <v>5.10732962294775</v>
      </c>
      <c r="L6" s="39" t="str">
        <f>IF(NOT(ISNUMBER(tblLots[[#This Row],[DPMO]])),"",IF(tblLots[[#This Row],[DPMO]]&lt;=TargetDpmo,"On target",IF(tblLots[[#This Row],[DPMO]]&lt;=TargetDpmo*(1+0.05),"Near target","Above target")))</f>
        <v>On target</v>
      </c>
      <c r="M6" s="40">
        <f>IF(tblLots[[#This Row],[Date]]="","",IF(AND(tblLots[[#This Row],[Date]]&gt;=FFrom,tblLots[[#This Row],[Date]]&lt;=FTo,OR(DashLine="",tblLots[[#This Row],[Line]]=DashLine)),tblLots[[#This Row],[Date]],""))</f>
        <v>46272</v>
      </c>
      <c r="N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 s="33" t="s">
        <v>103</v>
      </c>
    </row>
    <row r="7" spans="1:15">
      <c r="B7" s="35">
        <v>46272</v>
      </c>
      <c r="C7" s="28" t="s">
        <v>77</v>
      </c>
      <c r="D7" s="28" t="s">
        <v>83</v>
      </c>
      <c r="E7" s="29">
        <v>180</v>
      </c>
      <c r="F7" s="29">
        <v>60</v>
      </c>
      <c r="G7" s="36">
        <f>IF(tblLots[[#This Row],[Date]]="","",IFERROR(INDEX(tblProducts[Opportunities per unit],MATCH(tblLots[[#This Row],[Product]],tblProducts[Product],0)),""))</f>
        <v>1840</v>
      </c>
      <c r="H7" s="36">
        <f>IF(tblLots[[#This Row],[Date]]="","",IF(tblLots[[#This Row],[Opportunities per unit]]="","",tblLots[[#This Row],[Units inspected]]*tblLots[[#This Row],[Opportunities per unit]]))</f>
        <v>331200</v>
      </c>
      <c r="I7" s="37">
        <f>IF(tblLots[[#This Row],[Date]]="","",IF(tblLots[[#This Row],[Units inspected]]&gt;0,tblLots[[#This Row],[Defects found]]/tblLots[[#This Row],[Units inspected]],""))</f>
        <v>0.333333333333333</v>
      </c>
      <c r="J7" s="36">
        <f>IF(tblLots[[#This Row],[Date]]="","",IF(N(tblLots[[#This Row],[Opportunities]])&gt;0,tblLots[[#This Row],[Defects found]]/tblLots[[#This Row],[Opportunities]]*1000000,""))</f>
        <v>181.159420289855</v>
      </c>
      <c r="K7" s="38">
        <f>IF(tblLots[[#This Row],[Date]]="","",IF(AND(N(tblLots[[#This Row],[Opportunities]])&gt;0,tblLots[[#This Row],[Defects found]]&gt;0,tblLots[[#This Row],[Defects found]]&lt;tblLots[[#This Row],[Opportunities]]),-_xlfn.NORM.S.INV(tblLots[[#This Row],[Defects found]]/tblLots[[#This Row],[Opportunities]])+ReportShift,""))</f>
        <v>5.06611036208514</v>
      </c>
      <c r="L7" s="39" t="str">
        <f>IF(NOT(ISNUMBER(tblLots[[#This Row],[DPMO]])),"",IF(tblLots[[#This Row],[DPMO]]&lt;=TargetDpmo,"On target",IF(tblLots[[#This Row],[DPMO]]&lt;=TargetDpmo*(1+0.05),"Near target","Above target")))</f>
        <v>On target</v>
      </c>
      <c r="M7" s="40">
        <f>IF(tblLots[[#This Row],[Date]]="","",IF(AND(tblLots[[#This Row],[Date]]&gt;=FFrom,tblLots[[#This Row],[Date]]&lt;=FTo,OR(DashLine="",tblLots[[#This Row],[Line]]=DashLine)),tblLots[[#This Row],[Date]],""))</f>
        <v>46272</v>
      </c>
      <c r="N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 s="33" t="s">
        <v>103</v>
      </c>
    </row>
    <row r="8" spans="1:15">
      <c r="B8" s="35">
        <v>46272</v>
      </c>
      <c r="C8" s="28" t="s">
        <v>77</v>
      </c>
      <c r="D8" s="28" t="s">
        <v>85</v>
      </c>
      <c r="E8" s="29">
        <v>240</v>
      </c>
      <c r="F8" s="29">
        <v>58</v>
      </c>
      <c r="G8" s="36">
        <f>IF(tblLots[[#This Row],[Date]]="","",IFERROR(INDEX(tblProducts[Opportunities per unit],MATCH(tblLots[[#This Row],[Product]],tblProducts[Product],0)),""))</f>
        <v>960</v>
      </c>
      <c r="H8" s="36">
        <f>IF(tblLots[[#This Row],[Date]]="","",IF(tblLots[[#This Row],[Opportunities per unit]]="","",tblLots[[#This Row],[Units inspected]]*tblLots[[#This Row],[Opportunities per unit]]))</f>
        <v>230400</v>
      </c>
      <c r="I8" s="37">
        <f>IF(tblLots[[#This Row],[Date]]="","",IF(tblLots[[#This Row],[Units inspected]]&gt;0,tblLots[[#This Row],[Defects found]]/tblLots[[#This Row],[Units inspected]],""))</f>
        <v>0.241666666666667</v>
      </c>
      <c r="J8" s="36">
        <f>IF(tblLots[[#This Row],[Date]]="","",IF(N(tblLots[[#This Row],[Opportunities]])&gt;0,tblLots[[#This Row],[Defects found]]/tblLots[[#This Row],[Opportunities]]*1000000,""))</f>
        <v>251.736111111111</v>
      </c>
      <c r="K8" s="38">
        <f>IF(tblLots[[#This Row],[Date]]="","",IF(AND(N(tblLots[[#This Row],[Opportunities]])&gt;0,tblLots[[#This Row],[Defects found]]&gt;0,tblLots[[#This Row],[Defects found]]&lt;tblLots[[#This Row],[Opportunities]]),-_xlfn.NORM.S.INV(tblLots[[#This Row],[Defects found]]/tblLots[[#This Row],[Opportunities]])+ReportShift,""))</f>
        <v>4.97890223772758</v>
      </c>
      <c r="L8" s="39" t="str">
        <f>IF(NOT(ISNUMBER(tblLots[[#This Row],[DPMO]])),"",IF(tblLots[[#This Row],[DPMO]]&lt;=TargetDpmo,"On target",IF(tblLots[[#This Row],[DPMO]]&lt;=TargetDpmo*(1+0.05),"Near target","Above target")))</f>
        <v>On target</v>
      </c>
      <c r="M8" s="40">
        <f>IF(tblLots[[#This Row],[Date]]="","",IF(AND(tblLots[[#This Row],[Date]]&gt;=FFrom,tblLots[[#This Row],[Date]]&lt;=FTo,OR(DashLine="",tblLots[[#This Row],[Line]]=DashLine)),tblLots[[#This Row],[Date]],""))</f>
        <v>46272</v>
      </c>
      <c r="N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 s="33" t="s">
        <v>103</v>
      </c>
    </row>
    <row r="9" spans="1:15">
      <c r="B9" s="35">
        <v>46272</v>
      </c>
      <c r="C9" s="28" t="s">
        <v>79</v>
      </c>
      <c r="D9" s="28" t="s">
        <v>85</v>
      </c>
      <c r="E9" s="29">
        <v>60</v>
      </c>
      <c r="F9" s="29">
        <v>18</v>
      </c>
      <c r="G9" s="36">
        <f>IF(tblLots[[#This Row],[Date]]="","",IFERROR(INDEX(tblProducts[Opportunities per unit],MATCH(tblLots[[#This Row],[Product]],tblProducts[Product],0)),""))</f>
        <v>960</v>
      </c>
      <c r="H9" s="36">
        <f>IF(tblLots[[#This Row],[Date]]="","",IF(tblLots[[#This Row],[Opportunities per unit]]="","",tblLots[[#This Row],[Units inspected]]*tblLots[[#This Row],[Opportunities per unit]]))</f>
        <v>57600</v>
      </c>
      <c r="I9" s="37">
        <f>IF(tblLots[[#This Row],[Date]]="","",IF(tblLots[[#This Row],[Units inspected]]&gt;0,tblLots[[#This Row],[Defects found]]/tblLots[[#This Row],[Units inspected]],""))</f>
        <v>0.3</v>
      </c>
      <c r="J9" s="36">
        <f>IF(tblLots[[#This Row],[Date]]="","",IF(N(tblLots[[#This Row],[Opportunities]])&gt;0,tblLots[[#This Row],[Defects found]]/tblLots[[#This Row],[Opportunities]]*1000000,""))</f>
        <v>312.5</v>
      </c>
      <c r="K9" s="38">
        <f>IF(tblLots[[#This Row],[Date]]="","",IF(AND(N(tblLots[[#This Row],[Opportunities]])&gt;0,tblLots[[#This Row],[Defects found]]&gt;0,tblLots[[#This Row],[Defects found]]&lt;tblLots[[#This Row],[Opportunities]]),-_xlfn.NORM.S.INV(tblLots[[#This Row],[Defects found]]/tblLots[[#This Row],[Opportunities]])+ReportShift,""))</f>
        <v>4.92052670113187</v>
      </c>
      <c r="L9" s="39" t="str">
        <f>IF(NOT(ISNUMBER(tblLots[[#This Row],[DPMO]])),"",IF(tblLots[[#This Row],[DPMO]]&lt;=TargetDpmo,"On target",IF(tblLots[[#This Row],[DPMO]]&lt;=TargetDpmo*(1+0.05),"Near target","Above target")))</f>
        <v>Near target</v>
      </c>
      <c r="M9" s="40">
        <f>IF(tblLots[[#This Row],[Date]]="","",IF(AND(tblLots[[#This Row],[Date]]&gt;=FFrom,tblLots[[#This Row],[Date]]&lt;=FTo,OR(DashLine="",tblLots[[#This Row],[Line]]=DashLine)),tblLots[[#This Row],[Date]],""))</f>
        <v>46272</v>
      </c>
      <c r="N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 s="33" t="s">
        <v>103</v>
      </c>
    </row>
    <row r="10" spans="1:15">
      <c r="B10" s="35">
        <v>46273</v>
      </c>
      <c r="C10" s="28" t="s">
        <v>75</v>
      </c>
      <c r="D10" s="28" t="s">
        <v>91</v>
      </c>
      <c r="E10" s="29">
        <v>160</v>
      </c>
      <c r="F10" s="29">
        <v>17</v>
      </c>
      <c r="G10" s="36">
        <f>IF(tblLots[[#This Row],[Date]]="","",IFERROR(INDEX(tblProducts[Opportunities per unit],MATCH(tblLots[[#This Row],[Product]],tblProducts[Product],0)),""))</f>
        <v>1210</v>
      </c>
      <c r="H10" s="36">
        <f>IF(tblLots[[#This Row],[Date]]="","",IF(tblLots[[#This Row],[Opportunities per unit]]="","",tblLots[[#This Row],[Units inspected]]*tblLots[[#This Row],[Opportunities per unit]]))</f>
        <v>193600</v>
      </c>
      <c r="I10" s="37">
        <f>IF(tblLots[[#This Row],[Date]]="","",IF(tblLots[[#This Row],[Units inspected]]&gt;0,tblLots[[#This Row],[Defects found]]/tblLots[[#This Row],[Units inspected]],""))</f>
        <v>0.10625</v>
      </c>
      <c r="J10" s="36">
        <f>IF(tblLots[[#This Row],[Date]]="","",IF(N(tblLots[[#This Row],[Opportunities]])&gt;0,tblLots[[#This Row],[Defects found]]/tblLots[[#This Row],[Opportunities]]*1000000,""))</f>
        <v>87.8099173553719</v>
      </c>
      <c r="K10" s="38">
        <f>IF(tblLots[[#This Row],[Date]]="","",IF(AND(N(tblLots[[#This Row],[Opportunities]])&gt;0,tblLots[[#This Row],[Defects found]]&gt;0,tblLots[[#This Row],[Defects found]]&lt;tblLots[[#This Row],[Opportunities]]),-_xlfn.NORM.S.INV(tblLots[[#This Row],[Defects found]]/tblLots[[#This Row],[Opportunities]])+ReportShift,""))</f>
        <v>5.25172815025058</v>
      </c>
      <c r="L10" s="39" t="str">
        <f>IF(NOT(ISNUMBER(tblLots[[#This Row],[DPMO]])),"",IF(tblLots[[#This Row],[DPMO]]&lt;=TargetDpmo,"On target",IF(tblLots[[#This Row],[DPMO]]&lt;=TargetDpmo*(1+0.05),"Near target","Above target")))</f>
        <v>On target</v>
      </c>
      <c r="M10" s="40">
        <f>IF(tblLots[[#This Row],[Date]]="","",IF(AND(tblLots[[#This Row],[Date]]&gt;=FFrom,tblLots[[#This Row],[Date]]&lt;=FTo,OR(DashLine="",tblLots[[#This Row],[Line]]=DashLine)),tblLots[[#This Row],[Date]],""))</f>
        <v>46273</v>
      </c>
      <c r="N1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 s="33" t="s">
        <v>103</v>
      </c>
    </row>
    <row r="11" spans="1:15">
      <c r="B11" s="35">
        <v>46273</v>
      </c>
      <c r="C11" s="28" t="s">
        <v>77</v>
      </c>
      <c r="D11" s="28" t="s">
        <v>85</v>
      </c>
      <c r="E11" s="29">
        <v>160</v>
      </c>
      <c r="F11" s="29">
        <v>28</v>
      </c>
      <c r="G11" s="36">
        <f>IF(tblLots[[#This Row],[Date]]="","",IFERROR(INDEX(tblProducts[Opportunities per unit],MATCH(tblLots[[#This Row],[Product]],tblProducts[Product],0)),""))</f>
        <v>960</v>
      </c>
      <c r="H11" s="36">
        <f>IF(tblLots[[#This Row],[Date]]="","",IF(tblLots[[#This Row],[Opportunities per unit]]="","",tblLots[[#This Row],[Units inspected]]*tblLots[[#This Row],[Opportunities per unit]]))</f>
        <v>153600</v>
      </c>
      <c r="I11" s="37">
        <f>IF(tblLots[[#This Row],[Date]]="","",IF(tblLots[[#This Row],[Units inspected]]&gt;0,tblLots[[#This Row],[Defects found]]/tblLots[[#This Row],[Units inspected]],""))</f>
        <v>0.175</v>
      </c>
      <c r="J11" s="36">
        <f>IF(tblLots[[#This Row],[Date]]="","",IF(N(tblLots[[#This Row],[Opportunities]])&gt;0,tblLots[[#This Row],[Defects found]]/tblLots[[#This Row],[Opportunities]]*1000000,""))</f>
        <v>182.291666666667</v>
      </c>
      <c r="K11" s="38">
        <f>IF(tblLots[[#This Row],[Date]]="","",IF(AND(N(tblLots[[#This Row],[Opportunities]])&gt;0,tblLots[[#This Row],[Defects found]]&gt;0,tblLots[[#This Row],[Defects found]]&lt;tblLots[[#This Row],[Opportunities]]),-_xlfn.NORM.S.INV(tblLots[[#This Row],[Defects found]]/tblLots[[#This Row],[Opportunities]])+ReportShift,""))</f>
        <v>5.06447634100699</v>
      </c>
      <c r="L11" s="39" t="str">
        <f>IF(NOT(ISNUMBER(tblLots[[#This Row],[DPMO]])),"",IF(tblLots[[#This Row],[DPMO]]&lt;=TargetDpmo,"On target",IF(tblLots[[#This Row],[DPMO]]&lt;=TargetDpmo*(1+0.05),"Near target","Above target")))</f>
        <v>On target</v>
      </c>
      <c r="M11" s="40">
        <f>IF(tblLots[[#This Row],[Date]]="","",IF(AND(tblLots[[#This Row],[Date]]&gt;=FFrom,tblLots[[#This Row],[Date]]&lt;=FTo,OR(DashLine="",tblLots[[#This Row],[Line]]=DashLine)),tblLots[[#This Row],[Date]],""))</f>
        <v>46273</v>
      </c>
      <c r="N1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 s="33" t="s">
        <v>103</v>
      </c>
    </row>
    <row r="12" spans="1:15">
      <c r="B12" s="35">
        <v>46273</v>
      </c>
      <c r="C12" s="28" t="s">
        <v>79</v>
      </c>
      <c r="D12" s="28" t="s">
        <v>89</v>
      </c>
      <c r="E12" s="29">
        <v>80</v>
      </c>
      <c r="F12" s="29">
        <v>67</v>
      </c>
      <c r="G12" s="36">
        <f>IF(tblLots[[#This Row],[Date]]="","",IFERROR(INDEX(tblProducts[Opportunities per unit],MATCH(tblLots[[#This Row],[Product]],tblProducts[Product],0)),""))</f>
        <v>2380</v>
      </c>
      <c r="H12" s="36">
        <f>IF(tblLots[[#This Row],[Date]]="","",IF(tblLots[[#This Row],[Opportunities per unit]]="","",tblLots[[#This Row],[Units inspected]]*tblLots[[#This Row],[Opportunities per unit]]))</f>
        <v>190400</v>
      </c>
      <c r="I12" s="37">
        <f>IF(tblLots[[#This Row],[Date]]="","",IF(tblLots[[#This Row],[Units inspected]]&gt;0,tblLots[[#This Row],[Defects found]]/tblLots[[#This Row],[Units inspected]],""))</f>
        <v>0.8375</v>
      </c>
      <c r="J12" s="36">
        <f>IF(tblLots[[#This Row],[Date]]="","",IF(N(tblLots[[#This Row],[Opportunities]])&gt;0,tblLots[[#This Row],[Defects found]]/tblLots[[#This Row],[Opportunities]]*1000000,""))</f>
        <v>351.890756302521</v>
      </c>
      <c r="K12" s="38">
        <f>IF(tblLots[[#This Row],[Date]]="","",IF(AND(N(tblLots[[#This Row],[Opportunities]])&gt;0,tblLots[[#This Row],[Defects found]]&gt;0,tblLots[[#This Row],[Defects found]]&lt;tblLots[[#This Row],[Opportunities]]),-_xlfn.NORM.S.INV(tblLots[[#This Row],[Defects found]]/tblLots[[#This Row],[Opportunities]])+ReportShift,""))</f>
        <v>4.8881017482194</v>
      </c>
      <c r="L12" s="39" t="str">
        <f>IF(NOT(ISNUMBER(tblLots[[#This Row],[DPMO]])),"",IF(tblLots[[#This Row],[DPMO]]&lt;=TargetDpmo,"On target",IF(tblLots[[#This Row],[DPMO]]&lt;=TargetDpmo*(1+0.05),"Near target","Above target")))</f>
        <v>Above target</v>
      </c>
      <c r="M12" s="40">
        <f>IF(tblLots[[#This Row],[Date]]="","",IF(AND(tblLots[[#This Row],[Date]]&gt;=FFrom,tblLots[[#This Row],[Date]]&lt;=FTo,OR(DashLine="",tblLots[[#This Row],[Line]]=DashLine)),tblLots[[#This Row],[Date]],""))</f>
        <v>46273</v>
      </c>
      <c r="N1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2" s="33" t="s">
        <v>103</v>
      </c>
    </row>
    <row r="13" spans="1:15">
      <c r="B13" s="35">
        <v>46274</v>
      </c>
      <c r="C13" s="28" t="s">
        <v>75</v>
      </c>
      <c r="D13" s="28" t="s">
        <v>89</v>
      </c>
      <c r="E13" s="29">
        <v>160</v>
      </c>
      <c r="F13" s="29">
        <v>51</v>
      </c>
      <c r="G13" s="36">
        <f>IF(tblLots[[#This Row],[Date]]="","",IFERROR(INDEX(tblProducts[Opportunities per unit],MATCH(tblLots[[#This Row],[Product]],tblProducts[Product],0)),""))</f>
        <v>2380</v>
      </c>
      <c r="H13" s="36">
        <f>IF(tblLots[[#This Row],[Date]]="","",IF(tblLots[[#This Row],[Opportunities per unit]]="","",tblLots[[#This Row],[Units inspected]]*tblLots[[#This Row],[Opportunities per unit]]))</f>
        <v>380800</v>
      </c>
      <c r="I13" s="37">
        <f>IF(tblLots[[#This Row],[Date]]="","",IF(tblLots[[#This Row],[Units inspected]]&gt;0,tblLots[[#This Row],[Defects found]]/tblLots[[#This Row],[Units inspected]],""))</f>
        <v>0.31875</v>
      </c>
      <c r="J13" s="36">
        <f>IF(tblLots[[#This Row],[Date]]="","",IF(N(tblLots[[#This Row],[Opportunities]])&gt;0,tblLots[[#This Row],[Defects found]]/tblLots[[#This Row],[Opportunities]]*1000000,""))</f>
        <v>133.928571428571</v>
      </c>
      <c r="K13" s="38">
        <f>IF(tblLots[[#This Row],[Date]]="","",IF(AND(N(tblLots[[#This Row],[Opportunities]])&gt;0,tblLots[[#This Row],[Defects found]]&gt;0,tblLots[[#This Row],[Defects found]]&lt;tblLots[[#This Row],[Opportunities]]),-_xlfn.NORM.S.INV(tblLots[[#This Row],[Defects found]]/tblLots[[#This Row],[Opportunities]])+ReportShift,""))</f>
        <v>5.14455280064584</v>
      </c>
      <c r="L13" s="39" t="str">
        <f>IF(NOT(ISNUMBER(tblLots[[#This Row],[DPMO]])),"",IF(tblLots[[#This Row],[DPMO]]&lt;=TargetDpmo,"On target",IF(tblLots[[#This Row],[DPMO]]&lt;=TargetDpmo*(1+0.05),"Near target","Above target")))</f>
        <v>On target</v>
      </c>
      <c r="M13" s="40">
        <f>IF(tblLots[[#This Row],[Date]]="","",IF(AND(tblLots[[#This Row],[Date]]&gt;=FFrom,tblLots[[#This Row],[Date]]&lt;=FTo,OR(DashLine="",tblLots[[#This Row],[Line]]=DashLine)),tblLots[[#This Row],[Date]],""))</f>
        <v>46274</v>
      </c>
      <c r="N1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3" s="33" t="s">
        <v>103</v>
      </c>
    </row>
    <row r="14" spans="1:15">
      <c r="B14" s="35">
        <v>46274</v>
      </c>
      <c r="C14" s="28" t="s">
        <v>75</v>
      </c>
      <c r="D14" s="28" t="s">
        <v>83</v>
      </c>
      <c r="E14" s="29">
        <v>230</v>
      </c>
      <c r="F14" s="29">
        <v>65</v>
      </c>
      <c r="G14" s="36">
        <f>IF(tblLots[[#This Row],[Date]]="","",IFERROR(INDEX(tblProducts[Opportunities per unit],MATCH(tblLots[[#This Row],[Product]],tblProducts[Product],0)),""))</f>
        <v>1840</v>
      </c>
      <c r="H14" s="36">
        <f>IF(tblLots[[#This Row],[Date]]="","",IF(tblLots[[#This Row],[Opportunities per unit]]="","",tblLots[[#This Row],[Units inspected]]*tblLots[[#This Row],[Opportunities per unit]]))</f>
        <v>423200</v>
      </c>
      <c r="I14" s="37">
        <f>IF(tblLots[[#This Row],[Date]]="","",IF(tblLots[[#This Row],[Units inspected]]&gt;0,tblLots[[#This Row],[Defects found]]/tblLots[[#This Row],[Units inspected]],""))</f>
        <v>0.282608695652174</v>
      </c>
      <c r="J14" s="36">
        <f>IF(tblLots[[#This Row],[Date]]="","",IF(N(tblLots[[#This Row],[Opportunities]])&gt;0,tblLots[[#This Row],[Defects found]]/tblLots[[#This Row],[Opportunities]]*1000000,""))</f>
        <v>153.59168241966</v>
      </c>
      <c r="K14" s="38">
        <f>IF(tblLots[[#This Row],[Date]]="","",IF(AND(N(tblLots[[#This Row],[Opportunities]])&gt;0,tblLots[[#This Row],[Defects found]]&gt;0,tblLots[[#This Row],[Defects found]]&lt;tblLots[[#This Row],[Opportunities]]),-_xlfn.NORM.S.INV(tblLots[[#This Row],[Defects found]]/tblLots[[#This Row],[Opportunities]])+ReportShift,""))</f>
        <v>5.10916569338771</v>
      </c>
      <c r="L14" s="39" t="str">
        <f>IF(NOT(ISNUMBER(tblLots[[#This Row],[DPMO]])),"",IF(tblLots[[#This Row],[DPMO]]&lt;=TargetDpmo,"On target",IF(tblLots[[#This Row],[DPMO]]&lt;=TargetDpmo*(1+0.05),"Near target","Above target")))</f>
        <v>On target</v>
      </c>
      <c r="M14" s="40">
        <f>IF(tblLots[[#This Row],[Date]]="","",IF(AND(tblLots[[#This Row],[Date]]&gt;=FFrom,tblLots[[#This Row],[Date]]&lt;=FTo,OR(DashLine="",tblLots[[#This Row],[Line]]=DashLine)),tblLots[[#This Row],[Date]],""))</f>
        <v>46274</v>
      </c>
      <c r="N1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4" s="33" t="s">
        <v>103</v>
      </c>
    </row>
    <row r="15" spans="1:15">
      <c r="B15" s="35">
        <v>46274</v>
      </c>
      <c r="C15" s="28" t="s">
        <v>77</v>
      </c>
      <c r="D15" s="28" t="s">
        <v>91</v>
      </c>
      <c r="E15" s="29">
        <v>150</v>
      </c>
      <c r="F15" s="29">
        <v>38</v>
      </c>
      <c r="G15" s="36">
        <f>IF(tblLots[[#This Row],[Date]]="","",IFERROR(INDEX(tblProducts[Opportunities per unit],MATCH(tblLots[[#This Row],[Product]],tblProducts[Product],0)),""))</f>
        <v>1210</v>
      </c>
      <c r="H15" s="36">
        <f>IF(tblLots[[#This Row],[Date]]="","",IF(tblLots[[#This Row],[Opportunities per unit]]="","",tblLots[[#This Row],[Units inspected]]*tblLots[[#This Row],[Opportunities per unit]]))</f>
        <v>181500</v>
      </c>
      <c r="I15" s="37">
        <f>IF(tblLots[[#This Row],[Date]]="","",IF(tblLots[[#This Row],[Units inspected]]&gt;0,tblLots[[#This Row],[Defects found]]/tblLots[[#This Row],[Units inspected]],""))</f>
        <v>0.253333333333333</v>
      </c>
      <c r="J15" s="36">
        <f>IF(tblLots[[#This Row],[Date]]="","",IF(N(tblLots[[#This Row],[Opportunities]])&gt;0,tblLots[[#This Row],[Defects found]]/tblLots[[#This Row],[Opportunities]]*1000000,""))</f>
        <v>209.366391184573</v>
      </c>
      <c r="K15" s="38">
        <f>IF(tblLots[[#This Row],[Date]]="","",IF(AND(N(tblLots[[#This Row],[Opportunities]])&gt;0,tblLots[[#This Row],[Defects found]]&gt;0,tblLots[[#This Row],[Defects found]]&lt;tblLots[[#This Row],[Opportunities]]),-_xlfn.NORM.S.INV(tblLots[[#This Row],[Defects found]]/tblLots[[#This Row],[Opportunities]])+ReportShift,""))</f>
        <v>5.02798696100865</v>
      </c>
      <c r="L15" s="39" t="str">
        <f>IF(NOT(ISNUMBER(tblLots[[#This Row],[DPMO]])),"",IF(tblLots[[#This Row],[DPMO]]&lt;=TargetDpmo,"On target",IF(tblLots[[#This Row],[DPMO]]&lt;=TargetDpmo*(1+0.05),"Near target","Above target")))</f>
        <v>On target</v>
      </c>
      <c r="M15" s="40">
        <f>IF(tblLots[[#This Row],[Date]]="","",IF(AND(tblLots[[#This Row],[Date]]&gt;=FFrom,tblLots[[#This Row],[Date]]&lt;=FTo,OR(DashLine="",tblLots[[#This Row],[Line]]=DashLine)),tblLots[[#This Row],[Date]],""))</f>
        <v>46274</v>
      </c>
      <c r="N1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5" s="33" t="s">
        <v>103</v>
      </c>
    </row>
    <row r="16" spans="1:15">
      <c r="B16" s="35">
        <v>46274</v>
      </c>
      <c r="C16" s="28" t="s">
        <v>77</v>
      </c>
      <c r="D16" s="28" t="s">
        <v>91</v>
      </c>
      <c r="E16" s="29">
        <v>320</v>
      </c>
      <c r="F16" s="29">
        <v>72</v>
      </c>
      <c r="G16" s="36">
        <f>IF(tblLots[[#This Row],[Date]]="","",IFERROR(INDEX(tblProducts[Opportunities per unit],MATCH(tblLots[[#This Row],[Product]],tblProducts[Product],0)),""))</f>
        <v>1210</v>
      </c>
      <c r="H16" s="36">
        <f>IF(tblLots[[#This Row],[Date]]="","",IF(tblLots[[#This Row],[Opportunities per unit]]="","",tblLots[[#This Row],[Units inspected]]*tblLots[[#This Row],[Opportunities per unit]]))</f>
        <v>387200</v>
      </c>
      <c r="I16" s="37">
        <f>IF(tblLots[[#This Row],[Date]]="","",IF(tblLots[[#This Row],[Units inspected]]&gt;0,tblLots[[#This Row],[Defects found]]/tblLots[[#This Row],[Units inspected]],""))</f>
        <v>0.225</v>
      </c>
      <c r="J16" s="36">
        <f>IF(tblLots[[#This Row],[Date]]="","",IF(N(tblLots[[#This Row],[Opportunities]])&gt;0,tblLots[[#This Row],[Defects found]]/tblLots[[#This Row],[Opportunities]]*1000000,""))</f>
        <v>185.950413223141</v>
      </c>
      <c r="K16" s="38">
        <f>IF(tblLots[[#This Row],[Date]]="","",IF(AND(N(tblLots[[#This Row],[Opportunities]])&gt;0,tblLots[[#This Row],[Defects found]]&gt;0,tblLots[[#This Row],[Defects found]]&lt;tblLots[[#This Row],[Opportunities]]),-_xlfn.NORM.S.INV(tblLots[[#This Row],[Defects found]]/tblLots[[#This Row],[Opportunities]])+ReportShift,""))</f>
        <v>5.05926027465939</v>
      </c>
      <c r="L16" s="39" t="str">
        <f>IF(NOT(ISNUMBER(tblLots[[#This Row],[DPMO]])),"",IF(tblLots[[#This Row],[DPMO]]&lt;=TargetDpmo,"On target",IF(tblLots[[#This Row],[DPMO]]&lt;=TargetDpmo*(1+0.05),"Near target","Above target")))</f>
        <v>On target</v>
      </c>
      <c r="M16" s="40">
        <f>IF(tblLots[[#This Row],[Date]]="","",IF(AND(tblLots[[#This Row],[Date]]&gt;=FFrom,tblLots[[#This Row],[Date]]&lt;=FTo,OR(DashLine="",tblLots[[#This Row],[Line]]=DashLine)),tblLots[[#This Row],[Date]],""))</f>
        <v>46274</v>
      </c>
      <c r="N1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6" s="33" t="s">
        <v>103</v>
      </c>
    </row>
    <row r="17" spans="2:15">
      <c r="B17" s="35">
        <v>46274</v>
      </c>
      <c r="C17" s="28" t="s">
        <v>79</v>
      </c>
      <c r="D17" s="28" t="s">
        <v>87</v>
      </c>
      <c r="E17" s="29">
        <v>240</v>
      </c>
      <c r="F17" s="29">
        <v>46</v>
      </c>
      <c r="G17" s="36">
        <f>IF(tblLots[[#This Row],[Date]]="","",IFERROR(INDEX(tblProducts[Opportunities per unit],MATCH(tblLots[[#This Row],[Product]],tblProducts[Product],0)),""))</f>
        <v>520</v>
      </c>
      <c r="H17" s="36">
        <f>IF(tblLots[[#This Row],[Date]]="","",IF(tblLots[[#This Row],[Opportunities per unit]]="","",tblLots[[#This Row],[Units inspected]]*tblLots[[#This Row],[Opportunities per unit]]))</f>
        <v>124800</v>
      </c>
      <c r="I17" s="37">
        <f>IF(tblLots[[#This Row],[Date]]="","",IF(tblLots[[#This Row],[Units inspected]]&gt;0,tblLots[[#This Row],[Defects found]]/tblLots[[#This Row],[Units inspected]],""))</f>
        <v>0.191666666666667</v>
      </c>
      <c r="J17" s="36">
        <f>IF(tblLots[[#This Row],[Date]]="","",IF(N(tblLots[[#This Row],[Opportunities]])&gt;0,tblLots[[#This Row],[Defects found]]/tblLots[[#This Row],[Opportunities]]*1000000,""))</f>
        <v>368.589743589744</v>
      </c>
      <c r="K17" s="38">
        <f>IF(tblLots[[#This Row],[Date]]="","",IF(AND(N(tblLots[[#This Row],[Opportunities]])&gt;0,tblLots[[#This Row],[Defects found]]&gt;0,tblLots[[#This Row],[Defects found]]&lt;tblLots[[#This Row],[Opportunities]]),-_xlfn.NORM.S.INV(tblLots[[#This Row],[Defects found]]/tblLots[[#This Row],[Opportunities]])+ReportShift,""))</f>
        <v>4.87536462947257</v>
      </c>
      <c r="L17" s="39" t="str">
        <f>IF(NOT(ISNUMBER(tblLots[[#This Row],[DPMO]])),"",IF(tblLots[[#This Row],[DPMO]]&lt;=TargetDpmo,"On target",IF(tblLots[[#This Row],[DPMO]]&lt;=TargetDpmo*(1+0.05),"Near target","Above target")))</f>
        <v>Above target</v>
      </c>
      <c r="M17" s="40">
        <f>IF(tblLots[[#This Row],[Date]]="","",IF(AND(tblLots[[#This Row],[Date]]&gt;=FFrom,tblLots[[#This Row],[Date]]&lt;=FTo,OR(DashLine="",tblLots[[#This Row],[Line]]=DashLine)),tblLots[[#This Row],[Date]],""))</f>
        <v>46274</v>
      </c>
      <c r="N1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7" s="33" t="s">
        <v>103</v>
      </c>
    </row>
    <row r="18" spans="2:15">
      <c r="B18" s="35">
        <v>46275</v>
      </c>
      <c r="C18" s="28" t="s">
        <v>75</v>
      </c>
      <c r="D18" s="28" t="s">
        <v>89</v>
      </c>
      <c r="E18" s="29">
        <v>230</v>
      </c>
      <c r="F18" s="29">
        <v>80</v>
      </c>
      <c r="G18" s="36">
        <f>IF(tblLots[[#This Row],[Date]]="","",IFERROR(INDEX(tblProducts[Opportunities per unit],MATCH(tblLots[[#This Row],[Product]],tblProducts[Product],0)),""))</f>
        <v>2380</v>
      </c>
      <c r="H18" s="36">
        <f>IF(tblLots[[#This Row],[Date]]="","",IF(tblLots[[#This Row],[Opportunities per unit]]="","",tblLots[[#This Row],[Units inspected]]*tblLots[[#This Row],[Opportunities per unit]]))</f>
        <v>547400</v>
      </c>
      <c r="I18" s="37">
        <f>IF(tblLots[[#This Row],[Date]]="","",IF(tblLots[[#This Row],[Units inspected]]&gt;0,tblLots[[#This Row],[Defects found]]/tblLots[[#This Row],[Units inspected]],""))</f>
        <v>0.347826086956522</v>
      </c>
      <c r="J18" s="36">
        <f>IF(tblLots[[#This Row],[Date]]="","",IF(N(tblLots[[#This Row],[Opportunities]])&gt;0,tblLots[[#This Row],[Defects found]]/tblLots[[#This Row],[Opportunities]]*1000000,""))</f>
        <v>146.145414687614</v>
      </c>
      <c r="K18" s="38">
        <f>IF(tblLots[[#This Row],[Date]]="","",IF(AND(N(tblLots[[#This Row],[Opportunities]])&gt;0,tblLots[[#This Row],[Defects found]]&gt;0,tblLots[[#This Row],[Defects found]]&lt;tblLots[[#This Row],[Opportunities]]),-_xlfn.NORM.S.INV(tblLots[[#This Row],[Defects found]]/tblLots[[#This Row],[Opportunities]])+ReportShift,""))</f>
        <v>5.12203830261823</v>
      </c>
      <c r="L18" s="39" t="str">
        <f>IF(NOT(ISNUMBER(tblLots[[#This Row],[DPMO]])),"",IF(tblLots[[#This Row],[DPMO]]&lt;=TargetDpmo,"On target",IF(tblLots[[#This Row],[DPMO]]&lt;=TargetDpmo*(1+0.05),"Near target","Above target")))</f>
        <v>On target</v>
      </c>
      <c r="M18" s="40">
        <f>IF(tblLots[[#This Row],[Date]]="","",IF(AND(tblLots[[#This Row],[Date]]&gt;=FFrom,tblLots[[#This Row],[Date]]&lt;=FTo,OR(DashLine="",tblLots[[#This Row],[Line]]=DashLine)),tblLots[[#This Row],[Date]],""))</f>
        <v>46275</v>
      </c>
      <c r="N1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8" s="33" t="s">
        <v>103</v>
      </c>
    </row>
    <row r="19" spans="2:15">
      <c r="B19" s="35">
        <v>46275</v>
      </c>
      <c r="C19" s="28" t="s">
        <v>75</v>
      </c>
      <c r="D19" s="28" t="s">
        <v>91</v>
      </c>
      <c r="E19" s="29">
        <v>240</v>
      </c>
      <c r="F19" s="29">
        <v>27</v>
      </c>
      <c r="G19" s="36">
        <f>IF(tblLots[[#This Row],[Date]]="","",IFERROR(INDEX(tblProducts[Opportunities per unit],MATCH(tblLots[[#This Row],[Product]],tblProducts[Product],0)),""))</f>
        <v>1210</v>
      </c>
      <c r="H19" s="36">
        <f>IF(tblLots[[#This Row],[Date]]="","",IF(tblLots[[#This Row],[Opportunities per unit]]="","",tblLots[[#This Row],[Units inspected]]*tblLots[[#This Row],[Opportunities per unit]]))</f>
        <v>290400</v>
      </c>
      <c r="I19" s="37">
        <f>IF(tblLots[[#This Row],[Date]]="","",IF(tblLots[[#This Row],[Units inspected]]&gt;0,tblLots[[#This Row],[Defects found]]/tblLots[[#This Row],[Units inspected]],""))</f>
        <v>0.1125</v>
      </c>
      <c r="J19" s="36">
        <f>IF(tblLots[[#This Row],[Date]]="","",IF(N(tblLots[[#This Row],[Opportunities]])&gt;0,tblLots[[#This Row],[Defects found]]/tblLots[[#This Row],[Opportunities]]*1000000,""))</f>
        <v>92.9752066115702</v>
      </c>
      <c r="K19" s="38">
        <f>IF(tblLots[[#This Row],[Date]]="","",IF(AND(N(tblLots[[#This Row],[Opportunities]])&gt;0,tblLots[[#This Row],[Defects found]]&gt;0,tblLots[[#This Row],[Defects found]]&lt;tblLots[[#This Row],[Opportunities]]),-_xlfn.NORM.S.INV(tblLots[[#This Row],[Defects found]]/tblLots[[#This Row],[Opportunities]])+ReportShift,""))</f>
        <v>5.2373764478633</v>
      </c>
      <c r="L19" s="39" t="str">
        <f>IF(NOT(ISNUMBER(tblLots[[#This Row],[DPMO]])),"",IF(tblLots[[#This Row],[DPMO]]&lt;=TargetDpmo,"On target",IF(tblLots[[#This Row],[DPMO]]&lt;=TargetDpmo*(1+0.05),"Near target","Above target")))</f>
        <v>On target</v>
      </c>
      <c r="M19" s="40">
        <f>IF(tblLots[[#This Row],[Date]]="","",IF(AND(tblLots[[#This Row],[Date]]&gt;=FFrom,tblLots[[#This Row],[Date]]&lt;=FTo,OR(DashLine="",tblLots[[#This Row],[Line]]=DashLine)),tblLots[[#This Row],[Date]],""))</f>
        <v>46275</v>
      </c>
      <c r="N1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9" s="33" t="s">
        <v>103</v>
      </c>
    </row>
    <row r="20" spans="2:15">
      <c r="B20" s="35">
        <v>46275</v>
      </c>
      <c r="C20" s="28" t="s">
        <v>77</v>
      </c>
      <c r="D20" s="28" t="s">
        <v>85</v>
      </c>
      <c r="E20" s="29">
        <v>270</v>
      </c>
      <c r="F20" s="29">
        <v>55</v>
      </c>
      <c r="G20" s="36">
        <f>IF(tblLots[[#This Row],[Date]]="","",IFERROR(INDEX(tblProducts[Opportunities per unit],MATCH(tblLots[[#This Row],[Product]],tblProducts[Product],0)),""))</f>
        <v>960</v>
      </c>
      <c r="H20" s="36">
        <f>IF(tblLots[[#This Row],[Date]]="","",IF(tblLots[[#This Row],[Opportunities per unit]]="","",tblLots[[#This Row],[Units inspected]]*tblLots[[#This Row],[Opportunities per unit]]))</f>
        <v>259200</v>
      </c>
      <c r="I20" s="37">
        <f>IF(tblLots[[#This Row],[Date]]="","",IF(tblLots[[#This Row],[Units inspected]]&gt;0,tblLots[[#This Row],[Defects found]]/tblLots[[#This Row],[Units inspected]],""))</f>
        <v>0.203703703703704</v>
      </c>
      <c r="J20" s="36">
        <f>IF(tblLots[[#This Row],[Date]]="","",IF(N(tblLots[[#This Row],[Opportunities]])&gt;0,tblLots[[#This Row],[Defects found]]/tblLots[[#This Row],[Opportunities]]*1000000,""))</f>
        <v>212.191358024691</v>
      </c>
      <c r="K20" s="38">
        <f>IF(tblLots[[#This Row],[Date]]="","",IF(AND(N(tblLots[[#This Row],[Opportunities]])&gt;0,tblLots[[#This Row],[Defects found]]&gt;0,tblLots[[#This Row],[Defects found]]&lt;tblLots[[#This Row],[Opportunities]]),-_xlfn.NORM.S.INV(tblLots[[#This Row],[Defects found]]/tblLots[[#This Row],[Opportunities]])+ReportShift,""))</f>
        <v>5.02443762535146</v>
      </c>
      <c r="L20" s="39" t="str">
        <f>IF(NOT(ISNUMBER(tblLots[[#This Row],[DPMO]])),"",IF(tblLots[[#This Row],[DPMO]]&lt;=TargetDpmo,"On target",IF(tblLots[[#This Row],[DPMO]]&lt;=TargetDpmo*(1+0.05),"Near target","Above target")))</f>
        <v>On target</v>
      </c>
      <c r="M20" s="40">
        <f>IF(tblLots[[#This Row],[Date]]="","",IF(AND(tblLots[[#This Row],[Date]]&gt;=FFrom,tblLots[[#This Row],[Date]]&lt;=FTo,OR(DashLine="",tblLots[[#This Row],[Line]]=DashLine)),tblLots[[#This Row],[Date]],""))</f>
        <v>46275</v>
      </c>
      <c r="N2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0" s="33" t="s">
        <v>103</v>
      </c>
    </row>
    <row r="21" spans="2:15">
      <c r="B21" s="35">
        <v>46275</v>
      </c>
      <c r="C21" s="28" t="s">
        <v>77</v>
      </c>
      <c r="D21" s="28" t="s">
        <v>91</v>
      </c>
      <c r="E21" s="29">
        <v>370</v>
      </c>
      <c r="F21" s="29">
        <v>116</v>
      </c>
      <c r="G21" s="36">
        <f>IF(tblLots[[#This Row],[Date]]="","",IFERROR(INDEX(tblProducts[Opportunities per unit],MATCH(tblLots[[#This Row],[Product]],tblProducts[Product],0)),""))</f>
        <v>1210</v>
      </c>
      <c r="H21" s="36">
        <f>IF(tblLots[[#This Row],[Date]]="","",IF(tblLots[[#This Row],[Opportunities per unit]]="","",tblLots[[#This Row],[Units inspected]]*tblLots[[#This Row],[Opportunities per unit]]))</f>
        <v>447700</v>
      </c>
      <c r="I21" s="37">
        <f>IF(tblLots[[#This Row],[Date]]="","",IF(tblLots[[#This Row],[Units inspected]]&gt;0,tblLots[[#This Row],[Defects found]]/tblLots[[#This Row],[Units inspected]],""))</f>
        <v>0.313513513513514</v>
      </c>
      <c r="J21" s="36">
        <f>IF(tblLots[[#This Row],[Date]]="","",IF(N(tblLots[[#This Row],[Opportunities]])&gt;0,tblLots[[#This Row],[Defects found]]/tblLots[[#This Row],[Opportunities]]*1000000,""))</f>
        <v>259.102077283896</v>
      </c>
      <c r="K21" s="38">
        <f>IF(tblLots[[#This Row],[Date]]="","",IF(AND(N(tblLots[[#This Row],[Opportunities]])&gt;0,tblLots[[#This Row],[Defects found]]&gt;0,tblLots[[#This Row],[Defects found]]&lt;tblLots[[#This Row],[Opportunities]]),-_xlfn.NORM.S.INV(tblLots[[#This Row],[Defects found]]/tblLots[[#This Row],[Opportunities]])+ReportShift,""))</f>
        <v>4.97116568370459</v>
      </c>
      <c r="L21" s="39" t="str">
        <f>IF(NOT(ISNUMBER(tblLots[[#This Row],[DPMO]])),"",IF(tblLots[[#This Row],[DPMO]]&lt;=TargetDpmo,"On target",IF(tblLots[[#This Row],[DPMO]]&lt;=TargetDpmo*(1+0.05),"Near target","Above target")))</f>
        <v>On target</v>
      </c>
      <c r="M21" s="40">
        <f>IF(tblLots[[#This Row],[Date]]="","",IF(AND(tblLots[[#This Row],[Date]]&gt;=FFrom,tblLots[[#This Row],[Date]]&lt;=FTo,OR(DashLine="",tblLots[[#This Row],[Line]]=DashLine)),tblLots[[#This Row],[Date]],""))</f>
        <v>46275</v>
      </c>
      <c r="N2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1" s="33" t="s">
        <v>103</v>
      </c>
    </row>
    <row r="22" spans="2:15">
      <c r="B22" s="35">
        <v>46275</v>
      </c>
      <c r="C22" s="28" t="s">
        <v>79</v>
      </c>
      <c r="D22" s="28" t="s">
        <v>87</v>
      </c>
      <c r="E22" s="29">
        <v>230</v>
      </c>
      <c r="F22" s="29">
        <v>32</v>
      </c>
      <c r="G22" s="36">
        <f>IF(tblLots[[#This Row],[Date]]="","",IFERROR(INDEX(tblProducts[Opportunities per unit],MATCH(tblLots[[#This Row],[Product]],tblProducts[Product],0)),""))</f>
        <v>520</v>
      </c>
      <c r="H22" s="36">
        <f>IF(tblLots[[#This Row],[Date]]="","",IF(tblLots[[#This Row],[Opportunities per unit]]="","",tblLots[[#This Row],[Units inspected]]*tblLots[[#This Row],[Opportunities per unit]]))</f>
        <v>119600</v>
      </c>
      <c r="I22" s="37">
        <f>IF(tblLots[[#This Row],[Date]]="","",IF(tblLots[[#This Row],[Units inspected]]&gt;0,tblLots[[#This Row],[Defects found]]/tblLots[[#This Row],[Units inspected]],""))</f>
        <v>0.139130434782609</v>
      </c>
      <c r="J22" s="36">
        <f>IF(tblLots[[#This Row],[Date]]="","",IF(N(tblLots[[#This Row],[Opportunities]])&gt;0,tblLots[[#This Row],[Defects found]]/tblLots[[#This Row],[Opportunities]]*1000000,""))</f>
        <v>267.558528428094</v>
      </c>
      <c r="K22" s="38">
        <f>IF(tblLots[[#This Row],[Date]]="","",IF(AND(N(tblLots[[#This Row],[Opportunities]])&gt;0,tblLots[[#This Row],[Defects found]]&gt;0,tblLots[[#This Row],[Defects found]]&lt;tblLots[[#This Row],[Opportunities]]),-_xlfn.NORM.S.INV(tblLots[[#This Row],[Defects found]]/tblLots[[#This Row],[Opportunities]])+ReportShift,""))</f>
        <v>4.96253261398254</v>
      </c>
      <c r="L22" s="39" t="str">
        <f>IF(NOT(ISNUMBER(tblLots[[#This Row],[DPMO]])),"",IF(tblLots[[#This Row],[DPMO]]&lt;=TargetDpmo,"On target",IF(tblLots[[#This Row],[DPMO]]&lt;=TargetDpmo*(1+0.05),"Near target","Above target")))</f>
        <v>On target</v>
      </c>
      <c r="M22" s="40">
        <f>IF(tblLots[[#This Row],[Date]]="","",IF(AND(tblLots[[#This Row],[Date]]&gt;=FFrom,tblLots[[#This Row],[Date]]&lt;=FTo,OR(DashLine="",tblLots[[#This Row],[Line]]=DashLine)),tblLots[[#This Row],[Date]],""))</f>
        <v>46275</v>
      </c>
      <c r="N2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2" s="33" t="s">
        <v>103</v>
      </c>
    </row>
    <row r="23" spans="2:15">
      <c r="B23" s="35">
        <v>46276</v>
      </c>
      <c r="C23" s="28" t="s">
        <v>75</v>
      </c>
      <c r="D23" s="28" t="s">
        <v>89</v>
      </c>
      <c r="E23" s="29">
        <v>320</v>
      </c>
      <c r="F23" s="29">
        <v>149</v>
      </c>
      <c r="G23" s="36">
        <f>IF(tblLots[[#This Row],[Date]]="","",IFERROR(INDEX(tblProducts[Opportunities per unit],MATCH(tblLots[[#This Row],[Product]],tblProducts[Product],0)),""))</f>
        <v>2380</v>
      </c>
      <c r="H23" s="36">
        <f>IF(tblLots[[#This Row],[Date]]="","",IF(tblLots[[#This Row],[Opportunities per unit]]="","",tblLots[[#This Row],[Units inspected]]*tblLots[[#This Row],[Opportunities per unit]]))</f>
        <v>761600</v>
      </c>
      <c r="I23" s="37">
        <f>IF(tblLots[[#This Row],[Date]]="","",IF(tblLots[[#This Row],[Units inspected]]&gt;0,tblLots[[#This Row],[Defects found]]/tblLots[[#This Row],[Units inspected]],""))</f>
        <v>0.465625</v>
      </c>
      <c r="J23" s="36">
        <f>IF(tblLots[[#This Row],[Date]]="","",IF(N(tblLots[[#This Row],[Opportunities]])&gt;0,tblLots[[#This Row],[Defects found]]/tblLots[[#This Row],[Opportunities]]*1000000,""))</f>
        <v>195.640756302521</v>
      </c>
      <c r="K23" s="38">
        <f>IF(tblLots[[#This Row],[Date]]="","",IF(AND(N(tblLots[[#This Row],[Opportunities]])&gt;0,tblLots[[#This Row],[Defects found]]&gt;0,tblLots[[#This Row],[Defects found]]&lt;tblLots[[#This Row],[Opportunities]]),-_xlfn.NORM.S.INV(tblLots[[#This Row],[Defects found]]/tblLots[[#This Row],[Opportunities]])+ReportShift,""))</f>
        <v>5.04589538337907</v>
      </c>
      <c r="L23" s="39" t="str">
        <f>IF(NOT(ISNUMBER(tblLots[[#This Row],[DPMO]])),"",IF(tblLots[[#This Row],[DPMO]]&lt;=TargetDpmo,"On target",IF(tblLots[[#This Row],[DPMO]]&lt;=TargetDpmo*(1+0.05),"Near target","Above target")))</f>
        <v>On target</v>
      </c>
      <c r="M23" s="40">
        <f>IF(tblLots[[#This Row],[Date]]="","",IF(AND(tblLots[[#This Row],[Date]]&gt;=FFrom,tblLots[[#This Row],[Date]]&lt;=FTo,OR(DashLine="",tblLots[[#This Row],[Line]]=DashLine)),tblLots[[#This Row],[Date]],""))</f>
        <v>46276</v>
      </c>
      <c r="N2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3" s="33" t="s">
        <v>103</v>
      </c>
    </row>
    <row r="24" spans="2:15">
      <c r="B24" s="35">
        <v>46276</v>
      </c>
      <c r="C24" s="28" t="s">
        <v>75</v>
      </c>
      <c r="D24" s="28" t="s">
        <v>89</v>
      </c>
      <c r="E24" s="29">
        <v>340</v>
      </c>
      <c r="F24" s="29">
        <v>117</v>
      </c>
      <c r="G24" s="36">
        <f>IF(tblLots[[#This Row],[Date]]="","",IFERROR(INDEX(tblProducts[Opportunities per unit],MATCH(tblLots[[#This Row],[Product]],tblProducts[Product],0)),""))</f>
        <v>2380</v>
      </c>
      <c r="H24" s="36">
        <f>IF(tblLots[[#This Row],[Date]]="","",IF(tblLots[[#This Row],[Opportunities per unit]]="","",tblLots[[#This Row],[Units inspected]]*tblLots[[#This Row],[Opportunities per unit]]))</f>
        <v>809200</v>
      </c>
      <c r="I24" s="37">
        <f>IF(tblLots[[#This Row],[Date]]="","",IF(tblLots[[#This Row],[Units inspected]]&gt;0,tblLots[[#This Row],[Defects found]]/tblLots[[#This Row],[Units inspected]],""))</f>
        <v>0.344117647058824</v>
      </c>
      <c r="J24" s="36">
        <f>IF(tblLots[[#This Row],[Date]]="","",IF(N(tblLots[[#This Row],[Opportunities]])&gt;0,tblLots[[#This Row],[Defects found]]/tblLots[[#This Row],[Opportunities]]*1000000,""))</f>
        <v>144.587246663371</v>
      </c>
      <c r="K24" s="38">
        <f>IF(tblLots[[#This Row],[Date]]="","",IF(AND(N(tblLots[[#This Row],[Opportunities]])&gt;0,tblLots[[#This Row],[Defects found]]&gt;0,tblLots[[#This Row],[Defects found]]&lt;tblLots[[#This Row],[Opportunities]]),-_xlfn.NORM.S.INV(tblLots[[#This Row],[Defects found]]/tblLots[[#This Row],[Opportunities]])+ReportShift,""))</f>
        <v>5.12480953077776</v>
      </c>
      <c r="L24" s="39" t="str">
        <f>IF(NOT(ISNUMBER(tblLots[[#This Row],[DPMO]])),"",IF(tblLots[[#This Row],[DPMO]]&lt;=TargetDpmo,"On target",IF(tblLots[[#This Row],[DPMO]]&lt;=TargetDpmo*(1+0.05),"Near target","Above target")))</f>
        <v>On target</v>
      </c>
      <c r="M24" s="40">
        <f>IF(tblLots[[#This Row],[Date]]="","",IF(AND(tblLots[[#This Row],[Date]]&gt;=FFrom,tblLots[[#This Row],[Date]]&lt;=FTo,OR(DashLine="",tblLots[[#This Row],[Line]]=DashLine)),tblLots[[#This Row],[Date]],""))</f>
        <v>46276</v>
      </c>
      <c r="N2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4" s="33" t="s">
        <v>103</v>
      </c>
    </row>
    <row r="25" spans="2:15">
      <c r="B25" s="35">
        <v>46276</v>
      </c>
      <c r="C25" s="28" t="s">
        <v>77</v>
      </c>
      <c r="D25" s="28" t="s">
        <v>91</v>
      </c>
      <c r="E25" s="29">
        <v>310</v>
      </c>
      <c r="F25" s="29">
        <v>72</v>
      </c>
      <c r="G25" s="36">
        <f>IF(tblLots[[#This Row],[Date]]="","",IFERROR(INDEX(tblProducts[Opportunities per unit],MATCH(tblLots[[#This Row],[Product]],tblProducts[Product],0)),""))</f>
        <v>1210</v>
      </c>
      <c r="H25" s="36">
        <f>IF(tblLots[[#This Row],[Date]]="","",IF(tblLots[[#This Row],[Opportunities per unit]]="","",tblLots[[#This Row],[Units inspected]]*tblLots[[#This Row],[Opportunities per unit]]))</f>
        <v>375100</v>
      </c>
      <c r="I25" s="37">
        <f>IF(tblLots[[#This Row],[Date]]="","",IF(tblLots[[#This Row],[Units inspected]]&gt;0,tblLots[[#This Row],[Defects found]]/tblLots[[#This Row],[Units inspected]],""))</f>
        <v>0.232258064516129</v>
      </c>
      <c r="J25" s="36">
        <f>IF(tblLots[[#This Row],[Date]]="","",IF(N(tblLots[[#This Row],[Opportunities]])&gt;0,tblLots[[#This Row],[Defects found]]/tblLots[[#This Row],[Opportunities]]*1000000,""))</f>
        <v>191.948813649693</v>
      </c>
      <c r="K25" s="38">
        <f>IF(tblLots[[#This Row],[Date]]="","",IF(AND(N(tblLots[[#This Row],[Opportunities]])&gt;0,tblLots[[#This Row],[Defects found]]&gt;0,tblLots[[#This Row],[Defects found]]&lt;tblLots[[#This Row],[Opportunities]]),-_xlfn.NORM.S.INV(tblLots[[#This Row],[Defects found]]/tblLots[[#This Row],[Opportunities]])+ReportShift,""))</f>
        <v>5.05091277212993</v>
      </c>
      <c r="L25" s="39" t="str">
        <f>IF(NOT(ISNUMBER(tblLots[[#This Row],[DPMO]])),"",IF(tblLots[[#This Row],[DPMO]]&lt;=TargetDpmo,"On target",IF(tblLots[[#This Row],[DPMO]]&lt;=TargetDpmo*(1+0.05),"Near target","Above target")))</f>
        <v>On target</v>
      </c>
      <c r="M25" s="40">
        <f>IF(tblLots[[#This Row],[Date]]="","",IF(AND(tblLots[[#This Row],[Date]]&gt;=FFrom,tblLots[[#This Row],[Date]]&lt;=FTo,OR(DashLine="",tblLots[[#This Row],[Line]]=DashLine)),tblLots[[#This Row],[Date]],""))</f>
        <v>46276</v>
      </c>
      <c r="N2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5" s="33" t="s">
        <v>103</v>
      </c>
    </row>
    <row r="26" spans="2:15">
      <c r="B26" s="35">
        <v>46276</v>
      </c>
      <c r="C26" s="28" t="s">
        <v>77</v>
      </c>
      <c r="D26" s="28" t="s">
        <v>91</v>
      </c>
      <c r="E26" s="29">
        <v>320</v>
      </c>
      <c r="F26" s="29">
        <v>76</v>
      </c>
      <c r="G26" s="36">
        <f>IF(tblLots[[#This Row],[Date]]="","",IFERROR(INDEX(tblProducts[Opportunities per unit],MATCH(tblLots[[#This Row],[Product]],tblProducts[Product],0)),""))</f>
        <v>1210</v>
      </c>
      <c r="H26" s="36">
        <f>IF(tblLots[[#This Row],[Date]]="","",IF(tblLots[[#This Row],[Opportunities per unit]]="","",tblLots[[#This Row],[Units inspected]]*tblLots[[#This Row],[Opportunities per unit]]))</f>
        <v>387200</v>
      </c>
      <c r="I26" s="37">
        <f>IF(tblLots[[#This Row],[Date]]="","",IF(tblLots[[#This Row],[Units inspected]]&gt;0,tblLots[[#This Row],[Defects found]]/tblLots[[#This Row],[Units inspected]],""))</f>
        <v>0.2375</v>
      </c>
      <c r="J26" s="36">
        <f>IF(tblLots[[#This Row],[Date]]="","",IF(N(tblLots[[#This Row],[Opportunities]])&gt;0,tblLots[[#This Row],[Defects found]]/tblLots[[#This Row],[Opportunities]]*1000000,""))</f>
        <v>196.280991735537</v>
      </c>
      <c r="K26" s="38">
        <f>IF(tblLots[[#This Row],[Date]]="","",IF(AND(N(tblLots[[#This Row],[Opportunities]])&gt;0,tblLots[[#This Row],[Defects found]]&gt;0,tblLots[[#This Row],[Defects found]]&lt;tblLots[[#This Row],[Opportunities]]),-_xlfn.NORM.S.INV(tblLots[[#This Row],[Defects found]]/tblLots[[#This Row],[Opportunities]])+ReportShift,""))</f>
        <v>5.0450343103156</v>
      </c>
      <c r="L26" s="39" t="str">
        <f>IF(NOT(ISNUMBER(tblLots[[#This Row],[DPMO]])),"",IF(tblLots[[#This Row],[DPMO]]&lt;=TargetDpmo,"On target",IF(tblLots[[#This Row],[DPMO]]&lt;=TargetDpmo*(1+0.05),"Near target","Above target")))</f>
        <v>On target</v>
      </c>
      <c r="M26" s="40">
        <f>IF(tblLots[[#This Row],[Date]]="","",IF(AND(tblLots[[#This Row],[Date]]&gt;=FFrom,tblLots[[#This Row],[Date]]&lt;=FTo,OR(DashLine="",tblLots[[#This Row],[Line]]=DashLine)),tblLots[[#This Row],[Date]],""))</f>
        <v>46276</v>
      </c>
      <c r="N2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6" s="33" t="s">
        <v>103</v>
      </c>
    </row>
    <row r="27" spans="2:15">
      <c r="B27" s="35">
        <v>46276</v>
      </c>
      <c r="C27" s="28" t="s">
        <v>79</v>
      </c>
      <c r="D27" s="28" t="s">
        <v>85</v>
      </c>
      <c r="E27" s="29">
        <v>220</v>
      </c>
      <c r="F27" s="29">
        <v>69</v>
      </c>
      <c r="G27" s="36">
        <f>IF(tblLots[[#This Row],[Date]]="","",IFERROR(INDEX(tblProducts[Opportunities per unit],MATCH(tblLots[[#This Row],[Product]],tblProducts[Product],0)),""))</f>
        <v>960</v>
      </c>
      <c r="H27" s="36">
        <f>IF(tblLots[[#This Row],[Date]]="","",IF(tblLots[[#This Row],[Opportunities per unit]]="","",tblLots[[#This Row],[Units inspected]]*tblLots[[#This Row],[Opportunities per unit]]))</f>
        <v>211200</v>
      </c>
      <c r="I27" s="37">
        <f>IF(tblLots[[#This Row],[Date]]="","",IF(tblLots[[#This Row],[Units inspected]]&gt;0,tblLots[[#This Row],[Defects found]]/tblLots[[#This Row],[Units inspected]],""))</f>
        <v>0.313636363636364</v>
      </c>
      <c r="J27" s="36">
        <f>IF(tblLots[[#This Row],[Date]]="","",IF(N(tblLots[[#This Row],[Opportunities]])&gt;0,tblLots[[#This Row],[Defects found]]/tblLots[[#This Row],[Opportunities]]*1000000,""))</f>
        <v>326.704545454545</v>
      </c>
      <c r="K27" s="38">
        <f>IF(tblLots[[#This Row],[Date]]="","",IF(AND(N(tblLots[[#This Row],[Opportunities]])&gt;0,tblLots[[#This Row],[Defects found]]&gt;0,tblLots[[#This Row],[Defects found]]&lt;tblLots[[#This Row],[Opportunities]]),-_xlfn.NORM.S.INV(tblLots[[#This Row],[Defects found]]/tblLots[[#This Row],[Opportunities]])+ReportShift,""))</f>
        <v>4.90841721025139</v>
      </c>
      <c r="L27" s="39" t="str">
        <f>IF(NOT(ISNUMBER(tblLots[[#This Row],[DPMO]])),"",IF(tblLots[[#This Row],[DPMO]]&lt;=TargetDpmo,"On target",IF(tblLots[[#This Row],[DPMO]]&lt;=TargetDpmo*(1+0.05),"Near target","Above target")))</f>
        <v>Above target</v>
      </c>
      <c r="M27" s="40">
        <f>IF(tblLots[[#This Row],[Date]]="","",IF(AND(tblLots[[#This Row],[Date]]&gt;=FFrom,tblLots[[#This Row],[Date]]&lt;=FTo,OR(DashLine="",tblLots[[#This Row],[Line]]=DashLine)),tblLots[[#This Row],[Date]],""))</f>
        <v>46276</v>
      </c>
      <c r="N2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7" s="33" t="s">
        <v>103</v>
      </c>
    </row>
    <row r="28" spans="2:15">
      <c r="B28" s="35">
        <v>46279</v>
      </c>
      <c r="C28" s="28" t="s">
        <v>75</v>
      </c>
      <c r="D28" s="28" t="s">
        <v>89</v>
      </c>
      <c r="E28" s="29">
        <v>160</v>
      </c>
      <c r="F28" s="29">
        <v>37</v>
      </c>
      <c r="G28" s="36">
        <f>IF(tblLots[[#This Row],[Date]]="","",IFERROR(INDEX(tblProducts[Opportunities per unit],MATCH(tblLots[[#This Row],[Product]],tblProducts[Product],0)),""))</f>
        <v>2380</v>
      </c>
      <c r="H28" s="36">
        <f>IF(tblLots[[#This Row],[Date]]="","",IF(tblLots[[#This Row],[Opportunities per unit]]="","",tblLots[[#This Row],[Units inspected]]*tblLots[[#This Row],[Opportunities per unit]]))</f>
        <v>380800</v>
      </c>
      <c r="I28" s="37">
        <f>IF(tblLots[[#This Row],[Date]]="","",IF(tblLots[[#This Row],[Units inspected]]&gt;0,tblLots[[#This Row],[Defects found]]/tblLots[[#This Row],[Units inspected]],""))</f>
        <v>0.23125</v>
      </c>
      <c r="J28" s="36">
        <f>IF(tblLots[[#This Row],[Date]]="","",IF(N(tblLots[[#This Row],[Opportunities]])&gt;0,tblLots[[#This Row],[Defects found]]/tblLots[[#This Row],[Opportunities]]*1000000,""))</f>
        <v>97.1638655462185</v>
      </c>
      <c r="K28" s="38">
        <f>IF(tblLots[[#This Row],[Date]]="","",IF(AND(N(tblLots[[#This Row],[Opportunities]])&gt;0,tblLots[[#This Row],[Defects found]]&gt;0,tblLots[[#This Row],[Defects found]]&lt;tblLots[[#This Row],[Opportunities]]),-_xlfn.NORM.S.INV(tblLots[[#This Row],[Defects found]]/tblLots[[#This Row],[Opportunities]])+ReportShift,""))</f>
        <v>5.22627844051838</v>
      </c>
      <c r="L28" s="39" t="str">
        <f>IF(NOT(ISNUMBER(tblLots[[#This Row],[DPMO]])),"",IF(tblLots[[#This Row],[DPMO]]&lt;=TargetDpmo,"On target",IF(tblLots[[#This Row],[DPMO]]&lt;=TargetDpmo*(1+0.05),"Near target","Above target")))</f>
        <v>On target</v>
      </c>
      <c r="M28" s="40">
        <f>IF(tblLots[[#This Row],[Date]]="","",IF(AND(tblLots[[#This Row],[Date]]&gt;=FFrom,tblLots[[#This Row],[Date]]&lt;=FTo,OR(DashLine="",tblLots[[#This Row],[Line]]=DashLine)),tblLots[[#This Row],[Date]],""))</f>
        <v>46279</v>
      </c>
      <c r="N2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8" s="33" t="s">
        <v>103</v>
      </c>
    </row>
    <row r="29" spans="2:15">
      <c r="B29" s="35">
        <v>46279</v>
      </c>
      <c r="C29" s="28" t="s">
        <v>77</v>
      </c>
      <c r="D29" s="28" t="s">
        <v>83</v>
      </c>
      <c r="E29" s="29">
        <v>340</v>
      </c>
      <c r="F29" s="29">
        <v>363</v>
      </c>
      <c r="G29" s="36">
        <f>IF(tblLots[[#This Row],[Date]]="","",IFERROR(INDEX(tblProducts[Opportunities per unit],MATCH(tblLots[[#This Row],[Product]],tblProducts[Product],0)),""))</f>
        <v>1840</v>
      </c>
      <c r="H29" s="36">
        <f>IF(tblLots[[#This Row],[Date]]="","",IF(tblLots[[#This Row],[Opportunities per unit]]="","",tblLots[[#This Row],[Units inspected]]*tblLots[[#This Row],[Opportunities per unit]]))</f>
        <v>625600</v>
      </c>
      <c r="I29" s="37">
        <f>IF(tblLots[[#This Row],[Date]]="","",IF(tblLots[[#This Row],[Units inspected]]&gt;0,tblLots[[#This Row],[Defects found]]/tblLots[[#This Row],[Units inspected]],""))</f>
        <v>1.06764705882353</v>
      </c>
      <c r="J29" s="36">
        <f>IF(tblLots[[#This Row],[Date]]="","",IF(N(tblLots[[#This Row],[Opportunities]])&gt;0,tblLots[[#This Row],[Defects found]]/tblLots[[#This Row],[Opportunities]]*1000000,""))</f>
        <v>580.242966751918</v>
      </c>
      <c r="K29" s="38">
        <f>IF(tblLots[[#This Row],[Date]]="","",IF(AND(N(tblLots[[#This Row],[Opportunities]])&gt;0,tblLots[[#This Row],[Defects found]]&gt;0,tblLots[[#This Row],[Defects found]]&lt;tblLots[[#This Row],[Opportunities]]),-_xlfn.NORM.S.INV(tblLots[[#This Row],[Defects found]]/tblLots[[#This Row],[Opportunities]])+ReportShift,""))</f>
        <v>4.74841814438383</v>
      </c>
      <c r="L29" s="39" t="str">
        <f>IF(NOT(ISNUMBER(tblLots[[#This Row],[DPMO]])),"",IF(tblLots[[#This Row],[DPMO]]&lt;=TargetDpmo,"On target",IF(tblLots[[#This Row],[DPMO]]&lt;=TargetDpmo*(1+0.05),"Near target","Above target")))</f>
        <v>Above target</v>
      </c>
      <c r="M29" s="40">
        <f>IF(tblLots[[#This Row],[Date]]="","",IF(AND(tblLots[[#This Row],[Date]]&gt;=FFrom,tblLots[[#This Row],[Date]]&lt;=FTo,OR(DashLine="",tblLots[[#This Row],[Line]]=DashLine)),tblLots[[#This Row],[Date]],""))</f>
        <v>46279</v>
      </c>
      <c r="N2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29" s="33" t="s">
        <v>103</v>
      </c>
    </row>
    <row r="30" spans="2:15">
      <c r="B30" s="35">
        <v>46279</v>
      </c>
      <c r="C30" s="28" t="s">
        <v>79</v>
      </c>
      <c r="D30" s="28" t="s">
        <v>87</v>
      </c>
      <c r="E30" s="29">
        <v>190</v>
      </c>
      <c r="F30" s="29">
        <v>42</v>
      </c>
      <c r="G30" s="36">
        <f>IF(tblLots[[#This Row],[Date]]="","",IFERROR(INDEX(tblProducts[Opportunities per unit],MATCH(tblLots[[#This Row],[Product]],tblProducts[Product],0)),""))</f>
        <v>520</v>
      </c>
      <c r="H30" s="36">
        <f>IF(tblLots[[#This Row],[Date]]="","",IF(tblLots[[#This Row],[Opportunities per unit]]="","",tblLots[[#This Row],[Units inspected]]*tblLots[[#This Row],[Opportunities per unit]]))</f>
        <v>98800</v>
      </c>
      <c r="I30" s="37">
        <f>IF(tblLots[[#This Row],[Date]]="","",IF(tblLots[[#This Row],[Units inspected]]&gt;0,tblLots[[#This Row],[Defects found]]/tblLots[[#This Row],[Units inspected]],""))</f>
        <v>0.221052631578947</v>
      </c>
      <c r="J30" s="36">
        <f>IF(tblLots[[#This Row],[Date]]="","",IF(N(tblLots[[#This Row],[Opportunities]])&gt;0,tblLots[[#This Row],[Defects found]]/tblLots[[#This Row],[Opportunities]]*1000000,""))</f>
        <v>425.101214574899</v>
      </c>
      <c r="K30" s="38">
        <f>IF(tblLots[[#This Row],[Date]]="","",IF(AND(N(tblLots[[#This Row],[Opportunities]])&gt;0,tblLots[[#This Row],[Defects found]]&gt;0,tblLots[[#This Row],[Defects found]]&lt;tblLots[[#This Row],[Opportunities]]),-_xlfn.NORM.S.INV(tblLots[[#This Row],[Defects found]]/tblLots[[#This Row],[Opportunities]])+ReportShift,""))</f>
        <v>4.83591143956849</v>
      </c>
      <c r="L30" s="39" t="str">
        <f>IF(NOT(ISNUMBER(tblLots[[#This Row],[DPMO]])),"",IF(tblLots[[#This Row],[DPMO]]&lt;=TargetDpmo,"On target",IF(tblLots[[#This Row],[DPMO]]&lt;=TargetDpmo*(1+0.05),"Near target","Above target")))</f>
        <v>Above target</v>
      </c>
      <c r="M30" s="40">
        <f>IF(tblLots[[#This Row],[Date]]="","",IF(AND(tblLots[[#This Row],[Date]]&gt;=FFrom,tblLots[[#This Row],[Date]]&lt;=FTo,OR(DashLine="",tblLots[[#This Row],[Line]]=DashLine)),tblLots[[#This Row],[Date]],""))</f>
        <v>46279</v>
      </c>
      <c r="N3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0" s="33" t="s">
        <v>103</v>
      </c>
    </row>
    <row r="31" spans="2:15">
      <c r="B31" s="35">
        <v>46280</v>
      </c>
      <c r="C31" s="28" t="s">
        <v>75</v>
      </c>
      <c r="D31" s="28" t="s">
        <v>83</v>
      </c>
      <c r="E31" s="29">
        <v>340</v>
      </c>
      <c r="F31" s="29">
        <v>55</v>
      </c>
      <c r="G31" s="36">
        <f>IF(tblLots[[#This Row],[Date]]="","",IFERROR(INDEX(tblProducts[Opportunities per unit],MATCH(tblLots[[#This Row],[Product]],tblProducts[Product],0)),""))</f>
        <v>1840</v>
      </c>
      <c r="H31" s="36">
        <f>IF(tblLots[[#This Row],[Date]]="","",IF(tblLots[[#This Row],[Opportunities per unit]]="","",tblLots[[#This Row],[Units inspected]]*tblLots[[#This Row],[Opportunities per unit]]))</f>
        <v>625600</v>
      </c>
      <c r="I31" s="37">
        <f>IF(tblLots[[#This Row],[Date]]="","",IF(tblLots[[#This Row],[Units inspected]]&gt;0,tblLots[[#This Row],[Defects found]]/tblLots[[#This Row],[Units inspected]],""))</f>
        <v>0.161764705882353</v>
      </c>
      <c r="J31" s="36">
        <f>IF(tblLots[[#This Row],[Date]]="","",IF(N(tblLots[[#This Row],[Opportunities]])&gt;0,tblLots[[#This Row],[Defects found]]/tblLots[[#This Row],[Opportunities]]*1000000,""))</f>
        <v>87.9156010230179</v>
      </c>
      <c r="K31" s="38">
        <f>IF(tblLots[[#This Row],[Date]]="","",IF(AND(N(tblLots[[#This Row],[Opportunities]])&gt;0,tblLots[[#This Row],[Defects found]]&gt;0,tblLots[[#This Row],[Defects found]]&lt;tblLots[[#This Row],[Opportunities]]),-_xlfn.NORM.S.INV(tblLots[[#This Row],[Defects found]]/tblLots[[#This Row],[Opportunities]])+ReportShift,""))</f>
        <v>5.25142664119597</v>
      </c>
      <c r="L31" s="39" t="str">
        <f>IF(NOT(ISNUMBER(tblLots[[#This Row],[DPMO]])),"",IF(tblLots[[#This Row],[DPMO]]&lt;=TargetDpmo,"On target",IF(tblLots[[#This Row],[DPMO]]&lt;=TargetDpmo*(1+0.05),"Near target","Above target")))</f>
        <v>On target</v>
      </c>
      <c r="M31" s="40">
        <f>IF(tblLots[[#This Row],[Date]]="","",IF(AND(tblLots[[#This Row],[Date]]&gt;=FFrom,tblLots[[#This Row],[Date]]&lt;=FTo,OR(DashLine="",tblLots[[#This Row],[Line]]=DashLine)),tblLots[[#This Row],[Date]],""))</f>
        <v>46280</v>
      </c>
      <c r="N3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1" s="33" t="s">
        <v>103</v>
      </c>
    </row>
    <row r="32" spans="2:15">
      <c r="B32" s="35">
        <v>46280</v>
      </c>
      <c r="C32" s="28" t="s">
        <v>77</v>
      </c>
      <c r="D32" s="28" t="s">
        <v>91</v>
      </c>
      <c r="E32" s="29">
        <v>350</v>
      </c>
      <c r="F32" s="29">
        <v>245</v>
      </c>
      <c r="G32" s="36">
        <f>IF(tblLots[[#This Row],[Date]]="","",IFERROR(INDEX(tblProducts[Opportunities per unit],MATCH(tblLots[[#This Row],[Product]],tblProducts[Product],0)),""))</f>
        <v>1210</v>
      </c>
      <c r="H32" s="36">
        <f>IF(tblLots[[#This Row],[Date]]="","",IF(tblLots[[#This Row],[Opportunities per unit]]="","",tblLots[[#This Row],[Units inspected]]*tblLots[[#This Row],[Opportunities per unit]]))</f>
        <v>423500</v>
      </c>
      <c r="I32" s="37">
        <f>IF(tblLots[[#This Row],[Date]]="","",IF(tblLots[[#This Row],[Units inspected]]&gt;0,tblLots[[#This Row],[Defects found]]/tblLots[[#This Row],[Units inspected]],""))</f>
        <v>0.7</v>
      </c>
      <c r="J32" s="36">
        <f>IF(tblLots[[#This Row],[Date]]="","",IF(N(tblLots[[#This Row],[Opportunities]])&gt;0,tblLots[[#This Row],[Defects found]]/tblLots[[#This Row],[Opportunities]]*1000000,""))</f>
        <v>578.512396694215</v>
      </c>
      <c r="K32" s="38">
        <f>IF(tblLots[[#This Row],[Date]]="","",IF(AND(N(tblLots[[#This Row],[Opportunities]])&gt;0,tblLots[[#This Row],[Defects found]]&gt;0,tblLots[[#This Row],[Defects found]]&lt;tblLots[[#This Row],[Opportunities]]),-_xlfn.NORM.S.INV(tblLots[[#This Row],[Defects found]]/tblLots[[#This Row],[Opportunities]])+ReportShift,""))</f>
        <v>4.74926784112345</v>
      </c>
      <c r="L32" s="39" t="str">
        <f>IF(NOT(ISNUMBER(tblLots[[#This Row],[DPMO]])),"",IF(tblLots[[#This Row],[DPMO]]&lt;=TargetDpmo,"On target",IF(tblLots[[#This Row],[DPMO]]&lt;=TargetDpmo*(1+0.05),"Near target","Above target")))</f>
        <v>Above target</v>
      </c>
      <c r="M32" s="40">
        <f>IF(tblLots[[#This Row],[Date]]="","",IF(AND(tblLots[[#This Row],[Date]]&gt;=FFrom,tblLots[[#This Row],[Date]]&lt;=FTo,OR(DashLine="",tblLots[[#This Row],[Line]]=DashLine)),tblLots[[#This Row],[Date]],""))</f>
        <v>46280</v>
      </c>
      <c r="N3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2" s="33" t="s">
        <v>103</v>
      </c>
    </row>
    <row r="33" spans="2:15">
      <c r="B33" s="35">
        <v>46280</v>
      </c>
      <c r="C33" s="28" t="s">
        <v>77</v>
      </c>
      <c r="D33" s="28" t="s">
        <v>83</v>
      </c>
      <c r="E33" s="29">
        <v>400</v>
      </c>
      <c r="F33" s="29">
        <v>504</v>
      </c>
      <c r="G33" s="36">
        <f>IF(tblLots[[#This Row],[Date]]="","",IFERROR(INDEX(tblProducts[Opportunities per unit],MATCH(tblLots[[#This Row],[Product]],tblProducts[Product],0)),""))</f>
        <v>1840</v>
      </c>
      <c r="H33" s="36">
        <f>IF(tblLots[[#This Row],[Date]]="","",IF(tblLots[[#This Row],[Opportunities per unit]]="","",tblLots[[#This Row],[Units inspected]]*tblLots[[#This Row],[Opportunities per unit]]))</f>
        <v>736000</v>
      </c>
      <c r="I33" s="37">
        <f>IF(tblLots[[#This Row],[Date]]="","",IF(tblLots[[#This Row],[Units inspected]]&gt;0,tblLots[[#This Row],[Defects found]]/tblLots[[#This Row],[Units inspected]],""))</f>
        <v>1.26</v>
      </c>
      <c r="J33" s="36">
        <f>IF(tblLots[[#This Row],[Date]]="","",IF(N(tblLots[[#This Row],[Opportunities]])&gt;0,tblLots[[#This Row],[Defects found]]/tblLots[[#This Row],[Opportunities]]*1000000,""))</f>
        <v>684.782608695652</v>
      </c>
      <c r="K33" s="38">
        <f>IF(tblLots[[#This Row],[Date]]="","",IF(AND(N(tblLots[[#This Row],[Opportunities]])&gt;0,tblLots[[#This Row],[Defects found]]&gt;0,tblLots[[#This Row],[Defects found]]&lt;tblLots[[#This Row],[Opportunities]]),-_xlfn.NORM.S.INV(tblLots[[#This Row],[Defects found]]/tblLots[[#This Row],[Opportunities]])+ReportShift,""))</f>
        <v>4.70098950220753</v>
      </c>
      <c r="L33" s="39" t="str">
        <f>IF(NOT(ISNUMBER(tblLots[[#This Row],[DPMO]])),"",IF(tblLots[[#This Row],[DPMO]]&lt;=TargetDpmo,"On target",IF(tblLots[[#This Row],[DPMO]]&lt;=TargetDpmo*(1+0.05),"Near target","Above target")))</f>
        <v>Above target</v>
      </c>
      <c r="M33" s="40">
        <f>IF(tblLots[[#This Row],[Date]]="","",IF(AND(tblLots[[#This Row],[Date]]&gt;=FFrom,tblLots[[#This Row],[Date]]&lt;=FTo,OR(DashLine="",tblLots[[#This Row],[Line]]=DashLine)),tblLots[[#This Row],[Date]],""))</f>
        <v>46280</v>
      </c>
      <c r="N3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3" s="33" t="s">
        <v>103</v>
      </c>
    </row>
    <row r="34" spans="2:15">
      <c r="B34" s="35">
        <v>46280</v>
      </c>
      <c r="C34" s="28" t="s">
        <v>79</v>
      </c>
      <c r="D34" s="28" t="s">
        <v>85</v>
      </c>
      <c r="E34" s="29">
        <v>130</v>
      </c>
      <c r="F34" s="29">
        <v>59</v>
      </c>
      <c r="G34" s="36">
        <f>IF(tblLots[[#This Row],[Date]]="","",IFERROR(INDEX(tblProducts[Opportunities per unit],MATCH(tblLots[[#This Row],[Product]],tblProducts[Product],0)),""))</f>
        <v>960</v>
      </c>
      <c r="H34" s="36">
        <f>IF(tblLots[[#This Row],[Date]]="","",IF(tblLots[[#This Row],[Opportunities per unit]]="","",tblLots[[#This Row],[Units inspected]]*tblLots[[#This Row],[Opportunities per unit]]))</f>
        <v>124800</v>
      </c>
      <c r="I34" s="37">
        <f>IF(tblLots[[#This Row],[Date]]="","",IF(tblLots[[#This Row],[Units inspected]]&gt;0,tblLots[[#This Row],[Defects found]]/tblLots[[#This Row],[Units inspected]],""))</f>
        <v>0.453846153846154</v>
      </c>
      <c r="J34" s="36">
        <f>IF(tblLots[[#This Row],[Date]]="","",IF(N(tblLots[[#This Row],[Opportunities]])&gt;0,tblLots[[#This Row],[Defects found]]/tblLots[[#This Row],[Opportunities]]*1000000,""))</f>
        <v>472.75641025641</v>
      </c>
      <c r="K34" s="38">
        <f>IF(tblLots[[#This Row],[Date]]="","",IF(AND(N(tblLots[[#This Row],[Opportunities]])&gt;0,tblLots[[#This Row],[Defects found]]&gt;0,tblLots[[#This Row],[Defects found]]&lt;tblLots[[#This Row],[Opportunities]]),-_xlfn.NORM.S.INV(tblLots[[#This Row],[Defects found]]/tblLots[[#This Row],[Opportunities]])+ReportShift,""))</f>
        <v>4.8062571181639</v>
      </c>
      <c r="L34" s="39" t="str">
        <f>IF(NOT(ISNUMBER(tblLots[[#This Row],[DPMO]])),"",IF(tblLots[[#This Row],[DPMO]]&lt;=TargetDpmo,"On target",IF(tblLots[[#This Row],[DPMO]]&lt;=TargetDpmo*(1+0.05),"Near target","Above target")))</f>
        <v>Above target</v>
      </c>
      <c r="M34" s="40">
        <f>IF(tblLots[[#This Row],[Date]]="","",IF(AND(tblLots[[#This Row],[Date]]&gt;=FFrom,tblLots[[#This Row],[Date]]&lt;=FTo,OR(DashLine="",tblLots[[#This Row],[Line]]=DashLine)),tblLots[[#This Row],[Date]],""))</f>
        <v>46280</v>
      </c>
      <c r="N3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4" s="33" t="s">
        <v>103</v>
      </c>
    </row>
    <row r="35" spans="2:15">
      <c r="B35" s="35">
        <v>46281</v>
      </c>
      <c r="C35" s="28" t="s">
        <v>75</v>
      </c>
      <c r="D35" s="28" t="s">
        <v>89</v>
      </c>
      <c r="E35" s="29">
        <v>190</v>
      </c>
      <c r="F35" s="29">
        <v>43</v>
      </c>
      <c r="G35" s="36">
        <f>IF(tblLots[[#This Row],[Date]]="","",IFERROR(INDEX(tblProducts[Opportunities per unit],MATCH(tblLots[[#This Row],[Product]],tblProducts[Product],0)),""))</f>
        <v>2380</v>
      </c>
      <c r="H35" s="36">
        <f>IF(tblLots[[#This Row],[Date]]="","",IF(tblLots[[#This Row],[Opportunities per unit]]="","",tblLots[[#This Row],[Units inspected]]*tblLots[[#This Row],[Opportunities per unit]]))</f>
        <v>452200</v>
      </c>
      <c r="I35" s="37">
        <f>IF(tblLots[[#This Row],[Date]]="","",IF(tblLots[[#This Row],[Units inspected]]&gt;0,tblLots[[#This Row],[Defects found]]/tblLots[[#This Row],[Units inspected]],""))</f>
        <v>0.226315789473684</v>
      </c>
      <c r="J35" s="36">
        <f>IF(tblLots[[#This Row],[Date]]="","",IF(N(tblLots[[#This Row],[Opportunities]])&gt;0,tblLots[[#This Row],[Defects found]]/tblLots[[#This Row],[Opportunities]]*1000000,""))</f>
        <v>95.0906678460858</v>
      </c>
      <c r="K35" s="38">
        <f>IF(tblLots[[#This Row],[Date]]="","",IF(AND(N(tblLots[[#This Row],[Opportunities]])&gt;0,tblLots[[#This Row],[Defects found]]&gt;0,tblLots[[#This Row],[Defects found]]&lt;tblLots[[#This Row],[Opportunities]]),-_xlfn.NORM.S.INV(tblLots[[#This Row],[Defects found]]/tblLots[[#This Row],[Opportunities]])+ReportShift,""))</f>
        <v>5.23171401929888</v>
      </c>
      <c r="L35" s="39" t="str">
        <f>IF(NOT(ISNUMBER(tblLots[[#This Row],[DPMO]])),"",IF(tblLots[[#This Row],[DPMO]]&lt;=TargetDpmo,"On target",IF(tblLots[[#This Row],[DPMO]]&lt;=TargetDpmo*(1+0.05),"Near target","Above target")))</f>
        <v>On target</v>
      </c>
      <c r="M35" s="40">
        <f>IF(tblLots[[#This Row],[Date]]="","",IF(AND(tblLots[[#This Row],[Date]]&gt;=FFrom,tblLots[[#This Row],[Date]]&lt;=FTo,OR(DashLine="",tblLots[[#This Row],[Line]]=DashLine)),tblLots[[#This Row],[Date]],""))</f>
        <v>46281</v>
      </c>
      <c r="N3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5" s="33" t="s">
        <v>103</v>
      </c>
    </row>
    <row r="36" spans="2:15">
      <c r="B36" s="35">
        <v>46281</v>
      </c>
      <c r="C36" s="28" t="s">
        <v>75</v>
      </c>
      <c r="D36" s="28" t="s">
        <v>89</v>
      </c>
      <c r="E36" s="29">
        <v>280</v>
      </c>
      <c r="F36" s="29">
        <v>104</v>
      </c>
      <c r="G36" s="36">
        <f>IF(tblLots[[#This Row],[Date]]="","",IFERROR(INDEX(tblProducts[Opportunities per unit],MATCH(tblLots[[#This Row],[Product]],tblProducts[Product],0)),""))</f>
        <v>2380</v>
      </c>
      <c r="H36" s="36">
        <f>IF(tblLots[[#This Row],[Date]]="","",IF(tblLots[[#This Row],[Opportunities per unit]]="","",tblLots[[#This Row],[Units inspected]]*tblLots[[#This Row],[Opportunities per unit]]))</f>
        <v>666400</v>
      </c>
      <c r="I36" s="37">
        <f>IF(tblLots[[#This Row],[Date]]="","",IF(tblLots[[#This Row],[Units inspected]]&gt;0,tblLots[[#This Row],[Defects found]]/tblLots[[#This Row],[Units inspected]],""))</f>
        <v>0.371428571428571</v>
      </c>
      <c r="J36" s="36">
        <f>IF(tblLots[[#This Row],[Date]]="","",IF(N(tblLots[[#This Row],[Opportunities]])&gt;0,tblLots[[#This Row],[Defects found]]/tblLots[[#This Row],[Opportunities]]*1000000,""))</f>
        <v>156.062424969988</v>
      </c>
      <c r="K36" s="38">
        <f>IF(tblLots[[#This Row],[Date]]="","",IF(AND(N(tblLots[[#This Row],[Opportunities]])&gt;0,tblLots[[#This Row],[Defects found]]&gt;0,tblLots[[#This Row],[Defects found]]&lt;tblLots[[#This Row],[Opportunities]]),-_xlfn.NORM.S.INV(tblLots[[#This Row],[Defects found]]/tblLots[[#This Row],[Opportunities]])+ReportShift,""))</f>
        <v>5.10502336159151</v>
      </c>
      <c r="L36" s="39" t="str">
        <f>IF(NOT(ISNUMBER(tblLots[[#This Row],[DPMO]])),"",IF(tblLots[[#This Row],[DPMO]]&lt;=TargetDpmo,"On target",IF(tblLots[[#This Row],[DPMO]]&lt;=TargetDpmo*(1+0.05),"Near target","Above target")))</f>
        <v>On target</v>
      </c>
      <c r="M36" s="40">
        <f>IF(tblLots[[#This Row],[Date]]="","",IF(AND(tblLots[[#This Row],[Date]]&gt;=FFrom,tblLots[[#This Row],[Date]]&lt;=FTo,OR(DashLine="",tblLots[[#This Row],[Line]]=DashLine)),tblLots[[#This Row],[Date]],""))</f>
        <v>46281</v>
      </c>
      <c r="N3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6" s="33" t="s">
        <v>103</v>
      </c>
    </row>
    <row r="37" spans="2:15">
      <c r="B37" s="35">
        <v>46281</v>
      </c>
      <c r="C37" s="28" t="s">
        <v>77</v>
      </c>
      <c r="D37" s="28" t="s">
        <v>91</v>
      </c>
      <c r="E37" s="29">
        <v>360</v>
      </c>
      <c r="F37" s="29">
        <v>263</v>
      </c>
      <c r="G37" s="36">
        <f>IF(tblLots[[#This Row],[Date]]="","",IFERROR(INDEX(tblProducts[Opportunities per unit],MATCH(tblLots[[#This Row],[Product]],tblProducts[Product],0)),""))</f>
        <v>1210</v>
      </c>
      <c r="H37" s="36">
        <f>IF(tblLots[[#This Row],[Date]]="","",IF(tblLots[[#This Row],[Opportunities per unit]]="","",tblLots[[#This Row],[Units inspected]]*tblLots[[#This Row],[Opportunities per unit]]))</f>
        <v>435600</v>
      </c>
      <c r="I37" s="37">
        <f>IF(tblLots[[#This Row],[Date]]="","",IF(tblLots[[#This Row],[Units inspected]]&gt;0,tblLots[[#This Row],[Defects found]]/tblLots[[#This Row],[Units inspected]],""))</f>
        <v>0.730555555555556</v>
      </c>
      <c r="J37" s="36">
        <f>IF(tblLots[[#This Row],[Date]]="","",IF(N(tblLots[[#This Row],[Opportunities]])&gt;0,tblLots[[#This Row],[Defects found]]/tblLots[[#This Row],[Opportunities]]*1000000,""))</f>
        <v>603.76492194674</v>
      </c>
      <c r="K37" s="38">
        <f>IF(tblLots[[#This Row],[Date]]="","",IF(AND(N(tblLots[[#This Row],[Opportunities]])&gt;0,tblLots[[#This Row],[Defects found]]&gt;0,tblLots[[#This Row],[Defects found]]&lt;tblLots[[#This Row],[Opportunities]]),-_xlfn.NORM.S.INV(tblLots[[#This Row],[Defects found]]/tblLots[[#This Row],[Opportunities]])+ReportShift,""))</f>
        <v>4.73709552301372</v>
      </c>
      <c r="L37" s="39" t="str">
        <f>IF(NOT(ISNUMBER(tblLots[[#This Row],[DPMO]])),"",IF(tblLots[[#This Row],[DPMO]]&lt;=TargetDpmo,"On target",IF(tblLots[[#This Row],[DPMO]]&lt;=TargetDpmo*(1+0.05),"Near target","Above target")))</f>
        <v>Above target</v>
      </c>
      <c r="M37" s="40">
        <f>IF(tblLots[[#This Row],[Date]]="","",IF(AND(tblLots[[#This Row],[Date]]&gt;=FFrom,tblLots[[#This Row],[Date]]&lt;=FTo,OR(DashLine="",tblLots[[#This Row],[Line]]=DashLine)),tblLots[[#This Row],[Date]],""))</f>
        <v>46281</v>
      </c>
      <c r="N3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7" s="33" t="s">
        <v>103</v>
      </c>
    </row>
    <row r="38" spans="2:15">
      <c r="B38" s="35">
        <v>46281</v>
      </c>
      <c r="C38" s="28" t="s">
        <v>77</v>
      </c>
      <c r="D38" s="28" t="s">
        <v>83</v>
      </c>
      <c r="E38" s="29">
        <v>350</v>
      </c>
      <c r="F38" s="29">
        <v>405</v>
      </c>
      <c r="G38" s="36">
        <f>IF(tblLots[[#This Row],[Date]]="","",IFERROR(INDEX(tblProducts[Opportunities per unit],MATCH(tblLots[[#This Row],[Product]],tblProducts[Product],0)),""))</f>
        <v>1840</v>
      </c>
      <c r="H38" s="36">
        <f>IF(tblLots[[#This Row],[Date]]="","",IF(tblLots[[#This Row],[Opportunities per unit]]="","",tblLots[[#This Row],[Units inspected]]*tblLots[[#This Row],[Opportunities per unit]]))</f>
        <v>644000</v>
      </c>
      <c r="I38" s="37">
        <f>IF(tblLots[[#This Row],[Date]]="","",IF(tblLots[[#This Row],[Units inspected]]&gt;0,tblLots[[#This Row],[Defects found]]/tblLots[[#This Row],[Units inspected]],""))</f>
        <v>1.15714285714286</v>
      </c>
      <c r="J38" s="36">
        <f>IF(tblLots[[#This Row],[Date]]="","",IF(N(tblLots[[#This Row],[Opportunities]])&gt;0,tblLots[[#This Row],[Defects found]]/tblLots[[#This Row],[Opportunities]]*1000000,""))</f>
        <v>628.88198757764</v>
      </c>
      <c r="K38" s="38">
        <f>IF(tblLots[[#This Row],[Date]]="","",IF(AND(N(tblLots[[#This Row],[Opportunities]])&gt;0,tblLots[[#This Row],[Defects found]]&gt;0,tblLots[[#This Row],[Defects found]]&lt;tblLots[[#This Row],[Opportunities]]),-_xlfn.NORM.S.INV(tblLots[[#This Row],[Defects found]]/tblLots[[#This Row],[Opportunities]])+ReportShift,""))</f>
        <v>4.72544637133339</v>
      </c>
      <c r="L38" s="39" t="str">
        <f>IF(NOT(ISNUMBER(tblLots[[#This Row],[DPMO]])),"",IF(tblLots[[#This Row],[DPMO]]&lt;=TargetDpmo,"On target",IF(tblLots[[#This Row],[DPMO]]&lt;=TargetDpmo*(1+0.05),"Near target","Above target")))</f>
        <v>Above target</v>
      </c>
      <c r="M38" s="40">
        <f>IF(tblLots[[#This Row],[Date]]="","",IF(AND(tblLots[[#This Row],[Date]]&gt;=FFrom,tblLots[[#This Row],[Date]]&lt;=FTo,OR(DashLine="",tblLots[[#This Row],[Line]]=DashLine)),tblLots[[#This Row],[Date]],""))</f>
        <v>46281</v>
      </c>
      <c r="N3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8" s="33" t="s">
        <v>103</v>
      </c>
    </row>
    <row r="39" spans="2:15">
      <c r="B39" s="35">
        <v>46281</v>
      </c>
      <c r="C39" s="28" t="s">
        <v>79</v>
      </c>
      <c r="D39" s="28" t="s">
        <v>89</v>
      </c>
      <c r="E39" s="29">
        <v>150</v>
      </c>
      <c r="F39" s="29">
        <v>165</v>
      </c>
      <c r="G39" s="36">
        <f>IF(tblLots[[#This Row],[Date]]="","",IFERROR(INDEX(tblProducts[Opportunities per unit],MATCH(tblLots[[#This Row],[Product]],tblProducts[Product],0)),""))</f>
        <v>2380</v>
      </c>
      <c r="H39" s="36">
        <f>IF(tblLots[[#This Row],[Date]]="","",IF(tblLots[[#This Row],[Opportunities per unit]]="","",tblLots[[#This Row],[Units inspected]]*tblLots[[#This Row],[Opportunities per unit]]))</f>
        <v>357000</v>
      </c>
      <c r="I39" s="37">
        <f>IF(tblLots[[#This Row],[Date]]="","",IF(tblLots[[#This Row],[Units inspected]]&gt;0,tblLots[[#This Row],[Defects found]]/tblLots[[#This Row],[Units inspected]],""))</f>
        <v>1.1</v>
      </c>
      <c r="J39" s="36">
        <f>IF(tblLots[[#This Row],[Date]]="","",IF(N(tblLots[[#This Row],[Opportunities]])&gt;0,tblLots[[#This Row],[Defects found]]/tblLots[[#This Row],[Opportunities]]*1000000,""))</f>
        <v>462.18487394958</v>
      </c>
      <c r="K39" s="38">
        <f>IF(tblLots[[#This Row],[Date]]="","",IF(AND(N(tblLots[[#This Row],[Opportunities]])&gt;0,tblLots[[#This Row],[Defects found]]&gt;0,tblLots[[#This Row],[Defects found]]&lt;tblLots[[#This Row],[Opportunities]]),-_xlfn.NORM.S.INV(tblLots[[#This Row],[Defects found]]/tblLots[[#This Row],[Opportunities]])+ReportShift,""))</f>
        <v>4.81258819877613</v>
      </c>
      <c r="L39" s="39" t="str">
        <f>IF(NOT(ISNUMBER(tblLots[[#This Row],[DPMO]])),"",IF(tblLots[[#This Row],[DPMO]]&lt;=TargetDpmo,"On target",IF(tblLots[[#This Row],[DPMO]]&lt;=TargetDpmo*(1+0.05),"Near target","Above target")))</f>
        <v>Above target</v>
      </c>
      <c r="M39" s="40">
        <f>IF(tblLots[[#This Row],[Date]]="","",IF(AND(tblLots[[#This Row],[Date]]&gt;=FFrom,tblLots[[#This Row],[Date]]&lt;=FTo,OR(DashLine="",tblLots[[#This Row],[Line]]=DashLine)),tblLots[[#This Row],[Date]],""))</f>
        <v>46281</v>
      </c>
      <c r="N3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39" s="33" t="s">
        <v>103</v>
      </c>
    </row>
    <row r="40" spans="2:15">
      <c r="B40" s="35">
        <v>46282</v>
      </c>
      <c r="C40" s="28" t="s">
        <v>75</v>
      </c>
      <c r="D40" s="28" t="s">
        <v>91</v>
      </c>
      <c r="E40" s="29">
        <v>260</v>
      </c>
      <c r="F40" s="29">
        <v>53</v>
      </c>
      <c r="G40" s="36">
        <f>IF(tblLots[[#This Row],[Date]]="","",IFERROR(INDEX(tblProducts[Opportunities per unit],MATCH(tblLots[[#This Row],[Product]],tblProducts[Product],0)),""))</f>
        <v>1210</v>
      </c>
      <c r="H40" s="36">
        <f>IF(tblLots[[#This Row],[Date]]="","",IF(tblLots[[#This Row],[Opportunities per unit]]="","",tblLots[[#This Row],[Units inspected]]*tblLots[[#This Row],[Opportunities per unit]]))</f>
        <v>314600</v>
      </c>
      <c r="I40" s="37">
        <f>IF(tblLots[[#This Row],[Date]]="","",IF(tblLots[[#This Row],[Units inspected]]&gt;0,tblLots[[#This Row],[Defects found]]/tblLots[[#This Row],[Units inspected]],""))</f>
        <v>0.203846153846154</v>
      </c>
      <c r="J40" s="36">
        <f>IF(tblLots[[#This Row],[Date]]="","",IF(N(tblLots[[#This Row],[Opportunities]])&gt;0,tblLots[[#This Row],[Defects found]]/tblLots[[#This Row],[Opportunities]]*1000000,""))</f>
        <v>168.467895740623</v>
      </c>
      <c r="K40" s="38">
        <f>IF(tblLots[[#This Row],[Date]]="","",IF(AND(N(tblLots[[#This Row],[Opportunities]])&gt;0,tblLots[[#This Row],[Defects found]]&gt;0,tblLots[[#This Row],[Defects found]]&lt;tblLots[[#This Row],[Opportunities]]),-_xlfn.NORM.S.INV(tblLots[[#This Row],[Defects found]]/tblLots[[#This Row],[Opportunities]])+ReportShift,""))</f>
        <v>5.08511028662439</v>
      </c>
      <c r="L40" s="39" t="str">
        <f>IF(NOT(ISNUMBER(tblLots[[#This Row],[DPMO]])),"",IF(tblLots[[#This Row],[DPMO]]&lt;=TargetDpmo,"On target",IF(tblLots[[#This Row],[DPMO]]&lt;=TargetDpmo*(1+0.05),"Near target","Above target")))</f>
        <v>On target</v>
      </c>
      <c r="M40" s="40">
        <f>IF(tblLots[[#This Row],[Date]]="","",IF(AND(tblLots[[#This Row],[Date]]&gt;=FFrom,tblLots[[#This Row],[Date]]&lt;=FTo,OR(DashLine="",tblLots[[#This Row],[Line]]=DashLine)),tblLots[[#This Row],[Date]],""))</f>
        <v>46282</v>
      </c>
      <c r="N4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0" s="33" t="s">
        <v>103</v>
      </c>
    </row>
    <row r="41" spans="2:15">
      <c r="B41" s="35">
        <v>46282</v>
      </c>
      <c r="C41" s="28" t="s">
        <v>75</v>
      </c>
      <c r="D41" s="28" t="s">
        <v>89</v>
      </c>
      <c r="E41" s="29">
        <v>230</v>
      </c>
      <c r="F41" s="29">
        <v>88</v>
      </c>
      <c r="G41" s="36">
        <f>IF(tblLots[[#This Row],[Date]]="","",IFERROR(INDEX(tblProducts[Opportunities per unit],MATCH(tblLots[[#This Row],[Product]],tblProducts[Product],0)),""))</f>
        <v>2380</v>
      </c>
      <c r="H41" s="36">
        <f>IF(tblLots[[#This Row],[Date]]="","",IF(tblLots[[#This Row],[Opportunities per unit]]="","",tblLots[[#This Row],[Units inspected]]*tblLots[[#This Row],[Opportunities per unit]]))</f>
        <v>547400</v>
      </c>
      <c r="I41" s="37">
        <f>IF(tblLots[[#This Row],[Date]]="","",IF(tblLots[[#This Row],[Units inspected]]&gt;0,tblLots[[#This Row],[Defects found]]/tblLots[[#This Row],[Units inspected]],""))</f>
        <v>0.382608695652174</v>
      </c>
      <c r="J41" s="36">
        <f>IF(tblLots[[#This Row],[Date]]="","",IF(N(tblLots[[#This Row],[Opportunities]])&gt;0,tblLots[[#This Row],[Defects found]]/tblLots[[#This Row],[Opportunities]]*1000000,""))</f>
        <v>160.759956156376</v>
      </c>
      <c r="K41" s="38">
        <f>IF(tblLots[[#This Row],[Date]]="","",IF(AND(N(tblLots[[#This Row],[Opportunities]])&gt;0,tblLots[[#This Row],[Defects found]]&gt;0,tblLots[[#This Row],[Defects found]]&lt;tblLots[[#This Row],[Opportunities]]),-_xlfn.NORM.S.INV(tblLots[[#This Row],[Defects found]]/tblLots[[#This Row],[Opportunities]])+ReportShift,""))</f>
        <v>5.09731427934971</v>
      </c>
      <c r="L41" s="39" t="str">
        <f>IF(NOT(ISNUMBER(tblLots[[#This Row],[DPMO]])),"",IF(tblLots[[#This Row],[DPMO]]&lt;=TargetDpmo,"On target",IF(tblLots[[#This Row],[DPMO]]&lt;=TargetDpmo*(1+0.05),"Near target","Above target")))</f>
        <v>On target</v>
      </c>
      <c r="M41" s="40">
        <f>IF(tblLots[[#This Row],[Date]]="","",IF(AND(tblLots[[#This Row],[Date]]&gt;=FFrom,tblLots[[#This Row],[Date]]&lt;=FTo,OR(DashLine="",tblLots[[#This Row],[Line]]=DashLine)),tblLots[[#This Row],[Date]],""))</f>
        <v>46282</v>
      </c>
      <c r="N4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1" s="33" t="s">
        <v>103</v>
      </c>
    </row>
    <row r="42" spans="2:15">
      <c r="B42" s="35">
        <v>46282</v>
      </c>
      <c r="C42" s="28" t="s">
        <v>77</v>
      </c>
      <c r="D42" s="28" t="s">
        <v>83</v>
      </c>
      <c r="E42" s="29">
        <v>300</v>
      </c>
      <c r="F42" s="29">
        <v>381</v>
      </c>
      <c r="G42" s="36">
        <f>IF(tblLots[[#This Row],[Date]]="","",IFERROR(INDEX(tblProducts[Opportunities per unit],MATCH(tblLots[[#This Row],[Product]],tblProducts[Product],0)),""))</f>
        <v>1840</v>
      </c>
      <c r="H42" s="36">
        <f>IF(tblLots[[#This Row],[Date]]="","",IF(tblLots[[#This Row],[Opportunities per unit]]="","",tblLots[[#This Row],[Units inspected]]*tblLots[[#This Row],[Opportunities per unit]]))</f>
        <v>552000</v>
      </c>
      <c r="I42" s="37">
        <f>IF(tblLots[[#This Row],[Date]]="","",IF(tblLots[[#This Row],[Units inspected]]&gt;0,tblLots[[#This Row],[Defects found]]/tblLots[[#This Row],[Units inspected]],""))</f>
        <v>1.27</v>
      </c>
      <c r="J42" s="36">
        <f>IF(tblLots[[#This Row],[Date]]="","",IF(N(tblLots[[#This Row],[Opportunities]])&gt;0,tblLots[[#This Row],[Defects found]]/tblLots[[#This Row],[Opportunities]]*1000000,""))</f>
        <v>690.217391304348</v>
      </c>
      <c r="K42" s="38">
        <f>IF(tblLots[[#This Row],[Date]]="","",IF(AND(N(tblLots[[#This Row],[Opportunities]])&gt;0,tblLots[[#This Row],[Defects found]]&gt;0,tblLots[[#This Row],[Defects found]]&lt;tblLots[[#This Row],[Opportunities]]),-_xlfn.NORM.S.INV(tblLots[[#This Row],[Defects found]]/tblLots[[#This Row],[Opportunities]])+ReportShift,""))</f>
        <v>4.69871099252821</v>
      </c>
      <c r="L42" s="39" t="str">
        <f>IF(NOT(ISNUMBER(tblLots[[#This Row],[DPMO]])),"",IF(tblLots[[#This Row],[DPMO]]&lt;=TargetDpmo,"On target",IF(tblLots[[#This Row],[DPMO]]&lt;=TargetDpmo*(1+0.05),"Near target","Above target")))</f>
        <v>Above target</v>
      </c>
      <c r="M42" s="40">
        <f>IF(tblLots[[#This Row],[Date]]="","",IF(AND(tblLots[[#This Row],[Date]]&gt;=FFrom,tblLots[[#This Row],[Date]]&lt;=FTo,OR(DashLine="",tblLots[[#This Row],[Line]]=DashLine)),tblLots[[#This Row],[Date]],""))</f>
        <v>46282</v>
      </c>
      <c r="N4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2" s="33" t="s">
        <v>103</v>
      </c>
    </row>
    <row r="43" spans="2:15">
      <c r="B43" s="35">
        <v>46282</v>
      </c>
      <c r="C43" s="28" t="s">
        <v>77</v>
      </c>
      <c r="D43" s="28" t="s">
        <v>91</v>
      </c>
      <c r="E43" s="29">
        <v>340</v>
      </c>
      <c r="F43" s="29">
        <v>258</v>
      </c>
      <c r="G43" s="36">
        <f>IF(tblLots[[#This Row],[Date]]="","",IFERROR(INDEX(tblProducts[Opportunities per unit],MATCH(tblLots[[#This Row],[Product]],tblProducts[Product],0)),""))</f>
        <v>1210</v>
      </c>
      <c r="H43" s="36">
        <f>IF(tblLots[[#This Row],[Date]]="","",IF(tblLots[[#This Row],[Opportunities per unit]]="","",tblLots[[#This Row],[Units inspected]]*tblLots[[#This Row],[Opportunities per unit]]))</f>
        <v>411400</v>
      </c>
      <c r="I43" s="37">
        <f>IF(tblLots[[#This Row],[Date]]="","",IF(tblLots[[#This Row],[Units inspected]]&gt;0,tblLots[[#This Row],[Defects found]]/tblLots[[#This Row],[Units inspected]],""))</f>
        <v>0.758823529411765</v>
      </c>
      <c r="J43" s="36">
        <f>IF(tblLots[[#This Row],[Date]]="","",IF(N(tblLots[[#This Row],[Opportunities]])&gt;0,tblLots[[#This Row],[Defects found]]/tblLots[[#This Row],[Opportunities]]*1000000,""))</f>
        <v>627.126883811376</v>
      </c>
      <c r="K43" s="38">
        <f>IF(tblLots[[#This Row],[Date]]="","",IF(AND(N(tblLots[[#This Row],[Opportunities]])&gt;0,tblLots[[#This Row],[Defects found]]&gt;0,tblLots[[#This Row],[Defects found]]&lt;tblLots[[#This Row],[Opportunities]]),-_xlfn.NORM.S.INV(tblLots[[#This Row],[Defects found]]/tblLots[[#This Row],[Opportunities]])+ReportShift,""))</f>
        <v>4.72624628878451</v>
      </c>
      <c r="L43" s="39" t="str">
        <f>IF(NOT(ISNUMBER(tblLots[[#This Row],[DPMO]])),"",IF(tblLots[[#This Row],[DPMO]]&lt;=TargetDpmo,"On target",IF(tblLots[[#This Row],[DPMO]]&lt;=TargetDpmo*(1+0.05),"Near target","Above target")))</f>
        <v>Above target</v>
      </c>
      <c r="M43" s="40">
        <f>IF(tblLots[[#This Row],[Date]]="","",IF(AND(tblLots[[#This Row],[Date]]&gt;=FFrom,tblLots[[#This Row],[Date]]&lt;=FTo,OR(DashLine="",tblLots[[#This Row],[Line]]=DashLine)),tblLots[[#This Row],[Date]],""))</f>
        <v>46282</v>
      </c>
      <c r="N4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3" s="33" t="s">
        <v>103</v>
      </c>
    </row>
    <row r="44" spans="2:15">
      <c r="B44" s="35">
        <v>46282</v>
      </c>
      <c r="C44" s="28" t="s">
        <v>79</v>
      </c>
      <c r="D44" s="28" t="s">
        <v>85</v>
      </c>
      <c r="E44" s="29">
        <v>120</v>
      </c>
      <c r="F44" s="29">
        <v>38</v>
      </c>
      <c r="G44" s="36">
        <f>IF(tblLots[[#This Row],[Date]]="","",IFERROR(INDEX(tblProducts[Opportunities per unit],MATCH(tblLots[[#This Row],[Product]],tblProducts[Product],0)),""))</f>
        <v>960</v>
      </c>
      <c r="H44" s="36">
        <f>IF(tblLots[[#This Row],[Date]]="","",IF(tblLots[[#This Row],[Opportunities per unit]]="","",tblLots[[#This Row],[Units inspected]]*tblLots[[#This Row],[Opportunities per unit]]))</f>
        <v>115200</v>
      </c>
      <c r="I44" s="37">
        <f>IF(tblLots[[#This Row],[Date]]="","",IF(tblLots[[#This Row],[Units inspected]]&gt;0,tblLots[[#This Row],[Defects found]]/tblLots[[#This Row],[Units inspected]],""))</f>
        <v>0.316666666666667</v>
      </c>
      <c r="J44" s="36">
        <f>IF(tblLots[[#This Row],[Date]]="","",IF(N(tblLots[[#This Row],[Opportunities]])&gt;0,tblLots[[#This Row],[Defects found]]/tblLots[[#This Row],[Opportunities]]*1000000,""))</f>
        <v>329.861111111111</v>
      </c>
      <c r="K44" s="38">
        <f>IF(tblLots[[#This Row],[Date]]="","",IF(AND(N(tblLots[[#This Row],[Opportunities]])&gt;0,tblLots[[#This Row],[Defects found]]&gt;0,tblLots[[#This Row],[Defects found]]&lt;tblLots[[#This Row],[Opportunities]]),-_xlfn.NORM.S.INV(tblLots[[#This Row],[Defects found]]/tblLots[[#This Row],[Opportunities]])+ReportShift,""))</f>
        <v>4.90579282382213</v>
      </c>
      <c r="L44" s="39" t="str">
        <f>IF(NOT(ISNUMBER(tblLots[[#This Row],[DPMO]])),"",IF(tblLots[[#This Row],[DPMO]]&lt;=TargetDpmo,"On target",IF(tblLots[[#This Row],[DPMO]]&lt;=TargetDpmo*(1+0.05),"Near target","Above target")))</f>
        <v>Above target</v>
      </c>
      <c r="M44" s="40">
        <f>IF(tblLots[[#This Row],[Date]]="","",IF(AND(tblLots[[#This Row],[Date]]&gt;=FFrom,tblLots[[#This Row],[Date]]&lt;=FTo,OR(DashLine="",tblLots[[#This Row],[Line]]=DashLine)),tblLots[[#This Row],[Date]],""))</f>
        <v>46282</v>
      </c>
      <c r="N4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4" s="33" t="s">
        <v>103</v>
      </c>
    </row>
    <row r="45" spans="2:15">
      <c r="B45" s="35">
        <v>46283</v>
      </c>
      <c r="C45" s="28" t="s">
        <v>75</v>
      </c>
      <c r="D45" s="28" t="s">
        <v>91</v>
      </c>
      <c r="E45" s="29">
        <v>370</v>
      </c>
      <c r="F45" s="29">
        <v>74</v>
      </c>
      <c r="G45" s="36">
        <f>IF(tblLots[[#This Row],[Date]]="","",IFERROR(INDEX(tblProducts[Opportunities per unit],MATCH(tblLots[[#This Row],[Product]],tblProducts[Product],0)),""))</f>
        <v>1210</v>
      </c>
      <c r="H45" s="36">
        <f>IF(tblLots[[#This Row],[Date]]="","",IF(tblLots[[#This Row],[Opportunities per unit]]="","",tblLots[[#This Row],[Units inspected]]*tblLots[[#This Row],[Opportunities per unit]]))</f>
        <v>447700</v>
      </c>
      <c r="I45" s="37">
        <f>IF(tblLots[[#This Row],[Date]]="","",IF(tblLots[[#This Row],[Units inspected]]&gt;0,tblLots[[#This Row],[Defects found]]/tblLots[[#This Row],[Units inspected]],""))</f>
        <v>0.2</v>
      </c>
      <c r="J45" s="36">
        <f>IF(tblLots[[#This Row],[Date]]="","",IF(N(tblLots[[#This Row],[Opportunities]])&gt;0,tblLots[[#This Row],[Defects found]]/tblLots[[#This Row],[Opportunities]]*1000000,""))</f>
        <v>165.289256198347</v>
      </c>
      <c r="K45" s="38">
        <f>IF(tblLots[[#This Row],[Date]]="","",IF(AND(N(tblLots[[#This Row],[Opportunities]])&gt;0,tblLots[[#This Row],[Defects found]]&gt;0,tblLots[[#This Row],[Defects found]]&lt;tblLots[[#This Row],[Opportunities]]),-_xlfn.NORM.S.INV(tblLots[[#This Row],[Defects found]]/tblLots[[#This Row],[Opportunities]])+ReportShift,""))</f>
        <v>5.09007840378418</v>
      </c>
      <c r="L45" s="39" t="str">
        <f>IF(NOT(ISNUMBER(tblLots[[#This Row],[DPMO]])),"",IF(tblLots[[#This Row],[DPMO]]&lt;=TargetDpmo,"On target",IF(tblLots[[#This Row],[DPMO]]&lt;=TargetDpmo*(1+0.05),"Near target","Above target")))</f>
        <v>On target</v>
      </c>
      <c r="M45" s="40">
        <f>IF(tblLots[[#This Row],[Date]]="","",IF(AND(tblLots[[#This Row],[Date]]&gt;=FFrom,tblLots[[#This Row],[Date]]&lt;=FTo,OR(DashLine="",tblLots[[#This Row],[Line]]=DashLine)),tblLots[[#This Row],[Date]],""))</f>
        <v>46283</v>
      </c>
      <c r="N4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5" s="33" t="s">
        <v>103</v>
      </c>
    </row>
    <row r="46" spans="2:15">
      <c r="B46" s="35">
        <v>46283</v>
      </c>
      <c r="C46" s="28" t="s">
        <v>75</v>
      </c>
      <c r="D46" s="28" t="s">
        <v>91</v>
      </c>
      <c r="E46" s="29">
        <v>220</v>
      </c>
      <c r="F46" s="29">
        <v>49</v>
      </c>
      <c r="G46" s="36">
        <f>IF(tblLots[[#This Row],[Date]]="","",IFERROR(INDEX(tblProducts[Opportunities per unit],MATCH(tblLots[[#This Row],[Product]],tblProducts[Product],0)),""))</f>
        <v>1210</v>
      </c>
      <c r="H46" s="36">
        <f>IF(tblLots[[#This Row],[Date]]="","",IF(tblLots[[#This Row],[Opportunities per unit]]="","",tblLots[[#This Row],[Units inspected]]*tblLots[[#This Row],[Opportunities per unit]]))</f>
        <v>266200</v>
      </c>
      <c r="I46" s="37">
        <f>IF(tblLots[[#This Row],[Date]]="","",IF(tblLots[[#This Row],[Units inspected]]&gt;0,tblLots[[#This Row],[Defects found]]/tblLots[[#This Row],[Units inspected]],""))</f>
        <v>0.222727272727273</v>
      </c>
      <c r="J46" s="36">
        <f>IF(tblLots[[#This Row],[Date]]="","",IF(N(tblLots[[#This Row],[Opportunities]])&gt;0,tblLots[[#This Row],[Defects found]]/tblLots[[#This Row],[Opportunities]]*1000000,""))</f>
        <v>184.072126220887</v>
      </c>
      <c r="K46" s="38">
        <f>IF(tblLots[[#This Row],[Date]]="","",IF(AND(N(tblLots[[#This Row],[Opportunities]])&gt;0,tblLots[[#This Row],[Defects found]]&gt;0,tblLots[[#This Row],[Defects found]]&lt;tblLots[[#This Row],[Opportunities]]),-_xlfn.NORM.S.INV(tblLots[[#This Row],[Defects found]]/tblLots[[#This Row],[Opportunities]])+ReportShift,""))</f>
        <v>5.06192593448781</v>
      </c>
      <c r="L46" s="39" t="str">
        <f>IF(NOT(ISNUMBER(tblLots[[#This Row],[DPMO]])),"",IF(tblLots[[#This Row],[DPMO]]&lt;=TargetDpmo,"On target",IF(tblLots[[#This Row],[DPMO]]&lt;=TargetDpmo*(1+0.05),"Near target","Above target")))</f>
        <v>On target</v>
      </c>
      <c r="M46" s="40">
        <f>IF(tblLots[[#This Row],[Date]]="","",IF(AND(tblLots[[#This Row],[Date]]&gt;=FFrom,tblLots[[#This Row],[Date]]&lt;=FTo,OR(DashLine="",tblLots[[#This Row],[Line]]=DashLine)),tblLots[[#This Row],[Date]],""))</f>
        <v>46283</v>
      </c>
      <c r="N4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6" s="33" t="s">
        <v>103</v>
      </c>
    </row>
    <row r="47" spans="2:15">
      <c r="B47" s="35">
        <v>46283</v>
      </c>
      <c r="C47" s="28" t="s">
        <v>77</v>
      </c>
      <c r="D47" s="28" t="s">
        <v>85</v>
      </c>
      <c r="E47" s="29">
        <v>380</v>
      </c>
      <c r="F47" s="29">
        <v>270</v>
      </c>
      <c r="G47" s="36">
        <f>IF(tblLots[[#This Row],[Date]]="","",IFERROR(INDEX(tblProducts[Opportunities per unit],MATCH(tblLots[[#This Row],[Product]],tblProducts[Product],0)),""))</f>
        <v>960</v>
      </c>
      <c r="H47" s="36">
        <f>IF(tblLots[[#This Row],[Date]]="","",IF(tblLots[[#This Row],[Opportunities per unit]]="","",tblLots[[#This Row],[Units inspected]]*tblLots[[#This Row],[Opportunities per unit]]))</f>
        <v>364800</v>
      </c>
      <c r="I47" s="37">
        <f>IF(tblLots[[#This Row],[Date]]="","",IF(tblLots[[#This Row],[Units inspected]]&gt;0,tblLots[[#This Row],[Defects found]]/tblLots[[#This Row],[Units inspected]],""))</f>
        <v>0.710526315789474</v>
      </c>
      <c r="J47" s="36">
        <f>IF(tblLots[[#This Row],[Date]]="","",IF(N(tblLots[[#This Row],[Opportunities]])&gt;0,tblLots[[#This Row],[Defects found]]/tblLots[[#This Row],[Opportunities]]*1000000,""))</f>
        <v>740.131578947368</v>
      </c>
      <c r="K47" s="38">
        <f>IF(tblLots[[#This Row],[Date]]="","",IF(AND(N(tblLots[[#This Row],[Opportunities]])&gt;0,tblLots[[#This Row],[Defects found]]&gt;0,tblLots[[#This Row],[Defects found]]&lt;tblLots[[#This Row],[Opportunities]]),-_xlfn.NORM.S.INV(tblLots[[#This Row],[Defects found]]/tblLots[[#This Row],[Opportunities]])+ReportShift,""))</f>
        <v>4.67852526702995</v>
      </c>
      <c r="L47" s="39" t="str">
        <f>IF(NOT(ISNUMBER(tblLots[[#This Row],[DPMO]])),"",IF(tblLots[[#This Row],[DPMO]]&lt;=TargetDpmo,"On target",IF(tblLots[[#This Row],[DPMO]]&lt;=TargetDpmo*(1+0.05),"Near target","Above target")))</f>
        <v>Above target</v>
      </c>
      <c r="M47" s="40">
        <f>IF(tblLots[[#This Row],[Date]]="","",IF(AND(tblLots[[#This Row],[Date]]&gt;=FFrom,tblLots[[#This Row],[Date]]&lt;=FTo,OR(DashLine="",tblLots[[#This Row],[Line]]=DashLine)),tblLots[[#This Row],[Date]],""))</f>
        <v>46283</v>
      </c>
      <c r="N4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7" s="33" t="s">
        <v>104</v>
      </c>
    </row>
    <row r="48" spans="2:15">
      <c r="B48" s="35">
        <v>46283</v>
      </c>
      <c r="C48" s="28" t="s">
        <v>79</v>
      </c>
      <c r="D48" s="28" t="s">
        <v>87</v>
      </c>
      <c r="E48" s="29">
        <v>200</v>
      </c>
      <c r="F48" s="29">
        <v>36</v>
      </c>
      <c r="G48" s="36">
        <f>IF(tblLots[[#This Row],[Date]]="","",IFERROR(INDEX(tblProducts[Opportunities per unit],MATCH(tblLots[[#This Row],[Product]],tblProducts[Product],0)),""))</f>
        <v>520</v>
      </c>
      <c r="H48" s="36">
        <f>IF(tblLots[[#This Row],[Date]]="","",IF(tblLots[[#This Row],[Opportunities per unit]]="","",tblLots[[#This Row],[Units inspected]]*tblLots[[#This Row],[Opportunities per unit]]))</f>
        <v>104000</v>
      </c>
      <c r="I48" s="37">
        <f>IF(tblLots[[#This Row],[Date]]="","",IF(tblLots[[#This Row],[Units inspected]]&gt;0,tblLots[[#This Row],[Defects found]]/tblLots[[#This Row],[Units inspected]],""))</f>
        <v>0.18</v>
      </c>
      <c r="J48" s="36">
        <f>IF(tblLots[[#This Row],[Date]]="","",IF(N(tblLots[[#This Row],[Opportunities]])&gt;0,tblLots[[#This Row],[Defects found]]/tblLots[[#This Row],[Opportunities]]*1000000,""))</f>
        <v>346.153846153846</v>
      </c>
      <c r="K48" s="38">
        <f>IF(tblLots[[#This Row],[Date]]="","",IF(AND(N(tblLots[[#This Row],[Opportunities]])&gt;0,tblLots[[#This Row],[Defects found]]&gt;0,tblLots[[#This Row],[Defects found]]&lt;tblLots[[#This Row],[Opportunities]]),-_xlfn.NORM.S.INV(tblLots[[#This Row],[Defects found]]/tblLots[[#This Row],[Opportunities]])+ReportShift,""))</f>
        <v>4.8926074665158</v>
      </c>
      <c r="L48" s="39" t="str">
        <f>IF(NOT(ISNUMBER(tblLots[[#This Row],[DPMO]])),"",IF(tblLots[[#This Row],[DPMO]]&lt;=TargetDpmo,"On target",IF(tblLots[[#This Row],[DPMO]]&lt;=TargetDpmo*(1+0.05),"Near target","Above target")))</f>
        <v>Above target</v>
      </c>
      <c r="M48" s="40">
        <f>IF(tblLots[[#This Row],[Date]]="","",IF(AND(tblLots[[#This Row],[Date]]&gt;=FFrom,tblLots[[#This Row],[Date]]&lt;=FTo,OR(DashLine="",tblLots[[#This Row],[Line]]=DashLine)),tblLots[[#This Row],[Date]],""))</f>
        <v>46283</v>
      </c>
      <c r="N4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8" s="33" t="s">
        <v>103</v>
      </c>
    </row>
    <row r="49" spans="2:15">
      <c r="B49" s="35">
        <v>46286</v>
      </c>
      <c r="C49" s="28" t="s">
        <v>75</v>
      </c>
      <c r="D49" s="28" t="s">
        <v>91</v>
      </c>
      <c r="E49" s="29">
        <v>180</v>
      </c>
      <c r="F49" s="29">
        <v>31</v>
      </c>
      <c r="G49" s="36">
        <f>IF(tblLots[[#This Row],[Date]]="","",IFERROR(INDEX(tblProducts[Opportunities per unit],MATCH(tblLots[[#This Row],[Product]],tblProducts[Product],0)),""))</f>
        <v>1210</v>
      </c>
      <c r="H49" s="36">
        <f>IF(tblLots[[#This Row],[Date]]="","",IF(tblLots[[#This Row],[Opportunities per unit]]="","",tblLots[[#This Row],[Units inspected]]*tblLots[[#This Row],[Opportunities per unit]]))</f>
        <v>217800</v>
      </c>
      <c r="I49" s="37">
        <f>IF(tblLots[[#This Row],[Date]]="","",IF(tblLots[[#This Row],[Units inspected]]&gt;0,tblLots[[#This Row],[Defects found]]/tblLots[[#This Row],[Units inspected]],""))</f>
        <v>0.172222222222222</v>
      </c>
      <c r="J49" s="36">
        <f>IF(tblLots[[#This Row],[Date]]="","",IF(N(tblLots[[#This Row],[Opportunities]])&gt;0,tblLots[[#This Row],[Defects found]]/tblLots[[#This Row],[Opportunities]]*1000000,""))</f>
        <v>142.332415059688</v>
      </c>
      <c r="K49" s="38">
        <f>IF(tblLots[[#This Row],[Date]]="","",IF(AND(N(tblLots[[#This Row],[Opportunities]])&gt;0,tblLots[[#This Row],[Defects found]]&gt;0,tblLots[[#This Row],[Defects found]]&lt;tblLots[[#This Row],[Opportunities]]),-_xlfn.NORM.S.INV(tblLots[[#This Row],[Defects found]]/tblLots[[#This Row],[Opportunities]])+ReportShift,""))</f>
        <v>5.12886973412926</v>
      </c>
      <c r="L49" s="39" t="str">
        <f>IF(NOT(ISNUMBER(tblLots[[#This Row],[DPMO]])),"",IF(tblLots[[#This Row],[DPMO]]&lt;=TargetDpmo,"On target",IF(tblLots[[#This Row],[DPMO]]&lt;=TargetDpmo*(1+0.05),"Near target","Above target")))</f>
        <v>On target</v>
      </c>
      <c r="M49" s="40">
        <f>IF(tblLots[[#This Row],[Date]]="","",IF(AND(tblLots[[#This Row],[Date]]&gt;=FFrom,tblLots[[#This Row],[Date]]&lt;=FTo,OR(DashLine="",tblLots[[#This Row],[Line]]=DashLine)),tblLots[[#This Row],[Date]],""))</f>
        <v>46286</v>
      </c>
      <c r="N4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49" s="33" t="s">
        <v>103</v>
      </c>
    </row>
    <row r="50" spans="2:15">
      <c r="B50" s="35">
        <v>46286</v>
      </c>
      <c r="C50" s="28" t="s">
        <v>77</v>
      </c>
      <c r="D50" s="28" t="s">
        <v>91</v>
      </c>
      <c r="E50" s="29">
        <v>260</v>
      </c>
      <c r="F50" s="29">
        <v>84</v>
      </c>
      <c r="G50" s="36">
        <f>IF(tblLots[[#This Row],[Date]]="","",IFERROR(INDEX(tblProducts[Opportunities per unit],MATCH(tblLots[[#This Row],[Product]],tblProducts[Product],0)),""))</f>
        <v>1210</v>
      </c>
      <c r="H50" s="36">
        <f>IF(tblLots[[#This Row],[Date]]="","",IF(tblLots[[#This Row],[Opportunities per unit]]="","",tblLots[[#This Row],[Units inspected]]*tblLots[[#This Row],[Opportunities per unit]]))</f>
        <v>314600</v>
      </c>
      <c r="I50" s="37">
        <f>IF(tblLots[[#This Row],[Date]]="","",IF(tblLots[[#This Row],[Units inspected]]&gt;0,tblLots[[#This Row],[Defects found]]/tblLots[[#This Row],[Units inspected]],""))</f>
        <v>0.323076923076923</v>
      </c>
      <c r="J50" s="36">
        <f>IF(tblLots[[#This Row],[Date]]="","",IF(N(tblLots[[#This Row],[Opportunities]])&gt;0,tblLots[[#This Row],[Defects found]]/tblLots[[#This Row],[Opportunities]]*1000000,""))</f>
        <v>267.005721551176</v>
      </c>
      <c r="K50" s="38">
        <f>IF(tblLots[[#This Row],[Date]]="","",IF(AND(N(tblLots[[#This Row],[Opportunities]])&gt;0,tblLots[[#This Row],[Defects found]]&gt;0,tblLots[[#This Row],[Defects found]]&lt;tblLots[[#This Row],[Opportunities]]),-_xlfn.NORM.S.INV(tblLots[[#This Row],[Defects found]]/tblLots[[#This Row],[Opportunities]])+ReportShift,""))</f>
        <v>4.96308914417143</v>
      </c>
      <c r="L50" s="39" t="str">
        <f>IF(NOT(ISNUMBER(tblLots[[#This Row],[DPMO]])),"",IF(tblLots[[#This Row],[DPMO]]&lt;=TargetDpmo,"On target",IF(tblLots[[#This Row],[DPMO]]&lt;=TargetDpmo*(1+0.05),"Near target","Above target")))</f>
        <v>On target</v>
      </c>
      <c r="M50" s="40">
        <f>IF(tblLots[[#This Row],[Date]]="","",IF(AND(tblLots[[#This Row],[Date]]&gt;=FFrom,tblLots[[#This Row],[Date]]&lt;=FTo,OR(DashLine="",tblLots[[#This Row],[Line]]=DashLine)),tblLots[[#This Row],[Date]],""))</f>
        <v>46286</v>
      </c>
      <c r="N5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0" s="33" t="s">
        <v>103</v>
      </c>
    </row>
    <row r="51" spans="2:15">
      <c r="B51" s="35">
        <v>46286</v>
      </c>
      <c r="C51" s="28" t="s">
        <v>77</v>
      </c>
      <c r="D51" s="28" t="s">
        <v>91</v>
      </c>
      <c r="E51" s="29">
        <v>370</v>
      </c>
      <c r="F51" s="29">
        <v>109</v>
      </c>
      <c r="G51" s="36">
        <f>IF(tblLots[[#This Row],[Date]]="","",IFERROR(INDEX(tblProducts[Opportunities per unit],MATCH(tblLots[[#This Row],[Product]],tblProducts[Product],0)),""))</f>
        <v>1210</v>
      </c>
      <c r="H51" s="36">
        <f>IF(tblLots[[#This Row],[Date]]="","",IF(tblLots[[#This Row],[Opportunities per unit]]="","",tblLots[[#This Row],[Units inspected]]*tblLots[[#This Row],[Opportunities per unit]]))</f>
        <v>447700</v>
      </c>
      <c r="I51" s="37">
        <f>IF(tblLots[[#This Row],[Date]]="","",IF(tblLots[[#This Row],[Units inspected]]&gt;0,tblLots[[#This Row],[Defects found]]/tblLots[[#This Row],[Units inspected]],""))</f>
        <v>0.294594594594595</v>
      </c>
      <c r="J51" s="36">
        <f>IF(tblLots[[#This Row],[Date]]="","",IF(N(tblLots[[#This Row],[Opportunities]])&gt;0,tblLots[[#This Row],[Defects found]]/tblLots[[#This Row],[Opportunities]]*1000000,""))</f>
        <v>243.466607102971</v>
      </c>
      <c r="K51" s="38">
        <f>IF(tblLots[[#This Row],[Date]]="","",IF(AND(N(tblLots[[#This Row],[Opportunities]])&gt;0,tblLots[[#This Row],[Defects found]]&gt;0,tblLots[[#This Row],[Defects found]]&lt;tblLots[[#This Row],[Opportunities]]),-_xlfn.NORM.S.INV(tblLots[[#This Row],[Defects found]]/tblLots[[#This Row],[Opportunities]])+ReportShift,""))</f>
        <v>4.98784338373129</v>
      </c>
      <c r="L51" s="39" t="str">
        <f>IF(NOT(ISNUMBER(tblLots[[#This Row],[DPMO]])),"",IF(tblLots[[#This Row],[DPMO]]&lt;=TargetDpmo,"On target",IF(tblLots[[#This Row],[DPMO]]&lt;=TargetDpmo*(1+0.05),"Near target","Above target")))</f>
        <v>On target</v>
      </c>
      <c r="M51" s="40">
        <f>IF(tblLots[[#This Row],[Date]]="","",IF(AND(tblLots[[#This Row],[Date]]&gt;=FFrom,tblLots[[#This Row],[Date]]&lt;=FTo,OR(DashLine="",tblLots[[#This Row],[Line]]=DashLine)),tblLots[[#This Row],[Date]],""))</f>
        <v>46286</v>
      </c>
      <c r="N5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1" s="33" t="s">
        <v>103</v>
      </c>
    </row>
    <row r="52" spans="2:15">
      <c r="B52" s="35">
        <v>46286</v>
      </c>
      <c r="C52" s="28" t="s">
        <v>79</v>
      </c>
      <c r="D52" s="28" t="s">
        <v>89</v>
      </c>
      <c r="E52" s="29">
        <v>150</v>
      </c>
      <c r="F52" s="29">
        <v>103</v>
      </c>
      <c r="G52" s="36">
        <f>IF(tblLots[[#This Row],[Date]]="","",IFERROR(INDEX(tblProducts[Opportunities per unit],MATCH(tblLots[[#This Row],[Product]],tblProducts[Product],0)),""))</f>
        <v>2380</v>
      </c>
      <c r="H52" s="36">
        <f>IF(tblLots[[#This Row],[Date]]="","",IF(tblLots[[#This Row],[Opportunities per unit]]="","",tblLots[[#This Row],[Units inspected]]*tblLots[[#This Row],[Opportunities per unit]]))</f>
        <v>357000</v>
      </c>
      <c r="I52" s="37">
        <f>IF(tblLots[[#This Row],[Date]]="","",IF(tblLots[[#This Row],[Units inspected]]&gt;0,tblLots[[#This Row],[Defects found]]/tblLots[[#This Row],[Units inspected]],""))</f>
        <v>0.686666666666667</v>
      </c>
      <c r="J52" s="36">
        <f>IF(tblLots[[#This Row],[Date]]="","",IF(N(tblLots[[#This Row],[Opportunities]])&gt;0,tblLots[[#This Row],[Defects found]]/tblLots[[#This Row],[Opportunities]]*1000000,""))</f>
        <v>288.515406162465</v>
      </c>
      <c r="K52" s="38">
        <f>IF(tblLots[[#This Row],[Date]]="","",IF(AND(N(tblLots[[#This Row],[Opportunities]])&gt;0,tblLots[[#This Row],[Defects found]]&gt;0,tblLots[[#This Row],[Defects found]]&lt;tblLots[[#This Row],[Opportunities]]),-_xlfn.NORM.S.INV(tblLots[[#This Row],[Defects found]]/tblLots[[#This Row],[Opportunities]])+ReportShift,""))</f>
        <v>4.94218718496748</v>
      </c>
      <c r="L52" s="39" t="str">
        <f>IF(NOT(ISNUMBER(tblLots[[#This Row],[DPMO]])),"",IF(tblLots[[#This Row],[DPMO]]&lt;=TargetDpmo,"On target",IF(tblLots[[#This Row],[DPMO]]&lt;=TargetDpmo*(1+0.05),"Near target","Above target")))</f>
        <v>On target</v>
      </c>
      <c r="M52" s="40">
        <f>IF(tblLots[[#This Row],[Date]]="","",IF(AND(tblLots[[#This Row],[Date]]&gt;=FFrom,tblLots[[#This Row],[Date]]&lt;=FTo,OR(DashLine="",tblLots[[#This Row],[Line]]=DashLine)),tblLots[[#This Row],[Date]],""))</f>
        <v>46286</v>
      </c>
      <c r="N5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2" s="33" t="s">
        <v>103</v>
      </c>
    </row>
    <row r="53" spans="2:15">
      <c r="B53" s="35">
        <v>46287</v>
      </c>
      <c r="C53" s="28" t="s">
        <v>75</v>
      </c>
      <c r="D53" s="28" t="s">
        <v>89</v>
      </c>
      <c r="E53" s="29">
        <v>350</v>
      </c>
      <c r="F53" s="29">
        <v>135</v>
      </c>
      <c r="G53" s="36">
        <f>IF(tblLots[[#This Row],[Date]]="","",IFERROR(INDEX(tblProducts[Opportunities per unit],MATCH(tblLots[[#This Row],[Product]],tblProducts[Product],0)),""))</f>
        <v>2380</v>
      </c>
      <c r="H53" s="36">
        <f>IF(tblLots[[#This Row],[Date]]="","",IF(tblLots[[#This Row],[Opportunities per unit]]="","",tblLots[[#This Row],[Units inspected]]*tblLots[[#This Row],[Opportunities per unit]]))</f>
        <v>833000</v>
      </c>
      <c r="I53" s="37">
        <f>IF(tblLots[[#This Row],[Date]]="","",IF(tblLots[[#This Row],[Units inspected]]&gt;0,tblLots[[#This Row],[Defects found]]/tblLots[[#This Row],[Units inspected]],""))</f>
        <v>0.385714285714286</v>
      </c>
      <c r="J53" s="36">
        <f>IF(tblLots[[#This Row],[Date]]="","",IF(N(tblLots[[#This Row],[Opportunities]])&gt;0,tblLots[[#This Row],[Defects found]]/tblLots[[#This Row],[Opportunities]]*1000000,""))</f>
        <v>162.064825930372</v>
      </c>
      <c r="K53" s="38">
        <f>IF(tblLots[[#This Row],[Date]]="","",IF(AND(N(tblLots[[#This Row],[Opportunities]])&gt;0,tblLots[[#This Row],[Defects found]]&gt;0,tblLots[[#This Row],[Defects found]]&lt;tblLots[[#This Row],[Opportunities]]),-_xlfn.NORM.S.INV(tblLots[[#This Row],[Defects found]]/tblLots[[#This Row],[Opportunities]])+ReportShift,""))</f>
        <v>5.09521028942131</v>
      </c>
      <c r="L53" s="39" t="str">
        <f>IF(NOT(ISNUMBER(tblLots[[#This Row],[DPMO]])),"",IF(tblLots[[#This Row],[DPMO]]&lt;=TargetDpmo,"On target",IF(tblLots[[#This Row],[DPMO]]&lt;=TargetDpmo*(1+0.05),"Near target","Above target")))</f>
        <v>On target</v>
      </c>
      <c r="M53" s="40">
        <f>IF(tblLots[[#This Row],[Date]]="","",IF(AND(tblLots[[#This Row],[Date]]&gt;=FFrom,tblLots[[#This Row],[Date]]&lt;=FTo,OR(DashLine="",tblLots[[#This Row],[Line]]=DashLine)),tblLots[[#This Row],[Date]],""))</f>
        <v>46287</v>
      </c>
      <c r="N5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3" s="33" t="s">
        <v>103</v>
      </c>
    </row>
    <row r="54" spans="2:15">
      <c r="B54" s="35">
        <v>46287</v>
      </c>
      <c r="C54" s="28" t="s">
        <v>75</v>
      </c>
      <c r="D54" s="28" t="s">
        <v>89</v>
      </c>
      <c r="E54" s="29">
        <v>390</v>
      </c>
      <c r="F54" s="29">
        <v>157</v>
      </c>
      <c r="G54" s="36">
        <f>IF(tblLots[[#This Row],[Date]]="","",IFERROR(INDEX(tblProducts[Opportunities per unit],MATCH(tblLots[[#This Row],[Product]],tblProducts[Product],0)),""))</f>
        <v>2380</v>
      </c>
      <c r="H54" s="36">
        <f>IF(tblLots[[#This Row],[Date]]="","",IF(tblLots[[#This Row],[Opportunities per unit]]="","",tblLots[[#This Row],[Units inspected]]*tblLots[[#This Row],[Opportunities per unit]]))</f>
        <v>928200</v>
      </c>
      <c r="I54" s="37">
        <f>IF(tblLots[[#This Row],[Date]]="","",IF(tblLots[[#This Row],[Units inspected]]&gt;0,tblLots[[#This Row],[Defects found]]/tblLots[[#This Row],[Units inspected]],""))</f>
        <v>0.402564102564103</v>
      </c>
      <c r="J54" s="36">
        <f>IF(tblLots[[#This Row],[Date]]="","",IF(N(tblLots[[#This Row],[Opportunities]])&gt;0,tblLots[[#This Row],[Defects found]]/tblLots[[#This Row],[Opportunities]]*1000000,""))</f>
        <v>169.144580909287</v>
      </c>
      <c r="K54" s="38">
        <f>IF(tblLots[[#This Row],[Date]]="","",IF(AND(N(tblLots[[#This Row],[Opportunities]])&gt;0,tblLots[[#This Row],[Defects found]]&gt;0,tblLots[[#This Row],[Defects found]]&lt;tblLots[[#This Row],[Opportunities]]),-_xlfn.NORM.S.INV(tblLots[[#This Row],[Defects found]]/tblLots[[#This Row],[Opportunities]])+ReportShift,""))</f>
        <v>5.08406398046359</v>
      </c>
      <c r="L54" s="39" t="str">
        <f>IF(NOT(ISNUMBER(tblLots[[#This Row],[DPMO]])),"",IF(tblLots[[#This Row],[DPMO]]&lt;=TargetDpmo,"On target",IF(tblLots[[#This Row],[DPMO]]&lt;=TargetDpmo*(1+0.05),"Near target","Above target")))</f>
        <v>On target</v>
      </c>
      <c r="M54" s="40">
        <f>IF(tblLots[[#This Row],[Date]]="","",IF(AND(tblLots[[#This Row],[Date]]&gt;=FFrom,tblLots[[#This Row],[Date]]&lt;=FTo,OR(DashLine="",tblLots[[#This Row],[Line]]=DashLine)),tblLots[[#This Row],[Date]],""))</f>
        <v>46287</v>
      </c>
      <c r="N5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4" s="33" t="s">
        <v>103</v>
      </c>
    </row>
    <row r="55" spans="2:15">
      <c r="B55" s="35">
        <v>46287</v>
      </c>
      <c r="C55" s="28" t="s">
        <v>77</v>
      </c>
      <c r="D55" s="28" t="s">
        <v>91</v>
      </c>
      <c r="E55" s="29">
        <v>200</v>
      </c>
      <c r="F55" s="29">
        <v>71</v>
      </c>
      <c r="G55" s="36">
        <f>IF(tblLots[[#This Row],[Date]]="","",IFERROR(INDEX(tblProducts[Opportunities per unit],MATCH(tblLots[[#This Row],[Product]],tblProducts[Product],0)),""))</f>
        <v>1210</v>
      </c>
      <c r="H55" s="36">
        <f>IF(tblLots[[#This Row],[Date]]="","",IF(tblLots[[#This Row],[Opportunities per unit]]="","",tblLots[[#This Row],[Units inspected]]*tblLots[[#This Row],[Opportunities per unit]]))</f>
        <v>242000</v>
      </c>
      <c r="I55" s="37">
        <f>IF(tblLots[[#This Row],[Date]]="","",IF(tblLots[[#This Row],[Units inspected]]&gt;0,tblLots[[#This Row],[Defects found]]/tblLots[[#This Row],[Units inspected]],""))</f>
        <v>0.355</v>
      </c>
      <c r="J55" s="36">
        <f>IF(tblLots[[#This Row],[Date]]="","",IF(N(tblLots[[#This Row],[Opportunities]])&gt;0,tblLots[[#This Row],[Defects found]]/tblLots[[#This Row],[Opportunities]]*1000000,""))</f>
        <v>293.388429752066</v>
      </c>
      <c r="K55" s="38">
        <f>IF(tblLots[[#This Row],[Date]]="","",IF(AND(N(tblLots[[#This Row],[Opportunities]])&gt;0,tblLots[[#This Row],[Defects found]]&gt;0,tblLots[[#This Row],[Defects found]]&lt;tblLots[[#This Row],[Opportunities]]),-_xlfn.NORM.S.INV(tblLots[[#This Row],[Defects found]]/tblLots[[#This Row],[Opportunities]])+ReportShift,""))</f>
        <v>4.93765404206178</v>
      </c>
      <c r="L55" s="39" t="str">
        <f>IF(NOT(ISNUMBER(tblLots[[#This Row],[DPMO]])),"",IF(tblLots[[#This Row],[DPMO]]&lt;=TargetDpmo,"On target",IF(tblLots[[#This Row],[DPMO]]&lt;=TargetDpmo*(1+0.05),"Near target","Above target")))</f>
        <v>On target</v>
      </c>
      <c r="M55" s="40">
        <f>IF(tblLots[[#This Row],[Date]]="","",IF(AND(tblLots[[#This Row],[Date]]&gt;=FFrom,tblLots[[#This Row],[Date]]&lt;=FTo,OR(DashLine="",tblLots[[#This Row],[Line]]=DashLine)),tblLots[[#This Row],[Date]],""))</f>
        <v>46287</v>
      </c>
      <c r="N5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5" s="33" t="s">
        <v>103</v>
      </c>
    </row>
    <row r="56" spans="2:15">
      <c r="B56" s="35">
        <v>46287</v>
      </c>
      <c r="C56" s="28" t="s">
        <v>77</v>
      </c>
      <c r="D56" s="28" t="s">
        <v>85</v>
      </c>
      <c r="E56" s="29">
        <v>360</v>
      </c>
      <c r="F56" s="29">
        <v>66</v>
      </c>
      <c r="G56" s="36">
        <f>IF(tblLots[[#This Row],[Date]]="","",IFERROR(INDEX(tblProducts[Opportunities per unit],MATCH(tblLots[[#This Row],[Product]],tblProducts[Product],0)),""))</f>
        <v>960</v>
      </c>
      <c r="H56" s="36">
        <f>IF(tblLots[[#This Row],[Date]]="","",IF(tblLots[[#This Row],[Opportunities per unit]]="","",tblLots[[#This Row],[Units inspected]]*tblLots[[#This Row],[Opportunities per unit]]))</f>
        <v>345600</v>
      </c>
      <c r="I56" s="37">
        <f>IF(tblLots[[#This Row],[Date]]="","",IF(tblLots[[#This Row],[Units inspected]]&gt;0,tblLots[[#This Row],[Defects found]]/tblLots[[#This Row],[Units inspected]],""))</f>
        <v>0.183333333333333</v>
      </c>
      <c r="J56" s="36">
        <f>IF(tblLots[[#This Row],[Date]]="","",IF(N(tblLots[[#This Row],[Opportunities]])&gt;0,tblLots[[#This Row],[Defects found]]/tblLots[[#This Row],[Opportunities]]*1000000,""))</f>
        <v>190.972222222222</v>
      </c>
      <c r="K56" s="38">
        <f>IF(tblLots[[#This Row],[Date]]="","",IF(AND(N(tblLots[[#This Row],[Opportunities]])&gt;0,tblLots[[#This Row],[Defects found]]&gt;0,tblLots[[#This Row],[Defects found]]&lt;tblLots[[#This Row],[Opportunities]]),-_xlfn.NORM.S.INV(tblLots[[#This Row],[Defects found]]/tblLots[[#This Row],[Opportunities]])+ReportShift,""))</f>
        <v>5.0522550520746</v>
      </c>
      <c r="L56" s="39" t="str">
        <f>IF(NOT(ISNUMBER(tblLots[[#This Row],[DPMO]])),"",IF(tblLots[[#This Row],[DPMO]]&lt;=TargetDpmo,"On target",IF(tblLots[[#This Row],[DPMO]]&lt;=TargetDpmo*(1+0.05),"Near target","Above target")))</f>
        <v>On target</v>
      </c>
      <c r="M56" s="40">
        <f>IF(tblLots[[#This Row],[Date]]="","",IF(AND(tblLots[[#This Row],[Date]]&gt;=FFrom,tblLots[[#This Row],[Date]]&lt;=FTo,OR(DashLine="",tblLots[[#This Row],[Line]]=DashLine)),tblLots[[#This Row],[Date]],""))</f>
        <v>46287</v>
      </c>
      <c r="N5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6" s="33" t="s">
        <v>103</v>
      </c>
    </row>
    <row r="57" spans="2:15">
      <c r="B57" s="35">
        <v>46287</v>
      </c>
      <c r="C57" s="28" t="s">
        <v>79</v>
      </c>
      <c r="D57" s="28" t="s">
        <v>89</v>
      </c>
      <c r="E57" s="29">
        <v>160</v>
      </c>
      <c r="F57" s="29">
        <v>125</v>
      </c>
      <c r="G57" s="36">
        <f>IF(tblLots[[#This Row],[Date]]="","",IFERROR(INDEX(tblProducts[Opportunities per unit],MATCH(tblLots[[#This Row],[Product]],tblProducts[Product],0)),""))</f>
        <v>2380</v>
      </c>
      <c r="H57" s="36">
        <f>IF(tblLots[[#This Row],[Date]]="","",IF(tblLots[[#This Row],[Opportunities per unit]]="","",tblLots[[#This Row],[Units inspected]]*tblLots[[#This Row],[Opportunities per unit]]))</f>
        <v>380800</v>
      </c>
      <c r="I57" s="37">
        <f>IF(tblLots[[#This Row],[Date]]="","",IF(tblLots[[#This Row],[Units inspected]]&gt;0,tblLots[[#This Row],[Defects found]]/tblLots[[#This Row],[Units inspected]],""))</f>
        <v>0.78125</v>
      </c>
      <c r="J57" s="36">
        <f>IF(tblLots[[#This Row],[Date]]="","",IF(N(tblLots[[#This Row],[Opportunities]])&gt;0,tblLots[[#This Row],[Defects found]]/tblLots[[#This Row],[Opportunities]]*1000000,""))</f>
        <v>328.256302521008</v>
      </c>
      <c r="K57" s="38">
        <f>IF(tblLots[[#This Row],[Date]]="","",IF(AND(N(tblLots[[#This Row],[Opportunities]])&gt;0,tblLots[[#This Row],[Defects found]]&gt;0,tblLots[[#This Row],[Defects found]]&lt;tblLots[[#This Row],[Opportunities]]),-_xlfn.NORM.S.INV(tblLots[[#This Row],[Defects found]]/tblLots[[#This Row],[Opportunities]])+ReportShift,""))</f>
        <v>4.90712413812693</v>
      </c>
      <c r="L57" s="39" t="str">
        <f>IF(NOT(ISNUMBER(tblLots[[#This Row],[DPMO]])),"",IF(tblLots[[#This Row],[DPMO]]&lt;=TargetDpmo,"On target",IF(tblLots[[#This Row],[DPMO]]&lt;=TargetDpmo*(1+0.05),"Near target","Above target")))</f>
        <v>Above target</v>
      </c>
      <c r="M57" s="40">
        <f>IF(tblLots[[#This Row],[Date]]="","",IF(AND(tblLots[[#This Row],[Date]]&gt;=FFrom,tblLots[[#This Row],[Date]]&lt;=FTo,OR(DashLine="",tblLots[[#This Row],[Line]]=DashLine)),tblLots[[#This Row],[Date]],""))</f>
        <v>46287</v>
      </c>
      <c r="N5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7" s="33" t="s">
        <v>103</v>
      </c>
    </row>
    <row r="58" spans="2:15">
      <c r="B58" s="35">
        <v>46288</v>
      </c>
      <c r="C58" s="28" t="s">
        <v>75</v>
      </c>
      <c r="D58" s="28" t="s">
        <v>83</v>
      </c>
      <c r="E58" s="29">
        <v>200</v>
      </c>
      <c r="F58" s="29">
        <v>57</v>
      </c>
      <c r="G58" s="36">
        <f>IF(tblLots[[#This Row],[Date]]="","",IFERROR(INDEX(tblProducts[Opportunities per unit],MATCH(tblLots[[#This Row],[Product]],tblProducts[Product],0)),""))</f>
        <v>1840</v>
      </c>
      <c r="H58" s="36">
        <f>IF(tblLots[[#This Row],[Date]]="","",IF(tblLots[[#This Row],[Opportunities per unit]]="","",tblLots[[#This Row],[Units inspected]]*tblLots[[#This Row],[Opportunities per unit]]))</f>
        <v>368000</v>
      </c>
      <c r="I58" s="37">
        <f>IF(tblLots[[#This Row],[Date]]="","",IF(tblLots[[#This Row],[Units inspected]]&gt;0,tblLots[[#This Row],[Defects found]]/tblLots[[#This Row],[Units inspected]],""))</f>
        <v>0.285</v>
      </c>
      <c r="J58" s="36">
        <f>IF(tblLots[[#This Row],[Date]]="","",IF(N(tblLots[[#This Row],[Opportunities]])&gt;0,tblLots[[#This Row],[Defects found]]/tblLots[[#This Row],[Opportunities]]*1000000,""))</f>
        <v>154.891304347826</v>
      </c>
      <c r="K58" s="38">
        <f>IF(tblLots[[#This Row],[Date]]="","",IF(AND(N(tblLots[[#This Row],[Opportunities]])&gt;0,tblLots[[#This Row],[Defects found]]&gt;0,tblLots[[#This Row],[Defects found]]&lt;tblLots[[#This Row],[Opportunities]]),-_xlfn.NORM.S.INV(tblLots[[#This Row],[Defects found]]/tblLots[[#This Row],[Opportunities]])+ReportShift,""))</f>
        <v>5.1069790941944</v>
      </c>
      <c r="L58" s="39" t="str">
        <f>IF(NOT(ISNUMBER(tblLots[[#This Row],[DPMO]])),"",IF(tblLots[[#This Row],[DPMO]]&lt;=TargetDpmo,"On target",IF(tblLots[[#This Row],[DPMO]]&lt;=TargetDpmo*(1+0.05),"Near target","Above target")))</f>
        <v>On target</v>
      </c>
      <c r="M58" s="40">
        <f>IF(tblLots[[#This Row],[Date]]="","",IF(AND(tblLots[[#This Row],[Date]]&gt;=FFrom,tblLots[[#This Row],[Date]]&lt;=FTo,OR(DashLine="",tblLots[[#This Row],[Line]]=DashLine)),tblLots[[#This Row],[Date]],""))</f>
        <v>46288</v>
      </c>
      <c r="N5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8" s="33" t="s">
        <v>103</v>
      </c>
    </row>
    <row r="59" spans="2:15">
      <c r="B59" s="35">
        <v>46288</v>
      </c>
      <c r="C59" s="28" t="s">
        <v>77</v>
      </c>
      <c r="D59" s="28" t="s">
        <v>83</v>
      </c>
      <c r="E59" s="29">
        <v>290</v>
      </c>
      <c r="F59" s="29">
        <v>106</v>
      </c>
      <c r="G59" s="36">
        <f>IF(tblLots[[#This Row],[Date]]="","",IFERROR(INDEX(tblProducts[Opportunities per unit],MATCH(tblLots[[#This Row],[Product]],tblProducts[Product],0)),""))</f>
        <v>1840</v>
      </c>
      <c r="H59" s="36">
        <f>IF(tblLots[[#This Row],[Date]]="","",IF(tblLots[[#This Row],[Opportunities per unit]]="","",tblLots[[#This Row],[Units inspected]]*tblLots[[#This Row],[Opportunities per unit]]))</f>
        <v>533600</v>
      </c>
      <c r="I59" s="37">
        <f>IF(tblLots[[#This Row],[Date]]="","",IF(tblLots[[#This Row],[Units inspected]]&gt;0,tblLots[[#This Row],[Defects found]]/tblLots[[#This Row],[Units inspected]],""))</f>
        <v>0.36551724137931</v>
      </c>
      <c r="J59" s="36">
        <f>IF(tblLots[[#This Row],[Date]]="","",IF(N(tblLots[[#This Row],[Opportunities]])&gt;0,tblLots[[#This Row],[Defects found]]/tblLots[[#This Row],[Opportunities]]*1000000,""))</f>
        <v>198.650674662669</v>
      </c>
      <c r="K59" s="38">
        <f>IF(tblLots[[#This Row],[Date]]="","",IF(AND(N(tblLots[[#This Row],[Opportunities]])&gt;0,tblLots[[#This Row],[Defects found]]&gt;0,tblLots[[#This Row],[Defects found]]&lt;tblLots[[#This Row],[Opportunities]]),-_xlfn.NORM.S.INV(tblLots[[#This Row],[Defects found]]/tblLots[[#This Row],[Opportunities]])+ReportShift,""))</f>
        <v>5.04186991800051</v>
      </c>
      <c r="L59" s="39" t="str">
        <f>IF(NOT(ISNUMBER(tblLots[[#This Row],[DPMO]])),"",IF(tblLots[[#This Row],[DPMO]]&lt;=TargetDpmo,"On target",IF(tblLots[[#This Row],[DPMO]]&lt;=TargetDpmo*(1+0.05),"Near target","Above target")))</f>
        <v>On target</v>
      </c>
      <c r="M59" s="40">
        <f>IF(tblLots[[#This Row],[Date]]="","",IF(AND(tblLots[[#This Row],[Date]]&gt;=FFrom,tblLots[[#This Row],[Date]]&lt;=FTo,OR(DashLine="",tblLots[[#This Row],[Line]]=DashLine)),tblLots[[#This Row],[Date]],""))</f>
        <v>46288</v>
      </c>
      <c r="N5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59" s="33" t="s">
        <v>103</v>
      </c>
    </row>
    <row r="60" spans="2:15">
      <c r="B60" s="35">
        <v>46288</v>
      </c>
      <c r="C60" s="28" t="s">
        <v>79</v>
      </c>
      <c r="D60" s="28" t="s">
        <v>87</v>
      </c>
      <c r="E60" s="29">
        <v>120</v>
      </c>
      <c r="F60" s="29">
        <v>26</v>
      </c>
      <c r="G60" s="36">
        <f>IF(tblLots[[#This Row],[Date]]="","",IFERROR(INDEX(tblProducts[Opportunities per unit],MATCH(tblLots[[#This Row],[Product]],tblProducts[Product],0)),""))</f>
        <v>520</v>
      </c>
      <c r="H60" s="36">
        <f>IF(tblLots[[#This Row],[Date]]="","",IF(tblLots[[#This Row],[Opportunities per unit]]="","",tblLots[[#This Row],[Units inspected]]*tblLots[[#This Row],[Opportunities per unit]]))</f>
        <v>62400</v>
      </c>
      <c r="I60" s="37">
        <f>IF(tblLots[[#This Row],[Date]]="","",IF(tblLots[[#This Row],[Units inspected]]&gt;0,tblLots[[#This Row],[Defects found]]/tblLots[[#This Row],[Units inspected]],""))</f>
        <v>0.216666666666667</v>
      </c>
      <c r="J60" s="36">
        <f>IF(tblLots[[#This Row],[Date]]="","",IF(N(tblLots[[#This Row],[Opportunities]])&gt;0,tblLots[[#This Row],[Defects found]]/tblLots[[#This Row],[Opportunities]]*1000000,""))</f>
        <v>416.666666666667</v>
      </c>
      <c r="K60" s="38">
        <f>IF(tblLots[[#This Row],[Date]]="","",IF(AND(N(tblLots[[#This Row],[Opportunities]])&gt;0,tblLots[[#This Row],[Defects found]]&gt;0,tblLots[[#This Row],[Defects found]]&lt;tblLots[[#This Row],[Opportunities]]),-_xlfn.NORM.S.INV(tblLots[[#This Row],[Defects found]]/tblLots[[#This Row],[Opportunities]])+ReportShift,""))</f>
        <v>4.8414789560386</v>
      </c>
      <c r="L60" s="39" t="str">
        <f>IF(NOT(ISNUMBER(tblLots[[#This Row],[DPMO]])),"",IF(tblLots[[#This Row],[DPMO]]&lt;=TargetDpmo,"On target",IF(tblLots[[#This Row],[DPMO]]&lt;=TargetDpmo*(1+0.05),"Near target","Above target")))</f>
        <v>Above target</v>
      </c>
      <c r="M60" s="40">
        <f>IF(tblLots[[#This Row],[Date]]="","",IF(AND(tblLots[[#This Row],[Date]]&gt;=FFrom,tblLots[[#This Row],[Date]]&lt;=FTo,OR(DashLine="",tblLots[[#This Row],[Line]]=DashLine)),tblLots[[#This Row],[Date]],""))</f>
        <v>46288</v>
      </c>
      <c r="N6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0" s="33" t="s">
        <v>103</v>
      </c>
    </row>
    <row r="61" spans="2:15">
      <c r="B61" s="35">
        <v>46289</v>
      </c>
      <c r="C61" s="28" t="s">
        <v>75</v>
      </c>
      <c r="D61" s="28" t="s">
        <v>91</v>
      </c>
      <c r="E61" s="29">
        <v>220</v>
      </c>
      <c r="F61" s="29">
        <v>37</v>
      </c>
      <c r="G61" s="36">
        <f>IF(tblLots[[#This Row],[Date]]="","",IFERROR(INDEX(tblProducts[Opportunities per unit],MATCH(tblLots[[#This Row],[Product]],tblProducts[Product],0)),""))</f>
        <v>1210</v>
      </c>
      <c r="H61" s="36">
        <f>IF(tblLots[[#This Row],[Date]]="","",IF(tblLots[[#This Row],[Opportunities per unit]]="","",tblLots[[#This Row],[Units inspected]]*tblLots[[#This Row],[Opportunities per unit]]))</f>
        <v>266200</v>
      </c>
      <c r="I61" s="37">
        <f>IF(tblLots[[#This Row],[Date]]="","",IF(tblLots[[#This Row],[Units inspected]]&gt;0,tblLots[[#This Row],[Defects found]]/tblLots[[#This Row],[Units inspected]],""))</f>
        <v>0.168181818181818</v>
      </c>
      <c r="J61" s="36">
        <f>IF(tblLots[[#This Row],[Date]]="","",IF(N(tblLots[[#This Row],[Opportunities]])&gt;0,tblLots[[#This Row],[Defects found]]/tblLots[[#This Row],[Opportunities]]*1000000,""))</f>
        <v>138.993238166792</v>
      </c>
      <c r="K61" s="38">
        <f>IF(tblLots[[#This Row],[Date]]="","",IF(AND(N(tblLots[[#This Row],[Opportunities]])&gt;0,tblLots[[#This Row],[Defects found]]&gt;0,tblLots[[#This Row],[Defects found]]&lt;tblLots[[#This Row],[Opportunities]]),-_xlfn.NORM.S.INV(tblLots[[#This Row],[Defects found]]/tblLots[[#This Row],[Opportunities]])+ReportShift,""))</f>
        <v>5.13499458335066</v>
      </c>
      <c r="L61" s="39" t="str">
        <f>IF(NOT(ISNUMBER(tblLots[[#This Row],[DPMO]])),"",IF(tblLots[[#This Row],[DPMO]]&lt;=TargetDpmo,"On target",IF(tblLots[[#This Row],[DPMO]]&lt;=TargetDpmo*(1+0.05),"Near target","Above target")))</f>
        <v>On target</v>
      </c>
      <c r="M61" s="40">
        <f>IF(tblLots[[#This Row],[Date]]="","",IF(AND(tblLots[[#This Row],[Date]]&gt;=FFrom,tblLots[[#This Row],[Date]]&lt;=FTo,OR(DashLine="",tblLots[[#This Row],[Line]]=DashLine)),tblLots[[#This Row],[Date]],""))</f>
        <v>46289</v>
      </c>
      <c r="N6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1" s="33" t="s">
        <v>103</v>
      </c>
    </row>
    <row r="62" spans="2:15">
      <c r="B62" s="35">
        <v>46289</v>
      </c>
      <c r="C62" s="28" t="s">
        <v>77</v>
      </c>
      <c r="D62" s="28" t="s">
        <v>83</v>
      </c>
      <c r="E62" s="29">
        <v>330</v>
      </c>
      <c r="F62" s="29">
        <v>110</v>
      </c>
      <c r="G62" s="36">
        <f>IF(tblLots[[#This Row],[Date]]="","",IFERROR(INDEX(tblProducts[Opportunities per unit],MATCH(tblLots[[#This Row],[Product]],tblProducts[Product],0)),""))</f>
        <v>1840</v>
      </c>
      <c r="H62" s="36">
        <f>IF(tblLots[[#This Row],[Date]]="","",IF(tblLots[[#This Row],[Opportunities per unit]]="","",tblLots[[#This Row],[Units inspected]]*tblLots[[#This Row],[Opportunities per unit]]))</f>
        <v>607200</v>
      </c>
      <c r="I62" s="37">
        <f>IF(tblLots[[#This Row],[Date]]="","",IF(tblLots[[#This Row],[Units inspected]]&gt;0,tblLots[[#This Row],[Defects found]]/tblLots[[#This Row],[Units inspected]],""))</f>
        <v>0.333333333333333</v>
      </c>
      <c r="J62" s="36">
        <f>IF(tblLots[[#This Row],[Date]]="","",IF(N(tblLots[[#This Row],[Opportunities]])&gt;0,tblLots[[#This Row],[Defects found]]/tblLots[[#This Row],[Opportunities]]*1000000,""))</f>
        <v>181.159420289855</v>
      </c>
      <c r="K62" s="38">
        <f>IF(tblLots[[#This Row],[Date]]="","",IF(AND(N(tblLots[[#This Row],[Opportunities]])&gt;0,tblLots[[#This Row],[Defects found]]&gt;0,tblLots[[#This Row],[Defects found]]&lt;tblLots[[#This Row],[Opportunities]]),-_xlfn.NORM.S.INV(tblLots[[#This Row],[Defects found]]/tblLots[[#This Row],[Opportunities]])+ReportShift,""))</f>
        <v>5.06611036208514</v>
      </c>
      <c r="L62" s="39" t="str">
        <f>IF(NOT(ISNUMBER(tblLots[[#This Row],[DPMO]])),"",IF(tblLots[[#This Row],[DPMO]]&lt;=TargetDpmo,"On target",IF(tblLots[[#This Row],[DPMO]]&lt;=TargetDpmo*(1+0.05),"Near target","Above target")))</f>
        <v>On target</v>
      </c>
      <c r="M62" s="40">
        <f>IF(tblLots[[#This Row],[Date]]="","",IF(AND(tblLots[[#This Row],[Date]]&gt;=FFrom,tblLots[[#This Row],[Date]]&lt;=FTo,OR(DashLine="",tblLots[[#This Row],[Line]]=DashLine)),tblLots[[#This Row],[Date]],""))</f>
        <v>46289</v>
      </c>
      <c r="N6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2" s="33" t="s">
        <v>103</v>
      </c>
    </row>
    <row r="63" spans="2:15">
      <c r="B63" s="35">
        <v>46289</v>
      </c>
      <c r="C63" s="28" t="s">
        <v>79</v>
      </c>
      <c r="D63" s="28" t="s">
        <v>89</v>
      </c>
      <c r="E63" s="29">
        <v>140</v>
      </c>
      <c r="F63" s="29">
        <v>94</v>
      </c>
      <c r="G63" s="36">
        <f>IF(tblLots[[#This Row],[Date]]="","",IFERROR(INDEX(tblProducts[Opportunities per unit],MATCH(tblLots[[#This Row],[Product]],tblProducts[Product],0)),""))</f>
        <v>2380</v>
      </c>
      <c r="H63" s="36">
        <f>IF(tblLots[[#This Row],[Date]]="","",IF(tblLots[[#This Row],[Opportunities per unit]]="","",tblLots[[#This Row],[Units inspected]]*tblLots[[#This Row],[Opportunities per unit]]))</f>
        <v>333200</v>
      </c>
      <c r="I63" s="37">
        <f>IF(tblLots[[#This Row],[Date]]="","",IF(tblLots[[#This Row],[Units inspected]]&gt;0,tblLots[[#This Row],[Defects found]]/tblLots[[#This Row],[Units inspected]],""))</f>
        <v>0.671428571428571</v>
      </c>
      <c r="J63" s="36">
        <f>IF(tblLots[[#This Row],[Date]]="","",IF(N(tblLots[[#This Row],[Opportunities]])&gt;0,tblLots[[#This Row],[Defects found]]/tblLots[[#This Row],[Opportunities]]*1000000,""))</f>
        <v>282.112845138055</v>
      </c>
      <c r="K63" s="38">
        <f>IF(tblLots[[#This Row],[Date]]="","",IF(AND(N(tblLots[[#This Row],[Opportunities]])&gt;0,tblLots[[#This Row],[Defects found]]&gt;0,tblLots[[#This Row],[Defects found]]&lt;tblLots[[#This Row],[Opportunities]]),-_xlfn.NORM.S.INV(tblLots[[#This Row],[Defects found]]/tblLots[[#This Row],[Opportunities]])+ReportShift,""))</f>
        <v>4.94825279458179</v>
      </c>
      <c r="L63" s="39" t="str">
        <f>IF(NOT(ISNUMBER(tblLots[[#This Row],[DPMO]])),"",IF(tblLots[[#This Row],[DPMO]]&lt;=TargetDpmo,"On target",IF(tblLots[[#This Row],[DPMO]]&lt;=TargetDpmo*(1+0.05),"Near target","Above target")))</f>
        <v>On target</v>
      </c>
      <c r="M63" s="40">
        <f>IF(tblLots[[#This Row],[Date]]="","",IF(AND(tblLots[[#This Row],[Date]]&gt;=FFrom,tblLots[[#This Row],[Date]]&lt;=FTo,OR(DashLine="",tblLots[[#This Row],[Line]]=DashLine)),tblLots[[#This Row],[Date]],""))</f>
        <v>46289</v>
      </c>
      <c r="N6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3" s="33" t="s">
        <v>103</v>
      </c>
    </row>
    <row r="64" spans="2:15">
      <c r="B64" s="35">
        <v>46290</v>
      </c>
      <c r="C64" s="28" t="s">
        <v>75</v>
      </c>
      <c r="D64" s="28" t="s">
        <v>89</v>
      </c>
      <c r="E64" s="29">
        <v>310</v>
      </c>
      <c r="F64" s="29">
        <v>91</v>
      </c>
      <c r="G64" s="36">
        <f>IF(tblLots[[#This Row],[Date]]="","",IFERROR(INDEX(tblProducts[Opportunities per unit],MATCH(tblLots[[#This Row],[Product]],tblProducts[Product],0)),""))</f>
        <v>2380</v>
      </c>
      <c r="H64" s="36">
        <f>IF(tblLots[[#This Row],[Date]]="","",IF(tblLots[[#This Row],[Opportunities per unit]]="","",tblLots[[#This Row],[Units inspected]]*tblLots[[#This Row],[Opportunities per unit]]))</f>
        <v>737800</v>
      </c>
      <c r="I64" s="37">
        <f>IF(tblLots[[#This Row],[Date]]="","",IF(tblLots[[#This Row],[Units inspected]]&gt;0,tblLots[[#This Row],[Defects found]]/tblLots[[#This Row],[Units inspected]],""))</f>
        <v>0.293548387096774</v>
      </c>
      <c r="J64" s="36">
        <f>IF(tblLots[[#This Row],[Date]]="","",IF(N(tblLots[[#This Row],[Opportunities]])&gt;0,tblLots[[#This Row],[Defects found]]/tblLots[[#This Row],[Opportunities]]*1000000,""))</f>
        <v>123.339658444023</v>
      </c>
      <c r="K64" s="38">
        <f>IF(tblLots[[#This Row],[Date]]="","",IF(AND(N(tblLots[[#This Row],[Opportunities]])&gt;0,tblLots[[#This Row],[Defects found]]&gt;0,tblLots[[#This Row],[Defects found]]&lt;tblLots[[#This Row],[Opportunities]]),-_xlfn.NORM.S.INV(tblLots[[#This Row],[Defects found]]/tblLots[[#This Row],[Opportunities]])+ReportShift,""))</f>
        <v>5.16568302213488</v>
      </c>
      <c r="L64" s="39" t="str">
        <f>IF(NOT(ISNUMBER(tblLots[[#This Row],[DPMO]])),"",IF(tblLots[[#This Row],[DPMO]]&lt;=TargetDpmo,"On target",IF(tblLots[[#This Row],[DPMO]]&lt;=TargetDpmo*(1+0.05),"Near target","Above target")))</f>
        <v>On target</v>
      </c>
      <c r="M64" s="40">
        <f>IF(tblLots[[#This Row],[Date]]="","",IF(AND(tblLots[[#This Row],[Date]]&gt;=FFrom,tblLots[[#This Row],[Date]]&lt;=FTo,OR(DashLine="",tblLots[[#This Row],[Line]]=DashLine)),tblLots[[#This Row],[Date]],""))</f>
        <v>46290</v>
      </c>
      <c r="N6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4" s="33" t="s">
        <v>103</v>
      </c>
    </row>
    <row r="65" spans="2:15">
      <c r="B65" s="35">
        <v>46290</v>
      </c>
      <c r="C65" s="28" t="s">
        <v>77</v>
      </c>
      <c r="D65" s="28" t="s">
        <v>83</v>
      </c>
      <c r="E65" s="29">
        <v>340</v>
      </c>
      <c r="F65" s="29">
        <v>122</v>
      </c>
      <c r="G65" s="36">
        <f>IF(tblLots[[#This Row],[Date]]="","",IFERROR(INDEX(tblProducts[Opportunities per unit],MATCH(tblLots[[#This Row],[Product]],tblProducts[Product],0)),""))</f>
        <v>1840</v>
      </c>
      <c r="H65" s="36">
        <f>IF(tblLots[[#This Row],[Date]]="","",IF(tblLots[[#This Row],[Opportunities per unit]]="","",tblLots[[#This Row],[Units inspected]]*tblLots[[#This Row],[Opportunities per unit]]))</f>
        <v>625600</v>
      </c>
      <c r="I65" s="37">
        <f>IF(tblLots[[#This Row],[Date]]="","",IF(tblLots[[#This Row],[Units inspected]]&gt;0,tblLots[[#This Row],[Defects found]]/tblLots[[#This Row],[Units inspected]],""))</f>
        <v>0.358823529411765</v>
      </c>
      <c r="J65" s="36">
        <f>IF(tblLots[[#This Row],[Date]]="","",IF(N(tblLots[[#This Row],[Opportunities]])&gt;0,tblLots[[#This Row],[Defects found]]/tblLots[[#This Row],[Opportunities]]*1000000,""))</f>
        <v>195.012787723785</v>
      </c>
      <c r="K65" s="38">
        <f>IF(tblLots[[#This Row],[Date]]="","",IF(AND(N(tblLots[[#This Row],[Opportunities]])&gt;0,tblLots[[#This Row],[Defects found]]&gt;0,tblLots[[#This Row],[Defects found]]&lt;tblLots[[#This Row],[Opportunities]]),-_xlfn.NORM.S.INV(tblLots[[#This Row],[Defects found]]/tblLots[[#This Row],[Opportunities]])+ReportShift,""))</f>
        <v>5.04674252009463</v>
      </c>
      <c r="L65" s="39" t="str">
        <f>IF(NOT(ISNUMBER(tblLots[[#This Row],[DPMO]])),"",IF(tblLots[[#This Row],[DPMO]]&lt;=TargetDpmo,"On target",IF(tblLots[[#This Row],[DPMO]]&lt;=TargetDpmo*(1+0.05),"Near target","Above target")))</f>
        <v>On target</v>
      </c>
      <c r="M65" s="40">
        <f>IF(tblLots[[#This Row],[Date]]="","",IF(AND(tblLots[[#This Row],[Date]]&gt;=FFrom,tblLots[[#This Row],[Date]]&lt;=FTo,OR(DashLine="",tblLots[[#This Row],[Line]]=DashLine)),tblLots[[#This Row],[Date]],""))</f>
        <v>46290</v>
      </c>
      <c r="N6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5" s="33" t="s">
        <v>103</v>
      </c>
    </row>
    <row r="66" spans="2:15">
      <c r="B66" s="35">
        <v>46290</v>
      </c>
      <c r="C66" s="28" t="s">
        <v>79</v>
      </c>
      <c r="D66" s="28" t="s">
        <v>85</v>
      </c>
      <c r="E66" s="29">
        <v>70</v>
      </c>
      <c r="F66" s="29">
        <v>25</v>
      </c>
      <c r="G66" s="36">
        <f>IF(tblLots[[#This Row],[Date]]="","",IFERROR(INDEX(tblProducts[Opportunities per unit],MATCH(tblLots[[#This Row],[Product]],tblProducts[Product],0)),""))</f>
        <v>960</v>
      </c>
      <c r="H66" s="36">
        <f>IF(tblLots[[#This Row],[Date]]="","",IF(tblLots[[#This Row],[Opportunities per unit]]="","",tblLots[[#This Row],[Units inspected]]*tblLots[[#This Row],[Opportunities per unit]]))</f>
        <v>67200</v>
      </c>
      <c r="I66" s="37">
        <f>IF(tblLots[[#This Row],[Date]]="","",IF(tblLots[[#This Row],[Units inspected]]&gt;0,tblLots[[#This Row],[Defects found]]/tblLots[[#This Row],[Units inspected]],""))</f>
        <v>0.357142857142857</v>
      </c>
      <c r="J66" s="36">
        <f>IF(tblLots[[#This Row],[Date]]="","",IF(N(tblLots[[#This Row],[Opportunities]])&gt;0,tblLots[[#This Row],[Defects found]]/tblLots[[#This Row],[Opportunities]]*1000000,""))</f>
        <v>372.02380952381</v>
      </c>
      <c r="K66" s="38">
        <f>IF(tblLots[[#This Row],[Date]]="","",IF(AND(N(tblLots[[#This Row],[Opportunities]])&gt;0,tblLots[[#This Row],[Defects found]]&gt;0,tblLots[[#This Row],[Defects found]]&lt;tblLots[[#This Row],[Opportunities]]),-_xlfn.NORM.S.INV(tblLots[[#This Row],[Defects found]]/tblLots[[#This Row],[Opportunities]])+ReportShift,""))</f>
        <v>4.87281190498616</v>
      </c>
      <c r="L66" s="39" t="str">
        <f>IF(NOT(ISNUMBER(tblLots[[#This Row],[DPMO]])),"",IF(tblLots[[#This Row],[DPMO]]&lt;=TargetDpmo,"On target",IF(tblLots[[#This Row],[DPMO]]&lt;=TargetDpmo*(1+0.05),"Near target","Above target")))</f>
        <v>Above target</v>
      </c>
      <c r="M66" s="40">
        <f>IF(tblLots[[#This Row],[Date]]="","",IF(AND(tblLots[[#This Row],[Date]]&gt;=FFrom,tblLots[[#This Row],[Date]]&lt;=FTo,OR(DashLine="",tblLots[[#This Row],[Line]]=DashLine)),tblLots[[#This Row],[Date]],""))</f>
        <v>46290</v>
      </c>
      <c r="N6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6" s="33" t="s">
        <v>103</v>
      </c>
    </row>
    <row r="67" spans="2:15">
      <c r="B67" s="35">
        <v>46293</v>
      </c>
      <c r="C67" s="28" t="s">
        <v>75</v>
      </c>
      <c r="D67" s="28" t="s">
        <v>89</v>
      </c>
      <c r="E67" s="29">
        <v>270</v>
      </c>
      <c r="F67" s="29">
        <v>112</v>
      </c>
      <c r="G67" s="36">
        <f>IF(tblLots[[#This Row],[Date]]="","",IFERROR(INDEX(tblProducts[Opportunities per unit],MATCH(tblLots[[#This Row],[Product]],tblProducts[Product],0)),""))</f>
        <v>2380</v>
      </c>
      <c r="H67" s="36">
        <f>IF(tblLots[[#This Row],[Date]]="","",IF(tblLots[[#This Row],[Opportunities per unit]]="","",tblLots[[#This Row],[Units inspected]]*tblLots[[#This Row],[Opportunities per unit]]))</f>
        <v>642600</v>
      </c>
      <c r="I67" s="37">
        <f>IF(tblLots[[#This Row],[Date]]="","",IF(tblLots[[#This Row],[Units inspected]]&gt;0,tblLots[[#This Row],[Defects found]]/tblLots[[#This Row],[Units inspected]],""))</f>
        <v>0.414814814814815</v>
      </c>
      <c r="J67" s="36">
        <f>IF(tblLots[[#This Row],[Date]]="","",IF(N(tblLots[[#This Row],[Opportunities]])&gt;0,tblLots[[#This Row],[Defects found]]/tblLots[[#This Row],[Opportunities]]*1000000,""))</f>
        <v>174.291938997821</v>
      </c>
      <c r="K67" s="38">
        <f>IF(tblLots[[#This Row],[Date]]="","",IF(AND(N(tblLots[[#This Row],[Opportunities]])&gt;0,tblLots[[#This Row],[Defects found]]&gt;0,tblLots[[#This Row],[Defects found]]&lt;tblLots[[#This Row],[Opportunities]]),-_xlfn.NORM.S.INV(tblLots[[#This Row],[Defects found]]/tblLots[[#This Row],[Opportunities]])+ReportShift,""))</f>
        <v>5.07623083334418</v>
      </c>
      <c r="L67" s="39" t="str">
        <f>IF(NOT(ISNUMBER(tblLots[[#This Row],[DPMO]])),"",IF(tblLots[[#This Row],[DPMO]]&lt;=TargetDpmo,"On target",IF(tblLots[[#This Row],[DPMO]]&lt;=TargetDpmo*(1+0.05),"Near target","Above target")))</f>
        <v>On target</v>
      </c>
      <c r="M67" s="40">
        <f>IF(tblLots[[#This Row],[Date]]="","",IF(AND(tblLots[[#This Row],[Date]]&gt;=FFrom,tblLots[[#This Row],[Date]]&lt;=FTo,OR(DashLine="",tblLots[[#This Row],[Line]]=DashLine)),tblLots[[#This Row],[Date]],""))</f>
        <v>46293</v>
      </c>
      <c r="N6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7" s="33" t="s">
        <v>103</v>
      </c>
    </row>
    <row r="68" spans="2:15">
      <c r="B68" s="35">
        <v>46293</v>
      </c>
      <c r="C68" s="28" t="s">
        <v>77</v>
      </c>
      <c r="D68" s="28" t="s">
        <v>85</v>
      </c>
      <c r="E68" s="29">
        <v>160</v>
      </c>
      <c r="F68" s="29">
        <v>26</v>
      </c>
      <c r="G68" s="36">
        <f>IF(tblLots[[#This Row],[Date]]="","",IFERROR(INDEX(tblProducts[Opportunities per unit],MATCH(tblLots[[#This Row],[Product]],tblProducts[Product],0)),""))</f>
        <v>960</v>
      </c>
      <c r="H68" s="36">
        <f>IF(tblLots[[#This Row],[Date]]="","",IF(tblLots[[#This Row],[Opportunities per unit]]="","",tblLots[[#This Row],[Units inspected]]*tblLots[[#This Row],[Opportunities per unit]]))</f>
        <v>153600</v>
      </c>
      <c r="I68" s="37">
        <f>IF(tblLots[[#This Row],[Date]]="","",IF(tblLots[[#This Row],[Units inspected]]&gt;0,tblLots[[#This Row],[Defects found]]/tblLots[[#This Row],[Units inspected]],""))</f>
        <v>0.1625</v>
      </c>
      <c r="J68" s="36">
        <f>IF(tblLots[[#This Row],[Date]]="","",IF(N(tblLots[[#This Row],[Opportunities]])&gt;0,tblLots[[#This Row],[Defects found]]/tblLots[[#This Row],[Opportunities]]*1000000,""))</f>
        <v>169.270833333333</v>
      </c>
      <c r="K68" s="38">
        <f>IF(tblLots[[#This Row],[Date]]="","",IF(AND(N(tblLots[[#This Row],[Opportunities]])&gt;0,tblLots[[#This Row],[Defects found]]&gt;0,tblLots[[#This Row],[Defects found]]&lt;tblLots[[#This Row],[Opportunities]]),-_xlfn.NORM.S.INV(tblLots[[#This Row],[Defects found]]/tblLots[[#This Row],[Opportunities]])+ReportShift,""))</f>
        <v>5.08386919967538</v>
      </c>
      <c r="L68" s="39" t="str">
        <f>IF(NOT(ISNUMBER(tblLots[[#This Row],[DPMO]])),"",IF(tblLots[[#This Row],[DPMO]]&lt;=TargetDpmo,"On target",IF(tblLots[[#This Row],[DPMO]]&lt;=TargetDpmo*(1+0.05),"Near target","Above target")))</f>
        <v>On target</v>
      </c>
      <c r="M68" s="40">
        <f>IF(tblLots[[#This Row],[Date]]="","",IF(AND(tblLots[[#This Row],[Date]]&gt;=FFrom,tblLots[[#This Row],[Date]]&lt;=FTo,OR(DashLine="",tblLots[[#This Row],[Line]]=DashLine)),tblLots[[#This Row],[Date]],""))</f>
        <v>46293</v>
      </c>
      <c r="N6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8" s="33" t="s">
        <v>103</v>
      </c>
    </row>
    <row r="69" spans="2:15">
      <c r="B69" s="35">
        <v>46293</v>
      </c>
      <c r="C69" s="28" t="s">
        <v>77</v>
      </c>
      <c r="D69" s="28" t="s">
        <v>85</v>
      </c>
      <c r="E69" s="29">
        <v>400</v>
      </c>
      <c r="F69" s="29">
        <v>101</v>
      </c>
      <c r="G69" s="36">
        <f>IF(tblLots[[#This Row],[Date]]="","",IFERROR(INDEX(tblProducts[Opportunities per unit],MATCH(tblLots[[#This Row],[Product]],tblProducts[Product],0)),""))</f>
        <v>960</v>
      </c>
      <c r="H69" s="36">
        <f>IF(tblLots[[#This Row],[Date]]="","",IF(tblLots[[#This Row],[Opportunities per unit]]="","",tblLots[[#This Row],[Units inspected]]*tblLots[[#This Row],[Opportunities per unit]]))</f>
        <v>384000</v>
      </c>
      <c r="I69" s="37">
        <f>IF(tblLots[[#This Row],[Date]]="","",IF(tblLots[[#This Row],[Units inspected]]&gt;0,tblLots[[#This Row],[Defects found]]/tblLots[[#This Row],[Units inspected]],""))</f>
        <v>0.2525</v>
      </c>
      <c r="J69" s="36">
        <f>IF(tblLots[[#This Row],[Date]]="","",IF(N(tblLots[[#This Row],[Opportunities]])&gt;0,tblLots[[#This Row],[Defects found]]/tblLots[[#This Row],[Opportunities]]*1000000,""))</f>
        <v>263.020833333333</v>
      </c>
      <c r="K69" s="38">
        <f>IF(tblLots[[#This Row],[Date]]="","",IF(AND(N(tblLots[[#This Row],[Opportunities]])&gt;0,tblLots[[#This Row],[Defects found]]&gt;0,tblLots[[#This Row],[Defects found]]&lt;tblLots[[#This Row],[Opportunities]]),-_xlfn.NORM.S.INV(tblLots[[#This Row],[Defects found]]/tblLots[[#This Row],[Opportunities]])+ReportShift,""))</f>
        <v>4.96713293377107</v>
      </c>
      <c r="L69" s="39" t="str">
        <f>IF(NOT(ISNUMBER(tblLots[[#This Row],[DPMO]])),"",IF(tblLots[[#This Row],[DPMO]]&lt;=TargetDpmo,"On target",IF(tblLots[[#This Row],[DPMO]]&lt;=TargetDpmo*(1+0.05),"Near target","Above target")))</f>
        <v>On target</v>
      </c>
      <c r="M69" s="40">
        <f>IF(tblLots[[#This Row],[Date]]="","",IF(AND(tblLots[[#This Row],[Date]]&gt;=FFrom,tblLots[[#This Row],[Date]]&lt;=FTo,OR(DashLine="",tblLots[[#This Row],[Line]]=DashLine)),tblLots[[#This Row],[Date]],""))</f>
        <v>46293</v>
      </c>
      <c r="N6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69" s="33" t="s">
        <v>103</v>
      </c>
    </row>
    <row r="70" spans="2:15">
      <c r="B70" s="35">
        <v>46293</v>
      </c>
      <c r="C70" s="28" t="s">
        <v>79</v>
      </c>
      <c r="D70" s="28" t="s">
        <v>87</v>
      </c>
      <c r="E70" s="29">
        <v>160</v>
      </c>
      <c r="F70" s="29">
        <v>46</v>
      </c>
      <c r="G70" s="36">
        <f>IF(tblLots[[#This Row],[Date]]="","",IFERROR(INDEX(tblProducts[Opportunities per unit],MATCH(tblLots[[#This Row],[Product]],tblProducts[Product],0)),""))</f>
        <v>520</v>
      </c>
      <c r="H70" s="36">
        <f>IF(tblLots[[#This Row],[Date]]="","",IF(tblLots[[#This Row],[Opportunities per unit]]="","",tblLots[[#This Row],[Units inspected]]*tblLots[[#This Row],[Opportunities per unit]]))</f>
        <v>83200</v>
      </c>
      <c r="I70" s="37">
        <f>IF(tblLots[[#This Row],[Date]]="","",IF(tblLots[[#This Row],[Units inspected]]&gt;0,tblLots[[#This Row],[Defects found]]/tblLots[[#This Row],[Units inspected]],""))</f>
        <v>0.2875</v>
      </c>
      <c r="J70" s="36">
        <f>IF(tblLots[[#This Row],[Date]]="","",IF(N(tblLots[[#This Row],[Opportunities]])&gt;0,tblLots[[#This Row],[Defects found]]/tblLots[[#This Row],[Opportunities]]*1000000,""))</f>
        <v>552.884615384615</v>
      </c>
      <c r="K70" s="38">
        <f>IF(tblLots[[#This Row],[Date]]="","",IF(AND(N(tblLots[[#This Row],[Opportunities]])&gt;0,tblLots[[#This Row],[Defects found]]&gt;0,tblLots[[#This Row],[Defects found]]&lt;tblLots[[#This Row],[Opportunities]]),-_xlfn.NORM.S.INV(tblLots[[#This Row],[Defects found]]/tblLots[[#This Row],[Opportunities]])+ReportShift,""))</f>
        <v>4.7621338388355</v>
      </c>
      <c r="L70" s="39" t="str">
        <f>IF(NOT(ISNUMBER(tblLots[[#This Row],[DPMO]])),"",IF(tblLots[[#This Row],[DPMO]]&lt;=TargetDpmo,"On target",IF(tblLots[[#This Row],[DPMO]]&lt;=TargetDpmo*(1+0.05),"Near target","Above target")))</f>
        <v>Above target</v>
      </c>
      <c r="M70" s="40">
        <f>IF(tblLots[[#This Row],[Date]]="","",IF(AND(tblLots[[#This Row],[Date]]&gt;=FFrom,tblLots[[#This Row],[Date]]&lt;=FTo,OR(DashLine="",tblLots[[#This Row],[Line]]=DashLine)),tblLots[[#This Row],[Date]],""))</f>
        <v>46293</v>
      </c>
      <c r="N7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0" s="33" t="s">
        <v>103</v>
      </c>
    </row>
    <row r="71" spans="2:15">
      <c r="B71" s="35">
        <v>46294</v>
      </c>
      <c r="C71" s="28" t="s">
        <v>75</v>
      </c>
      <c r="D71" s="28" t="s">
        <v>83</v>
      </c>
      <c r="E71" s="29">
        <v>170</v>
      </c>
      <c r="F71" s="29">
        <v>39</v>
      </c>
      <c r="G71" s="36">
        <f>IF(tblLots[[#This Row],[Date]]="","",IFERROR(INDEX(tblProducts[Opportunities per unit],MATCH(tblLots[[#This Row],[Product]],tblProducts[Product],0)),""))</f>
        <v>1840</v>
      </c>
      <c r="H71" s="36">
        <f>IF(tblLots[[#This Row],[Date]]="","",IF(tblLots[[#This Row],[Opportunities per unit]]="","",tblLots[[#This Row],[Units inspected]]*tblLots[[#This Row],[Opportunities per unit]]))</f>
        <v>312800</v>
      </c>
      <c r="I71" s="37">
        <f>IF(tblLots[[#This Row],[Date]]="","",IF(tblLots[[#This Row],[Units inspected]]&gt;0,tblLots[[#This Row],[Defects found]]/tblLots[[#This Row],[Units inspected]],""))</f>
        <v>0.229411764705882</v>
      </c>
      <c r="J71" s="36">
        <f>IF(tblLots[[#This Row],[Date]]="","",IF(N(tblLots[[#This Row],[Opportunities]])&gt;0,tblLots[[#This Row],[Defects found]]/tblLots[[#This Row],[Opportunities]]*1000000,""))</f>
        <v>124.680306905371</v>
      </c>
      <c r="K71" s="38">
        <f>IF(tblLots[[#This Row],[Date]]="","",IF(AND(N(tblLots[[#This Row],[Opportunities]])&gt;0,tblLots[[#This Row],[Defects found]]&gt;0,tblLots[[#This Row],[Defects found]]&lt;tblLots[[#This Row],[Opportunities]]),-_xlfn.NORM.S.INV(tblLots[[#This Row],[Defects found]]/tblLots[[#This Row],[Opportunities]])+ReportShift,""))</f>
        <v>5.16291570687876</v>
      </c>
      <c r="L71" s="39" t="str">
        <f>IF(NOT(ISNUMBER(tblLots[[#This Row],[DPMO]])),"",IF(tblLots[[#This Row],[DPMO]]&lt;=TargetDpmo,"On target",IF(tblLots[[#This Row],[DPMO]]&lt;=TargetDpmo*(1+0.05),"Near target","Above target")))</f>
        <v>On target</v>
      </c>
      <c r="M71" s="40">
        <f>IF(tblLots[[#This Row],[Date]]="","",IF(AND(tblLots[[#This Row],[Date]]&gt;=FFrom,tblLots[[#This Row],[Date]]&lt;=FTo,OR(DashLine="",tblLots[[#This Row],[Line]]=DashLine)),tblLots[[#This Row],[Date]],""))</f>
        <v>46294</v>
      </c>
      <c r="N7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1" s="33" t="s">
        <v>103</v>
      </c>
    </row>
    <row r="72" spans="2:15">
      <c r="B72" s="35">
        <v>46294</v>
      </c>
      <c r="C72" s="28" t="s">
        <v>77</v>
      </c>
      <c r="D72" s="28" t="s">
        <v>85</v>
      </c>
      <c r="E72" s="29">
        <v>330</v>
      </c>
      <c r="F72" s="29">
        <v>74</v>
      </c>
      <c r="G72" s="36">
        <f>IF(tblLots[[#This Row],[Date]]="","",IFERROR(INDEX(tblProducts[Opportunities per unit],MATCH(tblLots[[#This Row],[Product]],tblProducts[Product],0)),""))</f>
        <v>960</v>
      </c>
      <c r="H72" s="36">
        <f>IF(tblLots[[#This Row],[Date]]="","",IF(tblLots[[#This Row],[Opportunities per unit]]="","",tblLots[[#This Row],[Units inspected]]*tblLots[[#This Row],[Opportunities per unit]]))</f>
        <v>316800</v>
      </c>
      <c r="I72" s="37">
        <f>IF(tblLots[[#This Row],[Date]]="","",IF(tblLots[[#This Row],[Units inspected]]&gt;0,tblLots[[#This Row],[Defects found]]/tblLots[[#This Row],[Units inspected]],""))</f>
        <v>0.224242424242424</v>
      </c>
      <c r="J72" s="36">
        <f>IF(tblLots[[#This Row],[Date]]="","",IF(N(tblLots[[#This Row],[Opportunities]])&gt;0,tblLots[[#This Row],[Defects found]]/tblLots[[#This Row],[Opportunities]]*1000000,""))</f>
        <v>233.585858585859</v>
      </c>
      <c r="K72" s="38">
        <f>IF(tblLots[[#This Row],[Date]]="","",IF(AND(N(tblLots[[#This Row],[Opportunities]])&gt;0,tblLots[[#This Row],[Defects found]]&gt;0,tblLots[[#This Row],[Defects found]]&lt;tblLots[[#This Row],[Opportunities]]),-_xlfn.NORM.S.INV(tblLots[[#This Row],[Defects found]]/tblLots[[#This Row],[Opportunities]])+ReportShift,""))</f>
        <v>4.99890573204562</v>
      </c>
      <c r="L72" s="39" t="str">
        <f>IF(NOT(ISNUMBER(tblLots[[#This Row],[DPMO]])),"",IF(tblLots[[#This Row],[DPMO]]&lt;=TargetDpmo,"On target",IF(tblLots[[#This Row],[DPMO]]&lt;=TargetDpmo*(1+0.05),"Near target","Above target")))</f>
        <v>On target</v>
      </c>
      <c r="M72" s="40">
        <f>IF(tblLots[[#This Row],[Date]]="","",IF(AND(tblLots[[#This Row],[Date]]&gt;=FFrom,tblLots[[#This Row],[Date]]&lt;=FTo,OR(DashLine="",tblLots[[#This Row],[Line]]=DashLine)),tblLots[[#This Row],[Date]],""))</f>
        <v>46294</v>
      </c>
      <c r="N7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2" s="33" t="s">
        <v>103</v>
      </c>
    </row>
    <row r="73" spans="2:15">
      <c r="B73" s="35">
        <v>46294</v>
      </c>
      <c r="C73" s="28" t="s">
        <v>79</v>
      </c>
      <c r="D73" s="28" t="s">
        <v>85</v>
      </c>
      <c r="E73" s="29">
        <v>160</v>
      </c>
      <c r="F73" s="29">
        <v>63</v>
      </c>
      <c r="G73" s="36">
        <f>IF(tblLots[[#This Row],[Date]]="","",IFERROR(INDEX(tblProducts[Opportunities per unit],MATCH(tblLots[[#This Row],[Product]],tblProducts[Product],0)),""))</f>
        <v>960</v>
      </c>
      <c r="H73" s="36">
        <f>IF(tblLots[[#This Row],[Date]]="","",IF(tblLots[[#This Row],[Opportunities per unit]]="","",tblLots[[#This Row],[Units inspected]]*tblLots[[#This Row],[Opportunities per unit]]))</f>
        <v>153600</v>
      </c>
      <c r="I73" s="37">
        <f>IF(tblLots[[#This Row],[Date]]="","",IF(tblLots[[#This Row],[Units inspected]]&gt;0,tblLots[[#This Row],[Defects found]]/tblLots[[#This Row],[Units inspected]],""))</f>
        <v>0.39375</v>
      </c>
      <c r="J73" s="36">
        <f>IF(tblLots[[#This Row],[Date]]="","",IF(N(tblLots[[#This Row],[Opportunities]])&gt;0,tblLots[[#This Row],[Defects found]]/tblLots[[#This Row],[Opportunities]]*1000000,""))</f>
        <v>410.15625</v>
      </c>
      <c r="K73" s="38">
        <f>IF(tblLots[[#This Row],[Date]]="","",IF(AND(N(tblLots[[#This Row],[Opportunities]])&gt;0,tblLots[[#This Row],[Defects found]]&gt;0,tblLots[[#This Row],[Defects found]]&lt;tblLots[[#This Row],[Opportunities]]),-_xlfn.NORM.S.INV(tblLots[[#This Row],[Defects found]]/tblLots[[#This Row],[Opportunities]])+ReportShift,""))</f>
        <v>4.84584833947518</v>
      </c>
      <c r="L73" s="39" t="str">
        <f>IF(NOT(ISNUMBER(tblLots[[#This Row],[DPMO]])),"",IF(tblLots[[#This Row],[DPMO]]&lt;=TargetDpmo,"On target",IF(tblLots[[#This Row],[DPMO]]&lt;=TargetDpmo*(1+0.05),"Near target","Above target")))</f>
        <v>Above target</v>
      </c>
      <c r="M73" s="40">
        <f>IF(tblLots[[#This Row],[Date]]="","",IF(AND(tblLots[[#This Row],[Date]]&gt;=FFrom,tblLots[[#This Row],[Date]]&lt;=FTo,OR(DashLine="",tblLots[[#This Row],[Line]]=DashLine)),tblLots[[#This Row],[Date]],""))</f>
        <v>46294</v>
      </c>
      <c r="N7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3" s="33" t="s">
        <v>103</v>
      </c>
    </row>
    <row r="74" spans="2:15">
      <c r="B74" s="35">
        <v>46295</v>
      </c>
      <c r="C74" s="28" t="s">
        <v>75</v>
      </c>
      <c r="D74" s="28" t="s">
        <v>83</v>
      </c>
      <c r="E74" s="29">
        <v>210</v>
      </c>
      <c r="F74" s="29">
        <v>60</v>
      </c>
      <c r="G74" s="36">
        <f>IF(tblLots[[#This Row],[Date]]="","",IFERROR(INDEX(tblProducts[Opportunities per unit],MATCH(tblLots[[#This Row],[Product]],tblProducts[Product],0)),""))</f>
        <v>1840</v>
      </c>
      <c r="H74" s="36">
        <f>IF(tblLots[[#This Row],[Date]]="","",IF(tblLots[[#This Row],[Opportunities per unit]]="","",tblLots[[#This Row],[Units inspected]]*tblLots[[#This Row],[Opportunities per unit]]))</f>
        <v>386400</v>
      </c>
      <c r="I74" s="37">
        <f>IF(tblLots[[#This Row],[Date]]="","",IF(tblLots[[#This Row],[Units inspected]]&gt;0,tblLots[[#This Row],[Defects found]]/tblLots[[#This Row],[Units inspected]],""))</f>
        <v>0.285714285714286</v>
      </c>
      <c r="J74" s="36">
        <f>IF(tblLots[[#This Row],[Date]]="","",IF(N(tblLots[[#This Row],[Opportunities]])&gt;0,tblLots[[#This Row],[Defects found]]/tblLots[[#This Row],[Opportunities]]*1000000,""))</f>
        <v>155.27950310559</v>
      </c>
      <c r="K74" s="38">
        <f>IF(tblLots[[#This Row],[Date]]="","",IF(AND(N(tblLots[[#This Row],[Opportunities]])&gt;0,tblLots[[#This Row],[Defects found]]&gt;0,tblLots[[#This Row],[Defects found]]&lt;tblLots[[#This Row],[Opportunities]]),-_xlfn.NORM.S.INV(tblLots[[#This Row],[Defects found]]/tblLots[[#This Row],[Opportunities]])+ReportShift,""))</f>
        <v>5.10632928567329</v>
      </c>
      <c r="L74" s="39" t="str">
        <f>IF(NOT(ISNUMBER(tblLots[[#This Row],[DPMO]])),"",IF(tblLots[[#This Row],[DPMO]]&lt;=TargetDpmo,"On target",IF(tblLots[[#This Row],[DPMO]]&lt;=TargetDpmo*(1+0.05),"Near target","Above target")))</f>
        <v>On target</v>
      </c>
      <c r="M74" s="40">
        <f>IF(tblLots[[#This Row],[Date]]="","",IF(AND(tblLots[[#This Row],[Date]]&gt;=FFrom,tblLots[[#This Row],[Date]]&lt;=FTo,OR(DashLine="",tblLots[[#This Row],[Line]]=DashLine)),tblLots[[#This Row],[Date]],""))</f>
        <v>46295</v>
      </c>
      <c r="N7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4" s="33" t="s">
        <v>103</v>
      </c>
    </row>
    <row r="75" spans="2:15">
      <c r="B75" s="35">
        <v>46295</v>
      </c>
      <c r="C75" s="28" t="s">
        <v>77</v>
      </c>
      <c r="D75" s="28" t="s">
        <v>85</v>
      </c>
      <c r="E75" s="29">
        <v>220</v>
      </c>
      <c r="F75" s="29">
        <v>32</v>
      </c>
      <c r="G75" s="36">
        <f>IF(tblLots[[#This Row],[Date]]="","",IFERROR(INDEX(tblProducts[Opportunities per unit],MATCH(tblLots[[#This Row],[Product]],tblProducts[Product],0)),""))</f>
        <v>960</v>
      </c>
      <c r="H75" s="36">
        <f>IF(tblLots[[#This Row],[Date]]="","",IF(tblLots[[#This Row],[Opportunities per unit]]="","",tblLots[[#This Row],[Units inspected]]*tblLots[[#This Row],[Opportunities per unit]]))</f>
        <v>211200</v>
      </c>
      <c r="I75" s="37">
        <f>IF(tblLots[[#This Row],[Date]]="","",IF(tblLots[[#This Row],[Units inspected]]&gt;0,tblLots[[#This Row],[Defects found]]/tblLots[[#This Row],[Units inspected]],""))</f>
        <v>0.145454545454545</v>
      </c>
      <c r="J75" s="36">
        <f>IF(tblLots[[#This Row],[Date]]="","",IF(N(tblLots[[#This Row],[Opportunities]])&gt;0,tblLots[[#This Row],[Defects found]]/tblLots[[#This Row],[Opportunities]]*1000000,""))</f>
        <v>151.515151515152</v>
      </c>
      <c r="K75" s="38">
        <f>IF(tblLots[[#This Row],[Date]]="","",IF(AND(N(tblLots[[#This Row],[Opportunities]])&gt;0,tblLots[[#This Row],[Defects found]]&gt;0,tblLots[[#This Row],[Defects found]]&lt;tblLots[[#This Row],[Opportunities]]),-_xlfn.NORM.S.INV(tblLots[[#This Row],[Defects found]]/tblLots[[#This Row],[Opportunities]])+ReportShift,""))</f>
        <v>5.11269565088422</v>
      </c>
      <c r="L75" s="39" t="str">
        <f>IF(NOT(ISNUMBER(tblLots[[#This Row],[DPMO]])),"",IF(tblLots[[#This Row],[DPMO]]&lt;=TargetDpmo,"On target",IF(tblLots[[#This Row],[DPMO]]&lt;=TargetDpmo*(1+0.05),"Near target","Above target")))</f>
        <v>On target</v>
      </c>
      <c r="M75" s="40">
        <f>IF(tblLots[[#This Row],[Date]]="","",IF(AND(tblLots[[#This Row],[Date]]&gt;=FFrom,tblLots[[#This Row],[Date]]&lt;=FTo,OR(DashLine="",tblLots[[#This Row],[Line]]=DashLine)),tblLots[[#This Row],[Date]],""))</f>
        <v>46295</v>
      </c>
      <c r="N7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5" s="33" t="s">
        <v>103</v>
      </c>
    </row>
    <row r="76" spans="2:15">
      <c r="B76" s="35">
        <v>46295</v>
      </c>
      <c r="C76" s="28" t="s">
        <v>79</v>
      </c>
      <c r="D76" s="28" t="s">
        <v>87</v>
      </c>
      <c r="E76" s="29">
        <v>120</v>
      </c>
      <c r="F76" s="29">
        <v>19</v>
      </c>
      <c r="G76" s="36">
        <f>IF(tblLots[[#This Row],[Date]]="","",IFERROR(INDEX(tblProducts[Opportunities per unit],MATCH(tblLots[[#This Row],[Product]],tblProducts[Product],0)),""))</f>
        <v>520</v>
      </c>
      <c r="H76" s="36">
        <f>IF(tblLots[[#This Row],[Date]]="","",IF(tblLots[[#This Row],[Opportunities per unit]]="","",tblLots[[#This Row],[Units inspected]]*tblLots[[#This Row],[Opportunities per unit]]))</f>
        <v>62400</v>
      </c>
      <c r="I76" s="37">
        <f>IF(tblLots[[#This Row],[Date]]="","",IF(tblLots[[#This Row],[Units inspected]]&gt;0,tblLots[[#This Row],[Defects found]]/tblLots[[#This Row],[Units inspected]],""))</f>
        <v>0.158333333333333</v>
      </c>
      <c r="J76" s="36">
        <f>IF(tblLots[[#This Row],[Date]]="","",IF(N(tblLots[[#This Row],[Opportunities]])&gt;0,tblLots[[#This Row],[Defects found]]/tblLots[[#This Row],[Opportunities]]*1000000,""))</f>
        <v>304.48717948718</v>
      </c>
      <c r="K76" s="38">
        <f>IF(tblLots[[#This Row],[Date]]="","",IF(AND(N(tblLots[[#This Row],[Opportunities]])&gt;0,tblLots[[#This Row],[Defects found]]&gt;0,tblLots[[#This Row],[Defects found]]&lt;tblLots[[#This Row],[Opportunities]]),-_xlfn.NORM.S.INV(tblLots[[#This Row],[Defects found]]/tblLots[[#This Row],[Opportunities]])+ReportShift,""))</f>
        <v>4.92758556428774</v>
      </c>
      <c r="L76" s="39" t="str">
        <f>IF(NOT(ISNUMBER(tblLots[[#This Row],[DPMO]])),"",IF(tblLots[[#This Row],[DPMO]]&lt;=TargetDpmo,"On target",IF(tblLots[[#This Row],[DPMO]]&lt;=TargetDpmo*(1+0.05),"Near target","Above target")))</f>
        <v>Near target</v>
      </c>
      <c r="M76" s="40">
        <f>IF(tblLots[[#This Row],[Date]]="","",IF(AND(tblLots[[#This Row],[Date]]&gt;=FFrom,tblLots[[#This Row],[Date]]&lt;=FTo,OR(DashLine="",tblLots[[#This Row],[Line]]=DashLine)),tblLots[[#This Row],[Date]],""))</f>
        <v>46295</v>
      </c>
      <c r="N7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6" s="33" t="s">
        <v>103</v>
      </c>
    </row>
    <row r="77" spans="2:15">
      <c r="B77" s="35">
        <v>46296</v>
      </c>
      <c r="C77" s="28" t="s">
        <v>75</v>
      </c>
      <c r="D77" s="28" t="s">
        <v>91</v>
      </c>
      <c r="E77" s="29">
        <v>310</v>
      </c>
      <c r="F77" s="29">
        <v>50</v>
      </c>
      <c r="G77" s="36">
        <f>IF(tblLots[[#This Row],[Date]]="","",IFERROR(INDEX(tblProducts[Opportunities per unit],MATCH(tblLots[[#This Row],[Product]],tblProducts[Product],0)),""))</f>
        <v>1210</v>
      </c>
      <c r="H77" s="36">
        <f>IF(tblLots[[#This Row],[Date]]="","",IF(tblLots[[#This Row],[Opportunities per unit]]="","",tblLots[[#This Row],[Units inspected]]*tblLots[[#This Row],[Opportunities per unit]]))</f>
        <v>375100</v>
      </c>
      <c r="I77" s="37">
        <f>IF(tblLots[[#This Row],[Date]]="","",IF(tblLots[[#This Row],[Units inspected]]&gt;0,tblLots[[#This Row],[Defects found]]/tblLots[[#This Row],[Units inspected]],""))</f>
        <v>0.161290322580645</v>
      </c>
      <c r="J77" s="36">
        <f>IF(tblLots[[#This Row],[Date]]="","",IF(N(tblLots[[#This Row],[Opportunities]])&gt;0,tblLots[[#This Row],[Defects found]]/tblLots[[#This Row],[Opportunities]]*1000000,""))</f>
        <v>133.297787256732</v>
      </c>
      <c r="K77" s="38">
        <f>IF(tblLots[[#This Row],[Date]]="","",IF(AND(N(tblLots[[#This Row],[Opportunities]])&gt;0,tblLots[[#This Row],[Defects found]]&gt;0,tblLots[[#This Row],[Defects found]]&lt;tblLots[[#This Row],[Opportunities]]),-_xlfn.NORM.S.INV(tblLots[[#This Row],[Defects found]]/tblLots[[#This Row],[Opportunities]])+ReportShift,""))</f>
        <v>5.14576688007004</v>
      </c>
      <c r="L77" s="39" t="str">
        <f>IF(NOT(ISNUMBER(tblLots[[#This Row],[DPMO]])),"",IF(tblLots[[#This Row],[DPMO]]&lt;=TargetDpmo,"On target",IF(tblLots[[#This Row],[DPMO]]&lt;=TargetDpmo*(1+0.05),"Near target","Above target")))</f>
        <v>On target</v>
      </c>
      <c r="M77" s="40">
        <f>IF(tblLots[[#This Row],[Date]]="","",IF(AND(tblLots[[#This Row],[Date]]&gt;=FFrom,tblLots[[#This Row],[Date]]&lt;=FTo,OR(DashLine="",tblLots[[#This Row],[Line]]=DashLine)),tblLots[[#This Row],[Date]],""))</f>
        <v>46296</v>
      </c>
      <c r="N7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7" s="33" t="s">
        <v>103</v>
      </c>
    </row>
    <row r="78" spans="2:15">
      <c r="B78" s="35">
        <v>46296</v>
      </c>
      <c r="C78" s="28" t="s">
        <v>77</v>
      </c>
      <c r="D78" s="28" t="s">
        <v>83</v>
      </c>
      <c r="E78" s="29">
        <v>370</v>
      </c>
      <c r="F78" s="29">
        <v>159</v>
      </c>
      <c r="G78" s="36">
        <f>IF(tblLots[[#This Row],[Date]]="","",IFERROR(INDEX(tblProducts[Opportunities per unit],MATCH(tblLots[[#This Row],[Product]],tblProducts[Product],0)),""))</f>
        <v>1840</v>
      </c>
      <c r="H78" s="36">
        <f>IF(tblLots[[#This Row],[Date]]="","",IF(tblLots[[#This Row],[Opportunities per unit]]="","",tblLots[[#This Row],[Units inspected]]*tblLots[[#This Row],[Opportunities per unit]]))</f>
        <v>680800</v>
      </c>
      <c r="I78" s="37">
        <f>IF(tblLots[[#This Row],[Date]]="","",IF(tblLots[[#This Row],[Units inspected]]&gt;0,tblLots[[#This Row],[Defects found]]/tblLots[[#This Row],[Units inspected]],""))</f>
        <v>0.42972972972973</v>
      </c>
      <c r="J78" s="36">
        <f>IF(tblLots[[#This Row],[Date]]="","",IF(N(tblLots[[#This Row],[Opportunities]])&gt;0,tblLots[[#This Row],[Defects found]]/tblLots[[#This Row],[Opportunities]]*1000000,""))</f>
        <v>233.548766157462</v>
      </c>
      <c r="K78" s="38">
        <f>IF(tblLots[[#This Row],[Date]]="","",IF(AND(N(tblLots[[#This Row],[Opportunities]])&gt;0,tblLots[[#This Row],[Defects found]]&gt;0,tblLots[[#This Row],[Defects found]]&lt;tblLots[[#This Row],[Opportunities]]),-_xlfn.NORM.S.INV(tblLots[[#This Row],[Defects found]]/tblLots[[#This Row],[Opportunities]])+ReportShift,""))</f>
        <v>4.99894807664362</v>
      </c>
      <c r="L78" s="39" t="str">
        <f>IF(NOT(ISNUMBER(tblLots[[#This Row],[DPMO]])),"",IF(tblLots[[#This Row],[DPMO]]&lt;=TargetDpmo,"On target",IF(tblLots[[#This Row],[DPMO]]&lt;=TargetDpmo*(1+0.05),"Near target","Above target")))</f>
        <v>On target</v>
      </c>
      <c r="M78" s="40">
        <f>IF(tblLots[[#This Row],[Date]]="","",IF(AND(tblLots[[#This Row],[Date]]&gt;=FFrom,tblLots[[#This Row],[Date]]&lt;=FTo,OR(DashLine="",tblLots[[#This Row],[Line]]=DashLine)),tblLots[[#This Row],[Date]],""))</f>
        <v>46296</v>
      </c>
      <c r="N7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8" s="33" t="s">
        <v>103</v>
      </c>
    </row>
    <row r="79" spans="2:15">
      <c r="B79" s="35">
        <v>46296</v>
      </c>
      <c r="C79" s="28" t="s">
        <v>77</v>
      </c>
      <c r="D79" s="28" t="s">
        <v>83</v>
      </c>
      <c r="E79" s="29">
        <v>360</v>
      </c>
      <c r="F79" s="29">
        <v>173</v>
      </c>
      <c r="G79" s="36">
        <f>IF(tblLots[[#This Row],[Date]]="","",IFERROR(INDEX(tblProducts[Opportunities per unit],MATCH(tblLots[[#This Row],[Product]],tblProducts[Product],0)),""))</f>
        <v>1840</v>
      </c>
      <c r="H79" s="36">
        <f>IF(tblLots[[#This Row],[Date]]="","",IF(tblLots[[#This Row],[Opportunities per unit]]="","",tblLots[[#This Row],[Units inspected]]*tblLots[[#This Row],[Opportunities per unit]]))</f>
        <v>662400</v>
      </c>
      <c r="I79" s="37">
        <f>IF(tblLots[[#This Row],[Date]]="","",IF(tblLots[[#This Row],[Units inspected]]&gt;0,tblLots[[#This Row],[Defects found]]/tblLots[[#This Row],[Units inspected]],""))</f>
        <v>0.480555555555556</v>
      </c>
      <c r="J79" s="36">
        <f>IF(tblLots[[#This Row],[Date]]="","",IF(N(tblLots[[#This Row],[Opportunities]])&gt;0,tblLots[[#This Row],[Defects found]]/tblLots[[#This Row],[Opportunities]]*1000000,""))</f>
        <v>261.171497584541</v>
      </c>
      <c r="K79" s="38">
        <f>IF(tblLots[[#This Row],[Date]]="","",IF(AND(N(tblLots[[#This Row],[Opportunities]])&gt;0,tblLots[[#This Row],[Defects found]]&gt;0,tblLots[[#This Row],[Defects found]]&lt;tblLots[[#This Row],[Opportunities]]),-_xlfn.NORM.S.INV(tblLots[[#This Row],[Defects found]]/tblLots[[#This Row],[Opportunities]])+ReportShift,""))</f>
        <v>4.96902903725645</v>
      </c>
      <c r="L79" s="39" t="str">
        <f>IF(NOT(ISNUMBER(tblLots[[#This Row],[DPMO]])),"",IF(tblLots[[#This Row],[DPMO]]&lt;=TargetDpmo,"On target",IF(tblLots[[#This Row],[DPMO]]&lt;=TargetDpmo*(1+0.05),"Near target","Above target")))</f>
        <v>On target</v>
      </c>
      <c r="M79" s="40">
        <f>IF(tblLots[[#This Row],[Date]]="","",IF(AND(tblLots[[#This Row],[Date]]&gt;=FFrom,tblLots[[#This Row],[Date]]&lt;=FTo,OR(DashLine="",tblLots[[#This Row],[Line]]=DashLine)),tblLots[[#This Row],[Date]],""))</f>
        <v>46296</v>
      </c>
      <c r="N7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79" s="33" t="s">
        <v>103</v>
      </c>
    </row>
    <row r="80" spans="2:15">
      <c r="B80" s="35">
        <v>46296</v>
      </c>
      <c r="C80" s="28" t="s">
        <v>79</v>
      </c>
      <c r="D80" s="28" t="s">
        <v>85</v>
      </c>
      <c r="E80" s="29">
        <v>220</v>
      </c>
      <c r="F80" s="29">
        <v>113</v>
      </c>
      <c r="G80" s="36">
        <f>IF(tblLots[[#This Row],[Date]]="","",IFERROR(INDEX(tblProducts[Opportunities per unit],MATCH(tblLots[[#This Row],[Product]],tblProducts[Product],0)),""))</f>
        <v>960</v>
      </c>
      <c r="H80" s="36">
        <f>IF(tblLots[[#This Row],[Date]]="","",IF(tblLots[[#This Row],[Opportunities per unit]]="","",tblLots[[#This Row],[Units inspected]]*tblLots[[#This Row],[Opportunities per unit]]))</f>
        <v>211200</v>
      </c>
      <c r="I80" s="37">
        <f>IF(tblLots[[#This Row],[Date]]="","",IF(tblLots[[#This Row],[Units inspected]]&gt;0,tblLots[[#This Row],[Defects found]]/tblLots[[#This Row],[Units inspected]],""))</f>
        <v>0.513636363636364</v>
      </c>
      <c r="J80" s="36">
        <f>IF(tblLots[[#This Row],[Date]]="","",IF(N(tblLots[[#This Row],[Opportunities]])&gt;0,tblLots[[#This Row],[Defects found]]/tblLots[[#This Row],[Opportunities]]*1000000,""))</f>
        <v>535.037878787879</v>
      </c>
      <c r="K80" s="38">
        <f>IF(tblLots[[#This Row],[Date]]="","",IF(AND(N(tblLots[[#This Row],[Opportunities]])&gt;0,tblLots[[#This Row],[Defects found]]&gt;0,tblLots[[#This Row],[Defects found]]&lt;tblLots[[#This Row],[Opportunities]]),-_xlfn.NORM.S.INV(tblLots[[#This Row],[Defects found]]/tblLots[[#This Row],[Opportunities]])+ReportShift,""))</f>
        <v>4.77142339156363</v>
      </c>
      <c r="L80" s="39" t="str">
        <f>IF(NOT(ISNUMBER(tblLots[[#This Row],[DPMO]])),"",IF(tblLots[[#This Row],[DPMO]]&lt;=TargetDpmo,"On target",IF(tblLots[[#This Row],[DPMO]]&lt;=TargetDpmo*(1+0.05),"Near target","Above target")))</f>
        <v>Above target</v>
      </c>
      <c r="M80" s="40">
        <f>IF(tblLots[[#This Row],[Date]]="","",IF(AND(tblLots[[#This Row],[Date]]&gt;=FFrom,tblLots[[#This Row],[Date]]&lt;=FTo,OR(DashLine="",tblLots[[#This Row],[Line]]=DashLine)),tblLots[[#This Row],[Date]],""))</f>
        <v>46296</v>
      </c>
      <c r="N8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0" s="33" t="s">
        <v>103</v>
      </c>
    </row>
    <row r="81" spans="2:15">
      <c r="B81" s="35">
        <v>46297</v>
      </c>
      <c r="C81" s="28" t="s">
        <v>75</v>
      </c>
      <c r="D81" s="28" t="s">
        <v>89</v>
      </c>
      <c r="E81" s="29">
        <v>350</v>
      </c>
      <c r="F81" s="29">
        <v>104</v>
      </c>
      <c r="G81" s="36">
        <f>IF(tblLots[[#This Row],[Date]]="","",IFERROR(INDEX(tblProducts[Opportunities per unit],MATCH(tblLots[[#This Row],[Product]],tblProducts[Product],0)),""))</f>
        <v>2380</v>
      </c>
      <c r="H81" s="36">
        <f>IF(tblLots[[#This Row],[Date]]="","",IF(tblLots[[#This Row],[Opportunities per unit]]="","",tblLots[[#This Row],[Units inspected]]*tblLots[[#This Row],[Opportunities per unit]]))</f>
        <v>833000</v>
      </c>
      <c r="I81" s="37">
        <f>IF(tblLots[[#This Row],[Date]]="","",IF(tblLots[[#This Row],[Units inspected]]&gt;0,tblLots[[#This Row],[Defects found]]/tblLots[[#This Row],[Units inspected]],""))</f>
        <v>0.297142857142857</v>
      </c>
      <c r="J81" s="36">
        <f>IF(tblLots[[#This Row],[Date]]="","",IF(N(tblLots[[#This Row],[Opportunities]])&gt;0,tblLots[[#This Row],[Defects found]]/tblLots[[#This Row],[Opportunities]]*1000000,""))</f>
        <v>124.84993997599</v>
      </c>
      <c r="K81" s="38">
        <f>IF(tblLots[[#This Row],[Date]]="","",IF(AND(N(tblLots[[#This Row],[Opportunities]])&gt;0,tblLots[[#This Row],[Defects found]]&gt;0,tblLots[[#This Row],[Defects found]]&lt;tblLots[[#This Row],[Opportunities]]),-_xlfn.NORM.S.INV(tblLots[[#This Row],[Defects found]]/tblLots[[#This Row],[Opportunities]])+ReportShift,""))</f>
        <v>5.16256754797263</v>
      </c>
      <c r="L81" s="39" t="str">
        <f>IF(NOT(ISNUMBER(tblLots[[#This Row],[DPMO]])),"",IF(tblLots[[#This Row],[DPMO]]&lt;=TargetDpmo,"On target",IF(tblLots[[#This Row],[DPMO]]&lt;=TargetDpmo*(1+0.05),"Near target","Above target")))</f>
        <v>On target</v>
      </c>
      <c r="M81" s="40">
        <f>IF(tblLots[[#This Row],[Date]]="","",IF(AND(tblLots[[#This Row],[Date]]&gt;=FFrom,tblLots[[#This Row],[Date]]&lt;=FTo,OR(DashLine="",tblLots[[#This Row],[Line]]=DashLine)),tblLots[[#This Row],[Date]],""))</f>
        <v>46297</v>
      </c>
      <c r="N8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1" s="33" t="s">
        <v>103</v>
      </c>
    </row>
    <row r="82" spans="2:15">
      <c r="B82" s="35">
        <v>46297</v>
      </c>
      <c r="C82" s="28" t="s">
        <v>75</v>
      </c>
      <c r="D82" s="28" t="s">
        <v>89</v>
      </c>
      <c r="E82" s="29">
        <v>260</v>
      </c>
      <c r="F82" s="29">
        <v>58</v>
      </c>
      <c r="G82" s="36">
        <f>IF(tblLots[[#This Row],[Date]]="","",IFERROR(INDEX(tblProducts[Opportunities per unit],MATCH(tblLots[[#This Row],[Product]],tblProducts[Product],0)),""))</f>
        <v>2380</v>
      </c>
      <c r="H82" s="36">
        <f>IF(tblLots[[#This Row],[Date]]="","",IF(tblLots[[#This Row],[Opportunities per unit]]="","",tblLots[[#This Row],[Units inspected]]*tblLots[[#This Row],[Opportunities per unit]]))</f>
        <v>618800</v>
      </c>
      <c r="I82" s="37">
        <f>IF(tblLots[[#This Row],[Date]]="","",IF(tblLots[[#This Row],[Units inspected]]&gt;0,tblLots[[#This Row],[Defects found]]/tblLots[[#This Row],[Units inspected]],""))</f>
        <v>0.223076923076923</v>
      </c>
      <c r="J82" s="36">
        <f>IF(tblLots[[#This Row],[Date]]="","",IF(N(tblLots[[#This Row],[Opportunities]])&gt;0,tblLots[[#This Row],[Defects found]]/tblLots[[#This Row],[Opportunities]]*1000000,""))</f>
        <v>93.7297996121526</v>
      </c>
      <c r="K82" s="38">
        <f>IF(tblLots[[#This Row],[Date]]="","",IF(AND(N(tblLots[[#This Row],[Opportunities]])&gt;0,tblLots[[#This Row],[Defects found]]&gt;0,tblLots[[#This Row],[Defects found]]&lt;tblLots[[#This Row],[Opportunities]]),-_xlfn.NORM.S.INV(tblLots[[#This Row],[Defects found]]/tblLots[[#This Row],[Opportunities]])+ReportShift,""))</f>
        <v>5.23534287144164</v>
      </c>
      <c r="L82" s="39" t="str">
        <f>IF(NOT(ISNUMBER(tblLots[[#This Row],[DPMO]])),"",IF(tblLots[[#This Row],[DPMO]]&lt;=TargetDpmo,"On target",IF(tblLots[[#This Row],[DPMO]]&lt;=TargetDpmo*(1+0.05),"Near target","Above target")))</f>
        <v>On target</v>
      </c>
      <c r="M82" s="40">
        <f>IF(tblLots[[#This Row],[Date]]="","",IF(AND(tblLots[[#This Row],[Date]]&gt;=FFrom,tblLots[[#This Row],[Date]]&lt;=FTo,OR(DashLine="",tblLots[[#This Row],[Line]]=DashLine)),tblLots[[#This Row],[Date]],""))</f>
        <v>46297</v>
      </c>
      <c r="N8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2" s="33" t="s">
        <v>103</v>
      </c>
    </row>
    <row r="83" spans="2:15">
      <c r="B83" s="35">
        <v>46297</v>
      </c>
      <c r="C83" s="28" t="s">
        <v>77</v>
      </c>
      <c r="D83" s="28" t="s">
        <v>83</v>
      </c>
      <c r="E83" s="29">
        <v>280</v>
      </c>
      <c r="F83" s="29">
        <v>110</v>
      </c>
      <c r="G83" s="36">
        <f>IF(tblLots[[#This Row],[Date]]="","",IFERROR(INDEX(tblProducts[Opportunities per unit],MATCH(tblLots[[#This Row],[Product]],tblProducts[Product],0)),""))</f>
        <v>1840</v>
      </c>
      <c r="H83" s="36">
        <f>IF(tblLots[[#This Row],[Date]]="","",IF(tblLots[[#This Row],[Opportunities per unit]]="","",tblLots[[#This Row],[Units inspected]]*tblLots[[#This Row],[Opportunities per unit]]))</f>
        <v>515200</v>
      </c>
      <c r="I83" s="37">
        <f>IF(tblLots[[#This Row],[Date]]="","",IF(tblLots[[#This Row],[Units inspected]]&gt;0,tblLots[[#This Row],[Defects found]]/tblLots[[#This Row],[Units inspected]],""))</f>
        <v>0.392857142857143</v>
      </c>
      <c r="J83" s="36">
        <f>IF(tblLots[[#This Row],[Date]]="","",IF(N(tblLots[[#This Row],[Opportunities]])&gt;0,tblLots[[#This Row],[Defects found]]/tblLots[[#This Row],[Opportunities]]*1000000,""))</f>
        <v>213.509316770186</v>
      </c>
      <c r="K83" s="38">
        <f>IF(tblLots[[#This Row],[Date]]="","",IF(AND(N(tblLots[[#This Row],[Opportunities]])&gt;0,tblLots[[#This Row],[Defects found]]&gt;0,tblLots[[#This Row],[Defects found]]&lt;tblLots[[#This Row],[Opportunities]]),-_xlfn.NORM.S.INV(tblLots[[#This Row],[Defects found]]/tblLots[[#This Row],[Opportunities]])+ReportShift,""))</f>
        <v>5.02279679041124</v>
      </c>
      <c r="L83" s="39" t="str">
        <f>IF(NOT(ISNUMBER(tblLots[[#This Row],[DPMO]])),"",IF(tblLots[[#This Row],[DPMO]]&lt;=TargetDpmo,"On target",IF(tblLots[[#This Row],[DPMO]]&lt;=TargetDpmo*(1+0.05),"Near target","Above target")))</f>
        <v>On target</v>
      </c>
      <c r="M83" s="40">
        <f>IF(tblLots[[#This Row],[Date]]="","",IF(AND(tblLots[[#This Row],[Date]]&gt;=FFrom,tblLots[[#This Row],[Date]]&lt;=FTo,OR(DashLine="",tblLots[[#This Row],[Line]]=DashLine)),tblLots[[#This Row],[Date]],""))</f>
        <v>46297</v>
      </c>
      <c r="N8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3" s="33" t="s">
        <v>103</v>
      </c>
    </row>
    <row r="84" spans="2:15">
      <c r="B84" s="35">
        <v>46297</v>
      </c>
      <c r="C84" s="28" t="s">
        <v>79</v>
      </c>
      <c r="D84" s="28" t="s">
        <v>89</v>
      </c>
      <c r="E84" s="29">
        <v>230</v>
      </c>
      <c r="F84" s="29">
        <v>187</v>
      </c>
      <c r="G84" s="36">
        <f>IF(tblLots[[#This Row],[Date]]="","",IFERROR(INDEX(tblProducts[Opportunities per unit],MATCH(tblLots[[#This Row],[Product]],tblProducts[Product],0)),""))</f>
        <v>2380</v>
      </c>
      <c r="H84" s="36">
        <f>IF(tblLots[[#This Row],[Date]]="","",IF(tblLots[[#This Row],[Opportunities per unit]]="","",tblLots[[#This Row],[Units inspected]]*tblLots[[#This Row],[Opportunities per unit]]))</f>
        <v>547400</v>
      </c>
      <c r="I84" s="37">
        <f>IF(tblLots[[#This Row],[Date]]="","",IF(tblLots[[#This Row],[Units inspected]]&gt;0,tblLots[[#This Row],[Defects found]]/tblLots[[#This Row],[Units inspected]],""))</f>
        <v>0.81304347826087</v>
      </c>
      <c r="J84" s="36">
        <f>IF(tblLots[[#This Row],[Date]]="","",IF(N(tblLots[[#This Row],[Opportunities]])&gt;0,tblLots[[#This Row],[Defects found]]/tblLots[[#This Row],[Opportunities]]*1000000,""))</f>
        <v>341.614906832298</v>
      </c>
      <c r="K84" s="38">
        <f>IF(tblLots[[#This Row],[Date]]="","",IF(AND(N(tblLots[[#This Row],[Opportunities]])&gt;0,tblLots[[#This Row],[Defects found]]&gt;0,tblLots[[#This Row],[Defects found]]&lt;tblLots[[#This Row],[Opportunities]]),-_xlfn.NORM.S.INV(tblLots[[#This Row],[Defects found]]/tblLots[[#This Row],[Opportunities]])+ReportShift,""))</f>
        <v>4.89622175916052</v>
      </c>
      <c r="L84" s="39" t="str">
        <f>IF(NOT(ISNUMBER(tblLots[[#This Row],[DPMO]])),"",IF(tblLots[[#This Row],[DPMO]]&lt;=TargetDpmo,"On target",IF(tblLots[[#This Row],[DPMO]]&lt;=TargetDpmo*(1+0.05),"Near target","Above target")))</f>
        <v>Above target</v>
      </c>
      <c r="M84" s="40">
        <f>IF(tblLots[[#This Row],[Date]]="","",IF(AND(tblLots[[#This Row],[Date]]&gt;=FFrom,tblLots[[#This Row],[Date]]&lt;=FTo,OR(DashLine="",tblLots[[#This Row],[Line]]=DashLine)),tblLots[[#This Row],[Date]],""))</f>
        <v>46297</v>
      </c>
      <c r="N8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4" s="33" t="s">
        <v>103</v>
      </c>
    </row>
    <row r="85" spans="2:15">
      <c r="B85" s="35">
        <v>46300</v>
      </c>
      <c r="C85" s="28" t="s">
        <v>75</v>
      </c>
      <c r="D85" s="28" t="s">
        <v>91</v>
      </c>
      <c r="E85" s="29">
        <v>190</v>
      </c>
      <c r="F85" s="29">
        <v>24</v>
      </c>
      <c r="G85" s="36">
        <f>IF(tblLots[[#This Row],[Date]]="","",IFERROR(INDEX(tblProducts[Opportunities per unit],MATCH(tblLots[[#This Row],[Product]],tblProducts[Product],0)),""))</f>
        <v>1210</v>
      </c>
      <c r="H85" s="36">
        <f>IF(tblLots[[#This Row],[Date]]="","",IF(tblLots[[#This Row],[Opportunities per unit]]="","",tblLots[[#This Row],[Units inspected]]*tblLots[[#This Row],[Opportunities per unit]]))</f>
        <v>229900</v>
      </c>
      <c r="I85" s="37">
        <f>IF(tblLots[[#This Row],[Date]]="","",IF(tblLots[[#This Row],[Units inspected]]&gt;0,tblLots[[#This Row],[Defects found]]/tblLots[[#This Row],[Units inspected]],""))</f>
        <v>0.126315789473684</v>
      </c>
      <c r="J85" s="36">
        <f>IF(tblLots[[#This Row],[Date]]="","",IF(N(tblLots[[#This Row],[Opportunities]])&gt;0,tblLots[[#This Row],[Defects found]]/tblLots[[#This Row],[Opportunities]]*1000000,""))</f>
        <v>104.393214441061</v>
      </c>
      <c r="K85" s="38">
        <f>IF(tblLots[[#This Row],[Date]]="","",IF(AND(N(tblLots[[#This Row],[Opportunities]])&gt;0,tblLots[[#This Row],[Defects found]]&gt;0,tblLots[[#This Row],[Defects found]]&lt;tblLots[[#This Row],[Opportunities]]),-_xlfn.NORM.S.INV(tblLots[[#This Row],[Defects found]]/tblLots[[#This Row],[Opportunities]])+ReportShift,""))</f>
        <v>5.20814096032246</v>
      </c>
      <c r="L85" s="39" t="str">
        <f>IF(NOT(ISNUMBER(tblLots[[#This Row],[DPMO]])),"",IF(tblLots[[#This Row],[DPMO]]&lt;=TargetDpmo,"On target",IF(tblLots[[#This Row],[DPMO]]&lt;=TargetDpmo*(1+0.05),"Near target","Above target")))</f>
        <v>On target</v>
      </c>
      <c r="M85" s="40">
        <f>IF(tblLots[[#This Row],[Date]]="","",IF(AND(tblLots[[#This Row],[Date]]&gt;=FFrom,tblLots[[#This Row],[Date]]&lt;=FTo,OR(DashLine="",tblLots[[#This Row],[Line]]=DashLine)),tblLots[[#This Row],[Date]],""))</f>
        <v>46300</v>
      </c>
      <c r="N8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5" s="33" t="s">
        <v>103</v>
      </c>
    </row>
    <row r="86" spans="2:15">
      <c r="B86" s="35">
        <v>46300</v>
      </c>
      <c r="C86" s="28" t="s">
        <v>77</v>
      </c>
      <c r="D86" s="28" t="s">
        <v>83</v>
      </c>
      <c r="E86" s="29">
        <v>390</v>
      </c>
      <c r="F86" s="29">
        <v>187</v>
      </c>
      <c r="G86" s="36">
        <f>IF(tblLots[[#This Row],[Date]]="","",IFERROR(INDEX(tblProducts[Opportunities per unit],MATCH(tblLots[[#This Row],[Product]],tblProducts[Product],0)),""))</f>
        <v>1840</v>
      </c>
      <c r="H86" s="36">
        <f>IF(tblLots[[#This Row],[Date]]="","",IF(tblLots[[#This Row],[Opportunities per unit]]="","",tblLots[[#This Row],[Units inspected]]*tblLots[[#This Row],[Opportunities per unit]]))</f>
        <v>717600</v>
      </c>
      <c r="I86" s="37">
        <f>IF(tblLots[[#This Row],[Date]]="","",IF(tblLots[[#This Row],[Units inspected]]&gt;0,tblLots[[#This Row],[Defects found]]/tblLots[[#This Row],[Units inspected]],""))</f>
        <v>0.47948717948718</v>
      </c>
      <c r="J86" s="36">
        <f>IF(tblLots[[#This Row],[Date]]="","",IF(N(tblLots[[#This Row],[Opportunities]])&gt;0,tblLots[[#This Row],[Defects found]]/tblLots[[#This Row],[Opportunities]]*1000000,""))</f>
        <v>260.590858416945</v>
      </c>
      <c r="K86" s="38">
        <f>IF(tblLots[[#This Row],[Date]]="","",IF(AND(N(tblLots[[#This Row],[Opportunities]])&gt;0,tblLots[[#This Row],[Defects found]]&gt;0,tblLots[[#This Row],[Defects found]]&lt;tblLots[[#This Row],[Opportunities]]),-_xlfn.NORM.S.INV(tblLots[[#This Row],[Defects found]]/tblLots[[#This Row],[Opportunities]])+ReportShift,""))</f>
        <v>4.96962694170071</v>
      </c>
      <c r="L86" s="39" t="str">
        <f>IF(NOT(ISNUMBER(tblLots[[#This Row],[DPMO]])),"",IF(tblLots[[#This Row],[DPMO]]&lt;=TargetDpmo,"On target",IF(tblLots[[#This Row],[DPMO]]&lt;=TargetDpmo*(1+0.05),"Near target","Above target")))</f>
        <v>On target</v>
      </c>
      <c r="M86" s="40">
        <f>IF(tblLots[[#This Row],[Date]]="","",IF(AND(tblLots[[#This Row],[Date]]&gt;=FFrom,tblLots[[#This Row],[Date]]&lt;=FTo,OR(DashLine="",tblLots[[#This Row],[Line]]=DashLine)),tblLots[[#This Row],[Date]],""))</f>
        <v>46300</v>
      </c>
      <c r="N8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6" s="33" t="s">
        <v>103</v>
      </c>
    </row>
    <row r="87" spans="2:15">
      <c r="B87" s="35">
        <v>46300</v>
      </c>
      <c r="C87" s="28" t="s">
        <v>77</v>
      </c>
      <c r="D87" s="28" t="s">
        <v>85</v>
      </c>
      <c r="E87" s="29">
        <v>210</v>
      </c>
      <c r="F87" s="29">
        <v>53</v>
      </c>
      <c r="G87" s="36">
        <f>IF(tblLots[[#This Row],[Date]]="","",IFERROR(INDEX(tblProducts[Opportunities per unit],MATCH(tblLots[[#This Row],[Product]],tblProducts[Product],0)),""))</f>
        <v>960</v>
      </c>
      <c r="H87" s="36">
        <f>IF(tblLots[[#This Row],[Date]]="","",IF(tblLots[[#This Row],[Opportunities per unit]]="","",tblLots[[#This Row],[Units inspected]]*tblLots[[#This Row],[Opportunities per unit]]))</f>
        <v>201600</v>
      </c>
      <c r="I87" s="37">
        <f>IF(tblLots[[#This Row],[Date]]="","",IF(tblLots[[#This Row],[Units inspected]]&gt;0,tblLots[[#This Row],[Defects found]]/tblLots[[#This Row],[Units inspected]],""))</f>
        <v>0.252380952380952</v>
      </c>
      <c r="J87" s="36">
        <f>IF(tblLots[[#This Row],[Date]]="","",IF(N(tblLots[[#This Row],[Opportunities]])&gt;0,tblLots[[#This Row],[Defects found]]/tblLots[[#This Row],[Opportunities]]*1000000,""))</f>
        <v>262.896825396825</v>
      </c>
      <c r="K87" s="38">
        <f>IF(tblLots[[#This Row],[Date]]="","",IF(AND(N(tblLots[[#This Row],[Opportunities]])&gt;0,tblLots[[#This Row],[Defects found]]&gt;0,tblLots[[#This Row],[Defects found]]&lt;tblLots[[#This Row],[Opportunities]]),-_xlfn.NORM.S.INV(tblLots[[#This Row],[Defects found]]/tblLots[[#This Row],[Opportunities]])+ReportShift,""))</f>
        <v>4.96725968849919</v>
      </c>
      <c r="L87" s="39" t="str">
        <f>IF(NOT(ISNUMBER(tblLots[[#This Row],[DPMO]])),"",IF(tblLots[[#This Row],[DPMO]]&lt;=TargetDpmo,"On target",IF(tblLots[[#This Row],[DPMO]]&lt;=TargetDpmo*(1+0.05),"Near target","Above target")))</f>
        <v>On target</v>
      </c>
      <c r="M87" s="40">
        <f>IF(tblLots[[#This Row],[Date]]="","",IF(AND(tblLots[[#This Row],[Date]]&gt;=FFrom,tblLots[[#This Row],[Date]]&lt;=FTo,OR(DashLine="",tblLots[[#This Row],[Line]]=DashLine)),tblLots[[#This Row],[Date]],""))</f>
        <v>46300</v>
      </c>
      <c r="N8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7" s="33" t="s">
        <v>103</v>
      </c>
    </row>
    <row r="88" spans="2:15">
      <c r="B88" s="35">
        <v>46300</v>
      </c>
      <c r="C88" s="28" t="s">
        <v>79</v>
      </c>
      <c r="D88" s="28" t="s">
        <v>87</v>
      </c>
      <c r="E88" s="29">
        <v>190</v>
      </c>
      <c r="F88" s="29">
        <v>24</v>
      </c>
      <c r="G88" s="36">
        <f>IF(tblLots[[#This Row],[Date]]="","",IFERROR(INDEX(tblProducts[Opportunities per unit],MATCH(tblLots[[#This Row],[Product]],tblProducts[Product],0)),""))</f>
        <v>520</v>
      </c>
      <c r="H88" s="36">
        <f>IF(tblLots[[#This Row],[Date]]="","",IF(tblLots[[#This Row],[Opportunities per unit]]="","",tblLots[[#This Row],[Units inspected]]*tblLots[[#This Row],[Opportunities per unit]]))</f>
        <v>98800</v>
      </c>
      <c r="I88" s="37">
        <f>IF(tblLots[[#This Row],[Date]]="","",IF(tblLots[[#This Row],[Units inspected]]&gt;0,tblLots[[#This Row],[Defects found]]/tblLots[[#This Row],[Units inspected]],""))</f>
        <v>0.126315789473684</v>
      </c>
      <c r="J88" s="36">
        <f>IF(tblLots[[#This Row],[Date]]="","",IF(N(tblLots[[#This Row],[Opportunities]])&gt;0,tblLots[[#This Row],[Defects found]]/tblLots[[#This Row],[Opportunities]]*1000000,""))</f>
        <v>242.914979757085</v>
      </c>
      <c r="K88" s="38">
        <f>IF(tblLots[[#This Row],[Date]]="","",IF(AND(N(tblLots[[#This Row],[Opportunities]])&gt;0,tblLots[[#This Row],[Defects found]]&gt;0,tblLots[[#This Row],[Defects found]]&lt;tblLots[[#This Row],[Opportunities]]),-_xlfn.NORM.S.INV(tblLots[[#This Row],[Defects found]]/tblLots[[#This Row],[Opportunities]])+ReportShift,""))</f>
        <v>4.9884498439916</v>
      </c>
      <c r="L88" s="39" t="str">
        <f>IF(NOT(ISNUMBER(tblLots[[#This Row],[DPMO]])),"",IF(tblLots[[#This Row],[DPMO]]&lt;=TargetDpmo,"On target",IF(tblLots[[#This Row],[DPMO]]&lt;=TargetDpmo*(1+0.05),"Near target","Above target")))</f>
        <v>On target</v>
      </c>
      <c r="M88" s="40">
        <f>IF(tblLots[[#This Row],[Date]]="","",IF(AND(tblLots[[#This Row],[Date]]&gt;=FFrom,tblLots[[#This Row],[Date]]&lt;=FTo,OR(DashLine="",tblLots[[#This Row],[Line]]=DashLine)),tblLots[[#This Row],[Date]],""))</f>
        <v>46300</v>
      </c>
      <c r="N8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8" s="33" t="s">
        <v>105</v>
      </c>
    </row>
    <row r="89" spans="2:15">
      <c r="B89" s="35">
        <v>46301</v>
      </c>
      <c r="C89" s="28" t="s">
        <v>75</v>
      </c>
      <c r="D89" s="28" t="s">
        <v>83</v>
      </c>
      <c r="E89" s="29">
        <v>390</v>
      </c>
      <c r="F89" s="29">
        <v>141</v>
      </c>
      <c r="G89" s="36">
        <f>IF(tblLots[[#This Row],[Date]]="","",IFERROR(INDEX(tblProducts[Opportunities per unit],MATCH(tblLots[[#This Row],[Product]],tblProducts[Product],0)),""))</f>
        <v>1840</v>
      </c>
      <c r="H89" s="36">
        <f>IF(tblLots[[#This Row],[Date]]="","",IF(tblLots[[#This Row],[Opportunities per unit]]="","",tblLots[[#This Row],[Units inspected]]*tblLots[[#This Row],[Opportunities per unit]]))</f>
        <v>717600</v>
      </c>
      <c r="I89" s="37">
        <f>IF(tblLots[[#This Row],[Date]]="","",IF(tblLots[[#This Row],[Units inspected]]&gt;0,tblLots[[#This Row],[Defects found]]/tblLots[[#This Row],[Units inspected]],""))</f>
        <v>0.361538461538462</v>
      </c>
      <c r="J89" s="36">
        <f>IF(tblLots[[#This Row],[Date]]="","",IF(N(tblLots[[#This Row],[Opportunities]])&gt;0,tblLots[[#This Row],[Defects found]]/tblLots[[#This Row],[Opportunities]]*1000000,""))</f>
        <v>196.488294314381</v>
      </c>
      <c r="K89" s="38">
        <f>IF(tblLots[[#This Row],[Date]]="","",IF(AND(N(tblLots[[#This Row],[Opportunities]])&gt;0,tblLots[[#This Row],[Defects found]]&gt;0,tblLots[[#This Row],[Defects found]]&lt;tblLots[[#This Row],[Opportunities]]),-_xlfn.NORM.S.INV(tblLots[[#This Row],[Defects found]]/tblLots[[#This Row],[Opportunities]])+ReportShift,""))</f>
        <v>5.04475606487002</v>
      </c>
      <c r="L89" s="39" t="str">
        <f>IF(NOT(ISNUMBER(tblLots[[#This Row],[DPMO]])),"",IF(tblLots[[#This Row],[DPMO]]&lt;=TargetDpmo,"On target",IF(tblLots[[#This Row],[DPMO]]&lt;=TargetDpmo*(1+0.05),"Near target","Above target")))</f>
        <v>On target</v>
      </c>
      <c r="M89" s="40">
        <f>IF(tblLots[[#This Row],[Date]]="","",IF(AND(tblLots[[#This Row],[Date]]&gt;=FFrom,tblLots[[#This Row],[Date]]&lt;=FTo,OR(DashLine="",tblLots[[#This Row],[Line]]=DashLine)),tblLots[[#This Row],[Date]],""))</f>
        <v>46301</v>
      </c>
      <c r="N8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89" s="33" t="s">
        <v>103</v>
      </c>
    </row>
    <row r="90" spans="2:15">
      <c r="B90" s="35">
        <v>46301</v>
      </c>
      <c r="C90" s="28" t="s">
        <v>77</v>
      </c>
      <c r="D90" s="28" t="s">
        <v>83</v>
      </c>
      <c r="E90" s="29">
        <v>270</v>
      </c>
      <c r="F90" s="29">
        <v>76</v>
      </c>
      <c r="G90" s="36">
        <f>IF(tblLots[[#This Row],[Date]]="","",IFERROR(INDEX(tblProducts[Opportunities per unit],MATCH(tblLots[[#This Row],[Product]],tblProducts[Product],0)),""))</f>
        <v>1840</v>
      </c>
      <c r="H90" s="36">
        <f>IF(tblLots[[#This Row],[Date]]="","",IF(tblLots[[#This Row],[Opportunities per unit]]="","",tblLots[[#This Row],[Units inspected]]*tblLots[[#This Row],[Opportunities per unit]]))</f>
        <v>496800</v>
      </c>
      <c r="I90" s="37">
        <f>IF(tblLots[[#This Row],[Date]]="","",IF(tblLots[[#This Row],[Units inspected]]&gt;0,tblLots[[#This Row],[Defects found]]/tblLots[[#This Row],[Units inspected]],""))</f>
        <v>0.281481481481482</v>
      </c>
      <c r="J90" s="36">
        <f>IF(tblLots[[#This Row],[Date]]="","",IF(N(tblLots[[#This Row],[Opportunities]])&gt;0,tblLots[[#This Row],[Defects found]]/tblLots[[#This Row],[Opportunities]]*1000000,""))</f>
        <v>152.979066022544</v>
      </c>
      <c r="K90" s="38">
        <f>IF(tblLots[[#This Row],[Date]]="","",IF(AND(N(tblLots[[#This Row],[Opportunities]])&gt;0,tblLots[[#This Row],[Defects found]]&gt;0,tblLots[[#This Row],[Defects found]]&lt;tblLots[[#This Row],[Opportunities]]),-_xlfn.NORM.S.INV(tblLots[[#This Row],[Defects found]]/tblLots[[#This Row],[Opportunities]])+ReportShift,""))</f>
        <v>5.11020242792542</v>
      </c>
      <c r="L90" s="39" t="str">
        <f>IF(NOT(ISNUMBER(tblLots[[#This Row],[DPMO]])),"",IF(tblLots[[#This Row],[DPMO]]&lt;=TargetDpmo,"On target",IF(tblLots[[#This Row],[DPMO]]&lt;=TargetDpmo*(1+0.05),"Near target","Above target")))</f>
        <v>On target</v>
      </c>
      <c r="M90" s="40">
        <f>IF(tblLots[[#This Row],[Date]]="","",IF(AND(tblLots[[#This Row],[Date]]&gt;=FFrom,tblLots[[#This Row],[Date]]&lt;=FTo,OR(DashLine="",tblLots[[#This Row],[Line]]=DashLine)),tblLots[[#This Row],[Date]],""))</f>
        <v>46301</v>
      </c>
      <c r="N9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0" s="33" t="s">
        <v>103</v>
      </c>
    </row>
    <row r="91" spans="2:15">
      <c r="B91" s="35">
        <v>46301</v>
      </c>
      <c r="C91" s="28" t="s">
        <v>79</v>
      </c>
      <c r="D91" s="28" t="s">
        <v>87</v>
      </c>
      <c r="E91" s="29">
        <v>220</v>
      </c>
      <c r="F91" s="29">
        <v>31</v>
      </c>
      <c r="G91" s="36">
        <f>IF(tblLots[[#This Row],[Date]]="","",IFERROR(INDEX(tblProducts[Opportunities per unit],MATCH(tblLots[[#This Row],[Product]],tblProducts[Product],0)),""))</f>
        <v>520</v>
      </c>
      <c r="H91" s="36">
        <f>IF(tblLots[[#This Row],[Date]]="","",IF(tblLots[[#This Row],[Opportunities per unit]]="","",tblLots[[#This Row],[Units inspected]]*tblLots[[#This Row],[Opportunities per unit]]))</f>
        <v>114400</v>
      </c>
      <c r="I91" s="37">
        <f>IF(tblLots[[#This Row],[Date]]="","",IF(tblLots[[#This Row],[Units inspected]]&gt;0,tblLots[[#This Row],[Defects found]]/tblLots[[#This Row],[Units inspected]],""))</f>
        <v>0.140909090909091</v>
      </c>
      <c r="J91" s="36">
        <f>IF(tblLots[[#This Row],[Date]]="","",IF(N(tblLots[[#This Row],[Opportunities]])&gt;0,tblLots[[#This Row],[Defects found]]/tblLots[[#This Row],[Opportunities]]*1000000,""))</f>
        <v>270.979020979021</v>
      </c>
      <c r="K91" s="38">
        <f>IF(tblLots[[#This Row],[Date]]="","",IF(AND(N(tblLots[[#This Row],[Opportunities]])&gt;0,tblLots[[#This Row],[Defects found]]&gt;0,tblLots[[#This Row],[Defects found]]&lt;tblLots[[#This Row],[Opportunities]]),-_xlfn.NORM.S.INV(tblLots[[#This Row],[Defects found]]/tblLots[[#This Row],[Opportunities]])+ReportShift,""))</f>
        <v>4.95911272108429</v>
      </c>
      <c r="L91" s="39" t="str">
        <f>IF(NOT(ISNUMBER(tblLots[[#This Row],[DPMO]])),"",IF(tblLots[[#This Row],[DPMO]]&lt;=TargetDpmo,"On target",IF(tblLots[[#This Row],[DPMO]]&lt;=TargetDpmo*(1+0.05),"Near target","Above target")))</f>
        <v>On target</v>
      </c>
      <c r="M91" s="40">
        <f>IF(tblLots[[#This Row],[Date]]="","",IF(AND(tblLots[[#This Row],[Date]]&gt;=FFrom,tblLots[[#This Row],[Date]]&lt;=FTo,OR(DashLine="",tblLots[[#This Row],[Line]]=DashLine)),tblLots[[#This Row],[Date]],""))</f>
        <v>46301</v>
      </c>
      <c r="N9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1" s="33" t="s">
        <v>103</v>
      </c>
    </row>
    <row r="92" spans="2:15">
      <c r="B92" s="35">
        <v>46302</v>
      </c>
      <c r="C92" s="28" t="s">
        <v>75</v>
      </c>
      <c r="D92" s="28" t="s">
        <v>89</v>
      </c>
      <c r="E92" s="29">
        <v>200</v>
      </c>
      <c r="F92" s="29">
        <v>57</v>
      </c>
      <c r="G92" s="36">
        <f>IF(tblLots[[#This Row],[Date]]="","",IFERROR(INDEX(tblProducts[Opportunities per unit],MATCH(tblLots[[#This Row],[Product]],tblProducts[Product],0)),""))</f>
        <v>2380</v>
      </c>
      <c r="H92" s="36">
        <f>IF(tblLots[[#This Row],[Date]]="","",IF(tblLots[[#This Row],[Opportunities per unit]]="","",tblLots[[#This Row],[Units inspected]]*tblLots[[#This Row],[Opportunities per unit]]))</f>
        <v>476000</v>
      </c>
      <c r="I92" s="37">
        <f>IF(tblLots[[#This Row],[Date]]="","",IF(tblLots[[#This Row],[Units inspected]]&gt;0,tblLots[[#This Row],[Defects found]]/tblLots[[#This Row],[Units inspected]],""))</f>
        <v>0.285</v>
      </c>
      <c r="J92" s="36">
        <f>IF(tblLots[[#This Row],[Date]]="","",IF(N(tblLots[[#This Row],[Opportunities]])&gt;0,tblLots[[#This Row],[Defects found]]/tblLots[[#This Row],[Opportunities]]*1000000,""))</f>
        <v>119.747899159664</v>
      </c>
      <c r="K92" s="38">
        <f>IF(tblLots[[#This Row],[Date]]="","",IF(AND(N(tblLots[[#This Row],[Opportunities]])&gt;0,tblLots[[#This Row],[Defects found]]&gt;0,tblLots[[#This Row],[Defects found]]&lt;tblLots[[#This Row],[Opportunities]]),-_xlfn.NORM.S.INV(tblLots[[#This Row],[Defects found]]/tblLots[[#This Row],[Opportunities]])+ReportShift,""))</f>
        <v>5.17323845428614</v>
      </c>
      <c r="L92" s="39" t="str">
        <f>IF(NOT(ISNUMBER(tblLots[[#This Row],[DPMO]])),"",IF(tblLots[[#This Row],[DPMO]]&lt;=TargetDpmo,"On target",IF(tblLots[[#This Row],[DPMO]]&lt;=TargetDpmo*(1+0.05),"Near target","Above target")))</f>
        <v>On target</v>
      </c>
      <c r="M92" s="40">
        <f>IF(tblLots[[#This Row],[Date]]="","",IF(AND(tblLots[[#This Row],[Date]]&gt;=FFrom,tblLots[[#This Row],[Date]]&lt;=FTo,OR(DashLine="",tblLots[[#This Row],[Line]]=DashLine)),tblLots[[#This Row],[Date]],""))</f>
        <v>46302</v>
      </c>
      <c r="N9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2" s="33" t="s">
        <v>103</v>
      </c>
    </row>
    <row r="93" spans="2:15">
      <c r="B93" s="35">
        <v>46302</v>
      </c>
      <c r="C93" s="28" t="s">
        <v>77</v>
      </c>
      <c r="D93" s="28" t="s">
        <v>85</v>
      </c>
      <c r="E93" s="29">
        <v>170</v>
      </c>
      <c r="F93" s="29">
        <v>30</v>
      </c>
      <c r="G93" s="36">
        <f>IF(tblLots[[#This Row],[Date]]="","",IFERROR(INDEX(tblProducts[Opportunities per unit],MATCH(tblLots[[#This Row],[Product]],tblProducts[Product],0)),""))</f>
        <v>960</v>
      </c>
      <c r="H93" s="36">
        <f>IF(tblLots[[#This Row],[Date]]="","",IF(tblLots[[#This Row],[Opportunities per unit]]="","",tblLots[[#This Row],[Units inspected]]*tblLots[[#This Row],[Opportunities per unit]]))</f>
        <v>163200</v>
      </c>
      <c r="I93" s="37">
        <f>IF(tblLots[[#This Row],[Date]]="","",IF(tblLots[[#This Row],[Units inspected]]&gt;0,tblLots[[#This Row],[Defects found]]/tblLots[[#This Row],[Units inspected]],""))</f>
        <v>0.176470588235294</v>
      </c>
      <c r="J93" s="36">
        <f>IF(tblLots[[#This Row],[Date]]="","",IF(N(tblLots[[#This Row],[Opportunities]])&gt;0,tblLots[[#This Row],[Defects found]]/tblLots[[#This Row],[Opportunities]]*1000000,""))</f>
        <v>183.823529411765</v>
      </c>
      <c r="K93" s="38">
        <f>IF(tblLots[[#This Row],[Date]]="","",IF(AND(N(tblLots[[#This Row],[Opportunities]])&gt;0,tblLots[[#This Row],[Defects found]]&gt;0,tblLots[[#This Row],[Defects found]]&lt;tblLots[[#This Row],[Opportunities]]),-_xlfn.NORM.S.INV(tblLots[[#This Row],[Defects found]]/tblLots[[#This Row],[Opportunities]])+ReportShift,""))</f>
        <v>5.0622806462287</v>
      </c>
      <c r="L93" s="39" t="str">
        <f>IF(NOT(ISNUMBER(tblLots[[#This Row],[DPMO]])),"",IF(tblLots[[#This Row],[DPMO]]&lt;=TargetDpmo,"On target",IF(tblLots[[#This Row],[DPMO]]&lt;=TargetDpmo*(1+0.05),"Near target","Above target")))</f>
        <v>On target</v>
      </c>
      <c r="M93" s="40">
        <f>IF(tblLots[[#This Row],[Date]]="","",IF(AND(tblLots[[#This Row],[Date]]&gt;=FFrom,tblLots[[#This Row],[Date]]&lt;=FTo,OR(DashLine="",tblLots[[#This Row],[Line]]=DashLine)),tblLots[[#This Row],[Date]],""))</f>
        <v>46302</v>
      </c>
      <c r="N9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3" s="33" t="s">
        <v>103</v>
      </c>
    </row>
    <row r="94" spans="2:15">
      <c r="B94" s="35">
        <v>46302</v>
      </c>
      <c r="C94" s="28" t="s">
        <v>79</v>
      </c>
      <c r="D94" s="28" t="s">
        <v>87</v>
      </c>
      <c r="E94" s="29">
        <v>180</v>
      </c>
      <c r="F94" s="29">
        <v>29</v>
      </c>
      <c r="G94" s="36">
        <f>IF(tblLots[[#This Row],[Date]]="","",IFERROR(INDEX(tblProducts[Opportunities per unit],MATCH(tblLots[[#This Row],[Product]],tblProducts[Product],0)),""))</f>
        <v>520</v>
      </c>
      <c r="H94" s="36">
        <f>IF(tblLots[[#This Row],[Date]]="","",IF(tblLots[[#This Row],[Opportunities per unit]]="","",tblLots[[#This Row],[Units inspected]]*tblLots[[#This Row],[Opportunities per unit]]))</f>
        <v>93600</v>
      </c>
      <c r="I94" s="37">
        <f>IF(tblLots[[#This Row],[Date]]="","",IF(tblLots[[#This Row],[Units inspected]]&gt;0,tblLots[[#This Row],[Defects found]]/tblLots[[#This Row],[Units inspected]],""))</f>
        <v>0.161111111111111</v>
      </c>
      <c r="J94" s="36">
        <f>IF(tblLots[[#This Row],[Date]]="","",IF(N(tblLots[[#This Row],[Opportunities]])&gt;0,tblLots[[#This Row],[Defects found]]/tblLots[[#This Row],[Opportunities]]*1000000,""))</f>
        <v>309.82905982906</v>
      </c>
      <c r="K94" s="38">
        <f>IF(tblLots[[#This Row],[Date]]="","",IF(AND(N(tblLots[[#This Row],[Opportunities]])&gt;0,tblLots[[#This Row],[Defects found]]&gt;0,tblLots[[#This Row],[Defects found]]&lt;tblLots[[#This Row],[Opportunities]]),-_xlfn.NORM.S.INV(tblLots[[#This Row],[Defects found]]/tblLots[[#This Row],[Opportunities]])+ReportShift,""))</f>
        <v>4.92286075202148</v>
      </c>
      <c r="L94" s="39" t="str">
        <f>IF(NOT(ISNUMBER(tblLots[[#This Row],[DPMO]])),"",IF(tblLots[[#This Row],[DPMO]]&lt;=TargetDpmo,"On target",IF(tblLots[[#This Row],[DPMO]]&lt;=TargetDpmo*(1+0.05),"Near target","Above target")))</f>
        <v>Near target</v>
      </c>
      <c r="M94" s="40">
        <f>IF(tblLots[[#This Row],[Date]]="","",IF(AND(tblLots[[#This Row],[Date]]&gt;=FFrom,tblLots[[#This Row],[Date]]&lt;=FTo,OR(DashLine="",tblLots[[#This Row],[Line]]=DashLine)),tblLots[[#This Row],[Date]],""))</f>
        <v>46302</v>
      </c>
      <c r="N9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4" s="33" t="s">
        <v>103</v>
      </c>
    </row>
    <row r="95" spans="2:15">
      <c r="B95" s="35">
        <v>46303</v>
      </c>
      <c r="C95" s="28" t="s">
        <v>75</v>
      </c>
      <c r="D95" s="28" t="s">
        <v>91</v>
      </c>
      <c r="E95" s="29">
        <v>380</v>
      </c>
      <c r="F95" s="29">
        <v>52</v>
      </c>
      <c r="G95" s="36">
        <f>IF(tblLots[[#This Row],[Date]]="","",IFERROR(INDEX(tblProducts[Opportunities per unit],MATCH(tblLots[[#This Row],[Product]],tblProducts[Product],0)),""))</f>
        <v>1210</v>
      </c>
      <c r="H95" s="36">
        <f>IF(tblLots[[#This Row],[Date]]="","",IF(tblLots[[#This Row],[Opportunities per unit]]="","",tblLots[[#This Row],[Units inspected]]*tblLots[[#This Row],[Opportunities per unit]]))</f>
        <v>459800</v>
      </c>
      <c r="I95" s="37">
        <f>IF(tblLots[[#This Row],[Date]]="","",IF(tblLots[[#This Row],[Units inspected]]&gt;0,tblLots[[#This Row],[Defects found]]/tblLots[[#This Row],[Units inspected]],""))</f>
        <v>0.136842105263158</v>
      </c>
      <c r="J95" s="36">
        <f>IF(tblLots[[#This Row],[Date]]="","",IF(N(tblLots[[#This Row],[Opportunities]])&gt;0,tblLots[[#This Row],[Defects found]]/tblLots[[#This Row],[Opportunities]]*1000000,""))</f>
        <v>113.092648977816</v>
      </c>
      <c r="K95" s="38">
        <f>IF(tblLots[[#This Row],[Date]]="","",IF(AND(N(tblLots[[#This Row],[Opportunities]])&gt;0,tblLots[[#This Row],[Defects found]]&gt;0,tblLots[[#This Row],[Defects found]]&lt;tblLots[[#This Row],[Opportunities]]),-_xlfn.NORM.S.INV(tblLots[[#This Row],[Defects found]]/tblLots[[#This Row],[Opportunities]])+ReportShift,""))</f>
        <v>5.18781803938732</v>
      </c>
      <c r="L95" s="39" t="str">
        <f>IF(NOT(ISNUMBER(tblLots[[#This Row],[DPMO]])),"",IF(tblLots[[#This Row],[DPMO]]&lt;=TargetDpmo,"On target",IF(tblLots[[#This Row],[DPMO]]&lt;=TargetDpmo*(1+0.05),"Near target","Above target")))</f>
        <v>On target</v>
      </c>
      <c r="M95" s="40">
        <f>IF(tblLots[[#This Row],[Date]]="","",IF(AND(tblLots[[#This Row],[Date]]&gt;=FFrom,tblLots[[#This Row],[Date]]&lt;=FTo,OR(DashLine="",tblLots[[#This Row],[Line]]=DashLine)),tblLots[[#This Row],[Date]],""))</f>
        <v>46303</v>
      </c>
      <c r="N9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5" s="33" t="s">
        <v>103</v>
      </c>
    </row>
    <row r="96" spans="2:15">
      <c r="B96" s="35">
        <v>46303</v>
      </c>
      <c r="C96" s="28" t="s">
        <v>75</v>
      </c>
      <c r="D96" s="28" t="s">
        <v>91</v>
      </c>
      <c r="E96" s="29">
        <v>300</v>
      </c>
      <c r="F96" s="29">
        <v>50</v>
      </c>
      <c r="G96" s="36">
        <f>IF(tblLots[[#This Row],[Date]]="","",IFERROR(INDEX(tblProducts[Opportunities per unit],MATCH(tblLots[[#This Row],[Product]],tblProducts[Product],0)),""))</f>
        <v>1210</v>
      </c>
      <c r="H96" s="36">
        <f>IF(tblLots[[#This Row],[Date]]="","",IF(tblLots[[#This Row],[Opportunities per unit]]="","",tblLots[[#This Row],[Units inspected]]*tblLots[[#This Row],[Opportunities per unit]]))</f>
        <v>363000</v>
      </c>
      <c r="I96" s="37">
        <f>IF(tblLots[[#This Row],[Date]]="","",IF(tblLots[[#This Row],[Units inspected]]&gt;0,tblLots[[#This Row],[Defects found]]/tblLots[[#This Row],[Units inspected]],""))</f>
        <v>0.166666666666667</v>
      </c>
      <c r="J96" s="36">
        <f>IF(tblLots[[#This Row],[Date]]="","",IF(N(tblLots[[#This Row],[Opportunities]])&gt;0,tblLots[[#This Row],[Defects found]]/tblLots[[#This Row],[Opportunities]]*1000000,""))</f>
        <v>137.741046831956</v>
      </c>
      <c r="K96" s="38">
        <f>IF(tblLots[[#This Row],[Date]]="","",IF(AND(N(tblLots[[#This Row],[Opportunities]])&gt;0,tblLots[[#This Row],[Defects found]]&gt;0,tblLots[[#This Row],[Defects found]]&lt;tblLots[[#This Row],[Opportunities]]),-_xlfn.NORM.S.INV(tblLots[[#This Row],[Defects found]]/tblLots[[#This Row],[Opportunities]])+ReportShift,""))</f>
        <v>5.13732700773225</v>
      </c>
      <c r="L96" s="39" t="str">
        <f>IF(NOT(ISNUMBER(tblLots[[#This Row],[DPMO]])),"",IF(tblLots[[#This Row],[DPMO]]&lt;=TargetDpmo,"On target",IF(tblLots[[#This Row],[DPMO]]&lt;=TargetDpmo*(1+0.05),"Near target","Above target")))</f>
        <v>On target</v>
      </c>
      <c r="M96" s="40">
        <f>IF(tblLots[[#This Row],[Date]]="","",IF(AND(tblLots[[#This Row],[Date]]&gt;=FFrom,tblLots[[#This Row],[Date]]&lt;=FTo,OR(DashLine="",tblLots[[#This Row],[Line]]=DashLine)),tblLots[[#This Row],[Date]],""))</f>
        <v>46303</v>
      </c>
      <c r="N9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6" s="33" t="s">
        <v>103</v>
      </c>
    </row>
    <row r="97" spans="2:15">
      <c r="B97" s="35">
        <v>46303</v>
      </c>
      <c r="C97" s="28" t="s">
        <v>77</v>
      </c>
      <c r="D97" s="28" t="s">
        <v>83</v>
      </c>
      <c r="E97" s="29">
        <v>420</v>
      </c>
      <c r="F97" s="29">
        <v>229</v>
      </c>
      <c r="G97" s="36">
        <f>IF(tblLots[[#This Row],[Date]]="","",IFERROR(INDEX(tblProducts[Opportunities per unit],MATCH(tblLots[[#This Row],[Product]],tblProducts[Product],0)),""))</f>
        <v>1840</v>
      </c>
      <c r="H97" s="36">
        <f>IF(tblLots[[#This Row],[Date]]="","",IF(tblLots[[#This Row],[Opportunities per unit]]="","",tblLots[[#This Row],[Units inspected]]*tblLots[[#This Row],[Opportunities per unit]]))</f>
        <v>772800</v>
      </c>
      <c r="I97" s="37">
        <f>IF(tblLots[[#This Row],[Date]]="","",IF(tblLots[[#This Row],[Units inspected]]&gt;0,tblLots[[#This Row],[Defects found]]/tblLots[[#This Row],[Units inspected]],""))</f>
        <v>0.545238095238095</v>
      </c>
      <c r="J97" s="36">
        <f>IF(tblLots[[#This Row],[Date]]="","",IF(N(tblLots[[#This Row],[Opportunities]])&gt;0,tblLots[[#This Row],[Defects found]]/tblLots[[#This Row],[Opportunities]]*1000000,""))</f>
        <v>296.325051759834</v>
      </c>
      <c r="K97" s="38">
        <f>IF(tblLots[[#This Row],[Date]]="","",IF(AND(N(tblLots[[#This Row],[Opportunities]])&gt;0,tblLots[[#This Row],[Defects found]]&gt;0,tblLots[[#This Row],[Defects found]]&lt;tblLots[[#This Row],[Opportunities]]),-_xlfn.NORM.S.INV(tblLots[[#This Row],[Defects found]]/tblLots[[#This Row],[Opportunities]])+ReportShift,""))</f>
        <v>4.93495597402782</v>
      </c>
      <c r="L97" s="39" t="str">
        <f>IF(NOT(ISNUMBER(tblLots[[#This Row],[DPMO]])),"",IF(tblLots[[#This Row],[DPMO]]&lt;=TargetDpmo,"On target",IF(tblLots[[#This Row],[DPMO]]&lt;=TargetDpmo*(1+0.05),"Near target","Above target")))</f>
        <v>On target</v>
      </c>
      <c r="M97" s="40">
        <f>IF(tblLots[[#This Row],[Date]]="","",IF(AND(tblLots[[#This Row],[Date]]&gt;=FFrom,tblLots[[#This Row],[Date]]&lt;=FTo,OR(DashLine="",tblLots[[#This Row],[Line]]=DashLine)),tblLots[[#This Row],[Date]],""))</f>
        <v>46303</v>
      </c>
      <c r="N9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7" s="33" t="s">
        <v>103</v>
      </c>
    </row>
    <row r="98" spans="2:15">
      <c r="B98" s="35">
        <v>46303</v>
      </c>
      <c r="C98" s="28" t="s">
        <v>77</v>
      </c>
      <c r="D98" s="28" t="s">
        <v>85</v>
      </c>
      <c r="E98" s="29">
        <v>280</v>
      </c>
      <c r="F98" s="29">
        <v>57</v>
      </c>
      <c r="G98" s="36">
        <f>IF(tblLots[[#This Row],[Date]]="","",IFERROR(INDEX(tblProducts[Opportunities per unit],MATCH(tblLots[[#This Row],[Product]],tblProducts[Product],0)),""))</f>
        <v>960</v>
      </c>
      <c r="H98" s="36">
        <f>IF(tblLots[[#This Row],[Date]]="","",IF(tblLots[[#This Row],[Opportunities per unit]]="","",tblLots[[#This Row],[Units inspected]]*tblLots[[#This Row],[Opportunities per unit]]))</f>
        <v>268800</v>
      </c>
      <c r="I98" s="37">
        <f>IF(tblLots[[#This Row],[Date]]="","",IF(tblLots[[#This Row],[Units inspected]]&gt;0,tblLots[[#This Row],[Defects found]]/tblLots[[#This Row],[Units inspected]],""))</f>
        <v>0.203571428571429</v>
      </c>
      <c r="J98" s="36">
        <f>IF(tblLots[[#This Row],[Date]]="","",IF(N(tblLots[[#This Row],[Opportunities]])&gt;0,tblLots[[#This Row],[Defects found]]/tblLots[[#This Row],[Opportunities]]*1000000,""))</f>
        <v>212.053571428571</v>
      </c>
      <c r="K98" s="38">
        <f>IF(tblLots[[#This Row],[Date]]="","",IF(AND(N(tblLots[[#This Row],[Opportunities]])&gt;0,tblLots[[#This Row],[Defects found]]&gt;0,tblLots[[#This Row],[Defects found]]&lt;tblLots[[#This Row],[Opportunities]]),-_xlfn.NORM.S.INV(tblLots[[#This Row],[Defects found]]/tblLots[[#This Row],[Opportunities]])+ReportShift,""))</f>
        <v>5.02460971626022</v>
      </c>
      <c r="L98" s="39" t="str">
        <f>IF(NOT(ISNUMBER(tblLots[[#This Row],[DPMO]])),"",IF(tblLots[[#This Row],[DPMO]]&lt;=TargetDpmo,"On target",IF(tblLots[[#This Row],[DPMO]]&lt;=TargetDpmo*(1+0.05),"Near target","Above target")))</f>
        <v>On target</v>
      </c>
      <c r="M98" s="40">
        <f>IF(tblLots[[#This Row],[Date]]="","",IF(AND(tblLots[[#This Row],[Date]]&gt;=FFrom,tblLots[[#This Row],[Date]]&lt;=FTo,OR(DashLine="",tblLots[[#This Row],[Line]]=DashLine)),tblLots[[#This Row],[Date]],""))</f>
        <v>46303</v>
      </c>
      <c r="N9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8" s="33" t="s">
        <v>103</v>
      </c>
    </row>
    <row r="99" spans="2:15">
      <c r="B99" s="35">
        <v>46303</v>
      </c>
      <c r="C99" s="28" t="s">
        <v>79</v>
      </c>
      <c r="D99" s="28" t="s">
        <v>87</v>
      </c>
      <c r="E99" s="29">
        <v>60</v>
      </c>
      <c r="F99" s="29">
        <v>3</v>
      </c>
      <c r="G99" s="36">
        <f>IF(tblLots[[#This Row],[Date]]="","",IFERROR(INDEX(tblProducts[Opportunities per unit],MATCH(tblLots[[#This Row],[Product]],tblProducts[Product],0)),""))</f>
        <v>520</v>
      </c>
      <c r="H99" s="36">
        <f>IF(tblLots[[#This Row],[Date]]="","",IF(tblLots[[#This Row],[Opportunities per unit]]="","",tblLots[[#This Row],[Units inspected]]*tblLots[[#This Row],[Opportunities per unit]]))</f>
        <v>31200</v>
      </c>
      <c r="I99" s="37">
        <f>IF(tblLots[[#This Row],[Date]]="","",IF(tblLots[[#This Row],[Units inspected]]&gt;0,tblLots[[#This Row],[Defects found]]/tblLots[[#This Row],[Units inspected]],""))</f>
        <v>0.05</v>
      </c>
      <c r="J99" s="36">
        <f>IF(tblLots[[#This Row],[Date]]="","",IF(N(tblLots[[#This Row],[Opportunities]])&gt;0,tblLots[[#This Row],[Defects found]]/tblLots[[#This Row],[Opportunities]]*1000000,""))</f>
        <v>96.1538461538462</v>
      </c>
      <c r="K99" s="38">
        <f>IF(tblLots[[#This Row],[Date]]="","",IF(AND(N(tblLots[[#This Row],[Opportunities]])&gt;0,tblLots[[#This Row],[Defects found]]&gt;0,tblLots[[#This Row],[Defects found]]&lt;tblLots[[#This Row],[Opportunities]]),-_xlfn.NORM.S.INV(tblLots[[#This Row],[Defects found]]/tblLots[[#This Row],[Opportunities]])+ReportShift,""))</f>
        <v>5.22891278289606</v>
      </c>
      <c r="L99" s="39" t="str">
        <f>IF(NOT(ISNUMBER(tblLots[[#This Row],[DPMO]])),"",IF(tblLots[[#This Row],[DPMO]]&lt;=TargetDpmo,"On target",IF(tblLots[[#This Row],[DPMO]]&lt;=TargetDpmo*(1+0.05),"Near target","Above target")))</f>
        <v>On target</v>
      </c>
      <c r="M99" s="40">
        <f>IF(tblLots[[#This Row],[Date]]="","",IF(AND(tblLots[[#This Row],[Date]]&gt;=FFrom,tblLots[[#This Row],[Date]]&lt;=FTo,OR(DashLine="",tblLots[[#This Row],[Line]]=DashLine)),tblLots[[#This Row],[Date]],""))</f>
        <v>46303</v>
      </c>
      <c r="N9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99" s="33" t="s">
        <v>103</v>
      </c>
    </row>
    <row r="100" spans="2:15">
      <c r="B100" s="35">
        <v>46304</v>
      </c>
      <c r="C100" s="28" t="s">
        <v>75</v>
      </c>
      <c r="D100" s="28" t="s">
        <v>91</v>
      </c>
      <c r="E100" s="29">
        <v>390</v>
      </c>
      <c r="F100" s="29">
        <v>50</v>
      </c>
      <c r="G100" s="36">
        <f>IF(tblLots[[#This Row],[Date]]="","",IFERROR(INDEX(tblProducts[Opportunities per unit],MATCH(tblLots[[#This Row],[Product]],tblProducts[Product],0)),""))</f>
        <v>1210</v>
      </c>
      <c r="H100" s="36">
        <f>IF(tblLots[[#This Row],[Date]]="","",IF(tblLots[[#This Row],[Opportunities per unit]]="","",tblLots[[#This Row],[Units inspected]]*tblLots[[#This Row],[Opportunities per unit]]))</f>
        <v>471900</v>
      </c>
      <c r="I100" s="37">
        <f>IF(tblLots[[#This Row],[Date]]="","",IF(tblLots[[#This Row],[Units inspected]]&gt;0,tblLots[[#This Row],[Defects found]]/tblLots[[#This Row],[Units inspected]],""))</f>
        <v>0.128205128205128</v>
      </c>
      <c r="J100" s="36">
        <f>IF(tblLots[[#This Row],[Date]]="","",IF(N(tblLots[[#This Row],[Opportunities]])&gt;0,tblLots[[#This Row],[Defects found]]/tblLots[[#This Row],[Opportunities]]*1000000,""))</f>
        <v>105.954651409197</v>
      </c>
      <c r="K100" s="38">
        <f>IF(tblLots[[#This Row],[Date]]="","",IF(AND(N(tblLots[[#This Row],[Opportunities]])&gt;0,tblLots[[#This Row],[Defects found]]&gt;0,tblLots[[#This Row],[Defects found]]&lt;tblLots[[#This Row],[Opportunities]]),-_xlfn.NORM.S.INV(tblLots[[#This Row],[Defects found]]/tblLots[[#This Row],[Opportunities]])+ReportShift,""))</f>
        <v>5.20437891179187</v>
      </c>
      <c r="L100" s="39" t="str">
        <f>IF(NOT(ISNUMBER(tblLots[[#This Row],[DPMO]])),"",IF(tblLots[[#This Row],[DPMO]]&lt;=TargetDpmo,"On target",IF(tblLots[[#This Row],[DPMO]]&lt;=TargetDpmo*(1+0.05),"Near target","Above target")))</f>
        <v>On target</v>
      </c>
      <c r="M100" s="40">
        <f>IF(tblLots[[#This Row],[Date]]="","",IF(AND(tblLots[[#This Row],[Date]]&gt;=FFrom,tblLots[[#This Row],[Date]]&lt;=FTo,OR(DashLine="",tblLots[[#This Row],[Line]]=DashLine)),tblLots[[#This Row],[Date]],""))</f>
        <v>46304</v>
      </c>
      <c r="N10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0" s="33" t="s">
        <v>103</v>
      </c>
    </row>
    <row r="101" spans="2:15">
      <c r="B101" s="35">
        <v>46304</v>
      </c>
      <c r="C101" s="28" t="s">
        <v>77</v>
      </c>
      <c r="D101" s="28" t="s">
        <v>91</v>
      </c>
      <c r="E101" s="29">
        <v>390</v>
      </c>
      <c r="F101" s="29">
        <v>96</v>
      </c>
      <c r="G101" s="36">
        <f>IF(tblLots[[#This Row],[Date]]="","",IFERROR(INDEX(tblProducts[Opportunities per unit],MATCH(tblLots[[#This Row],[Product]],tblProducts[Product],0)),""))</f>
        <v>1210</v>
      </c>
      <c r="H101" s="36">
        <f>IF(tblLots[[#This Row],[Date]]="","",IF(tblLots[[#This Row],[Opportunities per unit]]="","",tblLots[[#This Row],[Units inspected]]*tblLots[[#This Row],[Opportunities per unit]]))</f>
        <v>471900</v>
      </c>
      <c r="I101" s="37">
        <f>IF(tblLots[[#This Row],[Date]]="","",IF(tblLots[[#This Row],[Units inspected]]&gt;0,tblLots[[#This Row],[Defects found]]/tblLots[[#This Row],[Units inspected]],""))</f>
        <v>0.246153846153846</v>
      </c>
      <c r="J101" s="36">
        <f>IF(tblLots[[#This Row],[Date]]="","",IF(N(tblLots[[#This Row],[Opportunities]])&gt;0,tblLots[[#This Row],[Defects found]]/tblLots[[#This Row],[Opportunities]]*1000000,""))</f>
        <v>203.432930705658</v>
      </c>
      <c r="K101" s="38">
        <f>IF(tblLots[[#This Row],[Date]]="","",IF(AND(N(tblLots[[#This Row],[Opportunities]])&gt;0,tblLots[[#This Row],[Defects found]]&gt;0,tblLots[[#This Row],[Defects found]]&lt;tblLots[[#This Row],[Opportunities]]),-_xlfn.NORM.S.INV(tblLots[[#This Row],[Defects found]]/tblLots[[#This Row],[Opportunities]])+ReportShift,""))</f>
        <v>5.03558984678707</v>
      </c>
      <c r="L101" s="39" t="str">
        <f>IF(NOT(ISNUMBER(tblLots[[#This Row],[DPMO]])),"",IF(tblLots[[#This Row],[DPMO]]&lt;=TargetDpmo,"On target",IF(tblLots[[#This Row],[DPMO]]&lt;=TargetDpmo*(1+0.05),"Near target","Above target")))</f>
        <v>On target</v>
      </c>
      <c r="M101" s="40">
        <f>IF(tblLots[[#This Row],[Date]]="","",IF(AND(tblLots[[#This Row],[Date]]&gt;=FFrom,tblLots[[#This Row],[Date]]&lt;=FTo,OR(DashLine="",tblLots[[#This Row],[Line]]=DashLine)),tblLots[[#This Row],[Date]],""))</f>
        <v>46304</v>
      </c>
      <c r="N10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1" s="33" t="s">
        <v>103</v>
      </c>
    </row>
    <row r="102" spans="2:15">
      <c r="B102" s="35">
        <v>46304</v>
      </c>
      <c r="C102" s="28" t="s">
        <v>79</v>
      </c>
      <c r="D102" s="28" t="s">
        <v>85</v>
      </c>
      <c r="E102" s="29">
        <v>80</v>
      </c>
      <c r="F102" s="29">
        <v>25</v>
      </c>
      <c r="G102" s="36">
        <f>IF(tblLots[[#This Row],[Date]]="","",IFERROR(INDEX(tblProducts[Opportunities per unit],MATCH(tblLots[[#This Row],[Product]],tblProducts[Product],0)),""))</f>
        <v>960</v>
      </c>
      <c r="H102" s="36">
        <f>IF(tblLots[[#This Row],[Date]]="","",IF(tblLots[[#This Row],[Opportunities per unit]]="","",tblLots[[#This Row],[Units inspected]]*tblLots[[#This Row],[Opportunities per unit]]))</f>
        <v>76800</v>
      </c>
      <c r="I102" s="37">
        <f>IF(tblLots[[#This Row],[Date]]="","",IF(tblLots[[#This Row],[Units inspected]]&gt;0,tblLots[[#This Row],[Defects found]]/tblLots[[#This Row],[Units inspected]],""))</f>
        <v>0.3125</v>
      </c>
      <c r="J102" s="36">
        <f>IF(tblLots[[#This Row],[Date]]="","",IF(N(tblLots[[#This Row],[Opportunities]])&gt;0,tblLots[[#This Row],[Defects found]]/tblLots[[#This Row],[Opportunities]]*1000000,""))</f>
        <v>325.520833333333</v>
      </c>
      <c r="K102" s="38">
        <f>IF(tblLots[[#This Row],[Date]]="","",IF(AND(N(tblLots[[#This Row],[Opportunities]])&gt;0,tblLots[[#This Row],[Defects found]]&gt;0,tblLots[[#This Row],[Defects found]]&lt;tblLots[[#This Row],[Opportunities]]),-_xlfn.NORM.S.INV(tblLots[[#This Row],[Defects found]]/tblLots[[#This Row],[Opportunities]])+ReportShift,""))</f>
        <v>4.90940743811539</v>
      </c>
      <c r="L102" s="39" t="str">
        <f>IF(NOT(ISNUMBER(tblLots[[#This Row],[DPMO]])),"",IF(tblLots[[#This Row],[DPMO]]&lt;=TargetDpmo,"On target",IF(tblLots[[#This Row],[DPMO]]&lt;=TargetDpmo*(1+0.05),"Near target","Above target")))</f>
        <v>Above target</v>
      </c>
      <c r="M102" s="40">
        <f>IF(tblLots[[#This Row],[Date]]="","",IF(AND(tblLots[[#This Row],[Date]]&gt;=FFrom,tblLots[[#This Row],[Date]]&lt;=FTo,OR(DashLine="",tblLots[[#This Row],[Line]]=DashLine)),tblLots[[#This Row],[Date]],""))</f>
        <v>46304</v>
      </c>
      <c r="N10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2" s="33" t="s">
        <v>103</v>
      </c>
    </row>
    <row r="103" spans="2:15">
      <c r="B103" s="35">
        <v>46307</v>
      </c>
      <c r="C103" s="28" t="s">
        <v>75</v>
      </c>
      <c r="D103" s="28" t="s">
        <v>91</v>
      </c>
      <c r="E103" s="29">
        <v>340</v>
      </c>
      <c r="F103" s="29">
        <v>57</v>
      </c>
      <c r="G103" s="36">
        <f>IF(tblLots[[#This Row],[Date]]="","",IFERROR(INDEX(tblProducts[Opportunities per unit],MATCH(tblLots[[#This Row],[Product]],tblProducts[Product],0)),""))</f>
        <v>1210</v>
      </c>
      <c r="H103" s="36">
        <f>IF(tblLots[[#This Row],[Date]]="","",IF(tblLots[[#This Row],[Opportunities per unit]]="","",tblLots[[#This Row],[Units inspected]]*tblLots[[#This Row],[Opportunities per unit]]))</f>
        <v>411400</v>
      </c>
      <c r="I103" s="37">
        <f>IF(tblLots[[#This Row],[Date]]="","",IF(tblLots[[#This Row],[Units inspected]]&gt;0,tblLots[[#This Row],[Defects found]]/tblLots[[#This Row],[Units inspected]],""))</f>
        <v>0.167647058823529</v>
      </c>
      <c r="J103" s="36">
        <f>IF(tblLots[[#This Row],[Date]]="","",IF(N(tblLots[[#This Row],[Opportunities]])&gt;0,tblLots[[#This Row],[Defects found]]/tblLots[[#This Row],[Opportunities]]*1000000,""))</f>
        <v>138.551288283909</v>
      </c>
      <c r="K103" s="38">
        <f>IF(tblLots[[#This Row],[Date]]="","",IF(AND(N(tblLots[[#This Row],[Opportunities]])&gt;0,tblLots[[#This Row],[Defects found]]&gt;0,tblLots[[#This Row],[Defects found]]&lt;tblLots[[#This Row],[Opportunities]]),-_xlfn.NORM.S.INV(tblLots[[#This Row],[Defects found]]/tblLots[[#This Row],[Opportunities]])+ReportShift,""))</f>
        <v>5.13581553512867</v>
      </c>
      <c r="L103" s="39" t="str">
        <f>IF(NOT(ISNUMBER(tblLots[[#This Row],[DPMO]])),"",IF(tblLots[[#This Row],[DPMO]]&lt;=TargetDpmo,"On target",IF(tblLots[[#This Row],[DPMO]]&lt;=TargetDpmo*(1+0.05),"Near target","Above target")))</f>
        <v>On target</v>
      </c>
      <c r="M103" s="40">
        <f>IF(tblLots[[#This Row],[Date]]="","",IF(AND(tblLots[[#This Row],[Date]]&gt;=FFrom,tblLots[[#This Row],[Date]]&lt;=FTo,OR(DashLine="",tblLots[[#This Row],[Line]]=DashLine)),tblLots[[#This Row],[Date]],""))</f>
        <v>46307</v>
      </c>
      <c r="N10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3" s="33" t="s">
        <v>103</v>
      </c>
    </row>
    <row r="104" spans="2:15">
      <c r="B104" s="35">
        <v>46307</v>
      </c>
      <c r="C104" s="28" t="s">
        <v>75</v>
      </c>
      <c r="D104" s="28" t="s">
        <v>89</v>
      </c>
      <c r="E104" s="29">
        <v>250</v>
      </c>
      <c r="F104" s="29">
        <v>70</v>
      </c>
      <c r="G104" s="36">
        <f>IF(tblLots[[#This Row],[Date]]="","",IFERROR(INDEX(tblProducts[Opportunities per unit],MATCH(tblLots[[#This Row],[Product]],tblProducts[Product],0)),""))</f>
        <v>2380</v>
      </c>
      <c r="H104" s="36">
        <f>IF(tblLots[[#This Row],[Date]]="","",IF(tblLots[[#This Row],[Opportunities per unit]]="","",tblLots[[#This Row],[Units inspected]]*tblLots[[#This Row],[Opportunities per unit]]))</f>
        <v>595000</v>
      </c>
      <c r="I104" s="37">
        <f>IF(tblLots[[#This Row],[Date]]="","",IF(tblLots[[#This Row],[Units inspected]]&gt;0,tblLots[[#This Row],[Defects found]]/tblLots[[#This Row],[Units inspected]],""))</f>
        <v>0.28</v>
      </c>
      <c r="J104" s="36">
        <f>IF(tblLots[[#This Row],[Date]]="","",IF(N(tblLots[[#This Row],[Opportunities]])&gt;0,tblLots[[#This Row],[Defects found]]/tblLots[[#This Row],[Opportunities]]*1000000,""))</f>
        <v>117.647058823529</v>
      </c>
      <c r="K104" s="38">
        <f>IF(tblLots[[#This Row],[Date]]="","",IF(AND(N(tblLots[[#This Row],[Opportunities]])&gt;0,tblLots[[#This Row],[Defects found]]&gt;0,tblLots[[#This Row],[Defects found]]&lt;tblLots[[#This Row],[Opportunities]]),-_xlfn.NORM.S.INV(tblLots[[#This Row],[Defects found]]/tblLots[[#This Row],[Opportunities]])+ReportShift,""))</f>
        <v>5.17775682509172</v>
      </c>
      <c r="L104" s="39" t="str">
        <f>IF(NOT(ISNUMBER(tblLots[[#This Row],[DPMO]])),"",IF(tblLots[[#This Row],[DPMO]]&lt;=TargetDpmo,"On target",IF(tblLots[[#This Row],[DPMO]]&lt;=TargetDpmo*(1+0.05),"Near target","Above target")))</f>
        <v>On target</v>
      </c>
      <c r="M104" s="40">
        <f>IF(tblLots[[#This Row],[Date]]="","",IF(AND(tblLots[[#This Row],[Date]]&gt;=FFrom,tblLots[[#This Row],[Date]]&lt;=FTo,OR(DashLine="",tblLots[[#This Row],[Line]]=DashLine)),tblLots[[#This Row],[Date]],""))</f>
        <v>46307</v>
      </c>
      <c r="N10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4" s="33" t="s">
        <v>103</v>
      </c>
    </row>
    <row r="105" spans="2:15">
      <c r="B105" s="35">
        <v>46307</v>
      </c>
      <c r="C105" s="28" t="s">
        <v>77</v>
      </c>
      <c r="D105" s="28" t="s">
        <v>91</v>
      </c>
      <c r="E105" s="29">
        <v>210</v>
      </c>
      <c r="F105" s="29">
        <v>55</v>
      </c>
      <c r="G105" s="36">
        <f>IF(tblLots[[#This Row],[Date]]="","",IFERROR(INDEX(tblProducts[Opportunities per unit],MATCH(tblLots[[#This Row],[Product]],tblProducts[Product],0)),""))</f>
        <v>1210</v>
      </c>
      <c r="H105" s="36">
        <f>IF(tblLots[[#This Row],[Date]]="","",IF(tblLots[[#This Row],[Opportunities per unit]]="","",tblLots[[#This Row],[Units inspected]]*tblLots[[#This Row],[Opportunities per unit]]))</f>
        <v>254100</v>
      </c>
      <c r="I105" s="37">
        <f>IF(tblLots[[#This Row],[Date]]="","",IF(tblLots[[#This Row],[Units inspected]]&gt;0,tblLots[[#This Row],[Defects found]]/tblLots[[#This Row],[Units inspected]],""))</f>
        <v>0.261904761904762</v>
      </c>
      <c r="J105" s="36">
        <f>IF(tblLots[[#This Row],[Date]]="","",IF(N(tblLots[[#This Row],[Opportunities]])&gt;0,tblLots[[#This Row],[Defects found]]/tblLots[[#This Row],[Opportunities]]*1000000,""))</f>
        <v>216.450216450216</v>
      </c>
      <c r="K105" s="38">
        <f>IF(tblLots[[#This Row],[Date]]="","",IF(AND(N(tblLots[[#This Row],[Opportunities]])&gt;0,tblLots[[#This Row],[Defects found]]&gt;0,tblLots[[#This Row],[Defects found]]&lt;tblLots[[#This Row],[Opportunities]]),-_xlfn.NORM.S.INV(tblLots[[#This Row],[Defects found]]/tblLots[[#This Row],[Opportunities]])+ReportShift,""))</f>
        <v>5.01916925568917</v>
      </c>
      <c r="L105" s="39" t="str">
        <f>IF(NOT(ISNUMBER(tblLots[[#This Row],[DPMO]])),"",IF(tblLots[[#This Row],[DPMO]]&lt;=TargetDpmo,"On target",IF(tblLots[[#This Row],[DPMO]]&lt;=TargetDpmo*(1+0.05),"Near target","Above target")))</f>
        <v>On target</v>
      </c>
      <c r="M105" s="40">
        <f>IF(tblLots[[#This Row],[Date]]="","",IF(AND(tblLots[[#This Row],[Date]]&gt;=FFrom,tblLots[[#This Row],[Date]]&lt;=FTo,OR(DashLine="",tblLots[[#This Row],[Line]]=DashLine)),tblLots[[#This Row],[Date]],""))</f>
        <v>46307</v>
      </c>
      <c r="N10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5" s="33" t="s">
        <v>103</v>
      </c>
    </row>
    <row r="106" spans="2:15">
      <c r="B106" s="35">
        <v>46307</v>
      </c>
      <c r="C106" s="28" t="s">
        <v>79</v>
      </c>
      <c r="D106" s="28" t="s">
        <v>85</v>
      </c>
      <c r="E106" s="29">
        <v>140</v>
      </c>
      <c r="F106" s="29">
        <v>32</v>
      </c>
      <c r="G106" s="36">
        <f>IF(tblLots[[#This Row],[Date]]="","",IFERROR(INDEX(tblProducts[Opportunities per unit],MATCH(tblLots[[#This Row],[Product]],tblProducts[Product],0)),""))</f>
        <v>960</v>
      </c>
      <c r="H106" s="36">
        <f>IF(tblLots[[#This Row],[Date]]="","",IF(tblLots[[#This Row],[Opportunities per unit]]="","",tblLots[[#This Row],[Units inspected]]*tblLots[[#This Row],[Opportunities per unit]]))</f>
        <v>134400</v>
      </c>
      <c r="I106" s="37">
        <f>IF(tblLots[[#This Row],[Date]]="","",IF(tblLots[[#This Row],[Units inspected]]&gt;0,tblLots[[#This Row],[Defects found]]/tblLots[[#This Row],[Units inspected]],""))</f>
        <v>0.228571428571429</v>
      </c>
      <c r="J106" s="36">
        <f>IF(tblLots[[#This Row],[Date]]="","",IF(N(tblLots[[#This Row],[Opportunities]])&gt;0,tblLots[[#This Row],[Defects found]]/tblLots[[#This Row],[Opportunities]]*1000000,""))</f>
        <v>238.095238095238</v>
      </c>
      <c r="K106" s="38">
        <f>IF(tblLots[[#This Row],[Date]]="","",IF(AND(N(tblLots[[#This Row],[Opportunities]])&gt;0,tblLots[[#This Row],[Defects found]]&gt;0,tblLots[[#This Row],[Defects found]]&lt;tblLots[[#This Row],[Opportunities]]),-_xlfn.NORM.S.INV(tblLots[[#This Row],[Defects found]]/tblLots[[#This Row],[Opportunities]])+ReportShift,""))</f>
        <v>4.99380400394329</v>
      </c>
      <c r="L106" s="39" t="str">
        <f>IF(NOT(ISNUMBER(tblLots[[#This Row],[DPMO]])),"",IF(tblLots[[#This Row],[DPMO]]&lt;=TargetDpmo,"On target",IF(tblLots[[#This Row],[DPMO]]&lt;=TargetDpmo*(1+0.05),"Near target","Above target")))</f>
        <v>On target</v>
      </c>
      <c r="M106" s="40">
        <f>IF(tblLots[[#This Row],[Date]]="","",IF(AND(tblLots[[#This Row],[Date]]&gt;=FFrom,tblLots[[#This Row],[Date]]&lt;=FTo,OR(DashLine="",tblLots[[#This Row],[Line]]=DashLine)),tblLots[[#This Row],[Date]],""))</f>
        <v>46307</v>
      </c>
      <c r="N10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6" s="33" t="s">
        <v>103</v>
      </c>
    </row>
    <row r="107" spans="2:15">
      <c r="B107" s="35">
        <v>46308</v>
      </c>
      <c r="C107" s="28" t="s">
        <v>75</v>
      </c>
      <c r="D107" s="28" t="s">
        <v>91</v>
      </c>
      <c r="E107" s="29">
        <v>290</v>
      </c>
      <c r="F107" s="29">
        <v>63</v>
      </c>
      <c r="G107" s="36">
        <f>IF(tblLots[[#This Row],[Date]]="","",IFERROR(INDEX(tblProducts[Opportunities per unit],MATCH(tblLots[[#This Row],[Product]],tblProducts[Product],0)),""))</f>
        <v>1210</v>
      </c>
      <c r="H107" s="36">
        <f>IF(tblLots[[#This Row],[Date]]="","",IF(tblLots[[#This Row],[Opportunities per unit]]="","",tblLots[[#This Row],[Units inspected]]*tblLots[[#This Row],[Opportunities per unit]]))</f>
        <v>350900</v>
      </c>
      <c r="I107" s="37">
        <f>IF(tblLots[[#This Row],[Date]]="","",IF(tblLots[[#This Row],[Units inspected]]&gt;0,tblLots[[#This Row],[Defects found]]/tblLots[[#This Row],[Units inspected]],""))</f>
        <v>0.217241379310345</v>
      </c>
      <c r="J107" s="36">
        <f>IF(tblLots[[#This Row],[Date]]="","",IF(N(tblLots[[#This Row],[Opportunities]])&gt;0,tblLots[[#This Row],[Defects found]]/tblLots[[#This Row],[Opportunities]]*1000000,""))</f>
        <v>179.538330008549</v>
      </c>
      <c r="K107" s="38">
        <f>IF(tblLots[[#This Row],[Date]]="","",IF(AND(N(tblLots[[#This Row],[Opportunities]])&gt;0,tblLots[[#This Row],[Defects found]]&gt;0,tblLots[[#This Row],[Defects found]]&lt;tblLots[[#This Row],[Opportunities]]),-_xlfn.NORM.S.INV(tblLots[[#This Row],[Defects found]]/tblLots[[#This Row],[Opportunities]])+ReportShift,""))</f>
        <v>5.06846656873854</v>
      </c>
      <c r="L107" s="39" t="str">
        <f>IF(NOT(ISNUMBER(tblLots[[#This Row],[DPMO]])),"",IF(tblLots[[#This Row],[DPMO]]&lt;=TargetDpmo,"On target",IF(tblLots[[#This Row],[DPMO]]&lt;=TargetDpmo*(1+0.05),"Near target","Above target")))</f>
        <v>On target</v>
      </c>
      <c r="M107" s="40">
        <f>IF(tblLots[[#This Row],[Date]]="","",IF(AND(tblLots[[#This Row],[Date]]&gt;=FFrom,tblLots[[#This Row],[Date]]&lt;=FTo,OR(DashLine="",tblLots[[#This Row],[Line]]=DashLine)),tblLots[[#This Row],[Date]],""))</f>
        <v>46308</v>
      </c>
      <c r="N10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7" s="33" t="s">
        <v>103</v>
      </c>
    </row>
    <row r="108" spans="2:15">
      <c r="B108" s="35">
        <v>46308</v>
      </c>
      <c r="C108" s="28" t="s">
        <v>77</v>
      </c>
      <c r="D108" s="28" t="s">
        <v>83</v>
      </c>
      <c r="E108" s="29">
        <v>410</v>
      </c>
      <c r="F108" s="29">
        <v>222</v>
      </c>
      <c r="G108" s="36">
        <f>IF(tblLots[[#This Row],[Date]]="","",IFERROR(INDEX(tblProducts[Opportunities per unit],MATCH(tblLots[[#This Row],[Product]],tblProducts[Product],0)),""))</f>
        <v>1840</v>
      </c>
      <c r="H108" s="36">
        <f>IF(tblLots[[#This Row],[Date]]="","",IF(tblLots[[#This Row],[Opportunities per unit]]="","",tblLots[[#This Row],[Units inspected]]*tblLots[[#This Row],[Opportunities per unit]]))</f>
        <v>754400</v>
      </c>
      <c r="I108" s="37">
        <f>IF(tblLots[[#This Row],[Date]]="","",IF(tblLots[[#This Row],[Units inspected]]&gt;0,tblLots[[#This Row],[Defects found]]/tblLots[[#This Row],[Units inspected]],""))</f>
        <v>0.541463414634146</v>
      </c>
      <c r="J108" s="36">
        <f>IF(tblLots[[#This Row],[Date]]="","",IF(N(tblLots[[#This Row],[Opportunities]])&gt;0,tblLots[[#This Row],[Defects found]]/tblLots[[#This Row],[Opportunities]]*1000000,""))</f>
        <v>294.273594909862</v>
      </c>
      <c r="K108" s="38">
        <f>IF(tblLots[[#This Row],[Date]]="","",IF(AND(N(tblLots[[#This Row],[Opportunities]])&gt;0,tblLots[[#This Row],[Defects found]]&gt;0,tblLots[[#This Row],[Defects found]]&lt;tblLots[[#This Row],[Opportunities]]),-_xlfn.NORM.S.INV(tblLots[[#This Row],[Defects found]]/tblLots[[#This Row],[Opportunities]])+ReportShift,""))</f>
        <v>4.9368381455236</v>
      </c>
      <c r="L108" s="39" t="str">
        <f>IF(NOT(ISNUMBER(tblLots[[#This Row],[DPMO]])),"",IF(tblLots[[#This Row],[DPMO]]&lt;=TargetDpmo,"On target",IF(tblLots[[#This Row],[DPMO]]&lt;=TargetDpmo*(1+0.05),"Near target","Above target")))</f>
        <v>On target</v>
      </c>
      <c r="M108" s="40">
        <f>IF(tblLots[[#This Row],[Date]]="","",IF(AND(tblLots[[#This Row],[Date]]&gt;=FFrom,tblLots[[#This Row],[Date]]&lt;=FTo,OR(DashLine="",tblLots[[#This Row],[Line]]=DashLine)),tblLots[[#This Row],[Date]],""))</f>
        <v>46308</v>
      </c>
      <c r="N10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8" s="33" t="s">
        <v>103</v>
      </c>
    </row>
    <row r="109" spans="2:15">
      <c r="B109" s="35">
        <v>46308</v>
      </c>
      <c r="C109" s="28" t="s">
        <v>77</v>
      </c>
      <c r="D109" s="28" t="s">
        <v>91</v>
      </c>
      <c r="E109" s="29">
        <v>320</v>
      </c>
      <c r="F109" s="29">
        <v>111</v>
      </c>
      <c r="G109" s="36">
        <f>IF(tblLots[[#This Row],[Date]]="","",IFERROR(INDEX(tblProducts[Opportunities per unit],MATCH(tblLots[[#This Row],[Product]],tblProducts[Product],0)),""))</f>
        <v>1210</v>
      </c>
      <c r="H109" s="36">
        <f>IF(tblLots[[#This Row],[Date]]="","",IF(tblLots[[#This Row],[Opportunities per unit]]="","",tblLots[[#This Row],[Units inspected]]*tblLots[[#This Row],[Opportunities per unit]]))</f>
        <v>387200</v>
      </c>
      <c r="I109" s="37">
        <f>IF(tblLots[[#This Row],[Date]]="","",IF(tblLots[[#This Row],[Units inspected]]&gt;0,tblLots[[#This Row],[Defects found]]/tblLots[[#This Row],[Units inspected]],""))</f>
        <v>0.346875</v>
      </c>
      <c r="J109" s="36">
        <f>IF(tblLots[[#This Row],[Date]]="","",IF(N(tblLots[[#This Row],[Opportunities]])&gt;0,tblLots[[#This Row],[Defects found]]/tblLots[[#This Row],[Opportunities]]*1000000,""))</f>
        <v>286.673553719008</v>
      </c>
      <c r="K109" s="38">
        <f>IF(tblLots[[#This Row],[Date]]="","",IF(AND(N(tblLots[[#This Row],[Opportunities]])&gt;0,tblLots[[#This Row],[Defects found]]&gt;0,tblLots[[#This Row],[Defects found]]&lt;tblLots[[#This Row],[Opportunities]]),-_xlfn.NORM.S.INV(tblLots[[#This Row],[Defects found]]/tblLots[[#This Row],[Opportunities]])+ReportShift,""))</f>
        <v>4.94391915809796</v>
      </c>
      <c r="L109" s="39" t="str">
        <f>IF(NOT(ISNUMBER(tblLots[[#This Row],[DPMO]])),"",IF(tblLots[[#This Row],[DPMO]]&lt;=TargetDpmo,"On target",IF(tblLots[[#This Row],[DPMO]]&lt;=TargetDpmo*(1+0.05),"Near target","Above target")))</f>
        <v>On target</v>
      </c>
      <c r="M109" s="40">
        <f>IF(tblLots[[#This Row],[Date]]="","",IF(AND(tblLots[[#This Row],[Date]]&gt;=FFrom,tblLots[[#This Row],[Date]]&lt;=FTo,OR(DashLine="",tblLots[[#This Row],[Line]]=DashLine)),tblLots[[#This Row],[Date]],""))</f>
        <v>46308</v>
      </c>
      <c r="N10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09" s="33" t="s">
        <v>103</v>
      </c>
    </row>
    <row r="110" spans="2:15">
      <c r="B110" s="35">
        <v>46308</v>
      </c>
      <c r="C110" s="28" t="s">
        <v>79</v>
      </c>
      <c r="D110" s="28" t="s">
        <v>85</v>
      </c>
      <c r="E110" s="29">
        <v>180</v>
      </c>
      <c r="F110" s="29">
        <v>29</v>
      </c>
      <c r="G110" s="36">
        <f>IF(tblLots[[#This Row],[Date]]="","",IFERROR(INDEX(tblProducts[Opportunities per unit],MATCH(tblLots[[#This Row],[Product]],tblProducts[Product],0)),""))</f>
        <v>960</v>
      </c>
      <c r="H110" s="36">
        <f>IF(tblLots[[#This Row],[Date]]="","",IF(tblLots[[#This Row],[Opportunities per unit]]="","",tblLots[[#This Row],[Units inspected]]*tblLots[[#This Row],[Opportunities per unit]]))</f>
        <v>172800</v>
      </c>
      <c r="I110" s="37">
        <f>IF(tblLots[[#This Row],[Date]]="","",IF(tblLots[[#This Row],[Units inspected]]&gt;0,tblLots[[#This Row],[Defects found]]/tblLots[[#This Row],[Units inspected]],""))</f>
        <v>0.161111111111111</v>
      </c>
      <c r="J110" s="36">
        <f>IF(tblLots[[#This Row],[Date]]="","",IF(N(tblLots[[#This Row],[Opportunities]])&gt;0,tblLots[[#This Row],[Defects found]]/tblLots[[#This Row],[Opportunities]]*1000000,""))</f>
        <v>167.824074074074</v>
      </c>
      <c r="K110" s="38">
        <f>IF(tblLots[[#This Row],[Date]]="","",IF(AND(N(tblLots[[#This Row],[Opportunities]])&gt;0,tblLots[[#This Row],[Defects found]]&gt;0,tblLots[[#This Row],[Defects found]]&lt;tblLots[[#This Row],[Opportunities]]),-_xlfn.NORM.S.INV(tblLots[[#This Row],[Defects found]]/tblLots[[#This Row],[Opportunities]])+ReportShift,""))</f>
        <v>5.08610943527899</v>
      </c>
      <c r="L110" s="39" t="str">
        <f>IF(NOT(ISNUMBER(tblLots[[#This Row],[DPMO]])),"",IF(tblLots[[#This Row],[DPMO]]&lt;=TargetDpmo,"On target",IF(tblLots[[#This Row],[DPMO]]&lt;=TargetDpmo*(1+0.05),"Near target","Above target")))</f>
        <v>On target</v>
      </c>
      <c r="M110" s="40">
        <f>IF(tblLots[[#This Row],[Date]]="","",IF(AND(tblLots[[#This Row],[Date]]&gt;=FFrom,tblLots[[#This Row],[Date]]&lt;=FTo,OR(DashLine="",tblLots[[#This Row],[Line]]=DashLine)),tblLots[[#This Row],[Date]],""))</f>
        <v>46308</v>
      </c>
      <c r="N11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0" s="33" t="s">
        <v>103</v>
      </c>
    </row>
    <row r="111" spans="2:15">
      <c r="B111" s="35">
        <v>46309</v>
      </c>
      <c r="C111" s="28" t="s">
        <v>75</v>
      </c>
      <c r="D111" s="28" t="s">
        <v>83</v>
      </c>
      <c r="E111" s="29">
        <v>170</v>
      </c>
      <c r="F111" s="29">
        <v>36</v>
      </c>
      <c r="G111" s="36">
        <f>IF(tblLots[[#This Row],[Date]]="","",IFERROR(INDEX(tblProducts[Opportunities per unit],MATCH(tblLots[[#This Row],[Product]],tblProducts[Product],0)),""))</f>
        <v>1840</v>
      </c>
      <c r="H111" s="36">
        <f>IF(tblLots[[#This Row],[Date]]="","",IF(tblLots[[#This Row],[Opportunities per unit]]="","",tblLots[[#This Row],[Units inspected]]*tblLots[[#This Row],[Opportunities per unit]]))</f>
        <v>312800</v>
      </c>
      <c r="I111" s="37">
        <f>IF(tblLots[[#This Row],[Date]]="","",IF(tblLots[[#This Row],[Units inspected]]&gt;0,tblLots[[#This Row],[Defects found]]/tblLots[[#This Row],[Units inspected]],""))</f>
        <v>0.211764705882353</v>
      </c>
      <c r="J111" s="36">
        <f>IF(tblLots[[#This Row],[Date]]="","",IF(N(tblLots[[#This Row],[Opportunities]])&gt;0,tblLots[[#This Row],[Defects found]]/tblLots[[#This Row],[Opportunities]]*1000000,""))</f>
        <v>115.089514066496</v>
      </c>
      <c r="K111" s="38">
        <f>IF(tblLots[[#This Row],[Date]]="","",IF(AND(N(tblLots[[#This Row],[Opportunities]])&gt;0,tblLots[[#This Row],[Defects found]]&gt;0,tblLots[[#This Row],[Defects found]]&lt;tblLots[[#This Row],[Opportunities]]),-_xlfn.NORM.S.INV(tblLots[[#This Row],[Defects found]]/tblLots[[#This Row],[Opportunities]])+ReportShift,""))</f>
        <v>5.18336077163942</v>
      </c>
      <c r="L111" s="39" t="str">
        <f>IF(NOT(ISNUMBER(tblLots[[#This Row],[DPMO]])),"",IF(tblLots[[#This Row],[DPMO]]&lt;=TargetDpmo,"On target",IF(tblLots[[#This Row],[DPMO]]&lt;=TargetDpmo*(1+0.05),"Near target","Above target")))</f>
        <v>On target</v>
      </c>
      <c r="M111" s="40">
        <f>IF(tblLots[[#This Row],[Date]]="","",IF(AND(tblLots[[#This Row],[Date]]&gt;=FFrom,tblLots[[#This Row],[Date]]&lt;=FTo,OR(DashLine="",tblLots[[#This Row],[Line]]=DashLine)),tblLots[[#This Row],[Date]],""))</f>
        <v>46309</v>
      </c>
      <c r="N11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1" s="33" t="s">
        <v>103</v>
      </c>
    </row>
    <row r="112" spans="2:15">
      <c r="B112" s="35">
        <v>46309</v>
      </c>
      <c r="C112" s="28" t="s">
        <v>77</v>
      </c>
      <c r="D112" s="28" t="s">
        <v>83</v>
      </c>
      <c r="E112" s="29">
        <v>270</v>
      </c>
      <c r="F112" s="29">
        <v>136</v>
      </c>
      <c r="G112" s="36">
        <f>IF(tblLots[[#This Row],[Date]]="","",IFERROR(INDEX(tblProducts[Opportunities per unit],MATCH(tblLots[[#This Row],[Product]],tblProducts[Product],0)),""))</f>
        <v>1840</v>
      </c>
      <c r="H112" s="36">
        <f>IF(tblLots[[#This Row],[Date]]="","",IF(tblLots[[#This Row],[Opportunities per unit]]="","",tblLots[[#This Row],[Units inspected]]*tblLots[[#This Row],[Opportunities per unit]]))</f>
        <v>496800</v>
      </c>
      <c r="I112" s="37">
        <f>IF(tblLots[[#This Row],[Date]]="","",IF(tblLots[[#This Row],[Units inspected]]&gt;0,tblLots[[#This Row],[Defects found]]/tblLots[[#This Row],[Units inspected]],""))</f>
        <v>0.503703703703704</v>
      </c>
      <c r="J112" s="36">
        <f>IF(tblLots[[#This Row],[Date]]="","",IF(N(tblLots[[#This Row],[Opportunities]])&gt;0,tblLots[[#This Row],[Defects found]]/tblLots[[#This Row],[Opportunities]]*1000000,""))</f>
        <v>273.752012882448</v>
      </c>
      <c r="K112" s="38">
        <f>IF(tblLots[[#This Row],[Date]]="","",IF(AND(N(tblLots[[#This Row],[Opportunities]])&gt;0,tblLots[[#This Row],[Defects found]]&gt;0,tblLots[[#This Row],[Defects found]]&lt;tblLots[[#This Row],[Opportunities]]),-_xlfn.NORM.S.INV(tblLots[[#This Row],[Defects found]]/tblLots[[#This Row],[Opportunities]])+ReportShift,""))</f>
        <v>4.95636960742955</v>
      </c>
      <c r="L112" s="39" t="str">
        <f>IF(NOT(ISNUMBER(tblLots[[#This Row],[DPMO]])),"",IF(tblLots[[#This Row],[DPMO]]&lt;=TargetDpmo,"On target",IF(tblLots[[#This Row],[DPMO]]&lt;=TargetDpmo*(1+0.05),"Near target","Above target")))</f>
        <v>On target</v>
      </c>
      <c r="M112" s="40">
        <f>IF(tblLots[[#This Row],[Date]]="","",IF(AND(tblLots[[#This Row],[Date]]&gt;=FFrom,tblLots[[#This Row],[Date]]&lt;=FTo,OR(DashLine="",tblLots[[#This Row],[Line]]=DashLine)),tblLots[[#This Row],[Date]],""))</f>
        <v>46309</v>
      </c>
      <c r="N112"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2" s="33" t="s">
        <v>103</v>
      </c>
    </row>
    <row r="113" spans="2:15">
      <c r="B113" s="35">
        <v>46309</v>
      </c>
      <c r="C113" s="28" t="s">
        <v>79</v>
      </c>
      <c r="D113" s="28" t="s">
        <v>85</v>
      </c>
      <c r="E113" s="29">
        <v>140</v>
      </c>
      <c r="F113" s="29">
        <v>31</v>
      </c>
      <c r="G113" s="36">
        <f>IF(tblLots[[#This Row],[Date]]="","",IFERROR(INDEX(tblProducts[Opportunities per unit],MATCH(tblLots[[#This Row],[Product]],tblProducts[Product],0)),""))</f>
        <v>960</v>
      </c>
      <c r="H113" s="36">
        <f>IF(tblLots[[#This Row],[Date]]="","",IF(tblLots[[#This Row],[Opportunities per unit]]="","",tblLots[[#This Row],[Units inspected]]*tblLots[[#This Row],[Opportunities per unit]]))</f>
        <v>134400</v>
      </c>
      <c r="I113" s="37">
        <f>IF(tblLots[[#This Row],[Date]]="","",IF(tblLots[[#This Row],[Units inspected]]&gt;0,tblLots[[#This Row],[Defects found]]/tblLots[[#This Row],[Units inspected]],""))</f>
        <v>0.221428571428571</v>
      </c>
      <c r="J113" s="36">
        <f>IF(tblLots[[#This Row],[Date]]="","",IF(N(tblLots[[#This Row],[Opportunities]])&gt;0,tblLots[[#This Row],[Defects found]]/tblLots[[#This Row],[Opportunities]]*1000000,""))</f>
        <v>230.654761904762</v>
      </c>
      <c r="K113" s="38">
        <f>IF(tblLots[[#This Row],[Date]]="","",IF(AND(N(tblLots[[#This Row],[Opportunities]])&gt;0,tblLots[[#This Row],[Defects found]]&gt;0,tblLots[[#This Row],[Defects found]]&lt;tblLots[[#This Row],[Opportunities]]),-_xlfn.NORM.S.INV(tblLots[[#This Row],[Defects found]]/tblLots[[#This Row],[Opportunities]])+ReportShift,""))</f>
        <v>5.00227136038775</v>
      </c>
      <c r="L113" s="39" t="str">
        <f>IF(NOT(ISNUMBER(tblLots[[#This Row],[DPMO]])),"",IF(tblLots[[#This Row],[DPMO]]&lt;=TargetDpmo,"On target",IF(tblLots[[#This Row],[DPMO]]&lt;=TargetDpmo*(1+0.05),"Near target","Above target")))</f>
        <v>On target</v>
      </c>
      <c r="M113" s="40">
        <f>IF(tblLots[[#This Row],[Date]]="","",IF(AND(tblLots[[#This Row],[Date]]&gt;=FFrom,tblLots[[#This Row],[Date]]&lt;=FTo,OR(DashLine="",tblLots[[#This Row],[Line]]=DashLine)),tblLots[[#This Row],[Date]],""))</f>
        <v>46309</v>
      </c>
      <c r="N113"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3" s="33" t="s">
        <v>103</v>
      </c>
    </row>
    <row r="114" spans="2:15">
      <c r="B114" s="35">
        <v>46310</v>
      </c>
      <c r="C114" s="28" t="s">
        <v>75</v>
      </c>
      <c r="D114" s="28" t="s">
        <v>89</v>
      </c>
      <c r="E114" s="29">
        <v>300</v>
      </c>
      <c r="F114" s="29">
        <v>126</v>
      </c>
      <c r="G114" s="36">
        <f>IF(tblLots[[#This Row],[Date]]="","",IFERROR(INDEX(tblProducts[Opportunities per unit],MATCH(tblLots[[#This Row],[Product]],tblProducts[Product],0)),""))</f>
        <v>2380</v>
      </c>
      <c r="H114" s="36">
        <f>IF(tblLots[[#This Row],[Date]]="","",IF(tblLots[[#This Row],[Opportunities per unit]]="","",tblLots[[#This Row],[Units inspected]]*tblLots[[#This Row],[Opportunities per unit]]))</f>
        <v>714000</v>
      </c>
      <c r="I114" s="37">
        <f>IF(tblLots[[#This Row],[Date]]="","",IF(tblLots[[#This Row],[Units inspected]]&gt;0,tblLots[[#This Row],[Defects found]]/tblLots[[#This Row],[Units inspected]],""))</f>
        <v>0.42</v>
      </c>
      <c r="J114" s="36">
        <f>IF(tblLots[[#This Row],[Date]]="","",IF(N(tblLots[[#This Row],[Opportunities]])&gt;0,tblLots[[#This Row],[Defects found]]/tblLots[[#This Row],[Opportunities]]*1000000,""))</f>
        <v>176.470588235294</v>
      </c>
      <c r="K114" s="38">
        <f>IF(tblLots[[#This Row],[Date]]="","",IF(AND(N(tblLots[[#This Row],[Opportunities]])&gt;0,tblLots[[#This Row],[Defects found]]&gt;0,tblLots[[#This Row],[Defects found]]&lt;tblLots[[#This Row],[Opportunities]]),-_xlfn.NORM.S.INV(tblLots[[#This Row],[Defects found]]/tblLots[[#This Row],[Opportunities]])+ReportShift,""))</f>
        <v>5.07298040817097</v>
      </c>
      <c r="L114" s="39" t="str">
        <f>IF(NOT(ISNUMBER(tblLots[[#This Row],[DPMO]])),"",IF(tblLots[[#This Row],[DPMO]]&lt;=TargetDpmo,"On target",IF(tblLots[[#This Row],[DPMO]]&lt;=TargetDpmo*(1+0.05),"Near target","Above target")))</f>
        <v>On target</v>
      </c>
      <c r="M114" s="40">
        <f>IF(tblLots[[#This Row],[Date]]="","",IF(AND(tblLots[[#This Row],[Date]]&gt;=FFrom,tblLots[[#This Row],[Date]]&lt;=FTo,OR(DashLine="",tblLots[[#This Row],[Line]]=DashLine)),tblLots[[#This Row],[Date]],""))</f>
        <v>46310</v>
      </c>
      <c r="N114"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4" s="33" t="s">
        <v>103</v>
      </c>
    </row>
    <row r="115" spans="2:15">
      <c r="B115" s="35">
        <v>46310</v>
      </c>
      <c r="C115" s="28" t="s">
        <v>77</v>
      </c>
      <c r="D115" s="28" t="s">
        <v>85</v>
      </c>
      <c r="E115" s="29">
        <v>320</v>
      </c>
      <c r="F115" s="29">
        <v>54</v>
      </c>
      <c r="G115" s="36">
        <f>IF(tblLots[[#This Row],[Date]]="","",IFERROR(INDEX(tblProducts[Opportunities per unit],MATCH(tblLots[[#This Row],[Product]],tblProducts[Product],0)),""))</f>
        <v>960</v>
      </c>
      <c r="H115" s="36">
        <f>IF(tblLots[[#This Row],[Date]]="","",IF(tblLots[[#This Row],[Opportunities per unit]]="","",tblLots[[#This Row],[Units inspected]]*tblLots[[#This Row],[Opportunities per unit]]))</f>
        <v>307200</v>
      </c>
      <c r="I115" s="37">
        <f>IF(tblLots[[#This Row],[Date]]="","",IF(tblLots[[#This Row],[Units inspected]]&gt;0,tblLots[[#This Row],[Defects found]]/tblLots[[#This Row],[Units inspected]],""))</f>
        <v>0.16875</v>
      </c>
      <c r="J115" s="36">
        <f>IF(tblLots[[#This Row],[Date]]="","",IF(N(tblLots[[#This Row],[Opportunities]])&gt;0,tblLots[[#This Row],[Defects found]]/tblLots[[#This Row],[Opportunities]]*1000000,""))</f>
        <v>175.78125</v>
      </c>
      <c r="K115" s="38">
        <f>IF(tblLots[[#This Row],[Date]]="","",IF(AND(N(tblLots[[#This Row],[Opportunities]])&gt;0,tblLots[[#This Row],[Defects found]]&gt;0,tblLots[[#This Row],[Defects found]]&lt;tblLots[[#This Row],[Opportunities]]),-_xlfn.NORM.S.INV(tblLots[[#This Row],[Defects found]]/tblLots[[#This Row],[Opportunities]])+ReportShift,""))</f>
        <v>5.07400478472458</v>
      </c>
      <c r="L115" s="39" t="str">
        <f>IF(NOT(ISNUMBER(tblLots[[#This Row],[DPMO]])),"",IF(tblLots[[#This Row],[DPMO]]&lt;=TargetDpmo,"On target",IF(tblLots[[#This Row],[DPMO]]&lt;=TargetDpmo*(1+0.05),"Near target","Above target")))</f>
        <v>On target</v>
      </c>
      <c r="M115" s="40">
        <f>IF(tblLots[[#This Row],[Date]]="","",IF(AND(tblLots[[#This Row],[Date]]&gt;=FFrom,tblLots[[#This Row],[Date]]&lt;=FTo,OR(DashLine="",tblLots[[#This Row],[Line]]=DashLine)),tblLots[[#This Row],[Date]],""))</f>
        <v>46310</v>
      </c>
      <c r="N115"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5" s="33" t="s">
        <v>103</v>
      </c>
    </row>
    <row r="116" spans="2:15">
      <c r="B116" s="35">
        <v>46310</v>
      </c>
      <c r="C116" s="28" t="s">
        <v>77</v>
      </c>
      <c r="D116" s="28" t="s">
        <v>83</v>
      </c>
      <c r="E116" s="29">
        <v>230</v>
      </c>
      <c r="F116" s="29">
        <v>82</v>
      </c>
      <c r="G116" s="36">
        <f>IF(tblLots[[#This Row],[Date]]="","",IFERROR(INDEX(tblProducts[Opportunities per unit],MATCH(tblLots[[#This Row],[Product]],tblProducts[Product],0)),""))</f>
        <v>1840</v>
      </c>
      <c r="H116" s="36">
        <f>IF(tblLots[[#This Row],[Date]]="","",IF(tblLots[[#This Row],[Opportunities per unit]]="","",tblLots[[#This Row],[Units inspected]]*tblLots[[#This Row],[Opportunities per unit]]))</f>
        <v>423200</v>
      </c>
      <c r="I116" s="37">
        <f>IF(tblLots[[#This Row],[Date]]="","",IF(tblLots[[#This Row],[Units inspected]]&gt;0,tblLots[[#This Row],[Defects found]]/tblLots[[#This Row],[Units inspected]],""))</f>
        <v>0.356521739130435</v>
      </c>
      <c r="J116" s="36">
        <f>IF(tblLots[[#This Row],[Date]]="","",IF(N(tblLots[[#This Row],[Opportunities]])&gt;0,tblLots[[#This Row],[Defects found]]/tblLots[[#This Row],[Opportunities]]*1000000,""))</f>
        <v>193.761814744802</v>
      </c>
      <c r="K116" s="38">
        <f>IF(tblLots[[#This Row],[Date]]="","",IF(AND(N(tblLots[[#This Row],[Opportunities]])&gt;0,tblLots[[#This Row],[Defects found]]&gt;0,tblLots[[#This Row],[Defects found]]&lt;tblLots[[#This Row],[Opportunities]]),-_xlfn.NORM.S.INV(tblLots[[#This Row],[Defects found]]/tblLots[[#This Row],[Opportunities]])+ReportShift,""))</f>
        <v>5.04843772111628</v>
      </c>
      <c r="L116" s="39" t="str">
        <f>IF(NOT(ISNUMBER(tblLots[[#This Row],[DPMO]])),"",IF(tblLots[[#This Row],[DPMO]]&lt;=TargetDpmo,"On target",IF(tblLots[[#This Row],[DPMO]]&lt;=TargetDpmo*(1+0.05),"Near target","Above target")))</f>
        <v>On target</v>
      </c>
      <c r="M116" s="40">
        <f>IF(tblLots[[#This Row],[Date]]="","",IF(AND(tblLots[[#This Row],[Date]]&gt;=FFrom,tblLots[[#This Row],[Date]]&lt;=FTo,OR(DashLine="",tblLots[[#This Row],[Line]]=DashLine)),tblLots[[#This Row],[Date]],""))</f>
        <v>46310</v>
      </c>
      <c r="N116"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6" s="33" t="s">
        <v>103</v>
      </c>
    </row>
    <row r="117" spans="2:15">
      <c r="B117" s="35">
        <v>46310</v>
      </c>
      <c r="C117" s="28" t="s">
        <v>79</v>
      </c>
      <c r="D117" s="28" t="s">
        <v>89</v>
      </c>
      <c r="E117" s="29">
        <v>110</v>
      </c>
      <c r="F117" s="29">
        <v>43</v>
      </c>
      <c r="G117" s="36">
        <f>IF(tblLots[[#This Row],[Date]]="","",IFERROR(INDEX(tblProducts[Opportunities per unit],MATCH(tblLots[[#This Row],[Product]],tblProducts[Product],0)),""))</f>
        <v>2380</v>
      </c>
      <c r="H117" s="36">
        <f>IF(tblLots[[#This Row],[Date]]="","",IF(tblLots[[#This Row],[Opportunities per unit]]="","",tblLots[[#This Row],[Units inspected]]*tblLots[[#This Row],[Opportunities per unit]]))</f>
        <v>261800</v>
      </c>
      <c r="I117" s="37">
        <f>IF(tblLots[[#This Row],[Date]]="","",IF(tblLots[[#This Row],[Units inspected]]&gt;0,tblLots[[#This Row],[Defects found]]/tblLots[[#This Row],[Units inspected]],""))</f>
        <v>0.390909090909091</v>
      </c>
      <c r="J117" s="36">
        <f>IF(tblLots[[#This Row],[Date]]="","",IF(N(tblLots[[#This Row],[Opportunities]])&gt;0,tblLots[[#This Row],[Defects found]]/tblLots[[#This Row],[Opportunities]]*1000000,""))</f>
        <v>164.247517188694</v>
      </c>
      <c r="K117" s="38">
        <f>IF(tblLots[[#This Row],[Date]]="","",IF(AND(N(tblLots[[#This Row],[Opportunities]])&gt;0,tblLots[[#This Row],[Defects found]]&gt;0,tblLots[[#This Row],[Defects found]]&lt;tblLots[[#This Row],[Opportunities]]),-_xlfn.NORM.S.INV(tblLots[[#This Row],[Defects found]]/tblLots[[#This Row],[Opportunities]])+ReportShift,""))</f>
        <v>5.0917260748181</v>
      </c>
      <c r="L117" s="39" t="str">
        <f>IF(NOT(ISNUMBER(tblLots[[#This Row],[DPMO]])),"",IF(tblLots[[#This Row],[DPMO]]&lt;=TargetDpmo,"On target",IF(tblLots[[#This Row],[DPMO]]&lt;=TargetDpmo*(1+0.05),"Near target","Above target")))</f>
        <v>On target</v>
      </c>
      <c r="M117" s="40">
        <f>IF(tblLots[[#This Row],[Date]]="","",IF(AND(tblLots[[#This Row],[Date]]&gt;=FFrom,tblLots[[#This Row],[Date]]&lt;=FTo,OR(DashLine="",tblLots[[#This Row],[Line]]=DashLine)),tblLots[[#This Row],[Date]],""))</f>
        <v>46310</v>
      </c>
      <c r="N117"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7" s="33" t="s">
        <v>103</v>
      </c>
    </row>
    <row r="118" spans="2:15">
      <c r="B118" s="35">
        <v>46311</v>
      </c>
      <c r="C118" s="28" t="s">
        <v>75</v>
      </c>
      <c r="D118" s="28" t="s">
        <v>91</v>
      </c>
      <c r="E118" s="29">
        <v>390</v>
      </c>
      <c r="F118" s="29">
        <v>69</v>
      </c>
      <c r="G118" s="36">
        <f>IF(tblLots[[#This Row],[Date]]="","",IFERROR(INDEX(tblProducts[Opportunities per unit],MATCH(tblLots[[#This Row],[Product]],tblProducts[Product],0)),""))</f>
        <v>1210</v>
      </c>
      <c r="H118" s="36">
        <f>IF(tblLots[[#This Row],[Date]]="","",IF(tblLots[[#This Row],[Opportunities per unit]]="","",tblLots[[#This Row],[Units inspected]]*tblLots[[#This Row],[Opportunities per unit]]))</f>
        <v>471900</v>
      </c>
      <c r="I118" s="37">
        <f>IF(tblLots[[#This Row],[Date]]="","",IF(tblLots[[#This Row],[Units inspected]]&gt;0,tblLots[[#This Row],[Defects found]]/tblLots[[#This Row],[Units inspected]],""))</f>
        <v>0.176923076923077</v>
      </c>
      <c r="J118" s="36">
        <f>IF(tblLots[[#This Row],[Date]]="","",IF(N(tblLots[[#This Row],[Opportunities]])&gt;0,tblLots[[#This Row],[Defects found]]/tblLots[[#This Row],[Opportunities]]*1000000,""))</f>
        <v>146.217418944692</v>
      </c>
      <c r="K118" s="38">
        <f>IF(tblLots[[#This Row],[Date]]="","",IF(AND(N(tblLots[[#This Row],[Opportunities]])&gt;0,tblLots[[#This Row],[Defects found]]&gt;0,tblLots[[#This Row],[Defects found]]&lt;tblLots[[#This Row],[Opportunities]]),-_xlfn.NORM.S.INV(tblLots[[#This Row],[Defects found]]/tblLots[[#This Row],[Opportunities]])+ReportShift,""))</f>
        <v>5.12191091194686</v>
      </c>
      <c r="L118" s="39" t="str">
        <f>IF(NOT(ISNUMBER(tblLots[[#This Row],[DPMO]])),"",IF(tblLots[[#This Row],[DPMO]]&lt;=TargetDpmo,"On target",IF(tblLots[[#This Row],[DPMO]]&lt;=TargetDpmo*(1+0.05),"Near target","Above target")))</f>
        <v>On target</v>
      </c>
      <c r="M118" s="40">
        <f>IF(tblLots[[#This Row],[Date]]="","",IF(AND(tblLots[[#This Row],[Date]]&gt;=FFrom,tblLots[[#This Row],[Date]]&lt;=FTo,OR(DashLine="",tblLots[[#This Row],[Line]]=DashLine)),tblLots[[#This Row],[Date]],""))</f>
        <v>46311</v>
      </c>
      <c r="N118"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8" s="33" t="s">
        <v>103</v>
      </c>
    </row>
    <row r="119" spans="2:15">
      <c r="B119" s="35">
        <v>46311</v>
      </c>
      <c r="C119" s="28" t="s">
        <v>77</v>
      </c>
      <c r="D119" s="28" t="s">
        <v>83</v>
      </c>
      <c r="E119" s="29">
        <v>220</v>
      </c>
      <c r="F119" s="29">
        <v>89</v>
      </c>
      <c r="G119" s="36">
        <f>IF(tblLots[[#This Row],[Date]]="","",IFERROR(INDEX(tblProducts[Opportunities per unit],MATCH(tblLots[[#This Row],[Product]],tblProducts[Product],0)),""))</f>
        <v>1840</v>
      </c>
      <c r="H119" s="36">
        <f>IF(tblLots[[#This Row],[Date]]="","",IF(tblLots[[#This Row],[Opportunities per unit]]="","",tblLots[[#This Row],[Units inspected]]*tblLots[[#This Row],[Opportunities per unit]]))</f>
        <v>404800</v>
      </c>
      <c r="I119" s="37">
        <f>IF(tblLots[[#This Row],[Date]]="","",IF(tblLots[[#This Row],[Units inspected]]&gt;0,tblLots[[#This Row],[Defects found]]/tblLots[[#This Row],[Units inspected]],""))</f>
        <v>0.404545454545455</v>
      </c>
      <c r="J119" s="36">
        <f>IF(tblLots[[#This Row],[Date]]="","",IF(N(tblLots[[#This Row],[Opportunities]])&gt;0,tblLots[[#This Row],[Defects found]]/tblLots[[#This Row],[Opportunities]]*1000000,""))</f>
        <v>219.861660079051</v>
      </c>
      <c r="K119" s="38">
        <f>IF(tblLots[[#This Row],[Date]]="","",IF(AND(N(tblLots[[#This Row],[Opportunities]])&gt;0,tblLots[[#This Row],[Defects found]]&gt;0,tblLots[[#This Row],[Defects found]]&lt;tblLots[[#This Row],[Opportunities]]),-_xlfn.NORM.S.INV(tblLots[[#This Row],[Defects found]]/tblLots[[#This Row],[Opportunities]])+ReportShift,""))</f>
        <v>5.01501852098719</v>
      </c>
      <c r="L119" s="39" t="str">
        <f>IF(NOT(ISNUMBER(tblLots[[#This Row],[DPMO]])),"",IF(tblLots[[#This Row],[DPMO]]&lt;=TargetDpmo,"On target",IF(tblLots[[#This Row],[DPMO]]&lt;=TargetDpmo*(1+0.05),"Near target","Above target")))</f>
        <v>On target</v>
      </c>
      <c r="M119" s="40">
        <f>IF(tblLots[[#This Row],[Date]]="","",IF(AND(tblLots[[#This Row],[Date]]&gt;=FFrom,tblLots[[#This Row],[Date]]&lt;=FTo,OR(DashLine="",tblLots[[#This Row],[Line]]=DashLine)),tblLots[[#This Row],[Date]],""))</f>
        <v>46311</v>
      </c>
      <c r="N119"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19" s="33" t="s">
        <v>103</v>
      </c>
    </row>
    <row r="120" spans="2:15">
      <c r="B120" s="35">
        <v>46311</v>
      </c>
      <c r="C120" s="28" t="s">
        <v>77</v>
      </c>
      <c r="D120" s="28" t="s">
        <v>91</v>
      </c>
      <c r="E120" s="29">
        <v>220</v>
      </c>
      <c r="F120" s="29">
        <v>44</v>
      </c>
      <c r="G120" s="36">
        <f>IF(tblLots[[#This Row],[Date]]="","",IFERROR(INDEX(tblProducts[Opportunities per unit],MATCH(tblLots[[#This Row],[Product]],tblProducts[Product],0)),""))</f>
        <v>1210</v>
      </c>
      <c r="H120" s="36">
        <f>IF(tblLots[[#This Row],[Date]]="","",IF(tblLots[[#This Row],[Opportunities per unit]]="","",tblLots[[#This Row],[Units inspected]]*tblLots[[#This Row],[Opportunities per unit]]))</f>
        <v>266200</v>
      </c>
      <c r="I120" s="37">
        <f>IF(tblLots[[#This Row],[Date]]="","",IF(tblLots[[#This Row],[Units inspected]]&gt;0,tblLots[[#This Row],[Defects found]]/tblLots[[#This Row],[Units inspected]],""))</f>
        <v>0.2</v>
      </c>
      <c r="J120" s="36">
        <f>IF(tblLots[[#This Row],[Date]]="","",IF(N(tblLots[[#This Row],[Opportunities]])&gt;0,tblLots[[#This Row],[Defects found]]/tblLots[[#This Row],[Opportunities]]*1000000,""))</f>
        <v>165.289256198347</v>
      </c>
      <c r="K120" s="38">
        <f>IF(tblLots[[#This Row],[Date]]="","",IF(AND(N(tblLots[[#This Row],[Opportunities]])&gt;0,tblLots[[#This Row],[Defects found]]&gt;0,tblLots[[#This Row],[Defects found]]&lt;tblLots[[#This Row],[Opportunities]]),-_xlfn.NORM.S.INV(tblLots[[#This Row],[Defects found]]/tblLots[[#This Row],[Opportunities]])+ReportShift,""))</f>
        <v>5.09007840378418</v>
      </c>
      <c r="L120" s="39" t="str">
        <f>IF(NOT(ISNUMBER(tblLots[[#This Row],[DPMO]])),"",IF(tblLots[[#This Row],[DPMO]]&lt;=TargetDpmo,"On target",IF(tblLots[[#This Row],[DPMO]]&lt;=TargetDpmo*(1+0.05),"Near target","Above target")))</f>
        <v>On target</v>
      </c>
      <c r="M120" s="40">
        <f>IF(tblLots[[#This Row],[Date]]="","",IF(AND(tblLots[[#This Row],[Date]]&gt;=FFrom,tblLots[[#This Row],[Date]]&lt;=FTo,OR(DashLine="",tblLots[[#This Row],[Line]]=DashLine)),tblLots[[#This Row],[Date]],""))</f>
        <v>46311</v>
      </c>
      <c r="N120"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20" s="33" t="s">
        <v>103</v>
      </c>
    </row>
    <row r="121" spans="2:15">
      <c r="B121" s="35">
        <v>46311</v>
      </c>
      <c r="C121" s="28" t="s">
        <v>79</v>
      </c>
      <c r="D121" s="28" t="s">
        <v>87</v>
      </c>
      <c r="E121" s="29">
        <v>230</v>
      </c>
      <c r="F121" s="29">
        <v>24</v>
      </c>
      <c r="G121" s="36">
        <f>IF(tblLots[[#This Row],[Date]]="","",IFERROR(INDEX(tblProducts[Opportunities per unit],MATCH(tblLots[[#This Row],[Product]],tblProducts[Product],0)),""))</f>
        <v>520</v>
      </c>
      <c r="H121" s="36">
        <f>IF(tblLots[[#This Row],[Date]]="","",IF(tblLots[[#This Row],[Opportunities per unit]]="","",tblLots[[#This Row],[Units inspected]]*tblLots[[#This Row],[Opportunities per unit]]))</f>
        <v>119600</v>
      </c>
      <c r="I121" s="37">
        <f>IF(tblLots[[#This Row],[Date]]="","",IF(tblLots[[#This Row],[Units inspected]]&gt;0,tblLots[[#This Row],[Defects found]]/tblLots[[#This Row],[Units inspected]],""))</f>
        <v>0.104347826086957</v>
      </c>
      <c r="J121" s="36">
        <f>IF(tblLots[[#This Row],[Date]]="","",IF(N(tblLots[[#This Row],[Opportunities]])&gt;0,tblLots[[#This Row],[Defects found]]/tblLots[[#This Row],[Opportunities]]*1000000,""))</f>
        <v>200.66889632107</v>
      </c>
      <c r="K121" s="38">
        <f>IF(tblLots[[#This Row],[Date]]="","",IF(AND(N(tblLots[[#This Row],[Opportunities]])&gt;0,tblLots[[#This Row],[Defects found]]&gt;0,tblLots[[#This Row],[Defects found]]&lt;tblLots[[#This Row],[Opportunities]]),-_xlfn.NORM.S.INV(tblLots[[#This Row],[Defects found]]/tblLots[[#This Row],[Opportunities]])+ReportShift,""))</f>
        <v>5.03920254260746</v>
      </c>
      <c r="L121" s="39" t="str">
        <f>IF(NOT(ISNUMBER(tblLots[[#This Row],[DPMO]])),"",IF(tblLots[[#This Row],[DPMO]]&lt;=TargetDpmo,"On target",IF(tblLots[[#This Row],[DPMO]]&lt;=TargetDpmo*(1+0.05),"Near target","Above target")))</f>
        <v>On target</v>
      </c>
      <c r="M121" s="40">
        <f>IF(tblLots[[#This Row],[Date]]="","",IF(AND(tblLots[[#This Row],[Date]]&gt;=FFrom,tblLots[[#This Row],[Date]]&lt;=FTo,OR(DashLine="",tblLots[[#This Row],[Line]]=DashLine)),tblLots[[#This Row],[Date]],""))</f>
        <v>46311</v>
      </c>
      <c r="N121" s="41" t="str">
        <f>IF(tblLots[[#This Row],[Date]]="","",IF(tblLots[[#This Row],[Line]]="","Missing line",IF(tblLots[[#This Row],[Product]]="","Missing product",IF(tblLots[[#This Row],[Units inspected]]="","Missing units inspected",IF(tblLots[[#This Row],[Defects found]]="","Missing defects found",IF(tblLots[[#This Row],[Opportunities per unit]]="","Product not on Setup list",IF(tblLots[[#This Row],[Defects found]]&gt;tblLots[[#This Row],[Opportunities]],"Defects &gt; opportunities",IF(COUNTIFS(tblLots[Date],tblLots[[#This Row],[Date]],tblLots[Line],tblLots[[#This Row],[Line]],tblLots[Product],tblLots[[#This Row],[Product]],tblLots[Units inspected],tblLots[[#This Row],[Units inspected]])&gt;1,"Possible duplicate lot","OK"))))))))</f>
        <v>OK</v>
      </c>
      <c r="O121" s="33" t="s">
        <v>103</v>
      </c>
    </row>
  </sheetData>
  <mergeCells count="3">
    <mergeCell ref="A1:O1"/>
    <mergeCell ref="B2:N2"/>
    <mergeCell ref="B4:O4"/>
  </mergeCells>
  <conditionalFormatting sqref="J6:J621">
    <cfRule type="expression" dxfId="3" priority="1" stopIfTrue="1">
      <formula>AND(ISNUMBER(J6),J6&lt;=(TargetDpmo))</formula>
    </cfRule>
    <cfRule type="expression" dxfId="4" priority="2" stopIfTrue="1">
      <formula>AND(ISNUMBER(J6),J6&lt;=(TargetDpmo)*(1+0.05))</formula>
    </cfRule>
    <cfRule type="expression" dxfId="5" priority="3">
      <formula>ISNUMBER(J6)</formula>
    </cfRule>
  </conditionalFormatting>
  <conditionalFormatting sqref="L6:L621">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N6:N621">
    <cfRule type="expression" dxfId="3" priority="24">
      <formula>$N6="OK"</formula>
    </cfRule>
    <cfRule type="expression" dxfId="1" priority="25">
      <formula>AND($N6&lt;&gt;"",$N6&lt;&gt;"OK")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6:B621">
      <formula1>36526</formula1>
      <formula2>73415</formula2>
    </dataValidation>
    <dataValidation type="list" allowBlank="1" showInputMessage="1" showErrorMessage="1" errorTitle="Check this entry" error="Pick from the list (edit the list on Setup: Lines)." promptTitle="Line" prompt="Pick from the list (edit the list on Setup: Lines)." sqref="C6:C621">
      <formula1>Lines</formula1>
    </dataValidation>
    <dataValidation type="list" allowBlank="1" showInputMessage="1" showErrorMessage="1" errorTitle="Check this entry" error="Pick from the list (edit the list on Setup: Products)." promptTitle="Product" prompt="Pick from the list (edit the list on Setup: Products)." sqref="D6:D621">
      <formula1>Products</formula1>
    </dataValidation>
    <dataValidation type="whole" allowBlank="1" showInputMessage="1" showErrorMessage="1" errorTitle="Check this entry" error="Enter a whole number from 0 to 100,000,000." promptTitle="Units inspected" prompt="Units that went through the inspection (AOI, ICT, visual) in this lot. Enter a whole number from 0 to 100,000,000." sqref="E6:E621">
      <formula1>0</formula1>
      <formula2>100000000</formula2>
    </dataValidation>
    <dataValidation type="whole" allowBlank="1" showInputMessage="1" showErrorMessage="1" errorTitle="Check this entry" error="Enter a whole number of at least 0." promptTitle="Defects found" prompt="Defects, not defective units: a board with three bad joints counts 3. Enter a whole number of at least 0." sqref="F6:F621">
      <formula1>0</formula1>
      <formula2>1000000000</formula2>
    </dataValidation>
    <dataValidation type="textLength" allowBlank="1" showInputMessage="1" showErrorMessage="1" errorTitle="Check this entry" error="Text up to 255 characters." promptTitle="Notes" prompt="Text up to 255 characters." sqref="O6:O621">
      <formula1>0</formula1>
      <formula2>255</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DPMO and Sigma Level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60</v>
      </c>
      <c r="C4" s="28"/>
      <c r="D4" s="28"/>
      <c r="F4" s="27" t="s">
        <v>106</v>
      </c>
      <c r="G4" s="42"/>
      <c r="H4" s="42"/>
      <c r="J4" s="27" t="s">
        <v>107</v>
      </c>
      <c r="K4" s="42"/>
      <c r="L4" s="42"/>
    </row>
    <row r="5" spans="1:12">
      <c r="B5" s="43" t="str">
        <f>"Showing "&amp;COUNTIFS(tblLots[View date],"&gt;0")&amp;" lots at "&amp;PlantName&amp;". Leave the filters blank to include everything; dates are inclusive."</f>
        <v>Showing 116 lots at Brightwater Electronics (example). Leave the filters blank to include everything; dates are inclusive.</v>
      </c>
      <c r="C5" s="43"/>
      <c r="D5" s="43"/>
      <c r="E5" s="43"/>
      <c r="F5" s="43"/>
      <c r="G5" s="43"/>
      <c r="H5" s="43"/>
      <c r="I5" s="43"/>
      <c r="J5" s="43"/>
      <c r="K5" s="43"/>
      <c r="L5" s="43"/>
    </row>
    <row r="7" spans="1:12" ht="18" customHeight="1">
      <c r="B7" s="44" t="s">
        <v>69</v>
      </c>
      <c r="C7" s="44"/>
      <c r="D7" s="44" t="s">
        <v>108</v>
      </c>
      <c r="E7" s="44"/>
      <c r="F7" s="44"/>
      <c r="G7" s="44" t="s">
        <v>109</v>
      </c>
      <c r="H7" s="44"/>
      <c r="I7" s="44"/>
      <c r="J7" s="44" t="s">
        <v>110</v>
      </c>
      <c r="K7" s="44"/>
      <c r="L7" s="44"/>
    </row>
    <row r="8" spans="1:12" ht="21" customHeight="1">
      <c r="B8" s="45">
        <f>IF(SUMIFS(tblLots[Opportunities],tblLots[View date],"&gt;0")=0,"",SUMIFS(tblLots[Defects found],tblLots[View date],"&gt;0")/SUMIFS(tblLots[Opportunities],tblLots[View date],"&gt;0")*1000000)</f>
        <v>240.193953041753</v>
      </c>
      <c r="C8" s="45"/>
      <c r="D8" s="46">
        <f>IF(OR(SUMIFS(tblLots[Opportunities],tblLots[View date],"&gt;0")=0,SUMIFS(tblLots[Defects found],tblLots[View date],"&gt;0")=0,SUMIFS(tblLots[Defects found],tblLots[View date],"&gt;0")&gt;=SUMIFS(tblLots[Opportunities],tblLots[View date],"&gt;0")),"",-_xlfn.NORM.S.INV(SUMIFS(tblLots[Defects found],tblLots[View date],"&gt;0")/SUMIFS(tblLots[Opportunities],tblLots[View date],"&gt;0"))+ReportShift)</f>
        <v>4.99146026957851</v>
      </c>
      <c r="E8" s="46"/>
      <c r="F8" s="46"/>
      <c r="G8" s="47">
        <f>IF((SUMIFS(tblLots[Units inspected],tblLots[View date],"&gt;0"))=0,"",(SUMIFS(tblLots[Defects found],tblLots[View date],"&gt;0"))/(SUMIFS(tblLots[Units inspected],tblLots[View date],"&gt;0")))</f>
        <v>0.36211498973306</v>
      </c>
      <c r="H8" s="47"/>
      <c r="I8" s="47"/>
      <c r="J8" s="45">
        <f>SUMIFS(tblLots[Opportunities],tblLots[View date],"&gt;0")</f>
        <v>44051900</v>
      </c>
      <c r="K8" s="45"/>
      <c r="L8" s="45"/>
    </row>
    <row r="9" spans="1:12" ht="21" customHeight="1">
      <c r="B9" s="45"/>
      <c r="C9" s="45"/>
      <c r="D9" s="46"/>
      <c r="E9" s="46"/>
      <c r="F9" s="46"/>
      <c r="G9" s="47"/>
      <c r="H9" s="47"/>
      <c r="I9" s="47"/>
      <c r="J9" s="45"/>
      <c r="K9" s="45"/>
      <c r="L9" s="45"/>
    </row>
    <row r="10" spans="1:12">
      <c r="B10" s="48">
        <f>TargetDpmo</f>
        <v>300</v>
      </c>
      <c r="C10" s="48"/>
      <c r="D10" s="49" t="str">
        <f>IF(OR(SUMIFS(tblLots[Opportunities],tblLots[View date],"&gt;0")=0,SUMIFS(tblLots[Defects found],tblLots[View date],"&gt;0")=0),"No defects in view",IF(SUMIFS(tblLots[Defects found],tblLots[View date],"&gt;0")&gt;=SUMIFS(tblLots[Opportunities],tblLots[View date],"&gt;0"),"Defects reach the opportunities: check the log","Z "&amp;FIXED(-_xlfn.NORM.S.INV(SUMIFS(tblLots[Defects found],tblLots[View date],"&gt;0")/SUMIFS(tblLots[Opportunities],tblLots[View date],"&gt;0")),2,TRUE)&amp;" + shift "&amp;FIXED(ReportShift,1,TRUE)))</f>
        <v>Z 3.49 + shift 1.5</v>
      </c>
      <c r="E10" s="49"/>
      <c r="F10" s="49"/>
      <c r="G10" s="49" t="str">
        <f>FIXED(SUMIFS(tblLots[Defects found],tblLots[View date],"&gt;0"),0,FALSE)&amp;" defects in "&amp;FIXED(SUMIFS(tblLots[Units inspected],tblLots[View date],"&gt;0"),0,FALSE)&amp;" units"</f>
        <v>10,581 defects in 29,220 units</v>
      </c>
      <c r="H10" s="49"/>
      <c r="I10" s="49"/>
      <c r="J10" s="49" t="s">
        <v>111</v>
      </c>
      <c r="K10" s="49"/>
      <c r="L10" s="49"/>
    </row>
    <row r="11" spans="1:12" ht="18" customHeight="1">
      <c r="B11" s="50" t="str">
        <f>IF(NOT(ISNUMBER(KpiDpmo)),"No data",IF(KpiDpmo&lt;=(TargetDpmo),"On target",IF(KpiDpmo&lt;=(TargetDpmo)*(1+0.05),"Near target","Above target")))</f>
        <v>On target</v>
      </c>
      <c r="C11" s="50"/>
      <c r="D11" s="50"/>
      <c r="E11" s="50"/>
      <c r="F11" s="50"/>
      <c r="G11" s="50"/>
      <c r="H11" s="50"/>
      <c r="I11" s="50"/>
      <c r="J11" s="50"/>
      <c r="K11" s="50"/>
      <c r="L11" s="50"/>
    </row>
    <row r="29" spans="2:12" ht="18" customHeight="1">
      <c r="B29" s="44" t="s">
        <v>112</v>
      </c>
      <c r="C29" s="44"/>
      <c r="D29" s="44" t="s">
        <v>113</v>
      </c>
      <c r="E29" s="44"/>
      <c r="F29" s="44"/>
      <c r="G29" s="44" t="s">
        <v>114</v>
      </c>
      <c r="H29" s="44"/>
      <c r="I29" s="44"/>
      <c r="J29" s="44" t="s">
        <v>115</v>
      </c>
      <c r="K29" s="44"/>
      <c r="L29" s="44"/>
    </row>
    <row r="30" spans="2:12" ht="21" customHeight="1">
      <c r="B30" s="51" t="str">
        <f>IF(COUNT($H$62:$H$64)=0,"None in view",INDEX($B$62:$B$64,MATCH(MAX($H$62:$H$64),$H$62:$H$64,0)))</f>
        <v>SMT 3</v>
      </c>
      <c r="C30" s="51"/>
      <c r="D30" s="51" t="str">
        <f>IF(COUNT($H$68:$H$72)=0,"None in view",INDEX($B$68:$B$72,MATCH(MAX($H$68:$H$72),$H$68:$H$72,0)))</f>
        <v>SNS-8 sensor board</v>
      </c>
      <c r="E30" s="51"/>
      <c r="F30" s="51"/>
      <c r="G30" s="45">
        <f>COUNTIFS(tblLots[View date],"&gt;0")</f>
        <v>116</v>
      </c>
      <c r="H30" s="45"/>
      <c r="I30" s="45"/>
      <c r="J30" s="52">
        <f>IF((COUNTIFS(tblLots[View date],"&gt;0"))=0,"",(COUNTIFS(tblLots[View date],"&gt;0",tblLots[DPMO],"&gt;"&amp;TargetDpmo))/(COUNTIFS(tblLots[View date],"&gt;0")))</f>
        <v>0.232758620689655</v>
      </c>
      <c r="K30" s="52"/>
      <c r="L30" s="52"/>
    </row>
    <row r="31" spans="2:12" ht="21" customHeight="1">
      <c r="B31" s="51"/>
      <c r="C31" s="51"/>
      <c r="D31" s="51"/>
      <c r="E31" s="51"/>
      <c r="F31" s="51"/>
      <c r="G31" s="45"/>
      <c r="H31" s="45"/>
      <c r="I31" s="45"/>
      <c r="J31" s="52"/>
      <c r="K31" s="52"/>
      <c r="L31" s="52"/>
    </row>
    <row r="32" spans="2:12">
      <c r="B32" s="49" t="str">
        <f>IF(COUNT($H$62:$H$64)=0,"",FIXED(MAX($H$62:$H$64),0,FALSE)&amp;" DPMO, see the line chart")</f>
        <v>329 DPMO, see the line chart</v>
      </c>
      <c r="C32" s="49"/>
      <c r="D32" s="49" t="str">
        <f>IF(COUNT($H$68:$H$72)=0,"",FIXED(MAX($H$68:$H$72),0,FALSE)&amp;" DPMO, see the product chart")</f>
        <v>322 DPMO, see the product chart</v>
      </c>
      <c r="E32" s="49"/>
      <c r="F32" s="49"/>
      <c r="G32" s="49" t="str">
        <f>FIXED(SUMIFS(tblLots[Units inspected],tblLots[View date],"&gt;0"),0,FALSE)&amp;" units"</f>
        <v>29,220 units</v>
      </c>
      <c r="H32" s="49"/>
      <c r="I32" s="49"/>
      <c r="J32" s="49" t="str">
        <f>COUNTIFS(tblLots[View date],"&gt;0",tblLots[DPMO],"&gt;"&amp;TargetDpmo)&amp;" of "&amp;COUNTIFS(tblLots[View date],"&gt;0")&amp;" lots over the DPMO target"</f>
        <v>27 of 116 lots over the DPMO target</v>
      </c>
      <c r="K32" s="49"/>
      <c r="L32" s="49"/>
    </row>
    <row r="33" spans="2:12" ht="18" customHeight="1">
      <c r="B33" s="50"/>
      <c r="C33" s="50"/>
      <c r="D33" s="50"/>
      <c r="E33" s="50"/>
      <c r="F33" s="50"/>
      <c r="G33" s="50"/>
      <c r="H33" s="50"/>
      <c r="I33" s="50"/>
      <c r="J33" s="50"/>
      <c r="K33" s="50"/>
      <c r="L33" s="50"/>
    </row>
    <row r="51" spans="2:10">
      <c r="B51" s="31" t="s">
        <v>116</v>
      </c>
      <c r="C51" s="31"/>
      <c r="D51" s="31"/>
      <c r="E51" s="31"/>
      <c r="F51" s="31"/>
      <c r="G51" s="31"/>
      <c r="H51" s="31"/>
      <c r="I51" s="31"/>
      <c r="J51" s="31"/>
    </row>
    <row r="52" spans="2:10" ht="20" customHeight="1">
      <c r="B52" s="53" t="s">
        <v>117</v>
      </c>
      <c r="C52" s="32" t="s">
        <v>118</v>
      </c>
      <c r="D52" s="32" t="s">
        <v>119</v>
      </c>
      <c r="E52" s="32" t="s">
        <v>96</v>
      </c>
      <c r="F52" s="32"/>
      <c r="G52" s="32" t="s">
        <v>97</v>
      </c>
      <c r="H52" s="32" t="s">
        <v>69</v>
      </c>
      <c r="I52" s="32" t="s">
        <v>120</v>
      </c>
      <c r="J52" s="32" t="s">
        <v>98</v>
      </c>
    </row>
    <row r="53" spans="2:10">
      <c r="B53" s="54">
        <f>IF($B$54="","",IF($B$54-1&lt;MIN(tblLots[View date]),"",$B$54-7))</f>
        <v>46272</v>
      </c>
      <c r="C53" s="36">
        <f>IF($B$53="","",SUMIFS(tblLots[Units inspected],tblLots[View date],"&gt;="&amp;$B$53,tblLots[View date],"&lt;"&amp;$B$53+7))</f>
        <v>5090</v>
      </c>
      <c r="D53" s="36">
        <f>IF($B$53="","",SUMIFS(tblLots[Defects found],tblLots[View date],"&gt;="&amp;$B$53,tblLots[View date],"&lt;"&amp;$B$53+7))</f>
        <v>1387</v>
      </c>
      <c r="E53" s="36">
        <f>IF($B$53="","",SUMIFS(tblLots[Opportunities],tblLots[View date],"&gt;="&amp;$B$53,tblLots[View date],"&lt;"&amp;$B$53+7))</f>
        <v>7341300</v>
      </c>
      <c r="F53" s="36"/>
      <c r="G53" s="37">
        <f>IF($B$53="","",IF(($C$53)=0,"",($D$53)/($C$53)))</f>
        <v>0.272495088408644</v>
      </c>
      <c r="H53" s="36">
        <f>IF($B$53="","",IF(($E$53)=0,"",($D$53*1000000)/($E$53)))</f>
        <v>188.931115742443</v>
      </c>
      <c r="I53" s="55">
        <f>TargetDpmo</f>
        <v>300</v>
      </c>
      <c r="J53" s="38">
        <f>IF($B$53="","",IF(OR(N($E$53)=0,N($D$53)=0,N($D$53)&gt;=N($E$53)),"",-_xlfn.NORM.S.INV($D$53/$E$53)+ReportShift))</f>
        <v>5.05508130050846</v>
      </c>
    </row>
    <row r="54" spans="2:10">
      <c r="B54" s="54">
        <f>IF($B$55="","",IF($B$55-1&lt;MIN(tblLots[View date]),"",$B$55-7))</f>
        <v>46279</v>
      </c>
      <c r="C54" s="36">
        <f>IF($B$54="","",SUMIFS(tblLots[Units inspected],tblLots[View date],"&gt;="&amp;$B$54,tblLots[View date],"&lt;"&amp;$B$54+7))</f>
        <v>5660</v>
      </c>
      <c r="D54" s="36">
        <f>IF($B$54="","",SUMIFS(tblLots[Defects found],tblLots[View date],"&gt;="&amp;$B$54,tblLots[View date],"&lt;"&amp;$B$54+7))</f>
        <v>3532</v>
      </c>
      <c r="E54" s="36">
        <f>IF($B$54="","",SUMIFS(tblLots[Opportunities],tblLots[View date],"&gt;="&amp;$B$54,tblLots[View date],"&lt;"&amp;$B$54+7))</f>
        <v>8693600</v>
      </c>
      <c r="F54" s="36"/>
      <c r="G54" s="37">
        <f>IF($B$54="","",IF(($C$54)=0,"",($D$54)/($C$54)))</f>
        <v>0.624028268551237</v>
      </c>
      <c r="H54" s="36">
        <f>IF($B$54="","",IF(($E$54)=0,"",($D$54*1000000)/($E$54)))</f>
        <v>406.275881107942</v>
      </c>
      <c r="I54" s="55">
        <f>TargetDpmo</f>
        <v>300</v>
      </c>
      <c r="J54" s="38">
        <f>IF($B$54="","",IF(OR(N($E$54)=0,N($D$54)=0,N($D$54)&gt;=N($E$54)),"",-_xlfn.NORM.S.INV($D$54/$E$54)+ReportShift))</f>
        <v>4.84848330486563</v>
      </c>
    </row>
    <row r="55" spans="2:10">
      <c r="B55" s="54">
        <f>IF($B$56="","",IF($B$56-1&lt;MIN(tblLots[View date]),"",$B$56-7))</f>
        <v>46286</v>
      </c>
      <c r="C55" s="36">
        <f>IF($B$55="","",SUMIFS(tblLots[Units inspected],tblLots[View date],"&gt;="&amp;$B$55,tblLots[View date],"&lt;"&amp;$B$55+7))</f>
        <v>4440</v>
      </c>
      <c r="D55" s="36">
        <f>IF($B$55="","",SUMIFS(tblLots[Defects found],tblLots[View date],"&gt;="&amp;$B$55,tblLots[View date],"&lt;"&amp;$B$55+7))</f>
        <v>1549</v>
      </c>
      <c r="E55" s="36">
        <f>IF($B$55="","",SUMIFS(tblLots[Opportunities],tblLots[View date],"&gt;="&amp;$B$55,tblLots[View date],"&lt;"&amp;$B$55+7))</f>
        <v>7667900</v>
      </c>
      <c r="F55" s="36"/>
      <c r="G55" s="37">
        <f>IF($B$55="","",IF(($C$55)=0,"",($D$55)/($C$55)))</f>
        <v>0.348873873873874</v>
      </c>
      <c r="H55" s="36">
        <f>IF($B$55="","",IF(($E$55)=0,"",($D$55*1000000)/($E$55)))</f>
        <v>202.010980842212</v>
      </c>
      <c r="I55" s="55">
        <f>TargetDpmo</f>
        <v>300</v>
      </c>
      <c r="J55" s="38">
        <f>IF($B$55="","",IF(OR(N($E$55)=0,N($D$55)=0,N($D$55)&gt;=N($E$55)),"",-_xlfn.NORM.S.INV($D$55/$E$55)+ReportShift))</f>
        <v>5.03744262123651</v>
      </c>
    </row>
    <row r="56" spans="2:10">
      <c r="B56" s="54">
        <f>IF($B$57="","",IF($B$57-1&lt;MIN(tblLots[View date]),"",$B$57-7))</f>
        <v>46293</v>
      </c>
      <c r="C56" s="36">
        <f>IF($B$56="","",SUMIFS(tblLots[Units inspected],tblLots[View date],"&gt;="&amp;$B$56,tblLots[View date],"&lt;"&amp;$B$56+7))</f>
        <v>4580</v>
      </c>
      <c r="D56" s="36">
        <f>IF($B$56="","",SUMIFS(tblLots[Defects found],tblLots[View date],"&gt;="&amp;$B$56,tblLots[View date],"&lt;"&amp;$B$56+7))</f>
        <v>1526</v>
      </c>
      <c r="E56" s="36">
        <f>IF($B$56="","",SUMIFS(tblLots[Opportunities],tblLots[View date],"&gt;="&amp;$B$56,tblLots[View date],"&lt;"&amp;$B$56+7))</f>
        <v>7150500</v>
      </c>
      <c r="F56" s="36"/>
      <c r="G56" s="37">
        <f>IF($B$56="","",IF(($C$56)=0,"",($D$56)/($C$56)))</f>
        <v>0.333187772925764</v>
      </c>
      <c r="H56" s="36">
        <f>IF($B$56="","",IF(($E$56)=0,"",($D$56*1000000)/($E$56)))</f>
        <v>213.411649534998</v>
      </c>
      <c r="I56" s="55">
        <f>TargetDpmo</f>
        <v>300</v>
      </c>
      <c r="J56" s="38">
        <f>IF($B$56="","",IF(OR(N($E$56)=0,N($D$56)=0,N($D$56)&gt;=N($E$56)),"",-_xlfn.NORM.S.INV($D$56/$E$56)+ReportShift))</f>
        <v>5.02291805945833</v>
      </c>
    </row>
    <row r="57" spans="2:10">
      <c r="B57" s="54">
        <f>IF($B$58="","",IF($B$58-1&lt;MIN(tblLots[View date]),"",$B$58-7))</f>
        <v>46300</v>
      </c>
      <c r="C57" s="36">
        <f>IF($B$57="","",SUMIFS(tblLots[Units inspected],tblLots[View date],"&gt;="&amp;$B$57,tblLots[View date],"&lt;"&amp;$B$57+7))</f>
        <v>4710</v>
      </c>
      <c r="D57" s="36">
        <f>IF($B$57="","",SUMIFS(tblLots[Defects found],tblLots[View date],"&gt;="&amp;$B$57,tblLots[View date],"&lt;"&amp;$B$57+7))</f>
        <v>1214</v>
      </c>
      <c r="E57" s="36">
        <f>IF($B$57="","",SUMIFS(tblLots[Opportunities],tblLots[View date],"&gt;="&amp;$B$57,tblLots[View date],"&lt;"&amp;$B$57+7))</f>
        <v>6225700</v>
      </c>
      <c r="F57" s="36"/>
      <c r="G57" s="37">
        <f>IF($B$57="","",IF(($C$57)=0,"",($D$57)/($C$57)))</f>
        <v>0.257749469214437</v>
      </c>
      <c r="H57" s="36">
        <f>IF($B$57="","",IF(($E$57)=0,"",($D$57*1000000)/($E$57)))</f>
        <v>194.998152818157</v>
      </c>
      <c r="I57" s="55">
        <f>TargetDpmo</f>
        <v>300</v>
      </c>
      <c r="J57" s="38">
        <f>IF($B$57="","",IF(OR(N($E$57)=0,N($D$57)=0,N($D$57)&gt;=N($E$57)),"",-_xlfn.NORM.S.INV($D$57/$E$57)+ReportShift))</f>
        <v>5.04676229312769</v>
      </c>
    </row>
    <row r="58" spans="2:10">
      <c r="B58" s="54">
        <f>IF(COUNT(tblLots[View date])=0,"",MAX(tblLots[View date])-WEEKDAY(MAX(tblLots[View date]),2)+1)</f>
        <v>46307</v>
      </c>
      <c r="C58" s="36">
        <f>IF($B$58="","",SUMIFS(tblLots[Units inspected],tblLots[View date],"&gt;="&amp;$B$58,tblLots[View date],"&lt;"&amp;$B$58+7))</f>
        <v>4740</v>
      </c>
      <c r="D58" s="36">
        <f>IF($B$58="","",SUMIFS(tblLots[Defects found],tblLots[View date],"&gt;="&amp;$B$58,tblLots[View date],"&lt;"&amp;$B$58+7))</f>
        <v>1373</v>
      </c>
      <c r="E58" s="36">
        <f>IF($B$58="","",SUMIFS(tblLots[Opportunities],tblLots[View date],"&gt;="&amp;$B$58,tblLots[View date],"&lt;"&amp;$B$58+7))</f>
        <v>6972900</v>
      </c>
      <c r="F58" s="36"/>
      <c r="G58" s="37">
        <f>IF($B$58="","",IF(($C$58)=0,"",($D$58)/($C$58)))</f>
        <v>0.289662447257384</v>
      </c>
      <c r="H58" s="36">
        <f>IF($B$58="","",IF(($E$58)=0,"",($D$58*1000000)/($E$58)))</f>
        <v>196.905161410604</v>
      </c>
      <c r="I58" s="55">
        <f>TargetDpmo</f>
        <v>300</v>
      </c>
      <c r="J58" s="38">
        <f>IF($B$58="","",IF(OR(N($E$58)=0,N($D$58)=0,N($D$58)&gt;=N($E$58)),"",-_xlfn.NORM.S.INV($D$58/$E$58)+ReportShift))</f>
        <v>5.04419736738424</v>
      </c>
    </row>
    <row r="60" spans="2:10">
      <c r="B60" s="31" t="s">
        <v>121</v>
      </c>
      <c r="C60" s="31"/>
      <c r="D60" s="31"/>
      <c r="E60" s="31"/>
      <c r="F60" s="31"/>
      <c r="G60" s="31"/>
      <c r="H60" s="31"/>
      <c r="I60" s="31"/>
    </row>
    <row r="61" spans="2:10" ht="20" customHeight="1">
      <c r="B61" s="53" t="s">
        <v>60</v>
      </c>
      <c r="C61" s="32" t="s">
        <v>118</v>
      </c>
      <c r="D61" s="32" t="s">
        <v>119</v>
      </c>
      <c r="E61" s="32" t="s">
        <v>96</v>
      </c>
      <c r="F61" s="32"/>
      <c r="G61" s="32" t="s">
        <v>97</v>
      </c>
      <c r="H61" s="32" t="s">
        <v>69</v>
      </c>
      <c r="I61" s="32" t="s">
        <v>120</v>
      </c>
    </row>
    <row r="62" spans="2:10">
      <c r="B62" s="56" t="str">
        <f>IFERROR(INDEX(tblLines[Line],1)&amp;"","")</f>
        <v>SMT 1</v>
      </c>
      <c r="C62" s="36">
        <f>IF($B$62="","",SUMIFS(tblLots[Units inspected],tblLots[Line],$B$62,tblLots[View date],"&gt;0"))</f>
        <v>10800</v>
      </c>
      <c r="D62" s="36">
        <f>IF($B$62="","",SUMIFS(tblLots[Defects found],tblLots[Line],$B$62,tblLots[View date],"&gt;0"))</f>
        <v>2809</v>
      </c>
      <c r="E62" s="36">
        <f>IF($B$62="","",SUMIFS(tblLots[Opportunities],tblLots[Line],$B$62,tblLots[View date],"&gt;0"))</f>
        <v>19679400</v>
      </c>
      <c r="F62" s="36"/>
      <c r="G62" s="37">
        <f>IF($B$62="","",IF(($C$62)=0,"",($D$62)/($C$62)))</f>
        <v>0.260092592592593</v>
      </c>
      <c r="H62" s="36">
        <f>IF($B$62="","",IF(($E$62)=0,"",($D$62*1000000)/($E$62)))</f>
        <v>142.738091608484</v>
      </c>
      <c r="I62" s="55">
        <f>TargetDpmo</f>
        <v>300</v>
      </c>
    </row>
    <row r="63" spans="2:10">
      <c r="B63" s="56" t="str">
        <f>IFERROR(INDEX(tblLines[Line],2)&amp;"","")</f>
        <v>SMT 2</v>
      </c>
      <c r="C63" s="36">
        <f>IF($B$63="","",SUMIFS(tblLots[Units inspected],tblLots[Line],$B$63,tblLots[View date],"&gt;0"))</f>
        <v>13740</v>
      </c>
      <c r="D63" s="36">
        <f>IF($B$63="","",SUMIFS(tblLots[Defects found],tblLots[Line],$B$63,tblLots[View date],"&gt;0"))</f>
        <v>6128</v>
      </c>
      <c r="E63" s="36">
        <f>IF($B$63="","",SUMIFS(tblLots[Opportunities],tblLots[Line],$B$63,tblLots[View date],"&gt;0"))</f>
        <v>19372900</v>
      </c>
      <c r="F63" s="36"/>
      <c r="G63" s="37">
        <f>IF($B$63="","",IF(($C$63)=0,"",($D$63)/($C$63)))</f>
        <v>0.445997088791849</v>
      </c>
      <c r="H63" s="36">
        <f>IF($B$63="","",IF(($E$63)=0,"",($D$63*1000000)/($E$63)))</f>
        <v>316.318155774303</v>
      </c>
      <c r="I63" s="55">
        <f>TargetDpmo</f>
        <v>300</v>
      </c>
    </row>
    <row r="64" spans="2:10">
      <c r="B64" s="56" t="str">
        <f>IFERROR(INDEX(tblLines[Line],3)&amp;"","")</f>
        <v>SMT 3</v>
      </c>
      <c r="C64" s="36">
        <f>IF($B$64="","",SUMIFS(tblLots[Units inspected],tblLots[Line],$B$64,tblLots[View date],"&gt;0"))</f>
        <v>4680</v>
      </c>
      <c r="D64" s="36">
        <f>IF($B$64="","",SUMIFS(tblLots[Defects found],tblLots[Line],$B$64,tblLots[View date],"&gt;0"))</f>
        <v>1644</v>
      </c>
      <c r="E64" s="36">
        <f>IF($B$64="","",SUMIFS(tblLots[Opportunities],tblLots[Line],$B$64,tblLots[View date],"&gt;0"))</f>
        <v>4999600</v>
      </c>
      <c r="F64" s="36"/>
      <c r="G64" s="37">
        <f>IF($B$64="","",IF(($C$64)=0,"",($D$64)/($C$64)))</f>
        <v>0.351282051282051</v>
      </c>
      <c r="H64" s="36">
        <f>IF($B$64="","",IF(($E$64)=0,"",($D$64*1000000)/($E$64)))</f>
        <v>328.826306104488</v>
      </c>
      <c r="I64" s="55">
        <f>TargetDpmo</f>
        <v>300</v>
      </c>
    </row>
    <row r="66" spans="2:12">
      <c r="B66" s="31" t="s">
        <v>122</v>
      </c>
      <c r="C66" s="31"/>
      <c r="D66" s="31"/>
      <c r="E66" s="31"/>
      <c r="F66" s="31"/>
      <c r="G66" s="31"/>
      <c r="H66" s="31"/>
      <c r="I66" s="31"/>
      <c r="J66" s="31"/>
    </row>
    <row r="67" spans="2:12" ht="20" customHeight="1">
      <c r="B67" s="53" t="s">
        <v>62</v>
      </c>
      <c r="C67" s="32" t="s">
        <v>118</v>
      </c>
      <c r="D67" s="32" t="s">
        <v>119</v>
      </c>
      <c r="E67" s="32" t="s">
        <v>96</v>
      </c>
      <c r="F67" s="32"/>
      <c r="G67" s="32" t="s">
        <v>97</v>
      </c>
      <c r="H67" s="32" t="s">
        <v>69</v>
      </c>
      <c r="I67" s="32" t="s">
        <v>98</v>
      </c>
      <c r="J67" s="32" t="s">
        <v>120</v>
      </c>
    </row>
    <row r="68" spans="2:12">
      <c r="B68" s="56" t="str">
        <f>IFERROR(INDEX(tblProducts[Product],1)&amp;"","")</f>
        <v>CTL-220 controller</v>
      </c>
      <c r="C68" s="36">
        <f>IF($B$68="","",SUMIFS(tblLots[Units inspected],tblLots[Product],$B$68,tblLots[View date],"&gt;0"))</f>
        <v>7720</v>
      </c>
      <c r="D68" s="36">
        <f>IF($B$68="","",SUMIFS(tblLots[Defects found],tblLots[Product],$B$68,tblLots[View date],"&gt;0"))</f>
        <v>4041</v>
      </c>
      <c r="E68" s="36">
        <f>IF($B$68="","",SUMIFS(tblLots[Opportunities],tblLots[Product],$B$68,tblLots[View date],"&gt;0"))</f>
        <v>14204800</v>
      </c>
      <c r="F68" s="36"/>
      <c r="G68" s="37">
        <f>IF($B$68="","",IF(($C$68)=0,"",($D$68)/($C$68)))</f>
        <v>0.523445595854922</v>
      </c>
      <c r="H68" s="36">
        <f>IF($B$68="","",IF(($E$68)=0,"",($D$68*1000000)/($E$68)))</f>
        <v>284.481302095066</v>
      </c>
      <c r="I68" s="38">
        <f>IF($B$68="","",IF(OR(N($E$68)=0,N($D$68)=0,N($D$68)&gt;=N($E$68)),"",-_xlfn.NORM.S.INV($D$68/$E$68)+ReportShift))</f>
        <v>4.94599418411479</v>
      </c>
      <c r="J68" s="55">
        <f>TargetDpmo</f>
        <v>300</v>
      </c>
    </row>
    <row r="69" spans="2:12">
      <c r="B69" s="56" t="str">
        <f>IFERROR(INDEX(tblProducts[Product],2)&amp;"","")</f>
        <v>PWR-45 power board</v>
      </c>
      <c r="C69" s="36">
        <f>IF($B$69="","",SUMIFS(tblLots[Units inspected],tblLots[Product],$B$69,tblLots[View date],"&gt;0"))</f>
        <v>5020</v>
      </c>
      <c r="D69" s="36">
        <f>IF($B$69="","",SUMIFS(tblLots[Defects found],tblLots[Product],$B$69,tblLots[View date],"&gt;0"))</f>
        <v>1406</v>
      </c>
      <c r="E69" s="36">
        <f>IF($B$69="","",SUMIFS(tblLots[Opportunities],tblLots[Product],$B$69,tblLots[View date],"&gt;0"))</f>
        <v>4819200</v>
      </c>
      <c r="F69" s="36"/>
      <c r="G69" s="37">
        <f>IF($B$69="","",IF(($C$69)=0,"",($D$69)/($C$69)))</f>
        <v>0.2800796812749</v>
      </c>
      <c r="H69" s="36">
        <f>IF($B$69="","",IF(($E$69)=0,"",($D$69*1000000)/($E$69)))</f>
        <v>291.749667994688</v>
      </c>
      <c r="I69" s="38">
        <f>IF($B$69="","",IF(OR(N($E$69)=0,N($D$69)=0,N($D$69)&gt;=N($E$69)),"",-_xlfn.NORM.S.INV($D$69/$E$69)+ReportShift))</f>
        <v>4.93917062971096</v>
      </c>
      <c r="J69" s="55">
        <f>TargetDpmo</f>
        <v>300</v>
      </c>
    </row>
    <row r="70" spans="2:12">
      <c r="B70" s="56" t="str">
        <f>IFERROR(INDEX(tblProducts[Product],3)&amp;"","")</f>
        <v>SNS-8 sensor board</v>
      </c>
      <c r="C70" s="36">
        <f>IF($B$70="","",SUMIFS(tblLots[Units inspected],tblLots[Product],$B$70,tblLots[View date],"&gt;0"))</f>
        <v>2140</v>
      </c>
      <c r="D70" s="36">
        <f>IF($B$70="","",SUMIFS(tblLots[Defects found],tblLots[Product],$B$70,tblLots[View date],"&gt;0"))</f>
        <v>358</v>
      </c>
      <c r="E70" s="36">
        <f>IF($B$70="","",SUMIFS(tblLots[Opportunities],tblLots[Product],$B$70,tblLots[View date],"&gt;0"))</f>
        <v>1112800</v>
      </c>
      <c r="F70" s="36"/>
      <c r="G70" s="37">
        <f>IF($B$70="","",IF(($C$70)=0,"",($D$70)/($C$70)))</f>
        <v>0.167289719626168</v>
      </c>
      <c r="H70" s="36">
        <f>IF($B$70="","",IF(($E$70)=0,"",($D$70*1000000)/($E$70)))</f>
        <v>321.710999281093</v>
      </c>
      <c r="I70" s="38">
        <f>IF($B$70="","",IF(OR(N($E$70)=0,N($D$70)=0,N($D$70)&gt;=N($E$70)),"",-_xlfn.NORM.S.INV($D$70/$E$70)+ReportShift))</f>
        <v>4.91261742620515</v>
      </c>
      <c r="J70" s="55">
        <f>TargetDpmo</f>
        <v>300</v>
      </c>
    </row>
    <row r="71" spans="2:12">
      <c r="B71" s="56" t="str">
        <f>IFERROR(INDEX(tblProducts[Product],4)&amp;"","")</f>
        <v>DSP-10 display driver</v>
      </c>
      <c r="C71" s="36">
        <f>IF($B$71="","",SUMIFS(tblLots[Units inspected],tblLots[Product],$B$71,tblLots[View date],"&gt;0"))</f>
        <v>5610</v>
      </c>
      <c r="D71" s="36">
        <f>IF($B$71="","",SUMIFS(tblLots[Defects found],tblLots[Product],$B$71,tblLots[View date],"&gt;0"))</f>
        <v>2363</v>
      </c>
      <c r="E71" s="36">
        <f>IF($B$71="","",SUMIFS(tblLots[Opportunities],tblLots[Product],$B$71,tblLots[View date],"&gt;0"))</f>
        <v>13351800</v>
      </c>
      <c r="F71" s="36"/>
      <c r="G71" s="37">
        <f>IF($B$71="","",IF(($C$71)=0,"",($D$71)/($C$71)))</f>
        <v>0.421212121212121</v>
      </c>
      <c r="H71" s="36">
        <f>IF($B$71="","",IF(($E$71)=0,"",($D$71*1000000)/($E$71)))</f>
        <v>176.979882862236</v>
      </c>
      <c r="I71" s="38">
        <f>IF($B$71="","",IF(OR(N($E$71)=0,N($D$71)=0,N($D$71)&gt;=N($E$71)),"",-_xlfn.NORM.S.INV($D$71/$E$71)+ReportShift))</f>
        <v>5.07222598272919</v>
      </c>
      <c r="J71" s="55">
        <f>TargetDpmo</f>
        <v>300</v>
      </c>
    </row>
    <row r="72" spans="2:12">
      <c r="B72" s="56" t="str">
        <f>IFERROR(INDEX(tblProducts[Product],5)&amp;"","")</f>
        <v>IO-16 interface</v>
      </c>
      <c r="C72" s="36">
        <f>IF($B$72="","",SUMIFS(tblLots[Units inspected],tblLots[Product],$B$72,tblLots[View date],"&gt;0"))</f>
        <v>8730</v>
      </c>
      <c r="D72" s="36">
        <f>IF($B$72="","",SUMIFS(tblLots[Defects found],tblLots[Product],$B$72,tblLots[View date],"&gt;0"))</f>
        <v>2413</v>
      </c>
      <c r="E72" s="36">
        <f>IF($B$72="","",SUMIFS(tblLots[Opportunities],tblLots[Product],$B$72,tblLots[View date],"&gt;0"))</f>
        <v>10563300</v>
      </c>
      <c r="F72" s="36"/>
      <c r="G72" s="37">
        <f>IF($B$72="","",IF(($C$72)=0,"",($D$72)/($C$72)))</f>
        <v>0.276403207331042</v>
      </c>
      <c r="H72" s="36">
        <f>IF($B$72="","",IF(($E$72)=0,"",($D$72*1000000)/($E$72)))</f>
        <v>228.432402752928</v>
      </c>
      <c r="I72" s="38">
        <f>IF($B$72="","",IF(OR(N($E$72)=0,N($D$72)=0,N($D$72)&gt;=N($E$72)),"",-_xlfn.NORM.S.INV($D$72/$E$72)+ReportShift))</f>
        <v>5.00484988650788</v>
      </c>
      <c r="J72" s="55">
        <f>TargetDpmo</f>
        <v>300</v>
      </c>
    </row>
    <row r="74" spans="2:12" ht="26.76" customHeight="1">
      <c r="B74" s="21" t="s">
        <v>123</v>
      </c>
      <c r="C74" s="21"/>
      <c r="D74" s="21"/>
      <c r="E74" s="21"/>
      <c r="F74" s="21"/>
      <c r="G74" s="21"/>
      <c r="H74" s="21"/>
      <c r="I74" s="21"/>
      <c r="J74" s="21"/>
      <c r="K74" s="21"/>
      <c r="L74" s="21"/>
    </row>
    <row r="75" spans="2:12">
      <c r="B75" s="57">
        <f>IF(OR(COUNTA(tblLines[Line])&gt;3,COUNTA(tblProducts[Product])&gt;5),"Setup lists are longer than the Dashboard blocks: some lines or products are not shown.","")</f>
        <v/>
      </c>
      <c r="C75" s="57"/>
      <c r="D75" s="57"/>
      <c r="E75" s="57"/>
      <c r="F75" s="57"/>
      <c r="G75" s="57"/>
      <c r="H75" s="57"/>
      <c r="I75" s="57"/>
      <c r="J75" s="57"/>
      <c r="K75" s="57"/>
      <c r="L75" s="57"/>
    </row>
  </sheetData>
  <sheetProtection sheet="1" formatColumns="0" formatRows="0"/>
  <mergeCells count="61">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J51"/>
    <mergeCell ref="E52:F52"/>
    <mergeCell ref="E53:F53"/>
    <mergeCell ref="E54:F54"/>
    <mergeCell ref="E55:F55"/>
    <mergeCell ref="E56:F56"/>
    <mergeCell ref="E57:F57"/>
    <mergeCell ref="E58:F58"/>
    <mergeCell ref="B60:I60"/>
    <mergeCell ref="E61:F61"/>
    <mergeCell ref="E62:F62"/>
    <mergeCell ref="E63:F63"/>
    <mergeCell ref="E64:F64"/>
    <mergeCell ref="B66:J66"/>
    <mergeCell ref="E67:F67"/>
    <mergeCell ref="E68:F68"/>
    <mergeCell ref="E69:F69"/>
    <mergeCell ref="E70:F70"/>
    <mergeCell ref="E71:F71"/>
    <mergeCell ref="E72:F72"/>
    <mergeCell ref="B74:L74"/>
    <mergeCell ref="B75:L75"/>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H53:H58">
    <cfRule type="expression" dxfId="3" priority="21" stopIfTrue="1">
      <formula>AND(ISNUMBER(H53),H53&lt;=(TargetDpmo))</formula>
    </cfRule>
    <cfRule type="expression" dxfId="4" priority="22" stopIfTrue="1">
      <formula>AND(ISNUMBER(H53),H53&lt;=(TargetDpmo)*(1+0.05))</formula>
    </cfRule>
    <cfRule type="expression" dxfId="5" priority="23">
      <formula>ISNUMBER(H53)</formula>
    </cfRule>
  </conditionalFormatting>
  <conditionalFormatting sqref="H62:H64">
    <cfRule type="expression" dxfId="3" priority="24" stopIfTrue="1">
      <formula>AND(ISNUMBER(H62),H62&lt;=(TargetDpmo))</formula>
    </cfRule>
    <cfRule type="expression" dxfId="4" priority="25" stopIfTrue="1">
      <formula>AND(ISNUMBER(H62),H62&lt;=(TargetDpmo)*(1+0.05))</formula>
    </cfRule>
    <cfRule type="expression" dxfId="5" priority="26">
      <formula>ISNUMBER(H62)</formula>
    </cfRule>
  </conditionalFormatting>
  <conditionalFormatting sqref="H68:H72">
    <cfRule type="expression" dxfId="3" priority="27" stopIfTrue="1">
      <formula>AND(ISNUMBER(H68),H68&lt;=(TargetDpmo))</formula>
    </cfRule>
    <cfRule type="expression" dxfId="4" priority="28" stopIfTrue="1">
      <formula>AND(ISNUMBER(H68),H68&lt;=(TargetDpmo)*(1+0.05))</formula>
    </cfRule>
    <cfRule type="expression" dxfId="5" priority="29">
      <formula>ISNUMBER(H68)</formula>
    </cfRule>
  </conditionalFormatting>
  <dataValidations count="3">
    <dataValidation type="list" allowBlank="1" showInputMessage="1" showErrorMessage="1" errorTitle="Check this entry" error="Pick from the list (edit the list on Setup: Lines)." promptTitle="Line" prompt="Leave blank for all lines. Pick from the list (edit the list on Setup: Lines)." sqref="C4">
      <formula1>Lines</formula1>
    </dataValidation>
    <dataValidation type="date" allowBlank="1" showInputMessage="1" showErrorMessage="1" errorTitle="Check this entry" error="Enter a date between 01 Jan 2000 and 31 Dec 2100." promptTitle="From" prompt="First date to include. Blank = from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Blank = to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DPMO and Sigma Level Tracker&amp;R&amp;8&amp;A</oddHeader>
    <oddFooter>&amp;L&amp;8mfgcalcs.com - free manufacturing templates&amp;R&amp;8Page &amp;P of &amp;N</oddFooter>
  </headerFooter>
  <rowBreaks count="2" manualBreakCount="2">
    <brk id="28" max="16383" man="1"/>
    <brk id="58"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124</v>
      </c>
      <c r="C4" s="8"/>
      <c r="D4" s="8"/>
    </row>
    <row r="5" spans="1:4" ht="5" customHeight="1"/>
    <row r="6" spans="1:4" ht="55.8" customHeight="1">
      <c r="B6" s="10" t="s">
        <v>125</v>
      </c>
      <c r="C6" s="10"/>
      <c r="D6" s="10"/>
    </row>
    <row r="8" spans="1:4" ht="21" customHeight="1">
      <c r="B8" s="8" t="s">
        <v>126</v>
      </c>
      <c r="C8" s="8"/>
      <c r="D8" s="8"/>
    </row>
    <row r="9" spans="1:4" ht="5" customHeight="1"/>
    <row r="10" spans="1:4" ht="20" customHeight="1">
      <c r="B10" s="53" t="s">
        <v>127</v>
      </c>
      <c r="C10" s="53" t="s">
        <v>128</v>
      </c>
      <c r="D10" s="32" t="s">
        <v>118</v>
      </c>
    </row>
    <row r="11" spans="1:4" ht="17.2" customHeight="1">
      <c r="B11" s="58" t="s">
        <v>63</v>
      </c>
      <c r="C11" s="59" t="s">
        <v>129</v>
      </c>
      <c r="D11" s="60" t="s">
        <v>130</v>
      </c>
    </row>
    <row r="12" spans="1:4" ht="17.2" customHeight="1">
      <c r="B12" s="58" t="s">
        <v>96</v>
      </c>
      <c r="C12" s="59" t="s">
        <v>131</v>
      </c>
      <c r="D12" s="60" t="s">
        <v>132</v>
      </c>
    </row>
    <row r="13" spans="1:4" ht="17.2" customHeight="1">
      <c r="B13" s="58" t="s">
        <v>97</v>
      </c>
      <c r="C13" s="59" t="s">
        <v>133</v>
      </c>
      <c r="D13" s="60" t="s">
        <v>134</v>
      </c>
    </row>
    <row r="14" spans="1:4" ht="17.2" customHeight="1">
      <c r="B14" s="58" t="s">
        <v>69</v>
      </c>
      <c r="C14" s="59" t="s">
        <v>135</v>
      </c>
      <c r="D14" s="60" t="s">
        <v>69</v>
      </c>
    </row>
    <row r="15" spans="1:4" ht="43.6" customHeight="1">
      <c r="B15" s="58" t="s">
        <v>136</v>
      </c>
      <c r="C15" s="59" t="s">
        <v>137</v>
      </c>
      <c r="D15" s="60" t="s">
        <v>71</v>
      </c>
    </row>
    <row r="16" spans="1:4" ht="17.2" customHeight="1">
      <c r="B16" s="58" t="s">
        <v>138</v>
      </c>
      <c r="C16" s="59" t="s">
        <v>139</v>
      </c>
      <c r="D16" s="60" t="s">
        <v>71</v>
      </c>
    </row>
    <row r="17" spans="2:4" ht="30.4" customHeight="1">
      <c r="B17" s="58" t="s">
        <v>99</v>
      </c>
      <c r="C17" s="59" t="s">
        <v>140</v>
      </c>
      <c r="D17" s="60" t="s">
        <v>141</v>
      </c>
    </row>
    <row r="18" spans="2:4" ht="56.8" customHeight="1">
      <c r="B18" s="58" t="s">
        <v>142</v>
      </c>
      <c r="C18" s="59" t="s">
        <v>143</v>
      </c>
      <c r="D18" s="60" t="s">
        <v>144</v>
      </c>
    </row>
    <row r="19" spans="2:4" ht="30.4" customHeight="1">
      <c r="B19" s="58" t="s">
        <v>145</v>
      </c>
      <c r="C19" s="59" t="s">
        <v>146</v>
      </c>
      <c r="D19" s="60" t="s">
        <v>144</v>
      </c>
    </row>
    <row r="20" spans="2:4" ht="17.2" customHeight="1">
      <c r="B20" s="58" t="s">
        <v>147</v>
      </c>
      <c r="C20" s="59" t="s">
        <v>148</v>
      </c>
      <c r="D20" s="60" t="s">
        <v>149</v>
      </c>
    </row>
    <row r="22" spans="2:4" ht="21" customHeight="1">
      <c r="B22" s="8" t="s">
        <v>150</v>
      </c>
      <c r="C22" s="8"/>
      <c r="D22" s="8"/>
    </row>
    <row r="23" spans="2:4" ht="5" customHeight="1"/>
    <row r="24" spans="2:4" ht="16.2" customHeight="1">
      <c r="B24" s="26" t="s">
        <v>53</v>
      </c>
      <c r="C24" s="10" t="s">
        <v>151</v>
      </c>
      <c r="D24" s="10"/>
    </row>
    <row r="25" spans="2:4" ht="29.4" customHeight="1">
      <c r="B25" s="26" t="s">
        <v>53</v>
      </c>
      <c r="C25" s="10" t="s">
        <v>152</v>
      </c>
      <c r="D25" s="10"/>
    </row>
    <row r="26" spans="2:4" ht="16.2" customHeight="1">
      <c r="B26" s="26" t="s">
        <v>53</v>
      </c>
      <c r="C26" s="10" t="s">
        <v>153</v>
      </c>
      <c r="D26" s="10"/>
    </row>
    <row r="28" spans="2:4" ht="21" customHeight="1">
      <c r="B28" s="8" t="s">
        <v>154</v>
      </c>
      <c r="C28" s="8"/>
      <c r="D28" s="8"/>
    </row>
    <row r="29" spans="2:4" ht="5" customHeight="1"/>
    <row r="30" spans="2:4" ht="29.4" customHeight="1">
      <c r="B30" s="26" t="s">
        <v>53</v>
      </c>
      <c r="C30" s="10" t="s">
        <v>155</v>
      </c>
      <c r="D30" s="10"/>
    </row>
    <row r="31" spans="2:4" ht="29.4" customHeight="1">
      <c r="B31" s="26" t="s">
        <v>53</v>
      </c>
      <c r="C31" s="10" t="s">
        <v>156</v>
      </c>
      <c r="D31" s="10"/>
    </row>
    <row r="32" spans="2:4" ht="29.4" customHeight="1">
      <c r="B32" s="26" t="s">
        <v>53</v>
      </c>
      <c r="C32" s="10" t="s">
        <v>157</v>
      </c>
      <c r="D32" s="10"/>
    </row>
    <row r="33" spans="2:4" ht="16.2" customHeight="1">
      <c r="B33" s="26" t="s">
        <v>53</v>
      </c>
      <c r="C33" s="10" t="s">
        <v>158</v>
      </c>
      <c r="D33" s="10"/>
    </row>
    <row r="35" spans="2:4" ht="21" customHeight="1">
      <c r="B35" s="8" t="s">
        <v>159</v>
      </c>
      <c r="C35" s="8"/>
      <c r="D35" s="8"/>
    </row>
    <row r="36" spans="2:4" ht="5" customHeight="1"/>
    <row r="37" spans="2:4" ht="55.8" customHeight="1">
      <c r="B37" s="10" t="s">
        <v>160</v>
      </c>
      <c r="C37" s="10"/>
      <c r="D37" s="10"/>
    </row>
    <row r="38" spans="2:4">
      <c r="B38" s="24" t="s">
        <v>161</v>
      </c>
      <c r="C38" s="24"/>
      <c r="D38" s="24"/>
    </row>
    <row r="40" spans="2:4" ht="21" customHeight="1">
      <c r="B40" s="8" t="s">
        <v>40</v>
      </c>
      <c r="C40" s="8"/>
      <c r="D40" s="8"/>
    </row>
    <row r="41" spans="2:4" ht="5" customHeight="1"/>
    <row r="42" spans="2:4" ht="42.6" customHeight="1">
      <c r="B42" s="10" t="s">
        <v>162</v>
      </c>
      <c r="C42" s="10"/>
      <c r="D42" s="10"/>
    </row>
    <row r="44" spans="2:4" ht="21" customHeight="1">
      <c r="B44" s="8" t="s">
        <v>163</v>
      </c>
      <c r="C44" s="8"/>
      <c r="D44" s="8"/>
    </row>
    <row r="45" spans="2:4" ht="5" customHeight="1"/>
    <row r="46" spans="2:4" ht="29.4" customHeight="1">
      <c r="B46" s="26" t="s">
        <v>53</v>
      </c>
      <c r="C46" s="10" t="s">
        <v>164</v>
      </c>
      <c r="D46" s="10"/>
    </row>
    <row r="47" spans="2:4" ht="29.4" customHeight="1">
      <c r="B47" s="26" t="s">
        <v>53</v>
      </c>
      <c r="C47" s="10" t="s">
        <v>165</v>
      </c>
      <c r="D47" s="10"/>
    </row>
    <row r="48" spans="2:4" ht="16.2" customHeight="1">
      <c r="B48" s="26" t="s">
        <v>53</v>
      </c>
      <c r="C48" s="10" t="s">
        <v>166</v>
      </c>
      <c r="D48" s="10"/>
    </row>
    <row r="49" spans="2:4">
      <c r="B49" s="21" t="s">
        <v>167</v>
      </c>
      <c r="C49" s="21"/>
      <c r="D49" s="21"/>
    </row>
    <row r="51" spans="2:4" ht="21" customHeight="1">
      <c r="B51" s="8" t="s">
        <v>168</v>
      </c>
      <c r="C51" s="8"/>
      <c r="D51" s="8"/>
    </row>
    <row r="52" spans="2:4" ht="5" customHeight="1"/>
    <row r="53" spans="2:4">
      <c r="B53" s="53" t="s">
        <v>48</v>
      </c>
      <c r="C53" s="53" t="s">
        <v>169</v>
      </c>
      <c r="D53" s="32" t="s">
        <v>93</v>
      </c>
    </row>
    <row r="54" spans="2:4" ht="16.2" customHeight="1">
      <c r="B54" s="61" t="s">
        <v>170</v>
      </c>
      <c r="C54" s="62" t="s">
        <v>171</v>
      </c>
      <c r="D54" s="63" t="s">
        <v>172</v>
      </c>
    </row>
    <row r="56" spans="2:4">
      <c r="B56" s="21" t="s">
        <v>59</v>
      </c>
      <c r="C56" s="21"/>
      <c r="D56" s="21"/>
    </row>
  </sheetData>
  <sheetProtection sheet="1" formatColumns="0" formatRows="0"/>
  <mergeCells count="26">
    <mergeCell ref="A1:D1"/>
    <mergeCell ref="B2:C2"/>
    <mergeCell ref="B4:D4"/>
    <mergeCell ref="B6:D6"/>
    <mergeCell ref="B8:D8"/>
    <mergeCell ref="B22:D22"/>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C48:D48"/>
    <mergeCell ref="B49:D49"/>
    <mergeCell ref="B51:D51"/>
    <mergeCell ref="B56:D56"/>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DPMO and Sigma Level Tracker&amp;R&amp;8&amp;A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O41"/>
  <sheetViews>
    <sheetView showGridLines="0" workbookViewId="0"/>
  </sheetViews>
  <sheetFormatPr defaultRowHeight="15"/>
  <cols>
    <col min="1" max="1" width="2.7109375" customWidth="1"/>
    <col min="2" max="19" width="12.7109375" customWidth="1"/>
  </cols>
  <sheetData>
    <row r="1" spans="1:15" ht="30" customHeight="1">
      <c r="A1" s="1" t="s">
        <v>0</v>
      </c>
      <c r="B1" s="1"/>
      <c r="C1" s="1"/>
      <c r="D1" s="1"/>
      <c r="E1" s="1"/>
      <c r="F1" s="1"/>
      <c r="G1" s="1"/>
      <c r="H1" s="1"/>
      <c r="I1" s="1"/>
      <c r="J1" s="1"/>
      <c r="K1" s="1"/>
      <c r="L1" s="1"/>
      <c r="M1" s="1"/>
      <c r="N1" s="1"/>
      <c r="O1" s="1"/>
    </row>
    <row r="2" spans="1:15" ht="21" customHeight="1">
      <c r="B2" s="2" t="s">
        <v>26</v>
      </c>
      <c r="C2" s="2"/>
      <c r="D2" s="2"/>
      <c r="E2" s="2"/>
      <c r="F2" s="2"/>
      <c r="G2" s="2"/>
      <c r="H2" s="2"/>
      <c r="I2" s="2"/>
      <c r="J2" s="2"/>
      <c r="K2" s="2"/>
      <c r="L2" s="2"/>
      <c r="M2" s="2"/>
      <c r="N2" s="2"/>
      <c r="O2" s="3" t="s">
        <v>2</v>
      </c>
    </row>
    <row r="3" spans="1:15" ht="6" customHeight="1"/>
    <row r="4" spans="1:15" ht="30" customHeight="1">
      <c r="B4" s="64" t="s">
        <v>173</v>
      </c>
      <c r="C4" s="64"/>
      <c r="D4" s="22" t="str">
        <f>IF(COUNTIF($K$11:$K$24,"PASS")=14,"PASS","FAIL")</f>
        <v>PASS</v>
      </c>
      <c r="E4" s="22"/>
      <c r="F4" s="23" t="str">
        <f>COUNTIF($K$11:$K$24,"PASS")&amp;" of 14 checks pass"</f>
        <v>14 of 14 checks pass</v>
      </c>
      <c r="G4" s="23"/>
      <c r="H4" s="23"/>
      <c r="I4" s="23"/>
      <c r="J4" s="23"/>
    </row>
    <row r="6" spans="1:15" ht="29.4" customHeight="1">
      <c r="B6" s="10" t="s">
        <v>174</v>
      </c>
      <c r="C6" s="10"/>
      <c r="D6" s="10"/>
      <c r="E6" s="10"/>
      <c r="F6" s="10"/>
      <c r="G6" s="10"/>
      <c r="H6" s="10"/>
      <c r="I6" s="10"/>
      <c r="J6" s="10"/>
      <c r="K6" s="10"/>
      <c r="L6" s="10"/>
    </row>
    <row r="8" spans="1:15" ht="21" customHeight="1">
      <c r="B8" s="8" t="s">
        <v>175</v>
      </c>
      <c r="C8" s="8"/>
      <c r="D8" s="8"/>
      <c r="E8" s="8"/>
      <c r="F8" s="8"/>
      <c r="G8" s="8"/>
      <c r="H8" s="8"/>
      <c r="I8" s="8"/>
      <c r="J8" s="8"/>
      <c r="K8" s="8"/>
      <c r="L8" s="8"/>
    </row>
    <row r="9" spans="1:15" ht="5" customHeight="1"/>
    <row r="10" spans="1:15" ht="30" customHeight="1">
      <c r="B10" s="32" t="s">
        <v>176</v>
      </c>
      <c r="C10" s="53" t="s">
        <v>101</v>
      </c>
      <c r="D10" s="53"/>
      <c r="E10" s="53"/>
      <c r="F10" s="53"/>
      <c r="G10" s="32" t="s">
        <v>177</v>
      </c>
      <c r="H10" s="32" t="s">
        <v>178</v>
      </c>
      <c r="I10" s="32" t="s">
        <v>179</v>
      </c>
      <c r="J10" s="32" t="s">
        <v>180</v>
      </c>
      <c r="K10" s="32" t="s">
        <v>181</v>
      </c>
    </row>
    <row r="11" spans="1:15" ht="16.2" customHeight="1">
      <c r="B11" s="65">
        <v>1</v>
      </c>
      <c r="C11" s="62" t="s">
        <v>182</v>
      </c>
      <c r="D11" s="62"/>
      <c r="E11" s="62"/>
      <c r="F11" s="62"/>
      <c r="G11" s="55">
        <v>300</v>
      </c>
      <c r="H11" s="36">
        <f>$J$38</f>
        <v>300</v>
      </c>
      <c r="I11" s="66">
        <f>IF(AND(ISNUMBER($G$11),ISNUMBER($H$11)),ABS($H$11-$G$11),"")</f>
        <v>0</v>
      </c>
      <c r="J11" s="67">
        <v>1E-09</v>
      </c>
      <c r="K11" s="39" t="str">
        <f>IF(AND(ISNUMBER($G$11),ISNUMBER($H$11)),IF(ABS($H$11-$G$11)&lt;=$J$11,"PASS","FAIL"),"FAIL")</f>
        <v>PASS</v>
      </c>
    </row>
    <row r="12" spans="1:15" ht="16.2" customHeight="1">
      <c r="B12" s="65">
        <v>2</v>
      </c>
      <c r="C12" s="62" t="s">
        <v>183</v>
      </c>
      <c r="D12" s="62"/>
      <c r="E12" s="62"/>
      <c r="F12" s="62"/>
      <c r="G12" s="68">
        <v>0.12</v>
      </c>
      <c r="H12" s="37">
        <f>$I$38</f>
        <v>0.12</v>
      </c>
      <c r="I12" s="66">
        <f>IF(AND(ISNUMBER($G$12),ISNUMBER($H$12)),ABS($H$12-$G$12),"")</f>
        <v>0</v>
      </c>
      <c r="J12" s="67">
        <v>1E-09</v>
      </c>
      <c r="K12" s="39" t="str">
        <f>IF(AND(ISNUMBER($G$12),ISNUMBER($H$12)),IF(ABS($H$12-$G$12)&lt;=$J$12,"PASS","FAIL"),"FAIL")</f>
        <v>PASS</v>
      </c>
    </row>
    <row r="13" spans="1:15" ht="16.2" customHeight="1">
      <c r="B13" s="65">
        <v>3</v>
      </c>
      <c r="C13" s="62" t="s">
        <v>184</v>
      </c>
      <c r="D13" s="62"/>
      <c r="E13" s="62"/>
      <c r="F13" s="62"/>
      <c r="G13" s="69">
        <v>4.93161440362327</v>
      </c>
      <c r="H13" s="38">
        <f>$K$38</f>
        <v>4.93161440362327</v>
      </c>
      <c r="I13" s="66">
        <f>IF(AND(ISNUMBER($G$13),ISNUMBER($H$13)),ABS($H$13-$G$13),"")</f>
        <v>0</v>
      </c>
      <c r="J13" s="67">
        <v>1E-06</v>
      </c>
      <c r="K13" s="39" t="str">
        <f>IF(AND(ISNUMBER($G$13),ISNUMBER($H$13)),IF(ABS($H$13-$G$13)&lt;=$J$13,"PASS","FAIL"),"FAIL")</f>
        <v>PASS</v>
      </c>
    </row>
    <row r="14" spans="1:15" ht="16.2" customHeight="1">
      <c r="B14" s="65">
        <v>4</v>
      </c>
      <c r="C14" s="62" t="s">
        <v>185</v>
      </c>
      <c r="D14" s="62"/>
      <c r="E14" s="62"/>
      <c r="F14" s="62"/>
      <c r="G14" s="55">
        <v>375</v>
      </c>
      <c r="H14" s="36">
        <f>$J$39</f>
        <v>375</v>
      </c>
      <c r="I14" s="66">
        <f>IF(AND(ISNUMBER($G$14),ISNUMBER($H$14)),ABS($H$14-$G$14),"")</f>
        <v>0</v>
      </c>
      <c r="J14" s="67">
        <v>1E-09</v>
      </c>
      <c r="K14" s="39" t="str">
        <f>IF(AND(ISNUMBER($G$14),ISNUMBER($H$14)),IF(ABS($H$14-$G$14)&lt;=$J$14,"PASS","FAIL"),"FAIL")</f>
        <v>PASS</v>
      </c>
    </row>
    <row r="15" spans="1:15" ht="16.2" customHeight="1">
      <c r="B15" s="65">
        <v>5</v>
      </c>
      <c r="C15" s="62" t="s">
        <v>186</v>
      </c>
      <c r="D15" s="62"/>
      <c r="E15" s="62"/>
      <c r="F15" s="62"/>
      <c r="G15" s="68">
        <v>0.0015</v>
      </c>
      <c r="H15" s="37">
        <f>$I$39</f>
        <v>0.0015</v>
      </c>
      <c r="I15" s="66">
        <f>IF(AND(ISNUMBER($G$15),ISNUMBER($H$15)),ABS($H$15-$G$15),"")</f>
        <v>0</v>
      </c>
      <c r="J15" s="67">
        <v>1E-09</v>
      </c>
      <c r="K15" s="39" t="str">
        <f>IF(AND(ISNUMBER($G$15),ISNUMBER($H$15)),IF(ABS($H$15-$G$15)&lt;=$J$15,"PASS","FAIL"),"FAIL")</f>
        <v>PASS</v>
      </c>
    </row>
    <row r="16" spans="1:15" ht="16.2" customHeight="1">
      <c r="B16" s="65">
        <v>6</v>
      </c>
      <c r="C16" s="62" t="s">
        <v>187</v>
      </c>
      <c r="D16" s="62"/>
      <c r="E16" s="62"/>
      <c r="F16" s="62"/>
      <c r="G16" s="69">
        <v>4.87061718432365</v>
      </c>
      <c r="H16" s="38">
        <f>$K$39</f>
        <v>4.87061718432365</v>
      </c>
      <c r="I16" s="66">
        <f>IF(AND(ISNUMBER($G$16),ISNUMBER($H$16)),ABS($H$16-$G$16),"")</f>
        <v>0</v>
      </c>
      <c r="J16" s="67">
        <v>1E-06</v>
      </c>
      <c r="K16" s="39" t="str">
        <f>IF(AND(ISNUMBER($G$16),ISNUMBER($H$16)),IF(ABS($H$16-$G$16)&lt;=$J$16,"PASS","FAIL"),"FAIL")</f>
        <v>PASS</v>
      </c>
    </row>
    <row r="17" spans="2:12" ht="16.2" customHeight="1">
      <c r="B17" s="65">
        <v>7</v>
      </c>
      <c r="C17" s="62" t="s">
        <v>188</v>
      </c>
      <c r="D17" s="62"/>
      <c r="E17" s="62"/>
      <c r="F17" s="62"/>
      <c r="G17" s="61" t="s">
        <v>189</v>
      </c>
      <c r="H17" s="70" t="str">
        <f>$L$38</f>
        <v>On target</v>
      </c>
      <c r="I17" s="70"/>
      <c r="J17" s="63" t="s">
        <v>190</v>
      </c>
      <c r="K17" s="39" t="str">
        <f>IF($H$17&amp;""=$G$17&amp;"","PASS","FAIL")</f>
        <v>PASS</v>
      </c>
    </row>
    <row r="18" spans="2:12" ht="16.2" customHeight="1">
      <c r="B18" s="65">
        <v>8</v>
      </c>
      <c r="C18" s="62" t="s">
        <v>191</v>
      </c>
      <c r="D18" s="62"/>
      <c r="E18" s="62"/>
      <c r="F18" s="62"/>
      <c r="G18" s="55">
        <v>0</v>
      </c>
      <c r="H18" s="36">
        <f>$J$40</f>
        <v>0</v>
      </c>
      <c r="I18" s="66">
        <f>IF(AND(ISNUMBER($G$18),ISNUMBER($H$18)),ABS($H$18-$G$18),"")</f>
        <v>0</v>
      </c>
      <c r="J18" s="67">
        <v>1E-09</v>
      </c>
      <c r="K18" s="39" t="str">
        <f>IF(AND(ISNUMBER($G$18),ISNUMBER($H$18)),IF(ABS($H$18-$G$18)&lt;=$J$18,"PASS","FAIL"),"FAIL")</f>
        <v>PASS</v>
      </c>
    </row>
    <row r="19" spans="2:12" ht="16.2" customHeight="1">
      <c r="B19" s="65">
        <v>9</v>
      </c>
      <c r="C19" s="62" t="s">
        <v>192</v>
      </c>
      <c r="D19" s="62"/>
      <c r="E19" s="62"/>
      <c r="F19" s="62"/>
      <c r="G19" s="61" t="s">
        <v>103</v>
      </c>
      <c r="H19" s="70">
        <f>$K$40</f>
        <v/>
      </c>
      <c r="I19" s="70"/>
      <c r="J19" s="63" t="s">
        <v>190</v>
      </c>
      <c r="K19" s="39" t="str">
        <f>IF($H$19&amp;""=$G$19&amp;"","PASS","FAIL")</f>
        <v>PASS</v>
      </c>
    </row>
    <row r="20" spans="2:12" ht="16.2" customHeight="1">
      <c r="B20" s="65">
        <v>10</v>
      </c>
      <c r="C20" s="62" t="s">
        <v>193</v>
      </c>
      <c r="D20" s="62"/>
      <c r="E20" s="62"/>
      <c r="F20" s="62"/>
      <c r="G20" s="61" t="s">
        <v>194</v>
      </c>
      <c r="H20" s="70" t="str">
        <f>$N$41</f>
        <v>Defects &gt; opportunities</v>
      </c>
      <c r="I20" s="70"/>
      <c r="J20" s="63" t="s">
        <v>190</v>
      </c>
      <c r="K20" s="39" t="str">
        <f>IF($H$20&amp;""=$G$20&amp;"","PASS","FAIL")</f>
        <v>PASS</v>
      </c>
    </row>
    <row r="21" spans="2:12" ht="29.4" customHeight="1">
      <c r="B21" s="65">
        <v>11</v>
      </c>
      <c r="C21" s="62" t="s">
        <v>195</v>
      </c>
      <c r="D21" s="62"/>
      <c r="E21" s="62"/>
      <c r="F21" s="62"/>
      <c r="G21" s="61" t="s">
        <v>103</v>
      </c>
      <c r="H21" s="70">
        <f>$K$41</f>
        <v/>
      </c>
      <c r="I21" s="70"/>
      <c r="J21" s="63" t="s">
        <v>190</v>
      </c>
      <c r="K21" s="39" t="str">
        <f>IF($H$21&amp;""=$G$21&amp;"","PASS","FAIL")</f>
        <v>PASS</v>
      </c>
    </row>
    <row r="22" spans="2:12" ht="16.2" customHeight="1">
      <c r="B22" s="65">
        <v>12</v>
      </c>
      <c r="C22" s="62" t="s">
        <v>196</v>
      </c>
      <c r="D22" s="62"/>
      <c r="E22" s="62"/>
      <c r="F22" s="62"/>
      <c r="G22" s="55">
        <v>100.5133914764644</v>
      </c>
      <c r="H22" s="36">
        <f>IF(SUMIFS(tblVerifyLots[Opportunities],tblVerifyLots[View date],"&gt;0")=0,"",SUMIFS(tblVerifyLots[Defects found],tblVerifyLots[View date],"&gt;0")/SUMIFS(tblVerifyLots[Opportunities],tblVerifyLots[View date],"&gt;0")*1000000)</f>
        <v>100.513391476464</v>
      </c>
      <c r="I22" s="66">
        <f>IF(AND(ISNUMBER($G$22),ISNUMBER($H$22)),ABS($H$22-$G$22),"")</f>
        <v>0</v>
      </c>
      <c r="J22" s="67">
        <v>1E-09</v>
      </c>
      <c r="K22" s="39" t="str">
        <f>IF(AND(ISNUMBER($G$22),ISNUMBER($H$22)),IF(ABS($H$22-$G$22)&lt;=$J$22,"PASS","FAIL"),"FAIL")</f>
        <v>PASS</v>
      </c>
    </row>
    <row r="23" spans="2:12" ht="16.2" customHeight="1">
      <c r="B23" s="65">
        <v>13</v>
      </c>
      <c r="C23" s="62" t="s">
        <v>197</v>
      </c>
      <c r="D23" s="62"/>
      <c r="E23" s="62"/>
      <c r="F23" s="62"/>
      <c r="G23" s="68">
        <v>0.003157383419689119</v>
      </c>
      <c r="H23" s="37">
        <f>IF((SUMIFS(tblVerifyLots[Units inspected],tblVerifyLots[View date],"&gt;0"))=0,"",(SUMIFS(tblVerifyLots[Defects found],tblVerifyLots[View date],"&gt;0"))/(SUMIFS(tblVerifyLots[Units inspected],tblVerifyLots[View date],"&gt;0")))</f>
        <v>0.00315738341968912</v>
      </c>
      <c r="I23" s="66">
        <f>IF(AND(ISNUMBER($G$23),ISNUMBER($H$23)),ABS($H$23-$G$23),"")</f>
        <v>0</v>
      </c>
      <c r="J23" s="67">
        <v>1E-09</v>
      </c>
      <c r="K23" s="39" t="str">
        <f>IF(AND(ISNUMBER($G$23),ISNUMBER($H$23)),IF(ABS($H$23-$G$23)&lt;=$J$23,"PASS","FAIL"),"FAIL")</f>
        <v>PASS</v>
      </c>
    </row>
    <row r="24" spans="2:12" ht="16.2" customHeight="1">
      <c r="B24" s="65">
        <v>14</v>
      </c>
      <c r="C24" s="62" t="s">
        <v>198</v>
      </c>
      <c r="D24" s="62"/>
      <c r="E24" s="62"/>
      <c r="F24" s="62"/>
      <c r="G24" s="69">
        <v>3.717722661823895</v>
      </c>
      <c r="H24" s="38">
        <f>IF(OR(SUMIFS(tblVerifyLots[Opportunities],tblVerifyLots[View date],"&gt;0")=0,SUMIFS(tblVerifyLots[Defects found],tblVerifyLots[View date],"&gt;0")=0,SUMIFS(tblVerifyLots[Defects found],tblVerifyLots[View date],"&gt;0")&gt;=SUMIFS(tblVerifyLots[Opportunities],tblVerifyLots[View date],"&gt;0")),"",-_xlfn.NORM.S.INV(SUMIFS(tblVerifyLots[Defects found],tblVerifyLots[View date],"&gt;0")/SUMIFS(tblVerifyLots[Opportunities],tblVerifyLots[View date],"&gt;0")))</f>
        <v>3.7177226618239</v>
      </c>
      <c r="I24" s="66">
        <f>IF(AND(ISNUMBER($G$24),ISNUMBER($H$24)),ABS($H$24-$G$24),"")</f>
        <v>0</v>
      </c>
      <c r="J24" s="67">
        <v>1E-06</v>
      </c>
      <c r="K24" s="39" t="str">
        <f>IF(AND(ISNUMBER($G$24),ISNUMBER($H$24)),IF(ABS($H$24-$G$24)&lt;=$J$24,"PASS","FAIL"),"FAIL")</f>
        <v>PASS</v>
      </c>
    </row>
    <row r="26" spans="2:12" ht="21" customHeight="1">
      <c r="B26" s="8" t="s">
        <v>199</v>
      </c>
      <c r="C26" s="8"/>
      <c r="D26" s="8"/>
      <c r="E26" s="8"/>
      <c r="F26" s="8"/>
      <c r="G26" s="8"/>
      <c r="H26" s="8"/>
      <c r="I26" s="8"/>
      <c r="J26" s="8"/>
      <c r="K26" s="8"/>
      <c r="L26" s="8"/>
    </row>
    <row r="27" spans="2:12" ht="5" customHeight="1"/>
    <row r="28" spans="2:12">
      <c r="B28" s="21" t="s">
        <v>200</v>
      </c>
      <c r="C28" s="21"/>
      <c r="D28" s="21"/>
      <c r="E28" s="21"/>
      <c r="F28" s="21"/>
      <c r="G28" s="21"/>
      <c r="H28" s="21"/>
      <c r="I28" s="21"/>
      <c r="J28" s="21"/>
      <c r="K28" s="21"/>
      <c r="L28" s="21"/>
    </row>
    <row r="29" spans="2:12">
      <c r="B29" s="31" t="s">
        <v>201</v>
      </c>
      <c r="C29" s="31"/>
      <c r="D29" s="31"/>
      <c r="E29" s="31"/>
      <c r="F29" s="31"/>
    </row>
    <row r="30" spans="2:12">
      <c r="B30" s="27" t="s">
        <v>202</v>
      </c>
      <c r="C30" s="27"/>
      <c r="D30" s="27"/>
      <c r="E30" s="55">
        <v>0</v>
      </c>
      <c r="F30" s="7"/>
    </row>
    <row r="31" spans="2:12">
      <c r="B31" s="27" t="s">
        <v>203</v>
      </c>
      <c r="C31" s="27"/>
      <c r="D31" s="27"/>
      <c r="E31" s="55">
        <v>2958465</v>
      </c>
      <c r="F31" s="7"/>
    </row>
    <row r="32" spans="2:12">
      <c r="B32" s="27" t="s">
        <v>204</v>
      </c>
      <c r="C32" s="27"/>
      <c r="D32" s="27"/>
      <c r="E32" s="61" t="s">
        <v>103</v>
      </c>
      <c r="F32" s="61"/>
    </row>
    <row r="33" spans="2:15">
      <c r="B33" s="27" t="s">
        <v>205</v>
      </c>
      <c r="C33" s="27"/>
      <c r="D33" s="27"/>
      <c r="E33" s="55">
        <v>400</v>
      </c>
      <c r="F33" s="7"/>
    </row>
    <row r="34" spans="2:15">
      <c r="B34" s="27" t="s">
        <v>206</v>
      </c>
      <c r="C34" s="27"/>
      <c r="D34" s="27"/>
      <c r="E34" s="71">
        <v>1.5</v>
      </c>
      <c r="F34" s="7"/>
    </row>
    <row r="36" spans="2:15">
      <c r="B36" s="31" t="s">
        <v>207</v>
      </c>
      <c r="C36" s="31"/>
      <c r="D36" s="31"/>
      <c r="E36" s="31"/>
      <c r="F36" s="31"/>
      <c r="G36" s="31"/>
      <c r="H36" s="31"/>
      <c r="I36" s="31"/>
      <c r="J36" s="31"/>
      <c r="K36" s="31"/>
      <c r="L36" s="31"/>
    </row>
    <row r="37" spans="2:15" ht="32" customHeight="1">
      <c r="B37" s="32" t="s">
        <v>93</v>
      </c>
      <c r="C37" s="32" t="s">
        <v>60</v>
      </c>
      <c r="D37" s="32" t="s">
        <v>62</v>
      </c>
      <c r="E37" s="32" t="s">
        <v>94</v>
      </c>
      <c r="F37" s="32" t="s">
        <v>95</v>
      </c>
      <c r="G37" s="32" t="s">
        <v>63</v>
      </c>
      <c r="H37" s="32" t="s">
        <v>96</v>
      </c>
      <c r="I37" s="32" t="s">
        <v>97</v>
      </c>
      <c r="J37" s="32" t="s">
        <v>69</v>
      </c>
      <c r="K37" s="32" t="s">
        <v>98</v>
      </c>
      <c r="L37" s="32" t="s">
        <v>99</v>
      </c>
      <c r="M37" s="32" t="s">
        <v>100</v>
      </c>
      <c r="N37" s="32" t="s">
        <v>101</v>
      </c>
      <c r="O37" s="32" t="s">
        <v>64</v>
      </c>
    </row>
    <row r="38" spans="2:15">
      <c r="B38" s="72">
        <v>46027</v>
      </c>
      <c r="C38" s="61" t="s">
        <v>208</v>
      </c>
      <c r="D38" s="61" t="s">
        <v>209</v>
      </c>
      <c r="E38" s="55">
        <v>100</v>
      </c>
      <c r="F38" s="55">
        <v>12</v>
      </c>
      <c r="G38" s="55">
        <v>400</v>
      </c>
      <c r="H38" s="36">
        <f>IF(tblVerifyLots[[#This Row],[Date]]="","",IF(tblVerifyLots[[#This Row],[Opportunities per unit]]="","",tblVerifyLots[[#This Row],[Units inspected]]*tblVerifyLots[[#This Row],[Opportunities per unit]]))</f>
        <v>40000</v>
      </c>
      <c r="I38" s="37">
        <f>IF(tblVerifyLots[[#This Row],[Date]]="","",IF(tblVerifyLots[[#This Row],[Units inspected]]&gt;0,tblVerifyLots[[#This Row],[Defects found]]/tblVerifyLots[[#This Row],[Units inspected]],""))</f>
        <v>0.12</v>
      </c>
      <c r="J38" s="36">
        <f>IF(tblVerifyLots[[#This Row],[Date]]="","",IF(N(tblVerifyLots[[#This Row],[Opportunities]])&gt;0,tblVerifyLots[[#This Row],[Defects found]]/tblVerifyLots[[#This Row],[Opportunities]]*1000000,""))</f>
        <v>300</v>
      </c>
      <c r="K38" s="38">
        <f>IF(tblVerifyLots[[#This Row],[Date]]="","",IF(AND(N(tblVerifyLots[[#This Row],[Opportunities]])&gt;0,tblVerifyLots[[#This Row],[Defects found]]&gt;0,tblVerifyLots[[#This Row],[Defects found]]&lt;tblVerifyLots[[#This Row],[Opportunities]]),-_xlfn.NORM.S.INV(tblVerifyLots[[#This Row],[Defects found]]/tblVerifyLots[[#This Row],[Opportunities]])+$E$34,""))</f>
        <v>4.93161440362327</v>
      </c>
      <c r="L38" s="39" t="str">
        <f>IF(NOT(ISNUMBER(tblVerifyLots[[#This Row],[DPMO]])),"",IF(tblVerifyLots[[#This Row],[DPMO]]&lt;=$E$33,"On target",IF(tblVerifyLots[[#This Row],[DPMO]]&lt;=$E$33*(1+0.05),"Near target","Above target")))</f>
        <v>On target</v>
      </c>
      <c r="M38" s="40">
        <f>IF(tblVerifyLots[[#This Row],[Date]]="","",IF(AND(tblVerifyLots[[#This Row],[Date]]&gt;=$E$30,tblVerifyLots[[#This Row],[Date]]&lt;=$E$31,OR($E$32="",tblVerifyLots[[#This Row],[Line]]=$E$32)),tblVerifyLots[[#This Row],[Date]],""))</f>
        <v>46027</v>
      </c>
      <c r="N38" s="41" t="str">
        <f>IF(tblVerifyLots[[#This Row],[Date]]="","",IF(tblVerifyLots[[#This Row],[Line]]="","Missing line",IF(tblVerifyLots[[#This Row],[Product]]="","Missing product",IF(tblVerifyLots[[#This Row],[Units inspected]]="","Missing units inspected",IF(tblVerifyLots[[#This Row],[Defects found]]="","Missing defects found",IF(tblVerifyLots[[#This Row],[Opportunities per unit]]="","Product not on Setup list",IF(tblVerifyLots[[#This Row],[Defects found]]&gt;tblVerifyLots[[#This Row],[Opportunities]],"Defects &gt; opportunities",IF(COUNTIFS(tblVerifyLots[Date],tblVerifyLots[[#This Row],[Date]],tblVerifyLots[Line],tblVerifyLots[[#This Row],[Line]],tblVerifyLots[Product],tblVerifyLots[[#This Row],[Product]],tblVerifyLots[Units inspected],tblVerifyLots[[#This Row],[Units inspected]])&gt;1,"Possible duplicate lot","OK"))))))))</f>
        <v>OK</v>
      </c>
      <c r="O38" s="61"/>
    </row>
    <row r="39" spans="2:15">
      <c r="B39" s="72">
        <v>46027</v>
      </c>
      <c r="C39" s="61" t="s">
        <v>210</v>
      </c>
      <c r="D39" s="61" t="s">
        <v>211</v>
      </c>
      <c r="E39" s="55">
        <v>12000</v>
      </c>
      <c r="F39" s="55">
        <v>18</v>
      </c>
      <c r="G39" s="55">
        <v>4</v>
      </c>
      <c r="H39" s="36">
        <f>IF(tblVerifyLots[[#This Row],[Date]]="","",IF(tblVerifyLots[[#This Row],[Opportunities per unit]]="","",tblVerifyLots[[#This Row],[Units inspected]]*tblVerifyLots[[#This Row],[Opportunities per unit]]))</f>
        <v>48000</v>
      </c>
      <c r="I39" s="37">
        <f>IF(tblVerifyLots[[#This Row],[Date]]="","",IF(tblVerifyLots[[#This Row],[Units inspected]]&gt;0,tblVerifyLots[[#This Row],[Defects found]]/tblVerifyLots[[#This Row],[Units inspected]],""))</f>
        <v>0.0015</v>
      </c>
      <c r="J39" s="36">
        <f>IF(tblVerifyLots[[#This Row],[Date]]="","",IF(N(tblVerifyLots[[#This Row],[Opportunities]])&gt;0,tblVerifyLots[[#This Row],[Defects found]]/tblVerifyLots[[#This Row],[Opportunities]]*1000000,""))</f>
        <v>375</v>
      </c>
      <c r="K39" s="38">
        <f>IF(tblVerifyLots[[#This Row],[Date]]="","",IF(AND(N(tblVerifyLots[[#This Row],[Opportunities]])&gt;0,tblVerifyLots[[#This Row],[Defects found]]&gt;0,tblVerifyLots[[#This Row],[Defects found]]&lt;tblVerifyLots[[#This Row],[Opportunities]]),-_xlfn.NORM.S.INV(tblVerifyLots[[#This Row],[Defects found]]/tblVerifyLots[[#This Row],[Opportunities]])+$E$34,""))</f>
        <v>4.87061718432365</v>
      </c>
      <c r="L39" s="39" t="str">
        <f>IF(NOT(ISNUMBER(tblVerifyLots[[#This Row],[DPMO]])),"",IF(tblVerifyLots[[#This Row],[DPMO]]&lt;=$E$33,"On target",IF(tblVerifyLots[[#This Row],[DPMO]]&lt;=$E$33*(1+0.05),"Near target","Above target")))</f>
        <v>On target</v>
      </c>
      <c r="M39" s="40">
        <f>IF(tblVerifyLots[[#This Row],[Date]]="","",IF(AND(tblVerifyLots[[#This Row],[Date]]&gt;=$E$30,tblVerifyLots[[#This Row],[Date]]&lt;=$E$31,OR($E$32="",tblVerifyLots[[#This Row],[Line]]=$E$32)),tblVerifyLots[[#This Row],[Date]],""))</f>
        <v>46027</v>
      </c>
      <c r="N39" s="41" t="str">
        <f>IF(tblVerifyLots[[#This Row],[Date]]="","",IF(tblVerifyLots[[#This Row],[Line]]="","Missing line",IF(tblVerifyLots[[#This Row],[Product]]="","Missing product",IF(tblVerifyLots[[#This Row],[Units inspected]]="","Missing units inspected",IF(tblVerifyLots[[#This Row],[Defects found]]="","Missing defects found",IF(tblVerifyLots[[#This Row],[Opportunities per unit]]="","Product not on Setup list",IF(tblVerifyLots[[#This Row],[Defects found]]&gt;tblVerifyLots[[#This Row],[Opportunities]],"Defects &gt; opportunities",IF(COUNTIFS(tblVerifyLots[Date],tblVerifyLots[[#This Row],[Date]],tblVerifyLots[Line],tblVerifyLots[[#This Row],[Line]],tblVerifyLots[Product],tblVerifyLots[[#This Row],[Product]],tblVerifyLots[Units inspected],tblVerifyLots[[#This Row],[Units inspected]])&gt;1,"Possible duplicate lot","OK"))))))))</f>
        <v>OK</v>
      </c>
      <c r="O39" s="61"/>
    </row>
    <row r="40" spans="2:15">
      <c r="B40" s="72">
        <v>46028</v>
      </c>
      <c r="C40" s="61" t="s">
        <v>208</v>
      </c>
      <c r="D40" s="61" t="s">
        <v>212</v>
      </c>
      <c r="E40" s="55">
        <v>250</v>
      </c>
      <c r="F40" s="55">
        <v>0</v>
      </c>
      <c r="G40" s="55">
        <v>1200</v>
      </c>
      <c r="H40" s="36">
        <f>IF(tblVerifyLots[[#This Row],[Date]]="","",IF(tblVerifyLots[[#This Row],[Opportunities per unit]]="","",tblVerifyLots[[#This Row],[Units inspected]]*tblVerifyLots[[#This Row],[Opportunities per unit]]))</f>
        <v>300000</v>
      </c>
      <c r="I40" s="37">
        <f>IF(tblVerifyLots[[#This Row],[Date]]="","",IF(tblVerifyLots[[#This Row],[Units inspected]]&gt;0,tblVerifyLots[[#This Row],[Defects found]]/tblVerifyLots[[#This Row],[Units inspected]],""))</f>
        <v>0</v>
      </c>
      <c r="J40" s="36">
        <f>IF(tblVerifyLots[[#This Row],[Date]]="","",IF(N(tblVerifyLots[[#This Row],[Opportunities]])&gt;0,tblVerifyLots[[#This Row],[Defects found]]/tblVerifyLots[[#This Row],[Opportunities]]*1000000,""))</f>
        <v>0</v>
      </c>
      <c r="K40" s="38">
        <f>IF(tblVerifyLots[[#This Row],[Date]]="","",IF(AND(N(tblVerifyLots[[#This Row],[Opportunities]])&gt;0,tblVerifyLots[[#This Row],[Defects found]]&gt;0,tblVerifyLots[[#This Row],[Defects found]]&lt;tblVerifyLots[[#This Row],[Opportunities]]),-_xlfn.NORM.S.INV(tblVerifyLots[[#This Row],[Defects found]]/tblVerifyLots[[#This Row],[Opportunities]])+$E$34,""))</f>
        <v/>
      </c>
      <c r="L40" s="39" t="str">
        <f>IF(NOT(ISNUMBER(tblVerifyLots[[#This Row],[DPMO]])),"",IF(tblVerifyLots[[#This Row],[DPMO]]&lt;=$E$33,"On target",IF(tblVerifyLots[[#This Row],[DPMO]]&lt;=$E$33*(1+0.05),"Near target","Above target")))</f>
        <v>On target</v>
      </c>
      <c r="M40" s="40">
        <f>IF(tblVerifyLots[[#This Row],[Date]]="","",IF(AND(tblVerifyLots[[#This Row],[Date]]&gt;=$E$30,tblVerifyLots[[#This Row],[Date]]&lt;=$E$31,OR($E$32="",tblVerifyLots[[#This Row],[Line]]=$E$32)),tblVerifyLots[[#This Row],[Date]],""))</f>
        <v>46028</v>
      </c>
      <c r="N40" s="41" t="str">
        <f>IF(tblVerifyLots[[#This Row],[Date]]="","",IF(tblVerifyLots[[#This Row],[Line]]="","Missing line",IF(tblVerifyLots[[#This Row],[Product]]="","Missing product",IF(tblVerifyLots[[#This Row],[Units inspected]]="","Missing units inspected",IF(tblVerifyLots[[#This Row],[Defects found]]="","Missing defects found",IF(tblVerifyLots[[#This Row],[Opportunities per unit]]="","Product not on Setup list",IF(tblVerifyLots[[#This Row],[Defects found]]&gt;tblVerifyLots[[#This Row],[Opportunities]],"Defects &gt; opportunities",IF(COUNTIFS(tblVerifyLots[Date],tblVerifyLots[[#This Row],[Date]],tblVerifyLots[Line],tblVerifyLots[[#This Row],[Line]],tblVerifyLots[Product],tblVerifyLots[[#This Row],[Product]],tblVerifyLots[Units inspected],tblVerifyLots[[#This Row],[Units inspected]])&gt;1,"Possible duplicate lot","OK"))))))))</f>
        <v>OK</v>
      </c>
      <c r="O40" s="61"/>
    </row>
    <row r="41" spans="2:15">
      <c r="B41" s="72">
        <v>46028</v>
      </c>
      <c r="C41" s="61" t="s">
        <v>210</v>
      </c>
      <c r="D41" s="61" t="s">
        <v>211</v>
      </c>
      <c r="E41" s="55">
        <v>2</v>
      </c>
      <c r="F41" s="55">
        <v>9</v>
      </c>
      <c r="G41" s="55">
        <v>4</v>
      </c>
      <c r="H41" s="36">
        <f>IF(tblVerifyLots[[#This Row],[Date]]="","",IF(tblVerifyLots[[#This Row],[Opportunities per unit]]="","",tblVerifyLots[[#This Row],[Units inspected]]*tblVerifyLots[[#This Row],[Opportunities per unit]]))</f>
        <v>8</v>
      </c>
      <c r="I41" s="37">
        <f>IF(tblVerifyLots[[#This Row],[Date]]="","",IF(tblVerifyLots[[#This Row],[Units inspected]]&gt;0,tblVerifyLots[[#This Row],[Defects found]]/tblVerifyLots[[#This Row],[Units inspected]],""))</f>
        <v>4.5</v>
      </c>
      <c r="J41" s="36">
        <f>IF(tblVerifyLots[[#This Row],[Date]]="","",IF(N(tblVerifyLots[[#This Row],[Opportunities]])&gt;0,tblVerifyLots[[#This Row],[Defects found]]/tblVerifyLots[[#This Row],[Opportunities]]*1000000,""))</f>
        <v>1125000</v>
      </c>
      <c r="K41" s="38">
        <f>IF(tblVerifyLots[[#This Row],[Date]]="","",IF(AND(N(tblVerifyLots[[#This Row],[Opportunities]])&gt;0,tblVerifyLots[[#This Row],[Defects found]]&gt;0,tblVerifyLots[[#This Row],[Defects found]]&lt;tblVerifyLots[[#This Row],[Opportunities]]),-_xlfn.NORM.S.INV(tblVerifyLots[[#This Row],[Defects found]]/tblVerifyLots[[#This Row],[Opportunities]])+$E$34,""))</f>
        <v/>
      </c>
      <c r="L41" s="39" t="str">
        <f>IF(NOT(ISNUMBER(tblVerifyLots[[#This Row],[DPMO]])),"",IF(tblVerifyLots[[#This Row],[DPMO]]&lt;=$E$33,"On target",IF(tblVerifyLots[[#This Row],[DPMO]]&lt;=$E$33*(1+0.05),"Near target","Above target")))</f>
        <v>Above target</v>
      </c>
      <c r="M41" s="40">
        <f>IF(tblVerifyLots[[#This Row],[Date]]="","",IF(AND(tblVerifyLots[[#This Row],[Date]]&gt;=$E$30,tblVerifyLots[[#This Row],[Date]]&lt;=$E$31,OR($E$32="",tblVerifyLots[[#This Row],[Line]]=$E$32)),tblVerifyLots[[#This Row],[Date]],""))</f>
        <v>46028</v>
      </c>
      <c r="N41" s="41" t="str">
        <f>IF(tblVerifyLots[[#This Row],[Date]]="","",IF(tblVerifyLots[[#This Row],[Line]]="","Missing line",IF(tblVerifyLots[[#This Row],[Product]]="","Missing product",IF(tblVerifyLots[[#This Row],[Units inspected]]="","Missing units inspected",IF(tblVerifyLots[[#This Row],[Defects found]]="","Missing defects found",IF(tblVerifyLots[[#This Row],[Opportunities per unit]]="","Product not on Setup list",IF(tblVerifyLots[[#This Row],[Defects found]]&gt;tblVerifyLots[[#This Row],[Opportunities]],"Defects &gt; opportunities",IF(COUNTIFS(tblVerifyLots[Date],tblVerifyLots[[#This Row],[Date]],tblVerifyLots[Line],tblVerifyLots[[#This Row],[Line]],tblVerifyLots[Product],tblVerifyLots[[#This Row],[Product]],tblVerifyLots[Units inspected],tblVerifyLots[[#This Row],[Units inspected]])&gt;1,"Possible duplicate lot","OK"))))))))</f>
        <v>Defects &gt; opportunities</v>
      </c>
      <c r="O41" s="61"/>
    </row>
  </sheetData>
  <sheetProtection sheet="1" formatColumns="0" formatRows="0"/>
  <mergeCells count="32">
    <mergeCell ref="A1:O1"/>
    <mergeCell ref="B2:N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2:D32"/>
    <mergeCell ref="E32:F32"/>
    <mergeCell ref="B33:D33"/>
    <mergeCell ref="B34:D34"/>
    <mergeCell ref="B36:L36"/>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N38:N41">
    <cfRule type="expression" dxfId="3" priority="41">
      <formula>$N38="OK"</formula>
    </cfRule>
    <cfRule type="expression" dxfId="1" priority="42">
      <formula>AND($N38&lt;&gt;"",$N38&lt;&gt;"OK")</formula>
    </cfRule>
  </conditionalFormatting>
  <hyperlinks>
    <hyperlink ref="O2" r:id="rId1" tooltip="Free manufacturing calculators and templates"/>
  </hyperlinks>
  <printOptions horizontalCentered="1"/>
  <pageMargins left="0.4" right="0.4" top="0.7" bottom="0.65" header="0.3" footer="0.3"/>
  <pageSetup fitToHeight="0" orientation="landscape"/>
  <headerFooter>
    <oddHeader>&amp;L&amp;8MFG Calcs - DPMO and Sigma Level Tracker&amp;R&amp;8&amp;A</oddHeader>
    <oddFooter>&amp;L&amp;8mfgcalcs.com - free manufacturing templates&amp;R&amp;8Page &amp;P of &amp;N</oddFooter>
  </headerFooter>
  <rowBreaks count="1" manualBreakCount="1">
    <brk id="35"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24</vt:i4>
      </vt:variant>
    </vt:vector>
  </HeadingPairs>
  <TitlesOfParts>
    <vt:vector size="30" baseType="lpstr">
      <vt:lpstr>Start Here</vt:lpstr>
      <vt:lpstr>Setup</vt:lpstr>
      <vt:lpstr>Inspection Log</vt:lpstr>
      <vt:lpstr>Dashboard</vt:lpstr>
      <vt:lpstr>Method</vt:lpstr>
      <vt:lpstr>Verify</vt:lpstr>
      <vt:lpstr>DashFrom</vt:lpstr>
      <vt:lpstr>DashLine</vt:lpstr>
      <vt:lpstr>DashTo</vt:lpstr>
      <vt:lpstr>KpiDpmo</vt:lpstr>
      <vt:lpstr>KpiDpu</vt:lpstr>
      <vt:lpstr>KpiLots</vt:lpstr>
      <vt:lpstr>KpiOpp</vt:lpstr>
      <vt:lpstr>KpiOver</vt:lpstr>
      <vt:lpstr>KpiSigma</vt:lpstr>
      <vt:lpstr>KpiWorstLine</vt:lpstr>
      <vt:lpstr>KpiWorstProduct</vt:lpstr>
      <vt:lpstr>PlantName</vt:lpstr>
      <vt:lpstr>Dashboard!Print_Area</vt:lpstr>
      <vt:lpstr>'Inspection Log'!Print_Area</vt:lpstr>
      <vt:lpstr>Method!Print_Area</vt:lpstr>
      <vt:lpstr>Setup!Print_Area</vt:lpstr>
      <vt:lpstr>'Start Here'!Print_Area</vt:lpstr>
      <vt:lpstr>Verify!Print_Area</vt:lpstr>
      <vt:lpstr>'Inspection Log'!Print_Titles</vt:lpstr>
      <vt:lpstr>Method!Print_Titles</vt:lpstr>
      <vt:lpstr>ReportShift</vt:lpstr>
      <vt:lpstr>SelfCheck</vt:lpstr>
      <vt:lpstr>SelfCheckSummary</vt:lpstr>
      <vt:lpstr>TargetDpmo</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DPMO and Sigma Level Tracker - free Excel template from MFG Calcs</dc:title>
  <dc:subject>Log inspected lots and defects and see DPU, DPMO and sigma level by week, line and product against your DPMO target as you type.</dc:subject>
  <dc:creator>MFG Calcs</dc:creator>
  <cp:keywords>DPMO, defects per million opportunities, sigma level, six sigma, DPU, defects per unit, AOI, SMT, IPC-7912</cp:keywords>
  <dc:description>https://www.mfgcalcs.com/templates/dpmo-sigma-calculator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dpmo-sigma-calculator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https://www.mfgcalcs.com/templates/dpmo-sigma-calculator</vt:lpwstr>
  </property>
  <property fmtid="{D5CDD505-2E9C-101B-9397-08002B2CF9AE}" pid="7" name="Template sheet roles">
    <vt:lpwstr>Start Here=start;Setup=setup;Inspection Log=work;Dashboard=dashboard;Method=method;Verify=verify</vt:lpwstr>
  </property>
</Properties>
</file>