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Operations" sheetId="3" r:id="rId3"/>
    <sheet name="Dashboard" sheetId="4" r:id="rId4"/>
    <sheet name="Method" sheetId="5" r:id="rId5"/>
    <sheet name="Verify" sheetId="6" r:id="rId6"/>
  </sheets>
  <definedNames>
    <definedName name="Currency">Setup!$C$7</definedName>
    <definedName name="IdleLimit">Setup!$C$9</definedName>
    <definedName name="KpiCost">Dashboard!$B$7</definedName>
    <definedName name="KpiHours">Dashboard!$B$29</definedName>
    <definedName name="KpiIdle">Dashboard!$G$7</definedName>
    <definedName name="KpiIdleCost">Dashboard!$J$7</definedName>
    <definedName name="KpiMWh">Dashboard!$D$7</definedName>
    <definedName name="KpiOver">Dashboard!$D$29</definedName>
    <definedName name="KpiShare">Dashboard!$G$29</definedName>
    <definedName name="KpiTopMachine">Dashboard!$J$29</definedName>
    <definedName name="Machines">tblMachines[Machine]</definedName>
    <definedName name="Parts">tblParts[Part]</definedName>
    <definedName name="PlantName">Setup!$C$6</definedName>
    <definedName name="_xlnm.Print_Area" localSheetId="3">Dashboard!$A$1:$L$55</definedName>
    <definedName name="_xlnm.Print_Area" localSheetId="4">Method!$A$1:$D$56</definedName>
    <definedName name="_xlnm.Print_Area" localSheetId="2">Operations!$A$1:$V$20</definedName>
    <definedName name="_xlnm.Print_Area" localSheetId="1">Setup!$A$1:$E$32</definedName>
    <definedName name="_xlnm.Print_Area" localSheetId="0">'Start Here'!$A$1:$F$56</definedName>
    <definedName name="_xlnm.Print_Area" localSheetId="5">Verify!$A$1:$V$48</definedName>
    <definedName name="_xlnm.Print_Titles" localSheetId="4">Method!$1:$2</definedName>
    <definedName name="_xlnm.Print_Titles" localSheetId="2">Operations!$1:$6</definedName>
    <definedName name="Rate">Setup!$C$8</definedName>
    <definedName name="SelfCheck">Verify!$D$4</definedName>
    <definedName name="SelfCheckSummary">Verify!$F$4</definedName>
  </definedNames>
  <calcPr calcId="124519" fullCalcOnLoad="1"/>
</workbook>
</file>

<file path=xl/sharedStrings.xml><?xml version="1.0" encoding="utf-8"?>
<sst xmlns="http://schemas.openxmlformats.org/spreadsheetml/2006/main" count="459" uniqueCount="275">
  <si>
    <t>Energy Cost per Part</t>
  </si>
  <si>
    <t>Read this first: what the workbook does and how to use it.</t>
  </si>
  <si>
    <t>mfgcalcs.com</t>
  </si>
  <si>
    <t>Turn measured machine power and cycle times into the electricity cost of each good part, by operation and by part, and see how much is idle energy.</t>
  </si>
  <si>
    <t>For: Cost estimators, process and manufacturing engineers, energy managers and plant managers.</t>
  </si>
  <si>
    <t>Version 1.0.0  ·  updated 15 October 2026</t>
  </si>
  <si>
    <t>Quick start</t>
  </si>
  <si>
    <t>1.</t>
  </si>
  <si>
    <t>On Setup, type your blended electricity rate and idle-share limit, then replace the example machines and parts (annual volume and price).</t>
  </si>
  <si>
    <t>2.</t>
  </si>
  <si>
    <t>On Operations, add one row per part per operation: machine, run power and in-cycle time, idle power and idle time per part, and scrap.</t>
  </si>
  <si>
    <t>3.</t>
  </si>
  <si>
    <t>Read the Check column: anything other than OK names the problem in words.</t>
  </si>
  <si>
    <t>4.</t>
  </si>
  <si>
    <t>Open the Dashboard to see the annual energy bill by machine, the idle share and the energy cost of each part.</t>
  </si>
  <si>
    <t>5.</t>
  </si>
  <si>
    <t>Copy a row and change its cycle time or power to price an improvement before you make it.</t>
  </si>
  <si>
    <t>What is in this workbook</t>
  </si>
  <si>
    <t>Start Here</t>
  </si>
  <si>
    <t>Setup</t>
  </si>
  <si>
    <t>Your electricity rate, idle-share limit, machines and parts.</t>
  </si>
  <si>
    <t>Operations</t>
  </si>
  <si>
    <t>One row per part per operation: power, time per part and scrap give the energy and cost of each good part.</t>
  </si>
  <si>
    <t>Dashboard</t>
  </si>
  <si>
    <t>What electricity costs per year, per machine and per good part, and how much of it is idle energy.</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</si>
  <si>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</si>
  <si>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</si>
  <si>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</si>
  <si>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</si>
  <si>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</si>
  <si>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</si>
  <si>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</si>
  <si>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</si>
  <si>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</si>
  <si>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</si>
  <si>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</si>
  <si>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</si>
  <si>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</si>
  <si>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</si>
  <si>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</si>
  <si>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</si>
  <si>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</si>
  <si>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</si>
  <si>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</si>
  <si>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</si>
  <si>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Energy Cost Per Part Calculator on mfgcalcs.com</t>
  </si>
  <si>
    <t>Latest version</t>
  </si>
  <si>
    <t>mfgcalcs.com/templates/energy-cost-per-part</t>
  </si>
  <si>
    <t>More free templates</t>
  </si>
  <si>
    <t>mfgcalcs.com/templates</t>
  </si>
  <si>
    <t>Version</t>
  </si>
  <si>
    <t>1.0.0 (updated 15 October 2026)</t>
  </si>
  <si>
    <t>About the example data</t>
  </si>
  <si>
    <t>Every number already in this workbook is example data for Harlow Precision, a fictional business invented for this template, so the dashboard and charts show something meaningful on day one. It covers six machines, five parts and fourteen operations with example power readings and an example electricity rate.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</si>
  <si>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</si>
  <si>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</si>
  <si>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</si>
  <si>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</si>
  <si>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</si>
  <si>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</si>
  <si>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</si>
  <si>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</si>
  <si>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Machine</t>
  </si>
  <si>
    <t>Type</t>
  </si>
  <si>
    <t>Notes</t>
  </si>
  <si>
    <t>Part</t>
  </si>
  <si>
    <t>Annual volume (good parts/yr)</t>
  </si>
  <si>
    <t>Price</t>
  </si>
  <si>
    <t>Plant, rate and limit</t>
  </si>
  <si>
    <t>Plant or line name</t>
  </si>
  <si>
    <t>Harlow Precision (example)</t>
  </si>
  <si>
    <t>Currency label</t>
  </si>
  <si>
    <t>USD</t>
  </si>
  <si>
    <t>Electricity rate (blended)</t>
  </si>
  <si>
    <t>Idle share limit</t>
  </si>
  <si>
    <t>The rate and limit are example values for a fictional shop; nothing in this workbook assumes an industry benchmark. 'Near target' means within 5% above the limit.</t>
  </si>
  <si>
    <t>Lists that feed the dropdowns</t>
  </si>
  <si>
    <t>Edit, add or remove rows; the Machine and Part dropdowns on Operations read these lists. Annual volume is good parts shipped per year; price is optional and only used for energy as a share of price.</t>
  </si>
  <si>
    <t>Machines</t>
  </si>
  <si>
    <t>LC-1</t>
  </si>
  <si>
    <t>Fibre laser, 6 kW</t>
  </si>
  <si>
    <t>Includes chiller and extraction</t>
  </si>
  <si>
    <t>PB-1</t>
  </si>
  <si>
    <t>Servo brake, 100 t</t>
  </si>
  <si>
    <t>Motors stop between bends</t>
  </si>
  <si>
    <t>PB-2</t>
  </si>
  <si>
    <t>Hydraulic brake, 160 t</t>
  </si>
  <si>
    <t>Pump runs between bends</t>
  </si>
  <si>
    <t>HP-1</t>
  </si>
  <si>
    <t>Hydraulic press, 200 t</t>
  </si>
  <si>
    <t>Pump runs while the press is on</t>
  </si>
  <si>
    <t>CNC-1</t>
  </si>
  <si>
    <t>CNC lathe, 15 kW</t>
  </si>
  <si>
    <t>Coolant pump stays on</t>
  </si>
  <si>
    <t>WC-1</t>
  </si>
  <si>
    <t>Robot MIG weld cell</t>
  </si>
  <si>
    <t>Includes robot, welder, extraction</t>
  </si>
  <si>
    <t>Parts, annual volumes and prices</t>
  </si>
  <si>
    <t>Bracket B-220</t>
  </si>
  <si>
    <t>Laser and bend</t>
  </si>
  <si>
    <t>Housing H-410</t>
  </si>
  <si>
    <t>Laser, bend, weld</t>
  </si>
  <si>
    <t>Shaft S-75</t>
  </si>
  <si>
    <t>Two turning operations</t>
  </si>
  <si>
    <t>Frame F-900</t>
  </si>
  <si>
    <t>Laser, press, bend, weld</t>
  </si>
  <si>
    <t>Clip C-12</t>
  </si>
  <si>
    <t>Progressive die on the press</t>
  </si>
  <si>
    <t>Operation</t>
  </si>
  <si>
    <t>Run power (kW)</t>
  </si>
  <si>
    <t>Cycle time (s/part)</t>
  </si>
  <si>
    <t>Idle power (kW)</t>
  </si>
  <si>
    <t>Idle time (s/part)</t>
  </si>
  <si>
    <t>Scrap</t>
  </si>
  <si>
    <t>Energy per part made (kWh/part)</t>
  </si>
  <si>
    <t>Energy per good part (kWh/part)</t>
  </si>
  <si>
    <t>Energy cost per good part</t>
  </si>
  <si>
    <t>Idle share</t>
  </si>
  <si>
    <t>Idle status</t>
  </si>
  <si>
    <t>Average demand (kW)</t>
  </si>
  <si>
    <t>Runtime (h/yr)</t>
  </si>
  <si>
    <t>Annual energy (kWh/yr)</t>
  </si>
  <si>
    <t>Idle energy (kWh/yr)</t>
  </si>
  <si>
    <t>Annual energy cost</t>
  </si>
  <si>
    <t>Check</t>
  </si>
  <si>
    <t>Example data for Harlow Precision (fictional): example power readings and times. Replace it with your own: select the example rows, right-click, Delete &gt; Table Rows. Yellow = you type; blue = calculated; Check names any problem.</t>
  </si>
  <si>
    <t>Op 10 Laser cut</t>
  </si>
  <si>
    <t/>
  </si>
  <si>
    <t>Op 20 Bend</t>
  </si>
  <si>
    <t>Op 30 Pierce</t>
  </si>
  <si>
    <t>Hand-loaded on the 200 t press</t>
  </si>
  <si>
    <t>Op 10 Blank and form</t>
  </si>
  <si>
    <t>Coil feed, continuous strokes</t>
  </si>
  <si>
    <t>Op 20 Press form</t>
  </si>
  <si>
    <t>Pump idles while the operator loads</t>
  </si>
  <si>
    <t>Op 30 Bend</t>
  </si>
  <si>
    <t>Op 40 Weld</t>
  </si>
  <si>
    <t>Op 30 Weld</t>
  </si>
  <si>
    <t>Op 10 Turn first side</t>
  </si>
  <si>
    <t>Op 20 Turn second side</t>
  </si>
  <si>
    <t>Op 30 Deburr and wash</t>
  </si>
  <si>
    <t>ANNUAL ENERGY (MWH/YR)</t>
  </si>
  <si>
    <t>IDLE SHARE OF ENERGY</t>
  </si>
  <si>
    <t>All operations at Setup volumes</t>
  </si>
  <si>
    <t>Including the energy of scrapped parts</t>
  </si>
  <si>
    <t>Drawn between cycles</t>
  </si>
  <si>
    <t>MACHINE HOURS (H/YR)</t>
  </si>
  <si>
    <t>OPERATIONS ABOVE IDLE LIMIT</t>
  </si>
  <si>
    <t>ENERGY SHARE OF SALES</t>
  </si>
  <si>
    <t>BIGGEST ENERGY COST</t>
  </si>
  <si>
    <t>To make the annual volumes</t>
  </si>
  <si>
    <t>Candidates for auto-off</t>
  </si>
  <si>
    <t>Annual energy cost / volume x price</t>
  </si>
  <si>
    <t>Machine with the highest annual cost</t>
  </si>
  <si>
    <t>By machine (per year)</t>
  </si>
  <si>
    <t>Machine hours</t>
  </si>
  <si>
    <t>Energy</t>
  </si>
  <si>
    <t>Idle energy</t>
  </si>
  <si>
    <t>Average demand</t>
  </si>
  <si>
    <t>In cycle</t>
  </si>
  <si>
    <t>Idle</t>
  </si>
  <si>
    <t>Total cost</t>
  </si>
  <si>
    <t>Share of cost</t>
  </si>
  <si>
    <t>h/yr</t>
  </si>
  <si>
    <t>kWh/yr</t>
  </si>
  <si>
    <t>%</t>
  </si>
  <si>
    <t>kW</t>
  </si>
  <si>
    <t>Total</t>
  </si>
  <si>
    <t>By part (energy summed over its operations)</t>
  </si>
  <si>
    <t>Energy per good part</t>
  </si>
  <si>
    <t>Cost per good part</t>
  </si>
  <si>
    <t>Annual volume</t>
  </si>
  <si>
    <t>Share of price</t>
  </si>
  <si>
    <t>kWh/part</t>
  </si>
  <si>
    <t>parts/yr</t>
  </si>
  <si>
    <t>The Dashboard shows the 6 machines and 5 parts of the Setup lists. If you add more, extend the 'By machine' and 'By part' blocks (see Method) or they will not appear here; the tiles still count every operation.</t>
  </si>
  <si>
    <t>What this workbook calculates</t>
  </si>
  <si>
    <t>Electricity is a variable cost of every part, but it hides in overhead unless you measure it. This workbook builds it from four measurements per operation: the power while the machine is in cycle, the in-cycle time per part, the power drawn between cycles and that idle time. Their product is the energy of one part made; scrap at the operation spreads it over fewer good parts; the blended rate turns it into money; the annual volume turns it into a yearly bill. Idle energy is kept separate because it is the part you can remove without touching the process.</t>
  </si>
  <si>
    <t>Calculations</t>
  </si>
  <si>
    <t>Quantity</t>
  </si>
  <si>
    <t>How it is calculated</t>
  </si>
  <si>
    <t>Units</t>
  </si>
  <si>
    <t>Energy per part made</t>
  </si>
  <si>
    <t>(Run power x cycle time + idle power x idle time) / 3600.</t>
  </si>
  <si>
    <t>Energy per part made / (1 - scrap): scrapped parts' energy is carried by the good ones.</t>
  </si>
  <si>
    <t>Energy per good part x electricity rate (Setup).</t>
  </si>
  <si>
    <t>currency/part</t>
  </si>
  <si>
    <t>Idle power x idle time / 3600 / energy per part made. Status: On target at or below the limit, Near target up to 5% above it, Above target beyond.</t>
  </si>
  <si>
    <t>Energy per part made x 3600 / (cycle time + idle time): the time-weighted average power of the operation.</t>
  </si>
  <si>
    <t>Runtime</t>
  </si>
  <si>
    <t>Annual volume / (1 - scrap) x (cycle time + idle time) / 3600: machine hours to make the volume and its scrap.</t>
  </si>
  <si>
    <t>Annual energy, idle energy</t>
  </si>
  <si>
    <t>Energy per good part x annual volume (looked up from Parts on Setup); idle energy = annual energy x idle share.</t>
  </si>
  <si>
    <t>Annual energy x electricity rate.</t>
  </si>
  <si>
    <t>currency/yr</t>
  </si>
  <si>
    <t>By machine</t>
  </si>
  <si>
    <t>SUMIFS over the operations of each machine. In-cycle cost = (energy - idle energy) x rate; idle cost = idle energy x rate; idle share = idle energy / energy.</t>
  </si>
  <si>
    <t>By part</t>
  </si>
  <si>
    <t>Energy and cost per good part summed over the part's operations; share of price = energy cost per good part / price.</t>
  </si>
  <si>
    <t>currency/part, %</t>
  </si>
  <si>
    <t>Energy share of sales</t>
  </si>
  <si>
    <t>Total annual energy cost / sum over parts of annual volume x price (SUMPRODUCT over the Parts list).</t>
  </si>
  <si>
    <t>Assumptions</t>
  </si>
  <si>
    <t>Run and idle power are steady averages for this part on this machine; measure them under load, not from the nameplate.</t>
  </si>
  <si>
    <t>Scrap is per operation and its energy is charged to the good parts of that operation; scrap at later operations is not carried back to earlier ones.</t>
  </si>
  <si>
    <t>The annual volume of a part goes through every one of its operations.</t>
  </si>
  <si>
    <t>The blended rate already includes demand and fixed charges spread over every kWh; the workbook does not split them by time of use.</t>
  </si>
  <si>
    <t>Limitations</t>
  </si>
  <si>
    <t>Energy outside the operations (lighting, HVAC, compressed air, the machine's off-shift standby) is not in the per-part cost; add it as overhead or as its own operation row.</t>
  </si>
  <si>
    <t>Time-of-use and demand charges are averaged into the blended rate, so moving a job to off-peak hours shows no saving here.</t>
  </si>
  <si>
    <t>The Dashboard has fixed blocks for the machines and parts in the example lists; a warning appears when the lists are longer.</t>
  </si>
  <si>
    <t>Agreement with the live calculator</t>
  </si>
  <si>
    <t>The live Energy Cost per Part Calculator takes an average demand in kW, operating hours, the blended rate and good units: cost per good unit = kW x hours x rate / good units. For one operation, this workbook's average demand x runtime equals its energy per part made x parts made, so with good units = the annual volume it gives the same cost per good part, total cost and kWh. The calculator's own example (150 kW for 8 h at 0.12 for 5,000 good units: 0.0288 per unit) is a Verify row, and verify.py checks the reference against the calculator's engine for it and for an example operation.</t>
  </si>
  <si>
    <t>Open the Energy Cost Per Part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</si>
  <si>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</si>
  <si>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</si>
  <si>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50001:2018, Energy management systems (energy performance indicators relative to output) and ISO 50006 (energy baselines and EnPIs): named for the approach, no text reproduced.</t>
  </si>
  <si>
    <t>MFG Calcs Energy Cost per Part Calculator (energy-cost-per-part): the same cost per good unit for one machine and period.</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</si>
  <si>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</si>
  <si>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</si>
  <si>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</si>
  <si>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</si>
  <si>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</si>
  <si>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</si>
  <si>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</si>
  <si>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</si>
  <si>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</si>
  <si>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</si>
  <si>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</si>
  <si>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</si>
  <si>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</si>
  <si>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</si>
  <si>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</si>
  <si>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</si>
  <si>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energy per good part</t>
  </si>
  <si>
    <t>Row 1: energy cost per good part</t>
  </si>
  <si>
    <t>Row 1: runtime</t>
  </si>
  <si>
    <t>Row 1: annual energy cost</t>
  </si>
  <si>
    <t>Row 2 (30 kW, 45 s + idle): energy per good part</t>
  </si>
  <si>
    <t>Row 2: energy cost per good part</t>
  </si>
  <si>
    <t>Row 2: runtime</t>
  </si>
  <si>
    <t>Row 2: annual energy cost</t>
  </si>
  <si>
    <t>Row 3 (5% scrap, idle-heavy): energy per good part</t>
  </si>
  <si>
    <t>Row 3: energy cost per good part</t>
  </si>
  <si>
    <t>Row 3: runtime</t>
  </si>
  <si>
    <t>Row 3: annual energy cost</t>
  </si>
  <si>
    <t>Row 1: average demand = 150 kW</t>
  </si>
  <si>
    <t>Row 2: energy per part made</t>
  </si>
  <si>
    <t>Row 2: idle share</t>
  </si>
  <si>
    <t>Row 3: idle share</t>
  </si>
  <si>
    <t>Row 3: idle status against a 25% limit</t>
  </si>
  <si>
    <t>Above target</t>
  </si>
  <si>
    <t>exact</t>
  </si>
  <si>
    <t>Row 3: idle energy</t>
  </si>
  <si>
    <t>Row 4: Check reports idle power above run power</t>
  </si>
  <si>
    <t>Idle power above run power</t>
  </si>
  <si>
    <t>All rows: annual energy cost (Dashboard formula)</t>
  </si>
  <si>
    <t>All rows: idle share of energy (Dashboard formula)</t>
  </si>
  <si>
    <t>All rows: idle energy cost (Dashboard formula)</t>
  </si>
  <si>
    <t>All rows: machine hours (Dashboard formula)</t>
  </si>
  <si>
    <t>Fixed test inputs</t>
  </si>
  <si>
    <t>White cells are fixed test inputs; blue cells are the workbook's formulas evaluated on them.</t>
  </si>
  <si>
    <t>Parameters</t>
  </si>
  <si>
    <t>Electricity rate (per kWh)</t>
  </si>
  <si>
    <t>Test table: Ops</t>
  </si>
  <si>
    <t>P1</t>
  </si>
  <si>
    <t>Calculator example</t>
  </si>
  <si>
    <t>M1</t>
  </si>
  <si>
    <t>P2</t>
  </si>
  <si>
    <t>Press 45 s</t>
  </si>
  <si>
    <t>P3</t>
  </si>
  <si>
    <t>Hydraulic press</t>
  </si>
  <si>
    <t>M2</t>
  </si>
  <si>
    <t>P4</t>
  </si>
  <si>
    <t>Bad reading</t>
  </si>
</sst>
</file>

<file path=xl/styles.xml><?xml version="1.0" encoding="utf-8"?>
<styleSheet xmlns="http://schemas.openxmlformats.org/spreadsheetml/2006/main">
  <numFmts count="11">
    <numFmt numFmtId="164" formatCode="#,##0.0000"/>
    <numFmt numFmtId="165" formatCode="0%"/>
    <numFmt numFmtId="166" formatCode="#,##0"/>
    <numFmt numFmtId="167" formatCode="#,##0.00"/>
    <numFmt numFmtId="168" formatCode="#,##0.0"/>
    <numFmt numFmtId="169" formatCode="0.0%"/>
    <numFmt numFmtId="170" formatCode="0.0000"/>
    <numFmt numFmtId="171" formatCode="&quot;Limit &quot;0.0%"/>
    <numFmt numFmtId="172" formatCode="0.00%"/>
    <numFmt numFmtId="173" formatCode="#,##0.000"/>
    <numFmt numFmtId="174"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i/>
      <sz val="9"/>
      <color rgb="FF6B7280"/>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3">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0" borderId="0" xfId="0" applyFont="1" applyAlignment="1">
      <alignment horizontal="center" vertical="center"/>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0" fillId="3" borderId="2" xfId="0" applyFont="1" applyFill="1" applyBorder="1" applyAlignment="1" applyProtection="1">
      <alignment vertical="top" wrapText="1"/>
      <protection locked="0"/>
    </xf>
    <xf numFmtId="0" fontId="20"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169"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8" fontId="10" fillId="4" borderId="3" xfId="0" applyNumberFormat="1" applyFont="1" applyFill="1" applyBorder="1" applyAlignment="1">
      <alignment vertical="center"/>
    </xf>
    <xf numFmtId="0" fontId="21" fillId="4" borderId="3" xfId="0" applyFont="1" applyFill="1" applyBorder="1" applyAlignment="1">
      <alignment vertical="center"/>
    </xf>
    <xf numFmtId="0" fontId="19"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1"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72"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0" fontId="9" fillId="4" borderId="10" xfId="0" applyFont="1" applyFill="1" applyBorder="1" applyAlignment="1">
      <alignment vertical="center"/>
    </xf>
    <xf numFmtId="166" fontId="9" fillId="4" borderId="10" xfId="0" applyNumberFormat="1" applyFont="1" applyFill="1" applyBorder="1" applyAlignment="1">
      <alignment vertical="center"/>
    </xf>
    <xf numFmtId="169" fontId="9" fillId="4" borderId="10" xfId="0" applyNumberFormat="1" applyFont="1" applyFill="1" applyBorder="1" applyAlignment="1">
      <alignment vertical="center"/>
    </xf>
    <xf numFmtId="173"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70" fontId="10" fillId="0" borderId="9" xfId="0" applyNumberFormat="1" applyFont="1" applyBorder="1" applyAlignment="1">
      <alignment vertical="center"/>
    </xf>
    <xf numFmtId="174" fontId="10" fillId="4" borderId="3" xfId="0" applyNumberFormat="1" applyFont="1" applyFill="1" applyBorder="1" applyAlignment="1">
      <alignment vertical="center"/>
    </xf>
    <xf numFmtId="174" fontId="10" fillId="0" borderId="9" xfId="0" applyNumberFormat="1" applyFont="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xf numFmtId="169" fontId="10" fillId="0" borderId="9" xfId="0" applyNumberFormat="1" applyFont="1" applyBorder="1" applyAlignment="1">
      <alignment vertical="center"/>
    </xf>
    <xf numFmtId="0" fontId="10" fillId="4" borderId="3" xfId="0" applyFont="1" applyFill="1" applyBorder="1" applyAlignment="1">
      <alignment vertical="center"/>
    </xf>
    <xf numFmtId="166"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Annual energy cost by machine: in cycle and idle</a:t>
            </a:r>
          </a:p>
        </c:rich>
      </c:tx>
      <c:layout/>
    </c:title>
    <c:plotArea>
      <c:layout/>
      <c:barChart>
        <c:barDir val="bar"/>
        <c:grouping val="stacked"/>
        <c:ser>
          <c:idx val="0"/>
          <c:order val="0"/>
          <c:tx>
            <c:v>In cycle</c:v>
          </c:tx>
          <c:spPr>
            <a:solidFill>
              <a:srgbClr val="3B64D8"/>
            </a:solidFill>
            <a:ln w="9525">
              <a:solidFill>
                <a:srgbClr val="FFFFFF"/>
              </a:solidFill>
            </a:ln>
          </c:spPr>
          <c:cat>
            <c:strRef>
              <c:f>Dashboard!$B$37:$B$42</c:f>
              <c:strCache>
                <c:ptCount val="6"/>
                <c:pt idx="0">
                  <c:v>LC-1</c:v>
                </c:pt>
                <c:pt idx="1">
                  <c:v>PB-1</c:v>
                </c:pt>
                <c:pt idx="2">
                  <c:v>PB-2</c:v>
                </c:pt>
                <c:pt idx="3">
                  <c:v>HP-1</c:v>
                </c:pt>
                <c:pt idx="4">
                  <c:v>CNC-1</c:v>
                </c:pt>
                <c:pt idx="5">
                  <c:v>WC-1</c:v>
                </c:pt>
              </c:strCache>
            </c:strRef>
          </c:cat>
          <c:val>
            <c:numRef>
              <c:f>Dashboard!$I$37:$I$42</c:f>
              <c:numCache>
                <c:formatCode>General</c:formatCode>
                <c:ptCount val="6"/>
                <c:pt idx="0">
                  <c:v>6743.00364046557</c:v>
                </c:pt>
                <c:pt idx="1">
                  <c:v>470.35175879397</c:v>
                </c:pt>
                <c:pt idx="2">
                  <c:v>1204.0404040404</c:v>
                </c:pt>
                <c:pt idx="3">
                  <c:v>1864.49977957087</c:v>
                </c:pt>
                <c:pt idx="4">
                  <c:v>1703.89795829524</c:v>
                </c:pt>
                <c:pt idx="5">
                  <c:v>2222.77012327774</c:v>
                </c:pt>
              </c:numCache>
            </c:numRef>
          </c:val>
        </c:ser>
        <c:ser>
          <c:idx val="1"/>
          <c:order val="1"/>
          <c:tx>
            <c:v>Idle</c:v>
          </c:tx>
          <c:spPr>
            <a:solidFill>
              <a:srgbClr val="E8702A"/>
            </a:solidFill>
            <a:ln w="9525">
              <a:solidFill>
                <a:srgbClr val="FFFFFF"/>
              </a:solidFill>
            </a:ln>
          </c:spPr>
          <c:cat>
            <c:strRef>
              <c:f>Dashboard!$B$37:$B$42</c:f>
              <c:strCache>
                <c:ptCount val="6"/>
                <c:pt idx="0">
                  <c:v>LC-1</c:v>
                </c:pt>
                <c:pt idx="1">
                  <c:v>PB-1</c:v>
                </c:pt>
                <c:pt idx="2">
                  <c:v>PB-2</c:v>
                </c:pt>
                <c:pt idx="3">
                  <c:v>HP-1</c:v>
                </c:pt>
                <c:pt idx="4">
                  <c:v>CNC-1</c:v>
                </c:pt>
                <c:pt idx="5">
                  <c:v>WC-1</c:v>
                </c:pt>
              </c:strCache>
            </c:strRef>
          </c:cat>
          <c:val>
            <c:numRef>
              <c:f>Dashboard!$J$37:$J$42</c:f>
              <c:numCache>
                <c:formatCode>General</c:formatCode>
                <c:ptCount val="6"/>
                <c:pt idx="0">
                  <c:v>728.380249192432</c:v>
                </c:pt>
                <c:pt idx="1">
                  <c:v>57.8894472361809</c:v>
                </c:pt>
                <c:pt idx="2">
                  <c:v>515.151515151515</c:v>
                </c:pt>
                <c:pt idx="3">
                  <c:v>1376.46810786131</c:v>
                </c:pt>
                <c:pt idx="4">
                  <c:v>218.350855426407</c:v>
                </c:pt>
                <c:pt idx="5">
                  <c:v>153.137884595463</c:v>
                </c:pt>
              </c:numCache>
            </c:numRef>
          </c:val>
        </c:ser>
        <c:gapWidth val="6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Annual energy cost by part: in cycle and idle</a:t>
            </a:r>
          </a:p>
        </c:rich>
      </c:tx>
      <c:layout/>
    </c:title>
    <c:plotArea>
      <c:layout/>
      <c:barChart>
        <c:barDir val="col"/>
        <c:grouping val="stacked"/>
        <c:ser>
          <c:idx val="0"/>
          <c:order val="0"/>
          <c:tx>
            <c:v>In cycle</c:v>
          </c:tx>
          <c:spPr>
            <a:solidFill>
              <a:srgbClr val="3B64D8"/>
            </a:solidFill>
            <a:ln w="9525">
              <a:solidFill>
                <a:srgbClr val="FFFFFF"/>
              </a:solidFill>
            </a:ln>
          </c:spPr>
          <c:cat>
            <c:strRef>
              <c:f>Dashboard!$B$48:$B$52</c:f>
              <c:strCache>
                <c:ptCount val="5"/>
                <c:pt idx="0">
                  <c:v>Bracket B-220</c:v>
                </c:pt>
                <c:pt idx="1">
                  <c:v>Housing H-410</c:v>
                </c:pt>
                <c:pt idx="2">
                  <c:v>Shaft S-75</c:v>
                </c:pt>
                <c:pt idx="3">
                  <c:v>Frame F-900</c:v>
                </c:pt>
                <c:pt idx="4">
                  <c:v>Clip C-12</c:v>
                </c:pt>
              </c:strCache>
            </c:strRef>
          </c:cat>
          <c:val>
            <c:numRef>
              <c:f>Dashboard!$G$48:$G$52</c:f>
              <c:numCache>
                <c:formatCode>General</c:formatCode>
                <c:ptCount val="5"/>
                <c:pt idx="0">
                  <c:v>3319.96209056863</c:v>
                </c:pt>
                <c:pt idx="1">
                  <c:v>4079.22297668491</c:v>
                </c:pt>
                <c:pt idx="2">
                  <c:v>1703.89795829524</c:v>
                </c:pt>
                <c:pt idx="3">
                  <c:v>3901.86980639752</c:v>
                </c:pt>
                <c:pt idx="4">
                  <c:v>1203.61083249749</c:v>
                </c:pt>
              </c:numCache>
            </c:numRef>
          </c:val>
        </c:ser>
        <c:ser>
          <c:idx val="1"/>
          <c:order val="1"/>
          <c:tx>
            <c:v>Idle</c:v>
          </c:tx>
          <c:spPr>
            <a:solidFill>
              <a:srgbClr val="E8702A"/>
            </a:solidFill>
            <a:ln w="9525">
              <a:solidFill>
                <a:srgbClr val="FFFFFF"/>
              </a:solidFill>
            </a:ln>
          </c:spPr>
          <c:cat>
            <c:strRef>
              <c:f>Dashboard!$B$48:$B$52</c:f>
              <c:strCache>
                <c:ptCount val="5"/>
                <c:pt idx="0">
                  <c:v>Bracket B-220</c:v>
                </c:pt>
                <c:pt idx="1">
                  <c:v>Housing H-410</c:v>
                </c:pt>
                <c:pt idx="2">
                  <c:v>Shaft S-75</c:v>
                </c:pt>
                <c:pt idx="3">
                  <c:v>Frame F-900</c:v>
                </c:pt>
                <c:pt idx="4">
                  <c:v>Clip C-12</c:v>
                </c:pt>
              </c:strCache>
            </c:strRef>
          </c:cat>
          <c:val>
            <c:numRef>
              <c:f>Dashboard!$H$48:$H$52</c:f>
              <c:numCache>
                <c:formatCode>General</c:formatCode>
                <c:ptCount val="5"/>
                <c:pt idx="0">
                  <c:v>758.199157565931</c:v>
                </c:pt>
                <c:pt idx="1">
                  <c:v>580.179878134918</c:v>
                </c:pt>
                <c:pt idx="2">
                  <c:v>218.350855426407</c:v>
                </c:pt>
                <c:pt idx="3">
                  <c:v>790.541849379183</c:v>
                </c:pt>
                <c:pt idx="4">
                  <c:v>702.106318956871</c:v>
                </c:pt>
              </c:numCache>
            </c:numRef>
          </c:val>
        </c:ser>
        <c:gapWidth val="60"/>
        <c:overlap val="10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25</xdr:row>
      <xdr:rowOff>152400</xdr:rowOff>
    </xdr:to>
    <xdr:graphicFrame macro="">
      <xdr:nvGraphicFramePr>
        <xdr:cNvPr id="2" name="Chart 1" descr="Stacked bar chart of each machine's annual electricity cost, split into energy drawn in cycle and energy drawn idle between cycl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25</xdr:row>
      <xdr:rowOff>152400</xdr:rowOff>
    </xdr:to>
    <xdr:graphicFrame macro="">
      <xdr:nvGraphicFramePr>
        <xdr:cNvPr id="3" name="Chart 2" descr="Stacked column chart of each part's annual electricity cost at its Setup volume, summed over its operations and split into in-cycle and idle energy."/>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Machines" displayName="tblMachines" ref="B17:D23" totalsRowShown="0">
  <autoFilter ref="B17:D23"/>
  <tableColumns count="3">
    <tableColumn id="1" name="Machine"/>
    <tableColumn id="2" name="Type"/>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Parts" displayName="tblParts" ref="B27:E32" totalsRowShown="0">
  <autoFilter ref="B27:E32"/>
  <tableColumns count="4">
    <tableColumn id="1" name="Part"/>
    <tableColumn id="2" name="Annual volume (good parts/yr)"/>
    <tableColumn id="3" name="Price"/>
    <tableColumn id="4" name="Notes"/>
  </tableColumns>
  <tableStyleInfo name="TableStyleLight1" showFirstColumn="0" showLastColumn="0" showRowStripes="0" showColumnStripes="0"/>
</table>
</file>

<file path=xl/tables/table3.xml><?xml version="1.0" encoding="utf-8"?>
<table xmlns="http://schemas.openxmlformats.org/spreadsheetml/2006/main" id="3" name="tblOps" displayName="tblOps" ref="B6:V20" totalsRowShown="0">
  <autoFilter ref="B6:V20"/>
  <tableColumns count="21">
    <tableColumn id="1" name="Part"/>
    <tableColumn id="2" name="Operation"/>
    <tableColumn id="3" name="Machine"/>
    <tableColumn id="4" name="Run power (kW)"/>
    <tableColumn id="5" name="Cycle time (s/part)"/>
    <tableColumn id="6" name="Idle power (kW)"/>
    <tableColumn id="7" name="Idle time (s/part)"/>
    <tableColumn id="8" name="Scrap"/>
    <tableColumn id="9" name="Annual volume (good parts/yr)">
      <calculatedColumnFormula>IF(tblOps[[#This Row],[Part]]="","",IFERROR(INDEX(tblParts[Annual volume (good parts/yr)],MATCH(tblOps[[#This Row],[Part]],tblParts[Part],0)),""))</calculatedColumnFormula>
    </tableColumn>
    <tableColumn id="10" name="Energy per part made (kWh/part)">
      <calculatedColumnFormula>IF(tblOps[[#This Row],[Part]]="","",IF(AND(ISNUMBER(tblOps[[#This Row],[Run power (kW)]]),ISNUMBER(tblOps[[#This Row],[Cycle time (s/part)]])),(tblOps[[#This Row],[Run power (kW)]]*tblOps[[#This Row],[Cycle time (s/part)]]+N(tblOps[[#This Row],[Idle power (kW)]])*N(tblOps[[#This Row],[Idle time (s/part)]]))/3600,""))</calculatedColumnFormula>
    </tableColumn>
    <tableColumn id="11" name="Energy per good part (kWh/part)">
      <calculatedColumnFormula>IF(tblOps[[#This Row],[Part]]="","",IF(AND(ISNUMBER(tblOps[[#This Row],[Run power (kW)]]),ISNUMBER(tblOps[[#This Row],[Cycle time (s/part)]])),(tblOps[[#This Row],[Run power (kW)]]*tblOps[[#This Row],[Cycle time (s/part)]]+N(tblOps[[#This Row],[Idle power (kW)]])*N(tblOps[[#This Row],[Idle time (s/part)]]))/3600/(1-N(tblOps[[#This Row],[Scrap]])),""))</calculatedColumnFormula>
    </tableColumn>
    <tableColumn id="12" name="Energy cost per good part">
      <calculatedColumnFormula>IF(tblOps[[#This Row],[Part]]="","",IF(AND(ISNUMBER(tblOps[[#This Row],[Run power (kW)]]),ISNUMBER(tblOps[[#This Row],[Cycle time (s/part)]])),(tblOps[[#This Row],[Run power (kW)]]*tblOps[[#This Row],[Cycle time (s/part)]]+N(tblOps[[#This Row],[Idle power (kW)]])*N(tblOps[[#This Row],[Idle time (s/part)]]))/3600/(1-N(tblOps[[#This Row],[Scrap]]))*Rate,""))</calculatedColumnFormula>
    </tableColumn>
    <tableColumn id="13" name="Idle share">
      <calculatedColumnFormula>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calculatedColumnFormula>
    </tableColumn>
    <tableColumn id="14" name="Idle status">
      <calculatedColumnFormula>IF(NOT(ISNUMBER(tblOps[[#This Row],[Idle share]])),"",IF(tblOps[[#This Row],[Idle share]]&lt;=IdleLimit,"On target",IF(tblOps[[#This Row],[Idle share]]&lt;=IdleLimit*(1+0.05),"Near target","Above target")))</calculatedColumnFormula>
    </tableColumn>
    <tableColumn id="15" name="Average demand (kW)">
      <calculatedColumnFormula>IF(tblOps[[#This Row],[Part]]="","",IF(AND(ISNUMBER(tblOps[[#This Row],[Run power (kW)]]),ISNUMBER(tblOps[[#This Row],[Cycle time (s/part)]])),(tblOps[[#This Row],[Run power (kW)]]*tblOps[[#This Row],[Cycle time (s/part)]]+N(tblOps[[#This Row],[Idle power (kW)]])*N(tblOps[[#This Row],[Idle time (s/part)]]))/3600*3600/(tblOps[[#This Row],[Cycle time (s/part)]]+N(tblOps[[#This Row],[Idle time (s/part)]])),""))</calculatedColumnFormula>
    </tableColumn>
    <tableColumn id="16" name="Runtime (h/yr)">
      <calculatedColumnFormula>IF(tblOps[[#This Row],[Part]]="","",IF(AND(ISNUMBER(tblOps[[#This Row],[Annual volume (good parts/yr)]]),ISNUMBER(tblOps[[#This Row],[Cycle time (s/part)]])),tblOps[[#This Row],[Annual volume (good parts/yr)]]/(1-N(tblOps[[#This Row],[Scrap]]))*(tblOps[[#This Row],[Cycle time (s/part)]]+N(tblOps[[#This Row],[Idle time (s/part)]]))/3600,""))</calculatedColumnFormula>
    </tableColumn>
    <tableColumn id="17" name="Annual energy (kWh/yr)">
      <calculatedColumnFormula>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calculatedColumnFormula>
    </tableColumn>
    <tableColumn id="18" name="Idle energy (kWh/yr)">
      <calculatedColumnFormula>IF(tblOps[[#This Row],[Part]]="","",IF(AND(AND(ISNUMBER(tblOps[[#This Row],[Run power (kW)]]),ISNUMBER(tblOps[[#This Row],[Cycle time (s/part)]])),ISNUMBER(tblOps[[#This Row],[Annual volume (good parts/yr)]])),N(tblOps[[#This Row],[Idle power (kW)]])*N(tblOps[[#This Row],[Idle time (s/part)]])/3600/(1-N(tblOps[[#This Row],[Scrap]]))*tblOps[[#This Row],[Annual volume (good parts/yr)]],""))</calculatedColumnFormula>
    </tableColumn>
    <tableColumn id="19" name="Annual energy cost">
      <calculatedColumnFormula>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calculatedColumnFormula>
    </tableColumn>
    <tableColumn id="20" name="Check">
      <calculatedColumnFormula>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calculatedColumnFormula>
    </tableColumn>
    <tableColumn id="21" name="Notes"/>
  </tableColumns>
  <tableStyleInfo name="TableStyleLight1" showFirstColumn="0" showLastColumn="0" showRowStripes="0" showColumnStripes="0"/>
</table>
</file>

<file path=xl/tables/table4.xml><?xml version="1.0" encoding="utf-8"?>
<table xmlns="http://schemas.openxmlformats.org/spreadsheetml/2006/main" id="4" name="tblVerifyOps" displayName="tblVerifyOps" ref="B44:V48" totalsRowShown="0">
  <tableColumns count="21">
    <tableColumn id="1" name="Part"/>
    <tableColumn id="2" name="Operation"/>
    <tableColumn id="3" name="Machine"/>
    <tableColumn id="4" name="Run power (kW)"/>
    <tableColumn id="5" name="Cycle time (s/part)"/>
    <tableColumn id="6" name="Idle power (kW)"/>
    <tableColumn id="7" name="Idle time (s/part)"/>
    <tableColumn id="8" name="Scrap"/>
    <tableColumn id="9" name="Annual volume (good parts/yr)"/>
    <tableColumn id="10" name="Energy per part made (kWh/part)">
      <calculatedColumnFormula>IF(tblVerifyOps[[#This Row],[Part]]="","",IF(AND(ISNUMBER(tblVerifyOps[[#This Row],[Run power (kW)]]),ISNUMBER(tblVerifyOps[[#This Row],[Cycle time (s/part)]])),(tblVerifyOps[[#This Row],[Run power (kW)]]*tblVerifyOps[[#This Row],[Cycle time (s/part)]]+N(tblVerifyOps[[#This Row],[Idle power (kW)]])*N(tblVerifyOps[[#This Row],[Idle time (s/part)]]))/3600,""))</calculatedColumnFormula>
    </tableColumn>
    <tableColumn id="11" name="Energy per good part (kWh/part)">
      <calculatedColumnFormula>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calculatedColumnFormula>
    </tableColumn>
    <tableColumn id="12" name="Energy cost per good part">
      <calculatedColumnFormula>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Row],[Scrap]]))*$E$39,""))</calculatedColumnFormula>
    </tableColumn>
    <tableColumn id="13" name="Idle share">
      <calculatedColumnFormula>IF(tblVerifyOps[[#This Row],[Part]]="","",IF(AND(ISNUMBER(tblVerifyOps[[#This Row],[Run power (kW)]]),ISNUMBER(tblVerifyOps[[#This Row],[Cycle time (s/part)]])),IF((tblVerifyOps[[#This Row],[Run power (kW)]]*tblVerifyOps[[#This Row],[Cycle time (s/part)]]+N(tblVerifyOps[[#This Row],[Idle power (kW)]])*N(tblVerifyOps[[#This Row],[Idle time (s/part)]]))/3600&gt;0,N(tblVerifyOps[[#This Row],[Idle power (kW)]])*N(tblVerifyOps[[#This Row],[Idle time (s/part)]])/3600/((tblVerifyOps[[#This Row],[Run power (kW)]]*tblVerifyOps[[#This Row],[Cycle time (s/part)]]+N(tblVerifyOps[[#This Row],[Idle power (kW)]])*N(tblVerifyOps[[#This Row],[Idle time (s/part)]]))/3600),""),""))</calculatedColumnFormula>
    </tableColumn>
    <tableColumn id="14" name="Idle status">
      <calculatedColumnFormula>IF(NOT(ISNUMBER(tblVerifyOps[[#This Row],[Idle share]])),"",IF(tblVerifyOps[[#This Row],[Idle share]]&lt;=$E$40,"On target",IF(tblVerifyOps[[#This Row],[Idle share]]&lt;=$E$40*(1+0.05),"Near target","Above target")))</calculatedColumnFormula>
    </tableColumn>
    <tableColumn id="15" name="Average demand (kW)">
      <calculatedColumnFormula>IF(tblVerifyOps[[#This Row],[Part]]="","",IF(AND(ISNUMBER(tblVerifyOps[[#This Row],[Run power (kW)]]),ISNUMBER(tblVerifyOps[[#This Row],[Cycle time (s/part)]])),(tblVerifyOps[[#This Row],[Run power (kW)]]*tblVerifyOps[[#This Row],[Cycle time (s/part)]]+N(tblVerifyOps[[#This Row],[Idle power (kW)]])*N(tblVerifyOps[[#This Row],[Idle time (s/part)]]))/3600*3600/(tblVerifyOps[[#This Row],[Cycle time (s/part)]]+N(tblVerifyOps[[#This Row],[Idle time (s/part)]])),""))</calculatedColumnFormula>
    </tableColumn>
    <tableColumn id="16" name="Runtime (h/yr)">
      <calculatedColumnFormula>IF(tblVerifyOps[[#This Row],[Part]]="","",IF(AND(ISNUMBER(tblVerifyOps[[#This Row],[Annual volume (good parts/yr)]]),ISNUMBER(tblVerifyOps[[#This Row],[Cycle time (s/part)]])),tblVerifyOps[[#This Row],[Annual volume (good parts/yr)]]/(1-N(tblVerifyOps[[#This Row],[Scrap]]))*(tblVerifyOps[[#This Row],[Cycle time (s/part)]]+N(tblVerifyOps[[#This Row],[Idle time (s/part)]]))/3600,""))</calculatedColumnFormula>
    </tableColumn>
    <tableColumn id="17" name="Annual energy (kWh/yr)">
      <calculatedColumnFormula>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calculatedColumnFormula>
    </tableColumn>
    <tableColumn id="18" name="Idle energy (kWh/yr)">
      <calculatedColumnFormula>IF(tblVerifyOps[[#This Row],[Part]]="","",IF(AND(AND(ISNUMBER(tblVerifyOps[[#This Row],[Run power (kW)]]),ISNUMBER(tblVerifyOps[[#This Row],[Cycle time (s/part)]])),ISNUMBER(tblVerifyOps[[#This Row],[Annual volume (good parts/yr)]])),N(tblVerifyOps[[#This Row],[Idle power (kW)]])*N(tblVerifyOps[[#This Row],[Idle time (s/part)]])/3600/(1-N(tblVerifyOps[[#This Row],[Scrap]]))*tblVerifyOps[[#This Row],[Annual volume (good parts/yr)]],""))</calculatedColumnFormula>
    </tableColumn>
    <tableColumn id="19" name="Annual energy cost">
      <calculatedColumnFormula>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parts/yr)]]*$E$39,""))</calculatedColumnFormula>
    </tableColumn>
    <tableColumn id="20" name="Check">
      <calculatedColumnFormula>IF(tblVerifyOps[[#This Row],[Part]]="","",IF(tblVerifyOps[[#This Row],[Operation]]="","Missing operation",IF(tblVerifyOps[[#This Row],[Machine]]="","Missing machine",IF(tblVerifyOps[[#This Row],[Run power (kW)]]="","Missing run power",IF(tblVerifyOps[[#This Row],[Cycle time (s/part)]]="","Missing cycle time",IF(tblVerifyOps[[#This Row],[Annual volume (good parts/yr)]]="","Part not on Setup list",IF(N(tblVerifyOps[[#This Row],[Idle power (kW)]])&gt;tblVerifyOps[[#This Row],[Run power (kW)]],"Idle power above run power",IF(AND(N(tblVerifyOps[[#This Row],[Idle time (s/part)]])&gt;0,tblVerifyOps[[#This Row],[Idle power (kW)]]=""),"Missing idle power",IF(COUNTIFS(tblVerifyOps[Part],tblVerifyOps[[#This Row],[Part]],tblVerifyOps[Operation],tblVerifyOps[[#This Row],[Operation]])&gt;1,"Duplicate part and operation","OK")))))))))</calculatedColumnFormula>
    </tableColumn>
    <tableColumn id="2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cost-per-part" TargetMode="External"/><Relationship Id="rId2" Type="http://schemas.openxmlformats.org/officeDocument/2006/relationships/hyperlink" Target="https://www.mfgcalcs.com/calculators/energy-carbon-sustainability/energy-cost-per-part?utm_source=mfgcalcs-template&amp;utm_medium=xlsx&amp;utm_campaign=energy-cost-per-part" TargetMode="External"/><Relationship Id="rId3" Type="http://schemas.openxmlformats.org/officeDocument/2006/relationships/hyperlink" Target="https://www.mfgcalcs.com/templates/energy-cost-per-part?utm_source=mfgcalcs-template&amp;utm_medium=xlsx&amp;utm_campaign=energy-cost-per-part" TargetMode="External"/><Relationship Id="rId4" Type="http://schemas.openxmlformats.org/officeDocument/2006/relationships/hyperlink" Target="https://www.mfgcalcs.com/templates?utm_source=mfgcalcs-template&amp;utm_medium=xlsx&amp;utm_campaign=energy-cost-per-par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cost-per-part"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cost-per-part"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cost-per-par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cost-per-part" TargetMode="External"/><Relationship Id="rId2" Type="http://schemas.openxmlformats.org/officeDocument/2006/relationships/hyperlink" Target="https://www.mfgcalcs.com/calculators/energy-carbon-sustainability/energy-cost-per-part?utm_source=mfgcalcs-template&amp;utm_medium=xlsx&amp;utm_campaign=energy-cost-per-par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cost-per-part"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23 of 23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Operations!A1" tooltip="Go to Operations" display="Operation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Energy Cost per Part&amp;R&amp;8&amp;A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2"/>
  <sheetViews>
    <sheetView showGridLines="0" workbookViewId="0"/>
  </sheetViews>
  <sheetFormatPr defaultRowHeight="15"/>
  <cols>
    <col min="1" max="1" width="2.7109375" customWidth="1"/>
    <col min="2" max="2" width="30.7109375" customWidth="1"/>
    <col min="3" max="3" width="22.7109375" customWidth="1"/>
    <col min="4" max="4" width="34.7109375" customWidth="1"/>
    <col min="5" max="5" width="30.7109375" customWidth="1"/>
  </cols>
  <sheetData>
    <row r="1" spans="1:5" ht="30" customHeight="1">
      <c r="A1" s="1" t="s">
        <v>0</v>
      </c>
      <c r="B1" s="1"/>
      <c r="C1" s="1"/>
      <c r="D1" s="1"/>
      <c r="E1" s="1"/>
    </row>
    <row r="2" spans="1:5" ht="21" customHeight="1">
      <c r="B2" s="2" t="s">
        <v>20</v>
      </c>
      <c r="C2" s="2"/>
      <c r="D2" s="2"/>
      <c r="E2" s="3" t="s">
        <v>2</v>
      </c>
    </row>
    <row r="3" spans="1:5" ht="6" customHeight="1"/>
    <row r="4" spans="1:5" ht="21" customHeight="1">
      <c r="B4" s="8" t="s">
        <v>68</v>
      </c>
      <c r="C4" s="8"/>
      <c r="D4" s="8"/>
      <c r="E4" s="8"/>
    </row>
    <row r="5" spans="1:5" ht="5" customHeight="1"/>
    <row r="6" spans="1:5">
      <c r="B6" s="27" t="s">
        <v>69</v>
      </c>
      <c r="C6" s="28" t="s">
        <v>70</v>
      </c>
      <c r="D6" s="28"/>
    </row>
    <row r="7" spans="1:5">
      <c r="B7" s="27" t="s">
        <v>71</v>
      </c>
      <c r="C7" s="28" t="s">
        <v>72</v>
      </c>
      <c r="D7" s="28"/>
    </row>
    <row r="8" spans="1:5">
      <c r="B8" s="27" t="s">
        <v>73</v>
      </c>
      <c r="C8" s="29">
        <v>0.12</v>
      </c>
      <c r="D8" s="7" t="str">
        <f>Currency&amp;"/kWh"</f>
        <v>USD/kWh</v>
      </c>
    </row>
    <row r="9" spans="1:5">
      <c r="B9" s="27" t="s">
        <v>74</v>
      </c>
      <c r="C9" s="30">
        <v>0.25</v>
      </c>
      <c r="D9" s="7"/>
    </row>
    <row r="11" spans="1:5" ht="35.4" customHeight="1">
      <c r="B11" s="25" t="s">
        <v>75</v>
      </c>
      <c r="C11" s="25"/>
      <c r="D11" s="25"/>
      <c r="E11" s="25"/>
    </row>
    <row r="13" spans="1:5" ht="21" customHeight="1">
      <c r="B13" s="8" t="s">
        <v>76</v>
      </c>
      <c r="C13" s="8"/>
      <c r="D13" s="8"/>
      <c r="E13" s="8"/>
    </row>
    <row r="14" spans="1:5" ht="5" customHeight="1"/>
    <row r="15" spans="1:5" ht="26.76" customHeight="1">
      <c r="B15" s="21" t="s">
        <v>77</v>
      </c>
      <c r="C15" s="21"/>
      <c r="D15" s="21"/>
      <c r="E15" s="21"/>
    </row>
    <row r="16" spans="1:5">
      <c r="B16" s="31" t="s">
        <v>78</v>
      </c>
      <c r="C16" s="31"/>
      <c r="D16" s="31"/>
    </row>
    <row r="17" spans="2:5" ht="20" customHeight="1">
      <c r="B17" s="32" t="s">
        <v>62</v>
      </c>
      <c r="C17" s="32" t="s">
        <v>63</v>
      </c>
      <c r="D17" s="32" t="s">
        <v>64</v>
      </c>
    </row>
    <row r="18" spans="2:5">
      <c r="B18" s="28" t="s">
        <v>79</v>
      </c>
      <c r="C18" s="28" t="s">
        <v>80</v>
      </c>
      <c r="D18" s="28" t="s">
        <v>81</v>
      </c>
    </row>
    <row r="19" spans="2:5">
      <c r="B19" s="28" t="s">
        <v>82</v>
      </c>
      <c r="C19" s="28" t="s">
        <v>83</v>
      </c>
      <c r="D19" s="28" t="s">
        <v>84</v>
      </c>
    </row>
    <row r="20" spans="2:5">
      <c r="B20" s="28" t="s">
        <v>85</v>
      </c>
      <c r="C20" s="28" t="s">
        <v>86</v>
      </c>
      <c r="D20" s="28" t="s">
        <v>87</v>
      </c>
    </row>
    <row r="21" spans="2:5">
      <c r="B21" s="28" t="s">
        <v>88</v>
      </c>
      <c r="C21" s="28" t="s">
        <v>89</v>
      </c>
      <c r="D21" s="28" t="s">
        <v>90</v>
      </c>
    </row>
    <row r="22" spans="2:5">
      <c r="B22" s="28" t="s">
        <v>91</v>
      </c>
      <c r="C22" s="28" t="s">
        <v>92</v>
      </c>
      <c r="D22" s="28" t="s">
        <v>93</v>
      </c>
    </row>
    <row r="23" spans="2:5">
      <c r="B23" s="28" t="s">
        <v>94</v>
      </c>
      <c r="C23" s="28" t="s">
        <v>95</v>
      </c>
      <c r="D23" s="28" t="s">
        <v>96</v>
      </c>
    </row>
    <row r="25" spans="2:5">
      <c r="B25" s="31" t="s">
        <v>97</v>
      </c>
      <c r="C25" s="31"/>
      <c r="D25" s="31"/>
      <c r="E25" s="31"/>
    </row>
    <row r="26" spans="2:5" ht="14" customHeight="1">
      <c r="B26" s="33"/>
      <c r="C26" s="33"/>
      <c r="D26" s="33" t="str">
        <f>Currency&amp;"/part"</f>
        <v>USD/part</v>
      </c>
      <c r="E26" s="33"/>
    </row>
    <row r="27" spans="2:5" ht="45.5" customHeight="1">
      <c r="B27" s="32" t="s">
        <v>65</v>
      </c>
      <c r="C27" s="32" t="s">
        <v>66</v>
      </c>
      <c r="D27" s="32" t="s">
        <v>67</v>
      </c>
      <c r="E27" s="32" t="s">
        <v>64</v>
      </c>
    </row>
    <row r="28" spans="2:5">
      <c r="B28" s="28" t="s">
        <v>98</v>
      </c>
      <c r="C28" s="34">
        <v>120000</v>
      </c>
      <c r="D28" s="35">
        <v>3.4</v>
      </c>
      <c r="E28" s="36" t="s">
        <v>99</v>
      </c>
    </row>
    <row r="29" spans="2:5">
      <c r="B29" s="28" t="s">
        <v>100</v>
      </c>
      <c r="C29" s="34">
        <v>24000</v>
      </c>
      <c r="D29" s="35">
        <v>38.5</v>
      </c>
      <c r="E29" s="36" t="s">
        <v>101</v>
      </c>
    </row>
    <row r="30" spans="2:5">
      <c r="B30" s="28" t="s">
        <v>102</v>
      </c>
      <c r="C30" s="34">
        <v>40000</v>
      </c>
      <c r="D30" s="35">
        <v>12.8</v>
      </c>
      <c r="E30" s="36" t="s">
        <v>103</v>
      </c>
    </row>
    <row r="31" spans="2:5">
      <c r="B31" s="28" t="s">
        <v>104</v>
      </c>
      <c r="C31" s="34">
        <v>8000</v>
      </c>
      <c r="D31" s="35">
        <v>145</v>
      </c>
      <c r="E31" s="36" t="s">
        <v>105</v>
      </c>
    </row>
    <row r="32" spans="2:5">
      <c r="B32" s="28" t="s">
        <v>106</v>
      </c>
      <c r="C32" s="34">
        <v>600000</v>
      </c>
      <c r="D32" s="35">
        <v>0.42</v>
      </c>
      <c r="E32" s="36" t="s">
        <v>107</v>
      </c>
    </row>
  </sheetData>
  <mergeCells count="10">
    <mergeCell ref="A1:E1"/>
    <mergeCell ref="B2:D2"/>
    <mergeCell ref="B4:E4"/>
    <mergeCell ref="C6:D6"/>
    <mergeCell ref="C7:D7"/>
    <mergeCell ref="B11:E11"/>
    <mergeCell ref="B13:E13"/>
    <mergeCell ref="B15:E15"/>
    <mergeCell ref="B16:D16"/>
    <mergeCell ref="B25:E25"/>
  </mergeCells>
  <dataValidations count="11">
    <dataValidation type="textLength" allowBlank="1" showInputMessage="1" showErrorMessage="1" errorTitle="Check this entry" error="Text up to 80 characters." promptTitle="Plant or line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number from 0 to 100." promptTitle="Electricity rate (blended)" prompt="Total bill / total kWh from recent bills, demand and fixed charges included. Example value: use your own. Enter a number from 0 to 100." sqref="C8">
      <formula1>0</formula1>
      <formula2>100</formula2>
    </dataValidation>
    <dataValidation type="decimal" allowBlank="1" showInputMessage="1" showErrorMessage="1" errorTitle="Check this entry" error="Enter a percentage from 0% to 100% (type 85% or 0.85)." promptTitle="Idle share limit" prompt="Your own threshold: operations where more than this share of the energy is drawn between cycles are flagged as candidates for auto-off or faster loading. Enter a percentage from 0% to 100% (type 85% or 0.85)." sqref="C9">
      <formula1>0</formula1>
      <formula2>1</formula2>
    </dataValidation>
    <dataValidation type="textLength" allowBlank="1" showInputMessage="1" showErrorMessage="1" errorTitle="Check this entry" error="Text up to 40 characters." promptTitle="Machine" prompt="Text up to 40 characters." sqref="B18:B123">
      <formula1>0</formula1>
      <formula2>40</formula2>
    </dataValidation>
    <dataValidation type="textLength" allowBlank="1" showInputMessage="1" showErrorMessage="1" errorTitle="Check this entry" error="Text up to 80 characters." promptTitle="Type" prompt="Text up to 80 characters." sqref="C18:C123">
      <formula1>0</formula1>
      <formula2>80</formula2>
    </dataValidation>
    <dataValidation type="textLength" allowBlank="1" showInputMessage="1" showErrorMessage="1" errorTitle="Check this entry" error="Text up to 120 characters." promptTitle="Notes" prompt="Text up to 120 characters." sqref="D18:D123">
      <formula1>0</formula1>
      <formula2>120</formula2>
    </dataValidation>
    <dataValidation type="textLength" allowBlank="1" showInputMessage="1" showErrorMessage="1" errorTitle="Check this entry" error="Text up to 60 characters." promptTitle="Part" prompt="Text up to 60 characters." sqref="B28:B132">
      <formula1>0</formula1>
      <formula2>60</formula2>
    </dataValidation>
    <dataValidation type="whole" allowBlank="1" showInputMessage="1" showErrorMessage="1" errorTitle="Check this entry" error="Enter a whole number of at least 0." promptTitle="Annual volume (good parts/yr)" prompt="Good parts shipped per year: the volume the annual energy and cost are worked out for. Enter a whole number of at least 0." sqref="C28:C132">
      <formula1>0</formula1>
      <formula2>1000000000</formula2>
    </dataValidation>
    <dataValidation type="decimal" allowBlank="1" showInputMessage="1" showErrorMessage="1" errorTitle="Check this entry" error="Enter a number from 0 to 10,000,000." promptTitle="Price" prompt="Optional selling price per part, for energy as a share of price. Enter a number from 0 to 10,000,000." sqref="D28:D132">
      <formula1>0</formula1>
      <formula2>10000000</formula2>
    </dataValidation>
    <dataValidation type="textLength" allowBlank="1" showInputMessage="1" showErrorMessage="1" errorTitle="Check this entry" error="Text up to 120 characters." promptTitle="Notes" prompt="Text up to 120 characters." sqref="E28:E132">
      <formula1>0</formula1>
      <formula2>120</formula2>
    </dataValidation>
  </dataValidations>
  <hyperlinks>
    <hyperlink ref="E2" r:id="rId1" tooltip="Free manufacturing calculators and templates"/>
  </hyperlinks>
  <pageMargins left="0.4" right="0.4" top="0.7" bottom="0.65" header="0.3" footer="0.3"/>
  <pageSetup fitToHeight="0" orientation="landscape"/>
  <headerFooter>
    <oddHeader>&amp;L&amp;8MFG Calcs - Energy Cost per Part&amp;R&amp;8&amp;A</oddHeader>
    <oddFooter>&amp;L&amp;8mfgcalcs.com - free manufacturing templates&amp;R&amp;8Page &amp;P of &amp;N</oddFooter>
  </headerFooter>
  <rowBreaks count="1" manualBreakCount="1">
    <brk id="24"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V20"/>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14.7109375" customWidth="1"/>
    <col min="3" max="3" width="19.7109375" customWidth="1"/>
    <col min="4" max="4" width="9.28515625" customWidth="1"/>
    <col min="5" max="5" width="8.7109375" customWidth="1"/>
    <col min="6" max="6" width="9.28515625" customWidth="1"/>
    <col min="7" max="7" width="8.7109375" customWidth="1"/>
    <col min="8" max="8" width="9.28515625" customWidth="1"/>
    <col min="9" max="9" width="7.7109375" customWidth="1"/>
    <col min="10" max="10" width="11.28515625" customWidth="1"/>
    <col min="11" max="13" width="10.7109375" customWidth="1"/>
    <col min="14" max="14" width="8.28515625" customWidth="1"/>
    <col min="15" max="15" width="12.28515625" customWidth="1"/>
    <col min="16" max="17" width="9.28515625" customWidth="1"/>
    <col min="18" max="18" width="10.7109375" customWidth="1"/>
    <col min="19" max="19" width="9.7109375" customWidth="1"/>
    <col min="20" max="20" width="10.28515625" customWidth="1"/>
    <col min="21" max="21" width="22.7109375" customWidth="1"/>
    <col min="22" max="22" width="26.7109375" customWidth="1"/>
  </cols>
  <sheetData>
    <row r="1" spans="1:22" ht="30" customHeight="1" x14ac:dyDescent="0.25">
      <c r="A1" s="1" t="s">
        <v>0</v>
      </c>
      <c r="B1" s="1"/>
      <c r="C1" s="1"/>
      <c r="D1" s="1"/>
      <c r="E1" s="1"/>
      <c r="F1" s="1"/>
      <c r="G1" s="1"/>
      <c r="H1" s="1"/>
      <c r="I1" s="1"/>
      <c r="J1" s="1"/>
      <c r="K1" s="1"/>
      <c r="L1" s="1"/>
      <c r="M1" s="1"/>
      <c r="N1" s="1"/>
      <c r="O1" s="1"/>
      <c r="P1" s="1"/>
      <c r="Q1" s="1"/>
      <c r="R1" s="1"/>
      <c r="S1" s="1"/>
      <c r="T1" s="1"/>
      <c r="U1" s="1"/>
      <c r="V1" s="1"/>
    </row>
    <row r="2" spans="1:22" ht="21" customHeight="1" x14ac:dyDescent="0.25">
      <c r="B2" s="2" t="s">
        <v>22</v>
      </c>
      <c r="C2" s="2"/>
      <c r="D2" s="2"/>
      <c r="E2" s="2"/>
      <c r="F2" s="2"/>
      <c r="G2" s="2"/>
      <c r="H2" s="2"/>
      <c r="I2" s="2"/>
      <c r="J2" s="2"/>
      <c r="K2" s="2"/>
      <c r="L2" s="2"/>
      <c r="M2" s="2"/>
      <c r="N2" s="2"/>
      <c r="O2" s="2"/>
      <c r="P2" s="2"/>
      <c r="Q2" s="2"/>
      <c r="R2" s="2"/>
      <c r="S2" s="2"/>
      <c r="T2" s="2"/>
      <c r="U2" s="2"/>
      <c r="V2" s="3" t="s">
        <v>2</v>
      </c>
    </row>
    <row r="3" spans="1:22" ht="6" customHeight="1" x14ac:dyDescent="0.25"/>
    <row r="4" spans="1:22" ht="18" customHeight="1" x14ac:dyDescent="0.25">
      <c r="B4" s="37" t="s">
        <v>125</v>
      </c>
      <c r="C4" s="37"/>
      <c r="D4" s="37"/>
      <c r="E4" s="37"/>
      <c r="F4" s="37"/>
      <c r="G4" s="37"/>
      <c r="H4" s="37"/>
      <c r="I4" s="37"/>
      <c r="J4" s="37"/>
      <c r="K4" s="37"/>
      <c r="L4" s="37"/>
      <c r="M4" s="37"/>
      <c r="N4" s="37"/>
      <c r="O4" s="37"/>
      <c r="P4" s="37"/>
      <c r="Q4" s="37"/>
      <c r="R4" s="37"/>
      <c r="S4" s="37"/>
      <c r="T4" s="37"/>
      <c r="U4" s="37"/>
      <c r="V4" s="37"/>
    </row>
    <row r="5" spans="1:22" ht="14" customHeight="1" x14ac:dyDescent="0.25">
      <c r="B5" s="33"/>
      <c r="C5" s="33"/>
      <c r="D5" s="33"/>
      <c r="E5" s="33"/>
      <c r="F5" s="33"/>
      <c r="G5" s="33"/>
      <c r="H5" s="33"/>
      <c r="I5" s="33"/>
      <c r="J5" s="33"/>
      <c r="K5" s="33"/>
      <c r="L5" s="33"/>
      <c r="M5" s="33" t="str">
        <f>Currency&amp;"/part"</f>
        <v>USD/part</v>
      </c>
      <c r="N5" s="33"/>
      <c r="O5" s="33"/>
      <c r="P5" s="33"/>
      <c r="Q5" s="33"/>
      <c r="R5" s="33"/>
      <c r="S5" s="33"/>
      <c r="T5" s="33" t="str">
        <f>Currency&amp;"/yr"</f>
        <v>USD/yr</v>
      </c>
      <c r="U5" s="33"/>
      <c r="V5" s="33"/>
    </row>
    <row r="6" spans="1:22" ht="45.5" customHeight="1" x14ac:dyDescent="0.25">
      <c r="B6" s="32" t="s">
        <v>65</v>
      </c>
      <c r="C6" s="32" t="s">
        <v>108</v>
      </c>
      <c r="D6" s="32" t="s">
        <v>62</v>
      </c>
      <c r="E6" s="32" t="s">
        <v>109</v>
      </c>
      <c r="F6" s="32" t="s">
        <v>110</v>
      </c>
      <c r="G6" s="32" t="s">
        <v>111</v>
      </c>
      <c r="H6" s="32" t="s">
        <v>112</v>
      </c>
      <c r="I6" s="32" t="s">
        <v>113</v>
      </c>
      <c r="J6" s="32" t="s">
        <v>66</v>
      </c>
      <c r="K6" s="32" t="s">
        <v>114</v>
      </c>
      <c r="L6" s="32" t="s">
        <v>115</v>
      </c>
      <c r="M6" s="32" t="s">
        <v>116</v>
      </c>
      <c r="N6" s="32" t="s">
        <v>117</v>
      </c>
      <c r="O6" s="32" t="s">
        <v>118</v>
      </c>
      <c r="P6" s="32" t="s">
        <v>119</v>
      </c>
      <c r="Q6" s="32" t="s">
        <v>120</v>
      </c>
      <c r="R6" s="32" t="s">
        <v>121</v>
      </c>
      <c r="S6" s="32" t="s">
        <v>122</v>
      </c>
      <c r="T6" s="32" t="s">
        <v>123</v>
      </c>
      <c r="U6" s="32" t="s">
        <v>124</v>
      </c>
      <c r="V6" s="32" t="s">
        <v>64</v>
      </c>
    </row>
    <row r="7" spans="1:22" x14ac:dyDescent="0.25">
      <c r="B7" s="28" t="s">
        <v>98</v>
      </c>
      <c r="C7" s="28" t="s">
        <v>126</v>
      </c>
      <c r="D7" s="28" t="s">
        <v>79</v>
      </c>
      <c r="E7" s="38">
        <v>28</v>
      </c>
      <c r="F7" s="38">
        <v>22</v>
      </c>
      <c r="G7" s="38">
        <v>9</v>
      </c>
      <c r="H7" s="38">
        <v>10</v>
      </c>
      <c r="I7" s="39">
        <v>0.01</v>
      </c>
      <c r="J7" s="40">
        <f>IF(tblOps[[#This Row],[Part]]="","",IFERROR(INDEX(tblParts[Annual volume (good parts/yr)],MATCH(tblOps[[#This Row],[Part]],tblParts[Part],0)),""))</f>
        <v>120000</v>
      </c>
      <c r="K7" s="41">
        <f>IF(tblOps[[#This Row],[Part]]="","",IF(AND(ISNUMBER(tblOps[[#This Row],[Run power (kW)]]),ISNUMBER(tblOps[[#This Row],[Cycle time (s/part)]])),(tblOps[[#This Row],[Run power (kW)]]*tblOps[[#This Row],[Cycle time (s/part)]]+N(tblOps[[#This Row],[Idle power (kW)]])*N(tblOps[[#This Row],[Idle time (s/part)]]))/3600,""))</f>
        <v>0.196111111111111</v>
      </c>
      <c r="L7" s="41">
        <f>IF(tblOps[[#This Row],[Part]]="","",IF(AND(ISNUMBER(tblOps[[#This Row],[Run power (kW)]]),ISNUMBER(tblOps[[#This Row],[Cycle time (s/part)]])),(tblOps[[#This Row],[Run power (kW)]]*tblOps[[#This Row],[Cycle time (s/part)]]+N(tblOps[[#This Row],[Idle power (kW)]])*N(tblOps[[#This Row],[Idle time (s/part)]]))/3600/(1-N(tblOps[[#This Row],[Scrap]])),""))</f>
        <v>0.198092031425365</v>
      </c>
      <c r="M7" s="42">
        <f>IF(tblOps[[#This Row],[Part]]="","",IF(AND(ISNUMBER(tblOps[[#This Row],[Run power (kW)]]),ISNUMBER(tblOps[[#This Row],[Cycle time (s/part)]])),(tblOps[[#This Row],[Run power (kW)]]*tblOps[[#This Row],[Cycle time (s/part)]]+N(tblOps[[#This Row],[Idle power (kW)]])*N(tblOps[[#This Row],[Idle time (s/part)]]))/3600/(1-N(tblOps[[#This Row],[Scrap]]))*Rate,""))</f>
        <v>0.0237710437710438</v>
      </c>
      <c r="N7"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0.127478753541077</v>
      </c>
      <c r="O7" s="44" t="str">
        <f>IF(NOT(ISNUMBER(tblOps[[#This Row],[Idle share]])),"",IF(tblOps[[#This Row],[Idle share]]&lt;=IdleLimit,"On target",IF(tblOps[[#This Row],[Idle share]]&lt;=IdleLimit*(1+0.05),"Near target","Above target")))</f>
        <v>On target</v>
      </c>
      <c r="P7"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22.0625</v>
      </c>
      <c r="Q7" s="40">
        <f>IF(tblOps[[#This Row],[Part]]="","",IF(AND(ISNUMBER(tblOps[[#This Row],[Annual volume (good parts/yr)]]),ISNUMBER(tblOps[[#This Row],[Cycle time (s/part)]])),tblOps[[#This Row],[Annual volume (good parts/yr)]]/(1-N(tblOps[[#This Row],[Scrap]]))*(tblOps[[#This Row],[Cycle time (s/part)]]+N(tblOps[[#This Row],[Idle time (s/part)]]))/3600,""))</f>
        <v>1077.44107744108</v>
      </c>
      <c r="R7"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23771.0437710438</v>
      </c>
      <c r="S7"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3030.30303030303</v>
      </c>
      <c r="T7"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2852.52525252525</v>
      </c>
      <c r="U7"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7" s="28" t="s">
        <v>127</v>
      </c>
    </row>
    <row r="8" spans="1:22" x14ac:dyDescent="0.25">
      <c r="B8" s="28" t="s">
        <v>98</v>
      </c>
      <c r="C8" s="28" t="s">
        <v>128</v>
      </c>
      <c r="D8" s="28" t="s">
        <v>82</v>
      </c>
      <c r="E8" s="38">
        <v>6.5</v>
      </c>
      <c r="F8" s="38">
        <v>18</v>
      </c>
      <c r="G8" s="38">
        <v>1.2</v>
      </c>
      <c r="H8" s="38">
        <v>12</v>
      </c>
      <c r="I8" s="39">
        <v>0.005</v>
      </c>
      <c r="J8" s="40">
        <f>IF(tblOps[[#This Row],[Part]]="","",IFERROR(INDEX(tblParts[Annual volume (good parts/yr)],MATCH(tblOps[[#This Row],[Part]],tblParts[Part],0)),""))</f>
        <v>120000</v>
      </c>
      <c r="K8" s="41">
        <f>IF(tblOps[[#This Row],[Part]]="","",IF(AND(ISNUMBER(tblOps[[#This Row],[Run power (kW)]]),ISNUMBER(tblOps[[#This Row],[Cycle time (s/part)]])),(tblOps[[#This Row],[Run power (kW)]]*tblOps[[#This Row],[Cycle time (s/part)]]+N(tblOps[[#This Row],[Idle power (kW)]])*N(tblOps[[#This Row],[Idle time (s/part)]]))/3600,""))</f>
        <v>0.0365</v>
      </c>
      <c r="L8" s="41">
        <f>IF(tblOps[[#This Row],[Part]]="","",IF(AND(ISNUMBER(tblOps[[#This Row],[Run power (kW)]]),ISNUMBER(tblOps[[#This Row],[Cycle time (s/part)]])),(tblOps[[#This Row],[Run power (kW)]]*tblOps[[#This Row],[Cycle time (s/part)]]+N(tblOps[[#This Row],[Idle power (kW)]])*N(tblOps[[#This Row],[Idle time (s/part)]]))/3600/(1-N(tblOps[[#This Row],[Scrap]])),""))</f>
        <v>0.0366834170854271</v>
      </c>
      <c r="M8" s="42">
        <f>IF(tblOps[[#This Row],[Part]]="","",IF(AND(ISNUMBER(tblOps[[#This Row],[Run power (kW)]]),ISNUMBER(tblOps[[#This Row],[Cycle time (s/part)]])),(tblOps[[#This Row],[Run power (kW)]]*tblOps[[#This Row],[Cycle time (s/part)]]+N(tblOps[[#This Row],[Idle power (kW)]])*N(tblOps[[#This Row],[Idle time (s/part)]]))/3600/(1-N(tblOps[[#This Row],[Scrap]]))*Rate,""))</f>
        <v>0.00440201005025126</v>
      </c>
      <c r="N8"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0.10958904109589</v>
      </c>
      <c r="O8" s="44" t="str">
        <f>IF(NOT(ISNUMBER(tblOps[[#This Row],[Idle share]])),"",IF(tblOps[[#This Row],[Idle share]]&lt;=IdleLimit,"On target",IF(tblOps[[#This Row],[Idle share]]&lt;=IdleLimit*(1+0.05),"Near target","Above target")))</f>
        <v>On target</v>
      </c>
      <c r="P8"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4.38</v>
      </c>
      <c r="Q8" s="40">
        <f>IF(tblOps[[#This Row],[Part]]="","",IF(AND(ISNUMBER(tblOps[[#This Row],[Annual volume (good parts/yr)]]),ISNUMBER(tblOps[[#This Row],[Cycle time (s/part)]])),tblOps[[#This Row],[Annual volume (good parts/yr)]]/(1-N(tblOps[[#This Row],[Scrap]]))*(tblOps[[#This Row],[Cycle time (s/part)]]+N(tblOps[[#This Row],[Idle time (s/part)]]))/3600,""))</f>
        <v>1005.02512562814</v>
      </c>
      <c r="R8"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4402.01005025126</v>
      </c>
      <c r="S8"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482.412060301508</v>
      </c>
      <c r="T8"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528.241206030151</v>
      </c>
      <c r="U8"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8" s="28" t="s">
        <v>127</v>
      </c>
    </row>
    <row r="9" spans="1:22" x14ac:dyDescent="0.25">
      <c r="B9" s="28" t="s">
        <v>98</v>
      </c>
      <c r="C9" s="28" t="s">
        <v>129</v>
      </c>
      <c r="D9" s="28" t="s">
        <v>88</v>
      </c>
      <c r="E9" s="38">
        <v>30</v>
      </c>
      <c r="F9" s="38">
        <v>3</v>
      </c>
      <c r="G9" s="38">
        <v>14</v>
      </c>
      <c r="H9" s="38">
        <v>6</v>
      </c>
      <c r="I9" s="39">
        <v>0.002</v>
      </c>
      <c r="J9" s="40">
        <f>IF(tblOps[[#This Row],[Part]]="","",IFERROR(INDEX(tblParts[Annual volume (good parts/yr)],MATCH(tblOps[[#This Row],[Part]],tblParts[Part],0)),""))</f>
        <v>120000</v>
      </c>
      <c r="K9" s="41">
        <f>IF(tblOps[[#This Row],[Part]]="","",IF(AND(ISNUMBER(tblOps[[#This Row],[Run power (kW)]]),ISNUMBER(tblOps[[#This Row],[Cycle time (s/part)]])),(tblOps[[#This Row],[Run power (kW)]]*tblOps[[#This Row],[Cycle time (s/part)]]+N(tblOps[[#This Row],[Idle power (kW)]])*N(tblOps[[#This Row],[Idle time (s/part)]]))/3600,""))</f>
        <v>0.0483333333333333</v>
      </c>
      <c r="L9" s="41">
        <f>IF(tblOps[[#This Row],[Part]]="","",IF(AND(ISNUMBER(tblOps[[#This Row],[Run power (kW)]]),ISNUMBER(tblOps[[#This Row],[Cycle time (s/part)]])),(tblOps[[#This Row],[Run power (kW)]]*tblOps[[#This Row],[Cycle time (s/part)]]+N(tblOps[[#This Row],[Idle power (kW)]])*N(tblOps[[#This Row],[Idle time (s/part)]]))/3600/(1-N(tblOps[[#This Row],[Scrap]])),""))</f>
        <v>0.0484301937207749</v>
      </c>
      <c r="M9" s="42">
        <f>IF(tblOps[[#This Row],[Part]]="","",IF(AND(ISNUMBER(tblOps[[#This Row],[Run power (kW)]]),ISNUMBER(tblOps[[#This Row],[Cycle time (s/part)]])),(tblOps[[#This Row],[Run power (kW)]]*tblOps[[#This Row],[Cycle time (s/part)]]+N(tblOps[[#This Row],[Idle power (kW)]])*N(tblOps[[#This Row],[Idle time (s/part)]]))/3600/(1-N(tblOps[[#This Row],[Scrap]]))*Rate,""))</f>
        <v>0.00581162324649299</v>
      </c>
      <c r="N9"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0.482758620689655</v>
      </c>
      <c r="O9" s="44" t="str">
        <f>IF(NOT(ISNUMBER(tblOps[[#This Row],[Idle share]])),"",IF(tblOps[[#This Row],[Idle share]]&lt;=IdleLimit,"On target",IF(tblOps[[#This Row],[Idle share]]&lt;=IdleLimit*(1+0.05),"Near target","Above target")))</f>
        <v>Above target</v>
      </c>
      <c r="P9"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19.3333333333333</v>
      </c>
      <c r="Q9" s="40">
        <f>IF(tblOps[[#This Row],[Part]]="","",IF(AND(ISNUMBER(tblOps[[#This Row],[Annual volume (good parts/yr)]]),ISNUMBER(tblOps[[#This Row],[Cycle time (s/part)]])),tblOps[[#This Row],[Annual volume (good parts/yr)]]/(1-N(tblOps[[#This Row],[Scrap]]))*(tblOps[[#This Row],[Cycle time (s/part)]]+N(tblOps[[#This Row],[Idle time (s/part)]]))/3600,""))</f>
        <v>300.60120240481</v>
      </c>
      <c r="R9"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5811.62324649299</v>
      </c>
      <c r="S9"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2805.61122244489</v>
      </c>
      <c r="T9"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697.394789579158</v>
      </c>
      <c r="U9"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9" s="28" t="s">
        <v>130</v>
      </c>
    </row>
    <row r="10" spans="1:22" x14ac:dyDescent="0.25">
      <c r="B10" s="28" t="s">
        <v>106</v>
      </c>
      <c r="C10" s="28" t="s">
        <v>131</v>
      </c>
      <c r="D10" s="28" t="s">
        <v>88</v>
      </c>
      <c r="E10" s="38">
        <v>30</v>
      </c>
      <c r="F10" s="38">
        <v>2</v>
      </c>
      <c r="G10" s="38">
        <v>14</v>
      </c>
      <c r="H10" s="38">
        <v>2.5</v>
      </c>
      <c r="I10" s="39">
        <v>0.003</v>
      </c>
      <c r="J10" s="40">
        <f>IF(tblOps[[#This Row],[Part]]="","",IFERROR(INDEX(tblParts[Annual volume (good parts/yr)],MATCH(tblOps[[#This Row],[Part]],tblParts[Part],0)),""))</f>
        <v>600000</v>
      </c>
      <c r="K10" s="41">
        <f>IF(tblOps[[#This Row],[Part]]="","",IF(AND(ISNUMBER(tblOps[[#This Row],[Run power (kW)]]),ISNUMBER(tblOps[[#This Row],[Cycle time (s/part)]])),(tblOps[[#This Row],[Run power (kW)]]*tblOps[[#This Row],[Cycle time (s/part)]]+N(tblOps[[#This Row],[Idle power (kW)]])*N(tblOps[[#This Row],[Idle time (s/part)]]))/3600,""))</f>
        <v>0.0263888888888889</v>
      </c>
      <c r="L10" s="41">
        <f>IF(tblOps[[#This Row],[Part]]="","",IF(AND(ISNUMBER(tblOps[[#This Row],[Run power (kW)]]),ISNUMBER(tblOps[[#This Row],[Cycle time (s/part)]])),(tblOps[[#This Row],[Run power (kW)]]*tblOps[[#This Row],[Cycle time (s/part)]]+N(tblOps[[#This Row],[Idle power (kW)]])*N(tblOps[[#This Row],[Idle time (s/part)]]))/3600/(1-N(tblOps[[#This Row],[Scrap]])),""))</f>
        <v>0.0264682937701995</v>
      </c>
      <c r="M10" s="42">
        <f>IF(tblOps[[#This Row],[Part]]="","",IF(AND(ISNUMBER(tblOps[[#This Row],[Run power (kW)]]),ISNUMBER(tblOps[[#This Row],[Cycle time (s/part)]])),(tblOps[[#This Row],[Run power (kW)]]*tblOps[[#This Row],[Cycle time (s/part)]]+N(tblOps[[#This Row],[Idle power (kW)]])*N(tblOps[[#This Row],[Idle time (s/part)]]))/3600/(1-N(tblOps[[#This Row],[Scrap]]))*Rate,""))</f>
        <v>0.00317619525242394</v>
      </c>
      <c r="N10"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0.368421052631579</v>
      </c>
      <c r="O10" s="44" t="str">
        <f>IF(NOT(ISNUMBER(tblOps[[#This Row],[Idle share]])),"",IF(tblOps[[#This Row],[Idle share]]&lt;=IdleLimit,"On target",IF(tblOps[[#This Row],[Idle share]]&lt;=IdleLimit*(1+0.05),"Near target","Above target")))</f>
        <v>Above target</v>
      </c>
      <c r="P10"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21.1111111111111</v>
      </c>
      <c r="Q10" s="40">
        <f>IF(tblOps[[#This Row],[Part]]="","",IF(AND(ISNUMBER(tblOps[[#This Row],[Annual volume (good parts/yr)]]),ISNUMBER(tblOps[[#This Row],[Cycle time (s/part)]])),tblOps[[#This Row],[Annual volume (good parts/yr)]]/(1-N(tblOps[[#This Row],[Scrap]]))*(tblOps[[#This Row],[Cycle time (s/part)]]+N(tblOps[[#This Row],[Idle time (s/part)]]))/3600,""))</f>
        <v>752.256770310933</v>
      </c>
      <c r="R10"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15880.9762621197</v>
      </c>
      <c r="S10"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5850.88599130726</v>
      </c>
      <c r="T10"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1905.71715145436</v>
      </c>
      <c r="U10"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0" s="28" t="s">
        <v>132</v>
      </c>
    </row>
    <row r="11" spans="1:22" x14ac:dyDescent="0.25">
      <c r="B11" s="28" t="s">
        <v>104</v>
      </c>
      <c r="C11" s="28" t="s">
        <v>126</v>
      </c>
      <c r="D11" s="28" t="s">
        <v>79</v>
      </c>
      <c r="E11" s="38">
        <v>30</v>
      </c>
      <c r="F11" s="38">
        <v>240</v>
      </c>
      <c r="G11" s="38">
        <v>9</v>
      </c>
      <c r="H11" s="38">
        <v>60</v>
      </c>
      <c r="I11" s="39">
        <v>0.01</v>
      </c>
      <c r="J11" s="40">
        <f>IF(tblOps[[#This Row],[Part]]="","",IFERROR(INDEX(tblParts[Annual volume (good parts/yr)],MATCH(tblOps[[#This Row],[Part]],tblParts[Part],0)),""))</f>
        <v>8000</v>
      </c>
      <c r="K11" s="41">
        <f>IF(tblOps[[#This Row],[Part]]="","",IF(AND(ISNUMBER(tblOps[[#This Row],[Run power (kW)]]),ISNUMBER(tblOps[[#This Row],[Cycle time (s/part)]])),(tblOps[[#This Row],[Run power (kW)]]*tblOps[[#This Row],[Cycle time (s/part)]]+N(tblOps[[#This Row],[Idle power (kW)]])*N(tblOps[[#This Row],[Idle time (s/part)]]))/3600,""))</f>
        <v>2.15</v>
      </c>
      <c r="L11" s="41">
        <f>IF(tblOps[[#This Row],[Part]]="","",IF(AND(ISNUMBER(tblOps[[#This Row],[Run power (kW)]]),ISNUMBER(tblOps[[#This Row],[Cycle time (s/part)]])),(tblOps[[#This Row],[Run power (kW)]]*tblOps[[#This Row],[Cycle time (s/part)]]+N(tblOps[[#This Row],[Idle power (kW)]])*N(tblOps[[#This Row],[Idle time (s/part)]]))/3600/(1-N(tblOps[[#This Row],[Scrap]])),""))</f>
        <v>2.17171717171717</v>
      </c>
      <c r="M11" s="42">
        <f>IF(tblOps[[#This Row],[Part]]="","",IF(AND(ISNUMBER(tblOps[[#This Row],[Run power (kW)]]),ISNUMBER(tblOps[[#This Row],[Cycle time (s/part)]])),(tblOps[[#This Row],[Run power (kW)]]*tblOps[[#This Row],[Cycle time (s/part)]]+N(tblOps[[#This Row],[Idle power (kW)]])*N(tblOps[[#This Row],[Idle time (s/part)]]))/3600/(1-N(tblOps[[#This Row],[Scrap]]))*Rate,""))</f>
        <v>0.260606060606061</v>
      </c>
      <c r="N11"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0.0697674418604651</v>
      </c>
      <c r="O11" s="44" t="str">
        <f>IF(NOT(ISNUMBER(tblOps[[#This Row],[Idle share]])),"",IF(tblOps[[#This Row],[Idle share]]&lt;=IdleLimit,"On target",IF(tblOps[[#This Row],[Idle share]]&lt;=IdleLimit*(1+0.05),"Near target","Above target")))</f>
        <v>On target</v>
      </c>
      <c r="P11"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25.8</v>
      </c>
      <c r="Q11" s="40">
        <f>IF(tblOps[[#This Row],[Part]]="","",IF(AND(ISNUMBER(tblOps[[#This Row],[Annual volume (good parts/yr)]]),ISNUMBER(tblOps[[#This Row],[Cycle time (s/part)]])),tblOps[[#This Row],[Annual volume (good parts/yr)]]/(1-N(tblOps[[#This Row],[Scrap]]))*(tblOps[[#This Row],[Cycle time (s/part)]]+N(tblOps[[#This Row],[Idle time (s/part)]]))/3600,""))</f>
        <v>673.400673400673</v>
      </c>
      <c r="R11"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17373.7373737374</v>
      </c>
      <c r="S11"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1212.12121212121</v>
      </c>
      <c r="T11"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2084.84848484849</v>
      </c>
      <c r="U11"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1" s="28" t="s">
        <v>127</v>
      </c>
    </row>
    <row r="12" spans="1:22" x14ac:dyDescent="0.25">
      <c r="B12" s="28" t="s">
        <v>104</v>
      </c>
      <c r="C12" s="28" t="s">
        <v>133</v>
      </c>
      <c r="D12" s="28" t="s">
        <v>88</v>
      </c>
      <c r="E12" s="38">
        <v>32</v>
      </c>
      <c r="F12" s="38">
        <v>35</v>
      </c>
      <c r="G12" s="38">
        <v>14</v>
      </c>
      <c r="H12" s="38">
        <v>90</v>
      </c>
      <c r="I12" s="39">
        <v>0.005</v>
      </c>
      <c r="J12" s="40">
        <f>IF(tblOps[[#This Row],[Part]]="","",IFERROR(INDEX(tblParts[Annual volume (good parts/yr)],MATCH(tblOps[[#This Row],[Part]],tblParts[Part],0)),""))</f>
        <v>8000</v>
      </c>
      <c r="K12" s="41">
        <f>IF(tblOps[[#This Row],[Part]]="","",IF(AND(ISNUMBER(tblOps[[#This Row],[Run power (kW)]]),ISNUMBER(tblOps[[#This Row],[Cycle time (s/part)]])),(tblOps[[#This Row],[Run power (kW)]]*tblOps[[#This Row],[Cycle time (s/part)]]+N(tblOps[[#This Row],[Idle power (kW)]])*N(tblOps[[#This Row],[Idle time (s/part)]]))/3600,""))</f>
        <v>0.661111111111111</v>
      </c>
      <c r="L12" s="41">
        <f>IF(tblOps[[#This Row],[Part]]="","",IF(AND(ISNUMBER(tblOps[[#This Row],[Run power (kW)]]),ISNUMBER(tblOps[[#This Row],[Cycle time (s/part)]])),(tblOps[[#This Row],[Run power (kW)]]*tblOps[[#This Row],[Cycle time (s/part)]]+N(tblOps[[#This Row],[Idle power (kW)]])*N(tblOps[[#This Row],[Idle time (s/part)]]))/3600/(1-N(tblOps[[#This Row],[Scrap]])),""))</f>
        <v>0.664433277498604</v>
      </c>
      <c r="M12" s="42">
        <f>IF(tblOps[[#This Row],[Part]]="","",IF(AND(ISNUMBER(tblOps[[#This Row],[Run power (kW)]]),ISNUMBER(tblOps[[#This Row],[Cycle time (s/part)]])),(tblOps[[#This Row],[Run power (kW)]]*tblOps[[#This Row],[Cycle time (s/part)]]+N(tblOps[[#This Row],[Idle power (kW)]])*N(tblOps[[#This Row],[Idle time (s/part)]]))/3600/(1-N(tblOps[[#This Row],[Scrap]]))*Rate,""))</f>
        <v>0.0797319932998325</v>
      </c>
      <c r="N12"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0.529411764705882</v>
      </c>
      <c r="O12" s="44" t="str">
        <f>IF(NOT(ISNUMBER(tblOps[[#This Row],[Idle share]])),"",IF(tblOps[[#This Row],[Idle share]]&lt;=IdleLimit,"On target",IF(tblOps[[#This Row],[Idle share]]&lt;=IdleLimit*(1+0.05),"Near target","Above target")))</f>
        <v>Above target</v>
      </c>
      <c r="P12"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19.04</v>
      </c>
      <c r="Q12" s="40">
        <f>IF(tblOps[[#This Row],[Part]]="","",IF(AND(ISNUMBER(tblOps[[#This Row],[Annual volume (good parts/yr)]]),ISNUMBER(tblOps[[#This Row],[Cycle time (s/part)]])),tblOps[[#This Row],[Annual volume (good parts/yr)]]/(1-N(tblOps[[#This Row],[Scrap]]))*(tblOps[[#This Row],[Cycle time (s/part)]]+N(tblOps[[#This Row],[Idle time (s/part)]]))/3600,""))</f>
        <v>279.173646007817</v>
      </c>
      <c r="R12"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5315.46621998883</v>
      </c>
      <c r="S12"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2814.07035175879</v>
      </c>
      <c r="T12"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637.85594639866</v>
      </c>
      <c r="U12"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2" s="28" t="s">
        <v>134</v>
      </c>
    </row>
    <row r="13" spans="1:22" x14ac:dyDescent="0.25">
      <c r="B13" s="28" t="s">
        <v>104</v>
      </c>
      <c r="C13" s="28" t="s">
        <v>135</v>
      </c>
      <c r="D13" s="28" t="s">
        <v>85</v>
      </c>
      <c r="E13" s="38">
        <v>13</v>
      </c>
      <c r="F13" s="38">
        <v>150</v>
      </c>
      <c r="G13" s="38">
        <v>7.5</v>
      </c>
      <c r="H13" s="38">
        <v>120</v>
      </c>
      <c r="I13" s="39">
        <v>0.01</v>
      </c>
      <c r="J13" s="40">
        <f>IF(tblOps[[#This Row],[Part]]="","",IFERROR(INDEX(tblParts[Annual volume (good parts/yr)],MATCH(tblOps[[#This Row],[Part]],tblParts[Part],0)),""))</f>
        <v>8000</v>
      </c>
      <c r="K13" s="41">
        <f>IF(tblOps[[#This Row],[Part]]="","",IF(AND(ISNUMBER(tblOps[[#This Row],[Run power (kW)]]),ISNUMBER(tblOps[[#This Row],[Cycle time (s/part)]])),(tblOps[[#This Row],[Run power (kW)]]*tblOps[[#This Row],[Cycle time (s/part)]]+N(tblOps[[#This Row],[Idle power (kW)]])*N(tblOps[[#This Row],[Idle time (s/part)]]))/3600,""))</f>
        <v>0.791666666666667</v>
      </c>
      <c r="L13" s="41">
        <f>IF(tblOps[[#This Row],[Part]]="","",IF(AND(ISNUMBER(tblOps[[#This Row],[Run power (kW)]]),ISNUMBER(tblOps[[#This Row],[Cycle time (s/part)]])),(tblOps[[#This Row],[Run power (kW)]]*tblOps[[#This Row],[Cycle time (s/part)]]+N(tblOps[[#This Row],[Idle power (kW)]])*N(tblOps[[#This Row],[Idle time (s/part)]]))/3600/(1-N(tblOps[[#This Row],[Scrap]])),""))</f>
        <v>0.7996632996633</v>
      </c>
      <c r="M13" s="42">
        <f>IF(tblOps[[#This Row],[Part]]="","",IF(AND(ISNUMBER(tblOps[[#This Row],[Run power (kW)]]),ISNUMBER(tblOps[[#This Row],[Cycle time (s/part)]])),(tblOps[[#This Row],[Run power (kW)]]*tblOps[[#This Row],[Cycle time (s/part)]]+N(tblOps[[#This Row],[Idle power (kW)]])*N(tblOps[[#This Row],[Idle time (s/part)]]))/3600/(1-N(tblOps[[#This Row],[Scrap]]))*Rate,""))</f>
        <v>0.095959595959596</v>
      </c>
      <c r="N13"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0.315789473684211</v>
      </c>
      <c r="O13" s="44" t="str">
        <f>IF(NOT(ISNUMBER(tblOps[[#This Row],[Idle share]])),"",IF(tblOps[[#This Row],[Idle share]]&lt;=IdleLimit,"On target",IF(tblOps[[#This Row],[Idle share]]&lt;=IdleLimit*(1+0.05),"Near target","Above target")))</f>
        <v>Above target</v>
      </c>
      <c r="P13"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10.5555555555556</v>
      </c>
      <c r="Q13" s="40">
        <f>IF(tblOps[[#This Row],[Part]]="","",IF(AND(ISNUMBER(tblOps[[#This Row],[Annual volume (good parts/yr)]]),ISNUMBER(tblOps[[#This Row],[Cycle time (s/part)]])),tblOps[[#This Row],[Annual volume (good parts/yr)]]/(1-N(tblOps[[#This Row],[Scrap]]))*(tblOps[[#This Row],[Cycle time (s/part)]]+N(tblOps[[#This Row],[Idle time (s/part)]]))/3600,""))</f>
        <v>606.060606060606</v>
      </c>
      <c r="R13"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6397.3063973064</v>
      </c>
      <c r="S13"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2020.20202020202</v>
      </c>
      <c r="T13"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767.676767676768</v>
      </c>
      <c r="U13"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3" s="28" t="s">
        <v>127</v>
      </c>
    </row>
    <row r="14" spans="1:22" x14ac:dyDescent="0.25">
      <c r="B14" s="28" t="s">
        <v>104</v>
      </c>
      <c r="C14" s="28" t="s">
        <v>136</v>
      </c>
      <c r="D14" s="28" t="s">
        <v>94</v>
      </c>
      <c r="E14" s="38">
        <v>10</v>
      </c>
      <c r="F14" s="38">
        <v>420</v>
      </c>
      <c r="G14" s="38">
        <v>2</v>
      </c>
      <c r="H14" s="38">
        <v>120</v>
      </c>
      <c r="I14" s="39">
        <v>0.015</v>
      </c>
      <c r="J14" s="40">
        <f>IF(tblOps[[#This Row],[Part]]="","",IFERROR(INDEX(tblParts[Annual volume (good parts/yr)],MATCH(tblOps[[#This Row],[Part]],tblParts[Part],0)),""))</f>
        <v>8000</v>
      </c>
      <c r="K14" s="41">
        <f>IF(tblOps[[#This Row],[Part]]="","",IF(AND(ISNUMBER(tblOps[[#This Row],[Run power (kW)]]),ISNUMBER(tblOps[[#This Row],[Cycle time (s/part)]])),(tblOps[[#This Row],[Run power (kW)]]*tblOps[[#This Row],[Cycle time (s/part)]]+N(tblOps[[#This Row],[Idle power (kW)]])*N(tblOps[[#This Row],[Idle time (s/part)]]))/3600,""))</f>
        <v>1.23333333333333</v>
      </c>
      <c r="L14" s="41">
        <f>IF(tblOps[[#This Row],[Part]]="","",IF(AND(ISNUMBER(tblOps[[#This Row],[Run power (kW)]]),ISNUMBER(tblOps[[#This Row],[Cycle time (s/part)]])),(tblOps[[#This Row],[Run power (kW)]]*tblOps[[#This Row],[Cycle time (s/part)]]+N(tblOps[[#This Row],[Idle power (kW)]])*N(tblOps[[#This Row],[Idle time (s/part)]]))/3600/(1-N(tblOps[[#This Row],[Scrap]])),""))</f>
        <v>1.25211505922166</v>
      </c>
      <c r="M14" s="42">
        <f>IF(tblOps[[#This Row],[Part]]="","",IF(AND(ISNUMBER(tblOps[[#This Row],[Run power (kW)]]),ISNUMBER(tblOps[[#This Row],[Cycle time (s/part)]])),(tblOps[[#This Row],[Run power (kW)]]*tblOps[[#This Row],[Cycle time (s/part)]]+N(tblOps[[#This Row],[Idle power (kW)]])*N(tblOps[[#This Row],[Idle time (s/part)]]))/3600/(1-N(tblOps[[#This Row],[Scrap]]))*Rate,""))</f>
        <v>0.150253807106599</v>
      </c>
      <c r="N14"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0.0540540540540541</v>
      </c>
      <c r="O14" s="44" t="str">
        <f>IF(NOT(ISNUMBER(tblOps[[#This Row],[Idle share]])),"",IF(tblOps[[#This Row],[Idle share]]&lt;=IdleLimit,"On target",IF(tblOps[[#This Row],[Idle share]]&lt;=IdleLimit*(1+0.05),"Near target","Above target")))</f>
        <v>On target</v>
      </c>
      <c r="P14"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8.22222222222222</v>
      </c>
      <c r="Q14" s="40">
        <f>IF(tblOps[[#This Row],[Part]]="","",IF(AND(ISNUMBER(tblOps[[#This Row],[Annual volume (good parts/yr)]]),ISNUMBER(tblOps[[#This Row],[Cycle time (s/part)]])),tblOps[[#This Row],[Annual volume (good parts/yr)]]/(1-N(tblOps[[#This Row],[Scrap]]))*(tblOps[[#This Row],[Cycle time (s/part)]]+N(tblOps[[#This Row],[Idle time (s/part)]]))/3600,""))</f>
        <v>1218.27411167513</v>
      </c>
      <c r="R14"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10016.9204737733</v>
      </c>
      <c r="S14"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541.455160744501</v>
      </c>
      <c r="T14"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1202.03045685279</v>
      </c>
      <c r="U14"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4" s="28" t="s">
        <v>127</v>
      </c>
    </row>
    <row r="15" spans="1:22" x14ac:dyDescent="0.25">
      <c r="B15" s="28" t="s">
        <v>100</v>
      </c>
      <c r="C15" s="28" t="s">
        <v>126</v>
      </c>
      <c r="D15" s="28" t="s">
        <v>79</v>
      </c>
      <c r="E15" s="38">
        <v>30</v>
      </c>
      <c r="F15" s="38">
        <v>95</v>
      </c>
      <c r="G15" s="38">
        <v>9</v>
      </c>
      <c r="H15" s="38">
        <v>30</v>
      </c>
      <c r="I15" s="39">
        <v>0.015</v>
      </c>
      <c r="J15" s="40">
        <f>IF(tblOps[[#This Row],[Part]]="","",IFERROR(INDEX(tblParts[Annual volume (good parts/yr)],MATCH(tblOps[[#This Row],[Part]],tblParts[Part],0)),""))</f>
        <v>24000</v>
      </c>
      <c r="K15" s="41">
        <f>IF(tblOps[[#This Row],[Part]]="","",IF(AND(ISNUMBER(tblOps[[#This Row],[Run power (kW)]]),ISNUMBER(tblOps[[#This Row],[Cycle time (s/part)]])),(tblOps[[#This Row],[Run power (kW)]]*tblOps[[#This Row],[Cycle time (s/part)]]+N(tblOps[[#This Row],[Idle power (kW)]])*N(tblOps[[#This Row],[Idle time (s/part)]]))/3600,""))</f>
        <v>0.866666666666667</v>
      </c>
      <c r="L15" s="41">
        <f>IF(tblOps[[#This Row],[Part]]="","",IF(AND(ISNUMBER(tblOps[[#This Row],[Run power (kW)]]),ISNUMBER(tblOps[[#This Row],[Cycle time (s/part)]])),(tblOps[[#This Row],[Run power (kW)]]*tblOps[[#This Row],[Cycle time (s/part)]]+N(tblOps[[#This Row],[Idle power (kW)]])*N(tblOps[[#This Row],[Idle time (s/part)]]))/3600/(1-N(tblOps[[#This Row],[Scrap]])),""))</f>
        <v>0.879864636209814</v>
      </c>
      <c r="M15" s="42">
        <f>IF(tblOps[[#This Row],[Part]]="","",IF(AND(ISNUMBER(tblOps[[#This Row],[Run power (kW)]]),ISNUMBER(tblOps[[#This Row],[Cycle time (s/part)]])),(tblOps[[#This Row],[Run power (kW)]]*tblOps[[#This Row],[Cycle time (s/part)]]+N(tblOps[[#This Row],[Idle power (kW)]])*N(tblOps[[#This Row],[Idle time (s/part)]]))/3600/(1-N(tblOps[[#This Row],[Scrap]]))*Rate,""))</f>
        <v>0.105583756345178</v>
      </c>
      <c r="N15"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0.0865384615384615</v>
      </c>
      <c r="O15" s="44" t="str">
        <f>IF(NOT(ISNUMBER(tblOps[[#This Row],[Idle share]])),"",IF(tblOps[[#This Row],[Idle share]]&lt;=IdleLimit,"On target",IF(tblOps[[#This Row],[Idle share]]&lt;=IdleLimit*(1+0.05),"Near target","Above target")))</f>
        <v>On target</v>
      </c>
      <c r="P15"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24.96</v>
      </c>
      <c r="Q15" s="40">
        <f>IF(tblOps[[#This Row],[Part]]="","",IF(AND(ISNUMBER(tblOps[[#This Row],[Annual volume (good parts/yr)]]),ISNUMBER(tblOps[[#This Row],[Cycle time (s/part)]])),tblOps[[#This Row],[Annual volume (good parts/yr)]]/(1-N(tblOps[[#This Row],[Scrap]]))*(tblOps[[#This Row],[Cycle time (s/part)]]+N(tblOps[[#This Row],[Idle time (s/part)]]))/3600,""))</f>
        <v>846.023688663283</v>
      </c>
      <c r="R15"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21116.7512690355</v>
      </c>
      <c r="S15"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1827.41116751269</v>
      </c>
      <c r="T15"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2534.01015228426</v>
      </c>
      <c r="U15"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5" s="28" t="s">
        <v>127</v>
      </c>
    </row>
    <row r="16" spans="1:22" x14ac:dyDescent="0.25">
      <c r="B16" s="28" t="s">
        <v>100</v>
      </c>
      <c r="C16" s="28" t="s">
        <v>128</v>
      </c>
      <c r="D16" s="28" t="s">
        <v>85</v>
      </c>
      <c r="E16" s="38">
        <v>14</v>
      </c>
      <c r="F16" s="38">
        <v>60</v>
      </c>
      <c r="G16" s="38">
        <v>7.5</v>
      </c>
      <c r="H16" s="38">
        <v>45</v>
      </c>
      <c r="I16" s="39">
        <v>0.01</v>
      </c>
      <c r="J16" s="40">
        <f>IF(tblOps[[#This Row],[Part]]="","",IFERROR(INDEX(tblParts[Annual volume (good parts/yr)],MATCH(tblOps[[#This Row],[Part]],tblParts[Part],0)),""))</f>
        <v>24000</v>
      </c>
      <c r="K16" s="41">
        <f>IF(tblOps[[#This Row],[Part]]="","",IF(AND(ISNUMBER(tblOps[[#This Row],[Run power (kW)]]),ISNUMBER(tblOps[[#This Row],[Cycle time (s/part)]])),(tblOps[[#This Row],[Run power (kW)]]*tblOps[[#This Row],[Cycle time (s/part)]]+N(tblOps[[#This Row],[Idle power (kW)]])*N(tblOps[[#This Row],[Idle time (s/part)]]))/3600,""))</f>
        <v>0.327083333333333</v>
      </c>
      <c r="L16" s="41">
        <f>IF(tblOps[[#This Row],[Part]]="","",IF(AND(ISNUMBER(tblOps[[#This Row],[Run power (kW)]]),ISNUMBER(tblOps[[#This Row],[Cycle time (s/part)]])),(tblOps[[#This Row],[Run power (kW)]]*tblOps[[#This Row],[Cycle time (s/part)]]+N(tblOps[[#This Row],[Idle power (kW)]])*N(tblOps[[#This Row],[Idle time (s/part)]]))/3600/(1-N(tblOps[[#This Row],[Scrap]])),""))</f>
        <v>0.330387205387205</v>
      </c>
      <c r="M16" s="42">
        <f>IF(tblOps[[#This Row],[Part]]="","",IF(AND(ISNUMBER(tblOps[[#This Row],[Run power (kW)]]),ISNUMBER(tblOps[[#This Row],[Cycle time (s/part)]])),(tblOps[[#This Row],[Run power (kW)]]*tblOps[[#This Row],[Cycle time (s/part)]]+N(tblOps[[#This Row],[Idle power (kW)]])*N(tblOps[[#This Row],[Idle time (s/part)]]))/3600/(1-N(tblOps[[#This Row],[Scrap]]))*Rate,""))</f>
        <v>0.0396464646464646</v>
      </c>
      <c r="N16"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0.286624203821656</v>
      </c>
      <c r="O16" s="44" t="str">
        <f>IF(NOT(ISNUMBER(tblOps[[#This Row],[Idle share]])),"",IF(tblOps[[#This Row],[Idle share]]&lt;=IdleLimit,"On target",IF(tblOps[[#This Row],[Idle share]]&lt;=IdleLimit*(1+0.05),"Near target","Above target")))</f>
        <v>Above target</v>
      </c>
      <c r="P16"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11.2142857142857</v>
      </c>
      <c r="Q16" s="40">
        <f>IF(tblOps[[#This Row],[Part]]="","",IF(AND(ISNUMBER(tblOps[[#This Row],[Annual volume (good parts/yr)]]),ISNUMBER(tblOps[[#This Row],[Cycle time (s/part)]])),tblOps[[#This Row],[Annual volume (good parts/yr)]]/(1-N(tblOps[[#This Row],[Scrap]]))*(tblOps[[#This Row],[Cycle time (s/part)]]+N(tblOps[[#This Row],[Idle time (s/part)]]))/3600,""))</f>
        <v>707.070707070707</v>
      </c>
      <c r="R16"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7929.29292929293</v>
      </c>
      <c r="S16"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2272.72727272727</v>
      </c>
      <c r="T16"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951.515151515152</v>
      </c>
      <c r="U16"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6" s="28" t="s">
        <v>127</v>
      </c>
    </row>
    <row r="17" spans="2:22" x14ac:dyDescent="0.25">
      <c r="B17" s="28" t="s">
        <v>100</v>
      </c>
      <c r="C17" s="28" t="s">
        <v>137</v>
      </c>
      <c r="D17" s="28" t="s">
        <v>94</v>
      </c>
      <c r="E17" s="38">
        <v>9.5</v>
      </c>
      <c r="F17" s="38">
        <v>140</v>
      </c>
      <c r="G17" s="38">
        <v>1.8</v>
      </c>
      <c r="H17" s="38">
        <v>60</v>
      </c>
      <c r="I17" s="39">
        <v>0.02</v>
      </c>
      <c r="J17" s="40">
        <f>IF(tblOps[[#This Row],[Part]]="","",IFERROR(INDEX(tblParts[Annual volume (good parts/yr)],MATCH(tblOps[[#This Row],[Part]],tblParts[Part],0)),""))</f>
        <v>24000</v>
      </c>
      <c r="K17" s="41">
        <f>IF(tblOps[[#This Row],[Part]]="","",IF(AND(ISNUMBER(tblOps[[#This Row],[Run power (kW)]]),ISNUMBER(tblOps[[#This Row],[Cycle time (s/part)]])),(tblOps[[#This Row],[Run power (kW)]]*tblOps[[#This Row],[Cycle time (s/part)]]+N(tblOps[[#This Row],[Idle power (kW)]])*N(tblOps[[#This Row],[Idle time (s/part)]]))/3600,""))</f>
        <v>0.399444444444444</v>
      </c>
      <c r="L17" s="41">
        <f>IF(tblOps[[#This Row],[Part]]="","",IF(AND(ISNUMBER(tblOps[[#This Row],[Run power (kW)]]),ISNUMBER(tblOps[[#This Row],[Cycle time (s/part)]])),(tblOps[[#This Row],[Run power (kW)]]*tblOps[[#This Row],[Cycle time (s/part)]]+N(tblOps[[#This Row],[Idle power (kW)]])*N(tblOps[[#This Row],[Idle time (s/part)]]))/3600/(1-N(tblOps[[#This Row],[Scrap]])),""))</f>
        <v>0.407596371882086</v>
      </c>
      <c r="M17" s="42">
        <f>IF(tblOps[[#This Row],[Part]]="","",IF(AND(ISNUMBER(tblOps[[#This Row],[Run power (kW)]]),ISNUMBER(tblOps[[#This Row],[Cycle time (s/part)]])),(tblOps[[#This Row],[Run power (kW)]]*tblOps[[#This Row],[Cycle time (s/part)]]+N(tblOps[[#This Row],[Idle power (kW)]])*N(tblOps[[#This Row],[Idle time (s/part)]]))/3600/(1-N(tblOps[[#This Row],[Scrap]]))*Rate,""))</f>
        <v>0.0489115646258503</v>
      </c>
      <c r="N17"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0.0751043115438109</v>
      </c>
      <c r="O17" s="44" t="str">
        <f>IF(NOT(ISNUMBER(tblOps[[#This Row],[Idle share]])),"",IF(tblOps[[#This Row],[Idle share]]&lt;=IdleLimit,"On target",IF(tblOps[[#This Row],[Idle share]]&lt;=IdleLimit*(1+0.05),"Near target","Above target")))</f>
        <v>On target</v>
      </c>
      <c r="P17"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7.19</v>
      </c>
      <c r="Q17" s="40">
        <f>IF(tblOps[[#This Row],[Part]]="","",IF(AND(ISNUMBER(tblOps[[#This Row],[Annual volume (good parts/yr)]]),ISNUMBER(tblOps[[#This Row],[Cycle time (s/part)]])),tblOps[[#This Row],[Annual volume (good parts/yr)]]/(1-N(tblOps[[#This Row],[Scrap]]))*(tblOps[[#This Row],[Cycle time (s/part)]]+N(tblOps[[#This Row],[Idle time (s/part)]]))/3600,""))</f>
        <v>1360.54421768707</v>
      </c>
      <c r="R17"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9782.31292517007</v>
      </c>
      <c r="S17"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734.69387755102</v>
      </c>
      <c r="T17"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1173.87755102041</v>
      </c>
      <c r="U17"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7" s="28" t="s">
        <v>127</v>
      </c>
    </row>
    <row r="18" spans="2:22" x14ac:dyDescent="0.25">
      <c r="B18" s="28" t="s">
        <v>102</v>
      </c>
      <c r="C18" s="28" t="s">
        <v>138</v>
      </c>
      <c r="D18" s="28" t="s">
        <v>91</v>
      </c>
      <c r="E18" s="38">
        <v>11</v>
      </c>
      <c r="F18" s="38">
        <v>75</v>
      </c>
      <c r="G18" s="38">
        <v>2.5</v>
      </c>
      <c r="H18" s="38">
        <v>25</v>
      </c>
      <c r="I18" s="39">
        <v>0.012</v>
      </c>
      <c r="J18" s="40">
        <f>IF(tblOps[[#This Row],[Part]]="","",IFERROR(INDEX(tblParts[Annual volume (good parts/yr)],MATCH(tblOps[[#This Row],[Part]],tblParts[Part],0)),""))</f>
        <v>40000</v>
      </c>
      <c r="K18" s="41">
        <f>IF(tblOps[[#This Row],[Part]]="","",IF(AND(ISNUMBER(tblOps[[#This Row],[Run power (kW)]]),ISNUMBER(tblOps[[#This Row],[Cycle time (s/part)]])),(tblOps[[#This Row],[Run power (kW)]]*tblOps[[#This Row],[Cycle time (s/part)]]+N(tblOps[[#This Row],[Idle power (kW)]])*N(tblOps[[#This Row],[Idle time (s/part)]]))/3600,""))</f>
        <v>0.246527777777778</v>
      </c>
      <c r="L18" s="41">
        <f>IF(tblOps[[#This Row],[Part]]="","",IF(AND(ISNUMBER(tblOps[[#This Row],[Run power (kW)]]),ISNUMBER(tblOps[[#This Row],[Cycle time (s/part)]])),(tblOps[[#This Row],[Run power (kW)]]*tblOps[[#This Row],[Cycle time (s/part)]]+N(tblOps[[#This Row],[Idle power (kW)]])*N(tblOps[[#This Row],[Idle time (s/part)]]))/3600/(1-N(tblOps[[#This Row],[Scrap]])),""))</f>
        <v>0.2495220422852</v>
      </c>
      <c r="M18" s="42">
        <f>IF(tblOps[[#This Row],[Part]]="","",IF(AND(ISNUMBER(tblOps[[#This Row],[Run power (kW)]]),ISNUMBER(tblOps[[#This Row],[Cycle time (s/part)]])),(tblOps[[#This Row],[Run power (kW)]]*tblOps[[#This Row],[Cycle time (s/part)]]+N(tblOps[[#This Row],[Idle power (kW)]])*N(tblOps[[#This Row],[Idle time (s/part)]]))/3600/(1-N(tblOps[[#This Row],[Scrap]]))*Rate,""))</f>
        <v>0.029942645074224</v>
      </c>
      <c r="N18"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0.0704225352112676</v>
      </c>
      <c r="O18" s="44" t="str">
        <f>IF(NOT(ISNUMBER(tblOps[[#This Row],[Idle share]])),"",IF(tblOps[[#This Row],[Idle share]]&lt;=IdleLimit,"On target",IF(tblOps[[#This Row],[Idle share]]&lt;=IdleLimit*(1+0.05),"Near target","Above target")))</f>
        <v>On target</v>
      </c>
      <c r="P18"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8.875</v>
      </c>
      <c r="Q18" s="40">
        <f>IF(tblOps[[#This Row],[Part]]="","",IF(AND(ISNUMBER(tblOps[[#This Row],[Annual volume (good parts/yr)]]),ISNUMBER(tblOps[[#This Row],[Cycle time (s/part)]])),tblOps[[#This Row],[Annual volume (good parts/yr)]]/(1-N(tblOps[[#This Row],[Scrap]]))*(tblOps[[#This Row],[Cycle time (s/part)]]+N(tblOps[[#This Row],[Idle time (s/part)]]))/3600,""))</f>
        <v>1124.60638776428</v>
      </c>
      <c r="R18"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9980.88169140801</v>
      </c>
      <c r="S18"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702.878992352677</v>
      </c>
      <c r="T18"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1197.70580296896</v>
      </c>
      <c r="U18"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8" s="28" t="s">
        <v>127</v>
      </c>
    </row>
    <row r="19" spans="2:22" x14ac:dyDescent="0.25">
      <c r="B19" s="28" t="s">
        <v>102</v>
      </c>
      <c r="C19" s="28" t="s">
        <v>139</v>
      </c>
      <c r="D19" s="28" t="s">
        <v>91</v>
      </c>
      <c r="E19" s="38">
        <v>9</v>
      </c>
      <c r="F19" s="38">
        <v>40</v>
      </c>
      <c r="G19" s="38">
        <v>2.5</v>
      </c>
      <c r="H19" s="38">
        <v>25</v>
      </c>
      <c r="I19" s="39">
        <v>0.008</v>
      </c>
      <c r="J19" s="40">
        <f>IF(tblOps[[#This Row],[Part]]="","",IFERROR(INDEX(tblParts[Annual volume (good parts/yr)],MATCH(tblOps[[#This Row],[Part]],tblParts[Part],0)),""))</f>
        <v>40000</v>
      </c>
      <c r="K19" s="41">
        <f>IF(tblOps[[#This Row],[Part]]="","",IF(AND(ISNUMBER(tblOps[[#This Row],[Run power (kW)]]),ISNUMBER(tblOps[[#This Row],[Cycle time (s/part)]])),(tblOps[[#This Row],[Run power (kW)]]*tblOps[[#This Row],[Cycle time (s/part)]]+N(tblOps[[#This Row],[Idle power (kW)]])*N(tblOps[[#This Row],[Idle time (s/part)]]))/3600,""))</f>
        <v>0.117361111111111</v>
      </c>
      <c r="L19" s="41">
        <f>IF(tblOps[[#This Row],[Part]]="","",IF(AND(ISNUMBER(tblOps[[#This Row],[Run power (kW)]]),ISNUMBER(tblOps[[#This Row],[Cycle time (s/part)]])),(tblOps[[#This Row],[Run power (kW)]]*tblOps[[#This Row],[Cycle time (s/part)]]+N(tblOps[[#This Row],[Idle power (kW)]])*N(tblOps[[#This Row],[Idle time (s/part)]]))/3600/(1-N(tblOps[[#This Row],[Scrap]])),""))</f>
        <v>0.118307571684588</v>
      </c>
      <c r="M19" s="42">
        <f>IF(tblOps[[#This Row],[Part]]="","",IF(AND(ISNUMBER(tblOps[[#This Row],[Run power (kW)]]),ISNUMBER(tblOps[[#This Row],[Cycle time (s/part)]])),(tblOps[[#This Row],[Run power (kW)]]*tblOps[[#This Row],[Cycle time (s/part)]]+N(tblOps[[#This Row],[Idle power (kW)]])*N(tblOps[[#This Row],[Idle time (s/part)]]))/3600/(1-N(tblOps[[#This Row],[Scrap]]))*Rate,""))</f>
        <v>0.0141969086021505</v>
      </c>
      <c r="N19"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0.14792899408284</v>
      </c>
      <c r="O19" s="44" t="str">
        <f>IF(NOT(ISNUMBER(tblOps[[#This Row],[Idle share]])),"",IF(tblOps[[#This Row],[Idle share]]&lt;=IdleLimit,"On target",IF(tblOps[[#This Row],[Idle share]]&lt;=IdleLimit*(1+0.05),"Near target","Above target")))</f>
        <v>On target</v>
      </c>
      <c r="P19"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6.5</v>
      </c>
      <c r="Q19" s="40">
        <f>IF(tblOps[[#This Row],[Part]]="","",IF(AND(ISNUMBER(tblOps[[#This Row],[Annual volume (good parts/yr)]]),ISNUMBER(tblOps[[#This Row],[Cycle time (s/part)]])),tblOps[[#This Row],[Annual volume (good parts/yr)]]/(1-N(tblOps[[#This Row],[Scrap]]))*(tblOps[[#This Row],[Cycle time (s/part)]]+N(tblOps[[#This Row],[Idle time (s/part)]]))/3600,""))</f>
        <v>728.046594982079</v>
      </c>
      <c r="R19"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4732.30286738351</v>
      </c>
      <c r="S19"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700.044802867384</v>
      </c>
      <c r="T19"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567.876344086022</v>
      </c>
      <c r="U19"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19" s="28" t="s">
        <v>127</v>
      </c>
    </row>
    <row r="20" spans="2:22" x14ac:dyDescent="0.25">
      <c r="B20" s="28" t="s">
        <v>102</v>
      </c>
      <c r="C20" s="28" t="s">
        <v>140</v>
      </c>
      <c r="D20" s="28" t="s">
        <v>91</v>
      </c>
      <c r="E20" s="38">
        <v>4</v>
      </c>
      <c r="F20" s="38">
        <v>20</v>
      </c>
      <c r="G20" s="38">
        <v>2.5</v>
      </c>
      <c r="H20" s="38">
        <v>15</v>
      </c>
      <c r="I20" s="39">
        <v>0</v>
      </c>
      <c r="J20" s="40">
        <f>IF(tblOps[[#This Row],[Part]]="","",IFERROR(INDEX(tblParts[Annual volume (good parts/yr)],MATCH(tblOps[[#This Row],[Part]],tblParts[Part],0)),""))</f>
        <v>40000</v>
      </c>
      <c r="K20" s="41">
        <f>IF(tblOps[[#This Row],[Part]]="","",IF(AND(ISNUMBER(tblOps[[#This Row],[Run power (kW)]]),ISNUMBER(tblOps[[#This Row],[Cycle time (s/part)]])),(tblOps[[#This Row],[Run power (kW)]]*tblOps[[#This Row],[Cycle time (s/part)]]+N(tblOps[[#This Row],[Idle power (kW)]])*N(tblOps[[#This Row],[Idle time (s/part)]]))/3600,""))</f>
        <v>0.0326388888888889</v>
      </c>
      <c r="L20" s="41">
        <f>IF(tblOps[[#This Row],[Part]]="","",IF(AND(ISNUMBER(tblOps[[#This Row],[Run power (kW)]]),ISNUMBER(tblOps[[#This Row],[Cycle time (s/part)]])),(tblOps[[#This Row],[Run power (kW)]]*tblOps[[#This Row],[Cycle time (s/part)]]+N(tblOps[[#This Row],[Idle power (kW)]])*N(tblOps[[#This Row],[Idle time (s/part)]]))/3600/(1-N(tblOps[[#This Row],[Scrap]])),""))</f>
        <v>0.0326388888888889</v>
      </c>
      <c r="M20" s="42">
        <f>IF(tblOps[[#This Row],[Part]]="","",IF(AND(ISNUMBER(tblOps[[#This Row],[Run power (kW)]]),ISNUMBER(tblOps[[#This Row],[Cycle time (s/part)]])),(tblOps[[#This Row],[Run power (kW)]]*tblOps[[#This Row],[Cycle time (s/part)]]+N(tblOps[[#This Row],[Idle power (kW)]])*N(tblOps[[#This Row],[Idle time (s/part)]]))/3600/(1-N(tblOps[[#This Row],[Scrap]]))*Rate,""))</f>
        <v>0.00391666666666667</v>
      </c>
      <c r="N20" s="43">
        <f>IF(tblOps[[#This Row],[Part]]="","",IF(AND(ISNUMBER(tblOps[[#This Row],[Run power (kW)]]),ISNUMBER(tblOps[[#This Row],[Cycle time (s/part)]])),IF((tblOps[[#This Row],[Run power (kW)]]*tblOps[[#This Row],[Cycle time (s/part)]]+N(tblOps[[#This Row],[Idle power (kW)]])*N(tblOps[[#This Row],[Idle time (s/part)]]))/3600&gt;0,N(tblOps[[#This Row],[Idle power (kW)]])*N(tblOps[[#This Row],[Idle time (s/part)]])/3600/((tblOps[[#This Row],[Run power (kW)]]*tblOps[[#This Row],[Cycle time (s/part)]]+N(tblOps[[#This Row],[Idle power (kW)]])*N(tblOps[[#This Row],[Idle time (s/part)]]))/3600),""),""))</f>
        <v>0.319148936170213</v>
      </c>
      <c r="O20" s="44" t="str">
        <f>IF(NOT(ISNUMBER(tblOps[[#This Row],[Idle share]])),"",IF(tblOps[[#This Row],[Idle share]]&lt;=IdleLimit,"On target",IF(tblOps[[#This Row],[Idle share]]&lt;=IdleLimit*(1+0.05),"Near target","Above target")))</f>
        <v>Above target</v>
      </c>
      <c r="P20" s="45">
        <f>IF(tblOps[[#This Row],[Part]]="","",IF(AND(ISNUMBER(tblOps[[#This Row],[Run power (kW)]]),ISNUMBER(tblOps[[#This Row],[Cycle time (s/part)]])),(tblOps[[#This Row],[Run power (kW)]]*tblOps[[#This Row],[Cycle time (s/part)]]+N(tblOps[[#This Row],[Idle power (kW)]])*N(tblOps[[#This Row],[Idle time (s/part)]]))/3600*3600/(tblOps[[#This Row],[Cycle time (s/part)]]+N(tblOps[[#This Row],[Idle time (s/part)]])),""))</f>
        <v>3.35714285714286</v>
      </c>
      <c r="Q20" s="40">
        <f>IF(tblOps[[#This Row],[Part]]="","",IF(AND(ISNUMBER(tblOps[[#This Row],[Annual volume (good parts/yr)]]),ISNUMBER(tblOps[[#This Row],[Cycle time (s/part)]])),tblOps[[#This Row],[Annual volume (good parts/yr)]]/(1-N(tblOps[[#This Row],[Scrap]]))*(tblOps[[#This Row],[Cycle time (s/part)]]+N(tblOps[[#This Row],[Idle time (s/part)]]))/3600,""))</f>
        <v>388.888888888889</v>
      </c>
      <c r="R20"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f>
        <v>1305.55555555556</v>
      </c>
      <c r="S20" s="40">
        <f>IF(tblOps[[#This Row],[Part]]="","",IF(AND(AND(ISNUMBER(tblOps[[#This Row],[Run power (kW)]]),ISNUMBER(tblOps[[#This Row],[Cycle time (s/part)]])),ISNUMBER(tblOps[[#This Row],[Annual volume (good parts/yr)]])),N(tblOps[[#This Row],[Idle power (kW)]])*N(tblOps[[#This Row],[Idle time (s/part)]])/3600/(1-N(tblOps[[#This Row],[Scrap]]))*tblOps[[#This Row],[Annual volume (good parts/yr)]],""))</f>
        <v>416.666666666667</v>
      </c>
      <c r="T20" s="40">
        <f>IF(tblOps[[#This Row],[Part]]="","",IF(AND(AND(ISNUMBER(tblOps[[#This Row],[Run power (kW)]]),ISNUMBER(tblOps[[#This Row],[Cycle time (s/part)]])),ISNUMBER(tblOps[[#This Row],[Annual volume (good parts/yr)]])),(tblOps[[#This Row],[Run power (kW)]]*tblOps[[#This Row],[Cycle time (s/part)]]+N(tblOps[[#This Row],[Idle power (kW)]])*N(tblOps[[#This Row],[Idle time (s/part)]]))/3600/(1-N(tblOps[[#This Row],[Scrap]]))*tblOps[[#This Row],[Annual volume (good parts/yr)]]*Rate,""))</f>
        <v>156.666666666667</v>
      </c>
      <c r="U20" s="46" t="str">
        <f>IF(tblOps[[#This Row],[Part]]="","",IF(tblOps[[#This Row],[Operation]]="","Missing operation",IF(tblOps[[#This Row],[Machine]]="","Missing machine",IF(tblOps[[#This Row],[Run power (kW)]]="","Missing run power",IF(tblOps[[#This Row],[Cycle time (s/part)]]="","Missing cycle time",IF(tblOps[[#This Row],[Annual volume (good parts/yr)]]="","Part not on Setup list",IF(N(tblOps[[#This Row],[Idle power (kW)]])&gt;tblOps[[#This Row],[Run power (kW)]],"Idle power above run power",IF(AND(N(tblOps[[#This Row],[Idle time (s/part)]])&gt;0,tblOps[[#This Row],[Idle power (kW)]]=""),"Missing idle power",IF(COUNTIFS(tblOps[Part],tblOps[[#This Row],[Part]],tblOps[Operation],tblOps[[#This Row],[Operation]])&gt;1,"Duplicate part and operation","OK")))))))))</f>
        <v>OK</v>
      </c>
      <c r="V20" s="28" t="s">
        <v>127</v>
      </c>
    </row>
  </sheetData>
  <mergeCells count="3">
    <mergeCell ref="A1:V1"/>
    <mergeCell ref="B2:U2"/>
    <mergeCell ref="B4:V4"/>
  </mergeCells>
  <conditionalFormatting sqref="M7:M520">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N7:N520">
    <cfRule type="expression" dxfId="3" priority="2" stopIfTrue="1">
      <formula>AND(ISNUMBER(N7),N7&lt;=(IdleLimit))</formula>
    </cfRule>
    <cfRule type="expression" dxfId="4" priority="3" stopIfTrue="1">
      <formula>AND(ISNUMBER(N7),N7&lt;=(IdleLimit)*(1+0.05))</formula>
    </cfRule>
    <cfRule type="expression" dxfId="5" priority="4">
      <formula>ISNUMBER(N7)</formula>
    </cfRule>
  </conditionalFormatting>
  <conditionalFormatting sqref="O7:O520">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U7:U520">
    <cfRule type="expression" dxfId="3" priority="25">
      <formula>$U7="OK"</formula>
    </cfRule>
    <cfRule type="expression" dxfId="1" priority="26">
      <formula>AND($U7&lt;&gt;"",$U7&lt;&gt;"OK")</formula>
    </cfRule>
  </conditionalFormatting>
  <dataValidations count="9">
    <dataValidation type="list" allowBlank="1" showInputMessage="1" showErrorMessage="1" errorTitle="Check this entry" error="Pick from the list (edit the list on Setup: Parts)." promptTitle="Part" prompt="Pick from the list (edit the list on Setup: Parts)." sqref="B7:B520">
      <formula1>Parts</formula1>
    </dataValidation>
    <dataValidation type="textLength" allowBlank="1" showInputMessage="1" showErrorMessage="1" errorTitle="Check this entry" error="Text up to 60 characters." promptTitle="Operation" prompt="Text up to 60 characters." sqref="C7:C520">
      <formula1>0</formula1>
      <formula2>60</formula2>
    </dataValidation>
    <dataValidation type="list" allowBlank="1" showInputMessage="1" showErrorMessage="1" errorTitle="Check this entry" error="Pick from the list (edit the list on Setup: Machines)." promptTitle="Machine" prompt="Pick from the list (edit the list on Setup: Machines)." sqref="D7:D520">
      <formula1>Machines</formula1>
    </dataValidation>
    <dataValidation type="decimal" allowBlank="1" showInputMessage="1" showErrorMessage="1" errorTitle="Check this entry" error="Enter a number from 0 to 100,000." promptTitle="Run power (kW)" prompt="Average power while the machine is in cycle on this part, measured with a power logger or clamp meter. Nameplate power overstates it. Enter a number from 0 to 100,000." sqref="E7:E520">
      <formula1>0</formula1>
      <formula2>100000</formula2>
    </dataValidation>
    <dataValidation type="decimal" allowBlank="1" showInputMessage="1" showErrorMessage="1" errorTitle="Check this entry" error="Enter a number from 0.01 to 1,000,000." promptTitle="Cycle time (s/part)" prompt="In-cycle time per part. For a multi-part cycle, cycle time / parts per cycle. Enter a number from 0.01 to 1,000,000." sqref="F7:F520">
      <formula1>0.01</formula1>
      <formula2>1000000</formula2>
    </dataValidation>
    <dataValidation type="decimal" allowBlank="1" showInputMessage="1" showErrorMessage="1" errorTitle="Check this entry" error="Enter a number from 0 to 100,000." promptTitle="Idle power (kW)" prompt="Power drawn between cycles (loading, waiting, pump or chiller running). 0 if the machine switches off. Enter a number from 0 to 100,000." sqref="G7:G520">
      <formula1>0</formula1>
      <formula2>100000</formula2>
    </dataValidation>
    <dataValidation type="decimal" allowBlank="1" showInputMessage="1" showErrorMessage="1" errorTitle="Check this entry" error="Enter a number from 0 to 1,000,000." promptTitle="Idle time (s/part)" prompt="Time per part the machine is on but not in cycle: load, unload, inspection, waiting. Enter a number from 0 to 1,000,000." sqref="H7:H520">
      <formula1>0</formula1>
      <formula2>1000000</formula2>
    </dataValidation>
    <dataValidation type="decimal" allowBlank="1" showInputMessage="1" showErrorMessage="1" errorTitle="Check this entry" error="Enter a percentage from 0% to 99% (type 85% or 0.85)." promptTitle="Scrap" prompt="Share of parts made at this operation that are scrapped. Their energy is carried by the good parts. Enter a percentage from 0% to 99% (type 85% or 0.85)." sqref="I7:I520">
      <formula1>0</formula1>
      <formula2>0.99</formula2>
    </dataValidation>
    <dataValidation type="textLength" allowBlank="1" showInputMessage="1" showErrorMessage="1" errorTitle="Check this entry" error="Text up to 255 characters." promptTitle="Notes" prompt="Text up to 255 characters." sqref="V7:V520">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Energy Cost per Part&amp;R&amp;8&amp;A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M7:M520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5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47" t="str">
        <f>"Money in "&amp;Currency&amp;" at the electricity rate and annual volumes on Setup. "&amp;COUNTA(tblOps[Operation])&amp;" operations on "&amp;COUNTA(tblMachines[Machine])&amp;" machines."</f>
        <v>Money in USD at the electricity rate and annual volumes on Setup. 14 operations on 6 machines.</v>
      </c>
      <c r="C4" s="47"/>
      <c r="D4" s="47"/>
      <c r="E4" s="47"/>
      <c r="F4" s="47"/>
      <c r="G4" s="47"/>
      <c r="H4" s="47"/>
      <c r="I4" s="47"/>
      <c r="J4" s="47"/>
      <c r="K4" s="47"/>
      <c r="L4" s="47"/>
    </row>
    <row r="6" spans="1:12" ht="18" customHeight="1" x14ac:dyDescent="0.25">
      <c r="B6" s="48" t="str">
        <f>"ANNUAL ENERGY COST ("&amp;Currency&amp;"/YR)"</f>
        <v>ANNUAL ENERGY COST (USD/YR)</v>
      </c>
      <c r="C6" s="48"/>
      <c r="D6" s="48" t="s">
        <v>141</v>
      </c>
      <c r="E6" s="48"/>
      <c r="F6" s="48"/>
      <c r="G6" s="48" t="s">
        <v>142</v>
      </c>
      <c r="H6" s="48"/>
      <c r="I6" s="48"/>
      <c r="J6" s="48" t="str">
        <f>"IDLE ENERGY COST ("&amp;Currency&amp;"/YR)"</f>
        <v>IDLE ENERGY COST (USD/YR)</v>
      </c>
      <c r="K6" s="48"/>
      <c r="L6" s="48"/>
    </row>
    <row r="7" spans="1:12" ht="21" customHeight="1" x14ac:dyDescent="0.25">
      <c r="B7" s="49">
        <f>SUM(tblOps[Annual energy cost])</f>
        <v>17257.9417239071</v>
      </c>
      <c r="C7" s="49"/>
      <c r="D7" s="50">
        <f>SUM(tblOps[Annual energy (kWh/yr)])/1000</f>
        <v>143.816181032559</v>
      </c>
      <c r="E7" s="50"/>
      <c r="F7" s="50"/>
      <c r="G7" s="51">
        <f>IF((SUM(tblOps[Annual energy (kWh/yr)]))=0,"",(SUM(tblOps[Idle energy (kWh/yr)]))/(SUM(tblOps[Annual energy (kWh/yr)])))</f>
        <v>0.176694191477021</v>
      </c>
      <c r="H7" s="51"/>
      <c r="I7" s="51"/>
      <c r="J7" s="49">
        <f>SUM(tblOps[Idle energy (kWh/yr)])*Rate</f>
        <v>3049.37805946331</v>
      </c>
      <c r="K7" s="49"/>
      <c r="L7" s="49"/>
    </row>
    <row r="8" spans="1:12" ht="21" customHeight="1" x14ac:dyDescent="0.25">
      <c r="B8" s="49"/>
      <c r="C8" s="49"/>
      <c r="D8" s="50"/>
      <c r="E8" s="50"/>
      <c r="F8" s="50"/>
      <c r="G8" s="51"/>
      <c r="H8" s="51"/>
      <c r="I8" s="51"/>
      <c r="J8" s="49"/>
      <c r="K8" s="49"/>
      <c r="L8" s="49"/>
    </row>
    <row r="9" spans="1:12" x14ac:dyDescent="0.25">
      <c r="B9" s="52" t="s">
        <v>143</v>
      </c>
      <c r="C9" s="52"/>
      <c r="D9" s="52" t="s">
        <v>144</v>
      </c>
      <c r="E9" s="52"/>
      <c r="F9" s="52"/>
      <c r="G9" s="53">
        <f>IdleLimit</f>
        <v>0.25</v>
      </c>
      <c r="H9" s="53"/>
      <c r="I9" s="53"/>
      <c r="J9" s="52" t="s">
        <v>145</v>
      </c>
      <c r="K9" s="52"/>
      <c r="L9" s="52"/>
    </row>
    <row r="10" spans="1:12" ht="18" customHeight="1" x14ac:dyDescent="0.25">
      <c r="B10" s="54"/>
      <c r="C10" s="54"/>
      <c r="D10" s="54"/>
      <c r="E10" s="54"/>
      <c r="F10" s="54"/>
      <c r="G10" s="54" t="str">
        <f>IF(NOT(ISNUMBER(KpiIdle)),"No data",IF(KpiIdle&lt;=(IdleLimit),"On target",IF(KpiIdle&lt;=(IdleLimit)*(1+0.05),"Near target","Above target")))</f>
        <v>On target</v>
      </c>
      <c r="H10" s="54"/>
      <c r="I10" s="54"/>
      <c r="J10" s="54"/>
      <c r="K10" s="54"/>
      <c r="L10" s="54"/>
    </row>
    <row r="28" spans="2:12" ht="18" customHeight="1" x14ac:dyDescent="0.25">
      <c r="B28" s="48" t="s">
        <v>146</v>
      </c>
      <c r="C28" s="48"/>
      <c r="D28" s="48" t="s">
        <v>147</v>
      </c>
      <c r="E28" s="48"/>
      <c r="F28" s="48"/>
      <c r="G28" s="48" t="s">
        <v>148</v>
      </c>
      <c r="H28" s="48"/>
      <c r="I28" s="48"/>
      <c r="J28" s="48" t="s">
        <v>149</v>
      </c>
      <c r="K28" s="48"/>
      <c r="L28" s="48"/>
    </row>
    <row r="29" spans="2:12" ht="21" customHeight="1" x14ac:dyDescent="0.25">
      <c r="B29" s="49">
        <f>SUM(tblOps[Runtime (h/yr)])</f>
        <v>11067.4136979855</v>
      </c>
      <c r="C29" s="49"/>
      <c r="D29" s="49">
        <f>COUNTIFS(tblOps[Idle status],"Above target")</f>
        <v>6</v>
      </c>
      <c r="E29" s="49"/>
      <c r="F29" s="49"/>
      <c r="G29" s="55">
        <f>IF((SUMPRODUCT(tblParts[Annual volume (good parts/yr)],tblParts[Price]))=0,"",(SUM(tblOps[Annual energy cost]))/(SUMPRODUCT(tblParts[Annual volume (good parts/yr)],tblParts[Price])))</f>
        <v>0.00530035065230562</v>
      </c>
      <c r="H29" s="55"/>
      <c r="I29" s="55"/>
      <c r="J29" s="56" t="str">
        <f>IF(MAX($K$37:$K$42)&gt;0,INDEX($B$37:$B$42,MATCH(MAX($K$37:$K$42),$K$37:$K$42,0)),"None")</f>
        <v>LC-1</v>
      </c>
      <c r="K29" s="56"/>
      <c r="L29" s="56"/>
    </row>
    <row r="30" spans="2:12" ht="21" customHeight="1" x14ac:dyDescent="0.25">
      <c r="B30" s="49"/>
      <c r="C30" s="49"/>
      <c r="D30" s="49"/>
      <c r="E30" s="49"/>
      <c r="F30" s="49"/>
      <c r="G30" s="55"/>
      <c r="H30" s="55"/>
      <c r="I30" s="55"/>
      <c r="J30" s="56"/>
      <c r="K30" s="56"/>
      <c r="L30" s="56"/>
    </row>
    <row r="31" spans="2:12" x14ac:dyDescent="0.25">
      <c r="B31" s="52" t="s">
        <v>150</v>
      </c>
      <c r="C31" s="52"/>
      <c r="D31" s="52" t="s">
        <v>151</v>
      </c>
      <c r="E31" s="52"/>
      <c r="F31" s="52"/>
      <c r="G31" s="52" t="s">
        <v>152</v>
      </c>
      <c r="H31" s="52"/>
      <c r="I31" s="52"/>
      <c r="J31" s="52" t="s">
        <v>153</v>
      </c>
      <c r="K31" s="52"/>
      <c r="L31" s="52"/>
    </row>
    <row r="32" spans="2:12" ht="18" customHeight="1" x14ac:dyDescent="0.25">
      <c r="B32" s="54"/>
      <c r="C32" s="54"/>
      <c r="D32" s="54"/>
      <c r="E32" s="54"/>
      <c r="F32" s="54"/>
      <c r="G32" s="54"/>
      <c r="H32" s="54"/>
      <c r="I32" s="54"/>
      <c r="J32" s="54"/>
      <c r="K32" s="54"/>
      <c r="L32" s="54"/>
    </row>
    <row r="34" spans="2:12" x14ac:dyDescent="0.25">
      <c r="B34" s="31" t="s">
        <v>154</v>
      </c>
      <c r="C34" s="31"/>
      <c r="D34" s="31"/>
      <c r="E34" s="31"/>
      <c r="F34" s="31"/>
      <c r="G34" s="31"/>
      <c r="H34" s="31"/>
      <c r="I34" s="31"/>
      <c r="J34" s="31"/>
      <c r="K34" s="31"/>
      <c r="L34" s="31"/>
    </row>
    <row r="35" spans="2:12" ht="32" customHeight="1" x14ac:dyDescent="0.25">
      <c r="B35" s="57" t="s">
        <v>62</v>
      </c>
      <c r="C35" s="32" t="s">
        <v>21</v>
      </c>
      <c r="D35" s="32" t="s">
        <v>155</v>
      </c>
      <c r="E35" s="32" t="s">
        <v>156</v>
      </c>
      <c r="F35" s="32" t="s">
        <v>157</v>
      </c>
      <c r="G35" s="32" t="s">
        <v>117</v>
      </c>
      <c r="H35" s="32" t="s">
        <v>158</v>
      </c>
      <c r="I35" s="32" t="s">
        <v>159</v>
      </c>
      <c r="J35" s="32" t="s">
        <v>160</v>
      </c>
      <c r="K35" s="32" t="s">
        <v>161</v>
      </c>
      <c r="L35" s="32" t="s">
        <v>162</v>
      </c>
    </row>
    <row r="36" spans="2:12" ht="14" customHeight="1" x14ac:dyDescent="0.25">
      <c r="B36" s="33"/>
      <c r="C36" s="33"/>
      <c r="D36" s="33" t="s">
        <v>163</v>
      </c>
      <c r="E36" s="33" t="s">
        <v>164</v>
      </c>
      <c r="F36" s="33" t="s">
        <v>164</v>
      </c>
      <c r="G36" s="33" t="s">
        <v>165</v>
      </c>
      <c r="H36" s="33" t="s">
        <v>166</v>
      </c>
      <c r="I36" s="33" t="str">
        <f>Currency&amp;"/yr"</f>
        <v>USD/yr</v>
      </c>
      <c r="J36" s="33" t="str">
        <f>Currency&amp;"/yr"</f>
        <v>USD/yr</v>
      </c>
      <c r="K36" s="33" t="str">
        <f>Currency&amp;"/yr"</f>
        <v>USD/yr</v>
      </c>
      <c r="L36" s="33" t="s">
        <v>165</v>
      </c>
    </row>
    <row r="37" spans="2:12" x14ac:dyDescent="0.25">
      <c r="B37" s="58" t="str">
        <f>IFERROR(INDEX(tblMachines[Machine],1)&amp;"","")</f>
        <v>LC-1</v>
      </c>
      <c r="C37" s="40">
        <f>IF($B$37="","",COUNTIFS(tblOps[Machine],$B$37))</f>
        <v>3</v>
      </c>
      <c r="D37" s="40">
        <f>IF($B$37="","",SUMIFS(tblOps[Runtime (h/yr)],tblOps[Machine],$B$37))</f>
        <v>2596.86543950503</v>
      </c>
      <c r="E37" s="40">
        <f>IF($B$37="","",SUMIFS(tblOps[Annual energy (kWh/yr)],tblOps[Machine],$B$37))</f>
        <v>62261.5324138167</v>
      </c>
      <c r="F37" s="40">
        <f>IF($B$37="","",SUMIFS(tblOps[Idle energy (kWh/yr)],tblOps[Machine],$B$37))</f>
        <v>6069.83540993693</v>
      </c>
      <c r="G37" s="43">
        <f>IF($B$37="","",IF(($E$37)=0,"",($F$37)/($E$37)))</f>
        <v>0.0974893353024821</v>
      </c>
      <c r="H37" s="45">
        <f>IF($B$37="","",IF(($D$37)=0,"",($E$37)/($D$37)))</f>
        <v>23.9756482822167</v>
      </c>
      <c r="I37" s="40">
        <f>IF($B$37="","",($E$37-$F$37)*Rate)</f>
        <v>6743.00364046557</v>
      </c>
      <c r="J37" s="40">
        <f>IF($B$37="","",$F$37*Rate)</f>
        <v>728.380249192432</v>
      </c>
      <c r="K37" s="40">
        <f>IF($B$37="","",SUMIFS(tblOps[Annual energy cost],tblOps[Machine],$B$37))</f>
        <v>7471.383889658</v>
      </c>
      <c r="L37" s="43">
        <f>IF($B$37="","",IF((SUM(tblOps[Annual energy cost]))=0,"",($K$37)/(SUM(tblOps[Annual energy cost]))))</f>
        <v>0.432924389778651</v>
      </c>
    </row>
    <row r="38" spans="2:12" x14ac:dyDescent="0.25">
      <c r="B38" s="58" t="str">
        <f>IFERROR(INDEX(tblMachines[Machine],2)&amp;"","")</f>
        <v>PB-1</v>
      </c>
      <c r="C38" s="40">
        <f>IF($B$38="","",COUNTIFS(tblOps[Machine],$B$38))</f>
        <v>1</v>
      </c>
      <c r="D38" s="40">
        <f>IF($B$38="","",SUMIFS(tblOps[Runtime (h/yr)],tblOps[Machine],$B$38))</f>
        <v>1005.02512562814</v>
      </c>
      <c r="E38" s="40">
        <f>IF($B$38="","",SUMIFS(tblOps[Annual energy (kWh/yr)],tblOps[Machine],$B$38))</f>
        <v>4402.01005025126</v>
      </c>
      <c r="F38" s="40">
        <f>IF($B$38="","",SUMIFS(tblOps[Idle energy (kWh/yr)],tblOps[Machine],$B$38))</f>
        <v>482.412060301508</v>
      </c>
      <c r="G38" s="43">
        <f>IF($B$38="","",IF(($E$38)=0,"",($F$38)/($E$38)))</f>
        <v>0.10958904109589</v>
      </c>
      <c r="H38" s="45">
        <f>IF($B$38="","",IF(($D$38)=0,"",($E$38)/($D$38)))</f>
        <v>4.38</v>
      </c>
      <c r="I38" s="40">
        <f>IF($B$38="","",($E$38-$F$38)*Rate)</f>
        <v>470.35175879397</v>
      </c>
      <c r="J38" s="40">
        <f>IF($B$38="","",$F$38*Rate)</f>
        <v>57.8894472361809</v>
      </c>
      <c r="K38" s="40">
        <f>IF($B$38="","",SUMIFS(tblOps[Annual energy cost],tblOps[Machine],$B$38))</f>
        <v>528.241206030151</v>
      </c>
      <c r="L38" s="43">
        <f>IF($B$38="","",IF((SUM(tblOps[Annual energy cost]))=0,"",($K$38)/(SUM(tblOps[Annual energy cost]))))</f>
        <v>0.0306085867295744</v>
      </c>
    </row>
    <row r="39" spans="2:12" x14ac:dyDescent="0.25">
      <c r="B39" s="58" t="str">
        <f>IFERROR(INDEX(tblMachines[Machine],3)&amp;"","")</f>
        <v>PB-2</v>
      </c>
      <c r="C39" s="40">
        <f>IF($B$39="","",COUNTIFS(tblOps[Machine],$B$39))</f>
        <v>2</v>
      </c>
      <c r="D39" s="40">
        <f>IF($B$39="","",SUMIFS(tblOps[Runtime (h/yr)],tblOps[Machine],$B$39))</f>
        <v>1313.13131313131</v>
      </c>
      <c r="E39" s="40">
        <f>IF($B$39="","",SUMIFS(tblOps[Annual energy (kWh/yr)],tblOps[Machine],$B$39))</f>
        <v>14326.5993265993</v>
      </c>
      <c r="F39" s="40">
        <f>IF($B$39="","",SUMIFS(tblOps[Idle energy (kWh/yr)],tblOps[Machine],$B$39))</f>
        <v>4292.92929292929</v>
      </c>
      <c r="G39" s="43">
        <f>IF($B$39="","",IF(($E$39)=0,"",($F$39)/($E$39)))</f>
        <v>0.299647473560517</v>
      </c>
      <c r="H39" s="45">
        <f>IF($B$39="","",IF(($D$39)=0,"",($E$39)/($D$39)))</f>
        <v>10.9102564102564</v>
      </c>
      <c r="I39" s="40">
        <f>IF($B$39="","",($E$39-$F$39)*Rate)</f>
        <v>1204.0404040404</v>
      </c>
      <c r="J39" s="40">
        <f>IF($B$39="","",$F$39*Rate)</f>
        <v>515.151515151515</v>
      </c>
      <c r="K39" s="40">
        <f>IF($B$39="","",SUMIFS(tblOps[Annual energy cost],tblOps[Machine],$B$39))</f>
        <v>1719.19191919192</v>
      </c>
      <c r="L39" s="43">
        <f>IF($B$39="","",IF((SUM(tblOps[Annual energy cost]))=0,"",($K$39)/(SUM(tblOps[Annual energy cost]))))</f>
        <v>0.0996174368123143</v>
      </c>
    </row>
    <row r="40" spans="2:12" x14ac:dyDescent="0.25">
      <c r="B40" s="58" t="str">
        <f>IFERROR(INDEX(tblMachines[Machine],4)&amp;"","")</f>
        <v>HP-1</v>
      </c>
      <c r="C40" s="40">
        <f>IF($B$40="","",COUNTIFS(tblOps[Machine],$B$40))</f>
        <v>3</v>
      </c>
      <c r="D40" s="40">
        <f>IF($B$40="","",SUMIFS(tblOps[Runtime (h/yr)],tblOps[Machine],$B$40))</f>
        <v>1332.03161872356</v>
      </c>
      <c r="E40" s="40">
        <f>IF($B$40="","",SUMIFS(tblOps[Annual energy (kWh/yr)],tblOps[Machine],$B$40))</f>
        <v>27008.0657286015</v>
      </c>
      <c r="F40" s="40">
        <f>IF($B$40="","",SUMIFS(tblOps[Idle energy (kWh/yr)],tblOps[Machine],$B$40))</f>
        <v>11470.5675655109</v>
      </c>
      <c r="G40" s="43">
        <f>IF($B$40="","",IF(($E$40)=0,"",($F$40)/($E$40)))</f>
        <v>0.424708962158798</v>
      </c>
      <c r="H40" s="45">
        <f>IF($B$40="","",IF(($D$40)=0,"",($E$40)/($D$40)))</f>
        <v>20.2758443185323</v>
      </c>
      <c r="I40" s="40">
        <f>IF($B$40="","",($E$40-$F$40)*Rate)</f>
        <v>1864.49977957087</v>
      </c>
      <c r="J40" s="40">
        <f>IF($B$40="","",$F$40*Rate)</f>
        <v>1376.46810786131</v>
      </c>
      <c r="K40" s="40">
        <f>IF($B$40="","",SUMIFS(tblOps[Annual energy cost],tblOps[Machine],$B$40))</f>
        <v>3240.96788743218</v>
      </c>
      <c r="L40" s="43">
        <f>IF($B$40="","",IF((SUM(tblOps[Annual energy cost]))=0,"",($K$40)/(SUM(tblOps[Annual energy cost]))))</f>
        <v>0.187795737132576</v>
      </c>
    </row>
    <row r="41" spans="2:12" x14ac:dyDescent="0.25">
      <c r="B41" s="58" t="str">
        <f>IFERROR(INDEX(tblMachines[Machine],5)&amp;"","")</f>
        <v>CNC-1</v>
      </c>
      <c r="C41" s="40">
        <f>IF($B$41="","",COUNTIFS(tblOps[Machine],$B$41))</f>
        <v>3</v>
      </c>
      <c r="D41" s="40">
        <f>IF($B$41="","",SUMIFS(tblOps[Runtime (h/yr)],tblOps[Machine],$B$41))</f>
        <v>2241.54187163525</v>
      </c>
      <c r="E41" s="40">
        <f>IF($B$41="","",SUMIFS(tblOps[Annual energy (kWh/yr)],tblOps[Machine],$B$41))</f>
        <v>16018.7401143471</v>
      </c>
      <c r="F41" s="40">
        <f>IF($B$41="","",SUMIFS(tblOps[Idle energy (kWh/yr)],tblOps[Machine],$B$41))</f>
        <v>1819.59046188673</v>
      </c>
      <c r="G41" s="43">
        <f>IF($B$41="","",IF(($E$41)=0,"",($F$41)/($E$41)))</f>
        <v>0.113591359176682</v>
      </c>
      <c r="H41" s="45">
        <f>IF($B$41="","",IF(($D$41)=0,"",($E$41)/($D$41)))</f>
        <v>7.14630421008423</v>
      </c>
      <c r="I41" s="40">
        <f>IF($B$41="","",($E$41-$F$41)*Rate)</f>
        <v>1703.89795829524</v>
      </c>
      <c r="J41" s="40">
        <f>IF($B$41="","",$F$41*Rate)</f>
        <v>218.350855426407</v>
      </c>
      <c r="K41" s="40">
        <f>IF($B$41="","",SUMIFS(tblOps[Annual energy cost],tblOps[Machine],$B$41))</f>
        <v>1922.24881372165</v>
      </c>
      <c r="L41" s="43">
        <f>IF($B$41="","",IF((SUM(tblOps[Annual energy cost]))=0,"",($K$41)/(SUM(tblOps[Annual energy cost]))))</f>
        <v>0.111383434042937</v>
      </c>
    </row>
    <row r="42" spans="2:12" x14ac:dyDescent="0.25">
      <c r="B42" s="58" t="str">
        <f>IFERROR(INDEX(tblMachines[Machine],6)&amp;"","")</f>
        <v>WC-1</v>
      </c>
      <c r="C42" s="40">
        <f>IF($B$42="","",COUNTIFS(tblOps[Machine],$B$42))</f>
        <v>2</v>
      </c>
      <c r="D42" s="40">
        <f>IF($B$42="","",SUMIFS(tblOps[Runtime (h/yr)],tblOps[Machine],$B$42))</f>
        <v>2578.8183293622</v>
      </c>
      <c r="E42" s="40">
        <f>IF($B$42="","",SUMIFS(tblOps[Annual energy (kWh/yr)],tblOps[Machine],$B$42))</f>
        <v>19799.2333989433</v>
      </c>
      <c r="F42" s="40">
        <f>IF($B$42="","",SUMIFS(tblOps[Idle energy (kWh/yr)],tblOps[Machine],$B$42))</f>
        <v>1276.14903829552</v>
      </c>
      <c r="G42" s="43">
        <f>IF($B$42="","",IF(($E$42)=0,"",($F$42)/($E$42)))</f>
        <v>0.0644544671291985</v>
      </c>
      <c r="H42" s="45">
        <f>IF($B$42="","",IF(($D$42)=0,"",($E$42)/($D$42)))</f>
        <v>7.67763792179968</v>
      </c>
      <c r="I42" s="40">
        <f>IF($B$42="","",($E$42-$F$42)*Rate)</f>
        <v>2222.77012327774</v>
      </c>
      <c r="J42" s="40">
        <f>IF($B$42="","",$F$42*Rate)</f>
        <v>153.137884595463</v>
      </c>
      <c r="K42" s="40">
        <f>IF($B$42="","",SUMIFS(tblOps[Annual energy cost],tblOps[Machine],$B$42))</f>
        <v>2375.9080078732</v>
      </c>
      <c r="L42" s="43">
        <f>IF($B$42="","",IF((SUM(tblOps[Annual energy cost]))=0,"",($K$42)/(SUM(tblOps[Annual energy cost]))))</f>
        <v>0.137670415503947</v>
      </c>
    </row>
    <row r="43" spans="2:12" x14ac:dyDescent="0.25">
      <c r="B43" s="59" t="s">
        <v>167</v>
      </c>
      <c r="C43" s="60">
        <f>SUM($C$37:$C$42)</f>
        <v>14</v>
      </c>
      <c r="D43" s="60">
        <f>SUM($D$37:$D$42)</f>
        <v>11067.4136979855</v>
      </c>
      <c r="E43" s="60">
        <f>SUM($E$37:$E$42)</f>
        <v>143816.181032559</v>
      </c>
      <c r="F43" s="60">
        <f>SUM($F$37:$F$42)</f>
        <v>25411.4838288609</v>
      </c>
      <c r="G43" s="61">
        <f>IF(($E$43)=0,"",($F$43)/($E$43))</f>
        <v>0.176694191477021</v>
      </c>
      <c r="I43" s="60">
        <f>SUM($I$37:$I$42)</f>
        <v>14208.5636644438</v>
      </c>
      <c r="J43" s="60">
        <f>SUM($J$37:$J$42)</f>
        <v>3049.37805946331</v>
      </c>
      <c r="K43" s="60">
        <f>SUM($K$37:$K$42)</f>
        <v>17257.9417239071</v>
      </c>
    </row>
    <row r="45" spans="2:12" x14ac:dyDescent="0.25">
      <c r="B45" s="31" t="s">
        <v>168</v>
      </c>
      <c r="C45" s="31"/>
      <c r="D45" s="31"/>
      <c r="E45" s="31"/>
      <c r="F45" s="31"/>
      <c r="G45" s="31"/>
      <c r="H45" s="31"/>
      <c r="I45" s="31"/>
      <c r="J45" s="31"/>
      <c r="K45" s="31"/>
      <c r="L45" s="31"/>
    </row>
    <row r="46" spans="2:12" ht="32" customHeight="1" x14ac:dyDescent="0.25">
      <c r="B46" s="57" t="s">
        <v>65</v>
      </c>
      <c r="C46" s="32" t="s">
        <v>21</v>
      </c>
      <c r="D46" s="32" t="s">
        <v>169</v>
      </c>
      <c r="E46" s="32" t="s">
        <v>170</v>
      </c>
      <c r="F46" s="32" t="s">
        <v>171</v>
      </c>
      <c r="G46" s="32" t="s">
        <v>159</v>
      </c>
      <c r="H46" s="32" t="s">
        <v>160</v>
      </c>
      <c r="I46" s="32" t="s">
        <v>161</v>
      </c>
      <c r="J46" s="32" t="s">
        <v>117</v>
      </c>
      <c r="K46" s="32" t="s">
        <v>67</v>
      </c>
      <c r="L46" s="32" t="s">
        <v>172</v>
      </c>
    </row>
    <row r="47" spans="2:12" ht="14" customHeight="1" x14ac:dyDescent="0.25">
      <c r="B47" s="33"/>
      <c r="C47" s="33"/>
      <c r="D47" s="33" t="s">
        <v>173</v>
      </c>
      <c r="E47" s="33" t="str">
        <f>Currency&amp;"/part"</f>
        <v>USD/part</v>
      </c>
      <c r="F47" s="33" t="s">
        <v>174</v>
      </c>
      <c r="G47" s="33" t="str">
        <f>Currency&amp;"/yr"</f>
        <v>USD/yr</v>
      </c>
      <c r="H47" s="33" t="str">
        <f>Currency&amp;"/yr"</f>
        <v>USD/yr</v>
      </c>
      <c r="I47" s="33" t="str">
        <f>Currency&amp;"/yr"</f>
        <v>USD/yr</v>
      </c>
      <c r="J47" s="33" t="s">
        <v>165</v>
      </c>
      <c r="K47" s="33" t="str">
        <f>Currency&amp;"/part"</f>
        <v>USD/part</v>
      </c>
      <c r="L47" s="33" t="s">
        <v>165</v>
      </c>
    </row>
    <row r="48" spans="2:12" x14ac:dyDescent="0.25">
      <c r="B48" s="58" t="str">
        <f>IFERROR(INDEX(tblParts[Part],1)&amp;"","")</f>
        <v>Bracket B-220</v>
      </c>
      <c r="C48" s="40">
        <f>IF($B$48="","",COUNTIFS(tblOps[Part],$B$48))</f>
        <v>3</v>
      </c>
      <c r="D48" s="62">
        <f>IF($B$48="","",SUMIFS(tblOps[Energy per good part (kWh/part)],tblOps[Part],$B$48))</f>
        <v>0.283205642231567</v>
      </c>
      <c r="E48" s="42">
        <f>IF($B$48="","",SUMIFS(tblOps[Energy cost per good part],tblOps[Part],$B$48))</f>
        <v>0.033984677067788</v>
      </c>
      <c r="F48" s="40">
        <f>IF($B$48="","",INDEX(tblParts[Annual volume (good parts/yr)],1))</f>
        <v>120000</v>
      </c>
      <c r="G48" s="40">
        <f>IF($B$48="","",(SUMIFS(tblOps[Annual energy (kWh/yr)],tblOps[Part],$B$48)-SUMIFS(tblOps[Idle energy (kWh/yr)],tblOps[Part],$B$48))*Rate)</f>
        <v>3319.96209056863</v>
      </c>
      <c r="H48" s="40">
        <f>IF($B$48="","",SUMIFS(tblOps[Idle energy (kWh/yr)],tblOps[Part],$B$48)*Rate)</f>
        <v>758.199157565931</v>
      </c>
      <c r="I48" s="40">
        <f>IF($B$48="","",SUMIFS(tblOps[Annual energy cost],tblOps[Part],$B$48))</f>
        <v>4078.16124813456</v>
      </c>
      <c r="J48" s="43">
        <f>IF($B$48="","",IF(($I$48)=0,"",($H$48)/($I$48)))</f>
        <v>0.185916914862733</v>
      </c>
      <c r="K48" s="63">
        <f>IF($B$48="","",IF(ISNUMBER(INDEX(tblParts[Price],1)),INDEX(tblParts[Price],1),""))</f>
        <v>3.4</v>
      </c>
      <c r="L48" s="64">
        <f>IF($B$48="","",IF((N($K$48))=0,"",($E$48)/(N($K$48))))</f>
        <v>0.00999549325523177</v>
      </c>
    </row>
    <row r="49" spans="2:12" x14ac:dyDescent="0.25">
      <c r="B49" s="58" t="str">
        <f>IFERROR(INDEX(tblParts[Part],2)&amp;"","")</f>
        <v>Housing H-410</v>
      </c>
      <c r="C49" s="40">
        <f>IF($B$49="","",COUNTIFS(tblOps[Part],$B$49))</f>
        <v>3</v>
      </c>
      <c r="D49" s="62">
        <f>IF($B$49="","",SUMIFS(tblOps[Energy per good part (kWh/part)],tblOps[Part],$B$49))</f>
        <v>1.61784821347911</v>
      </c>
      <c r="E49" s="42">
        <f>IF($B$49="","",SUMIFS(tblOps[Energy cost per good part],tblOps[Part],$B$49))</f>
        <v>0.194141785617493</v>
      </c>
      <c r="F49" s="40">
        <f>IF($B$49="","",INDEX(tblParts[Annual volume (good parts/yr)],2))</f>
        <v>24000</v>
      </c>
      <c r="G49" s="40">
        <f>IF($B$49="","",(SUMIFS(tblOps[Annual energy (kWh/yr)],tblOps[Part],$B$49)-SUMIFS(tblOps[Idle energy (kWh/yr)],tblOps[Part],$B$49))*Rate)</f>
        <v>4079.22297668491</v>
      </c>
      <c r="H49" s="40">
        <f>IF($B$49="","",SUMIFS(tblOps[Idle energy (kWh/yr)],tblOps[Part],$B$49)*Rate)</f>
        <v>580.179878134918</v>
      </c>
      <c r="I49" s="40">
        <f>IF($B$49="","",SUMIFS(tblOps[Annual energy cost],tblOps[Part],$B$49))</f>
        <v>4659.40285481982</v>
      </c>
      <c r="J49" s="43">
        <f>IF($B$49="","",IF(($I$49)=0,"",($H$49)/($I$49)))</f>
        <v>0.124518075859176</v>
      </c>
      <c r="K49" s="63">
        <f>IF($B$49="","",IF(ISNUMBER(INDEX(tblParts[Price],2)),INDEX(tblParts[Price],2),""))</f>
        <v>38.5</v>
      </c>
      <c r="L49" s="64">
        <f>IF($B$49="","",IF((N($K$49))=0,"",($E$49)/(N($K$49))))</f>
        <v>0.00504264378227254</v>
      </c>
    </row>
    <row r="50" spans="2:12" x14ac:dyDescent="0.25">
      <c r="B50" s="58" t="str">
        <f>IFERROR(INDEX(tblParts[Part],3)&amp;"","")</f>
        <v>Shaft S-75</v>
      </c>
      <c r="C50" s="40">
        <f>IF($B$50="","",COUNTIFS(tblOps[Part],$B$50))</f>
        <v>3</v>
      </c>
      <c r="D50" s="62">
        <f>IF($B$50="","",SUMIFS(tblOps[Energy per good part (kWh/part)],tblOps[Part],$B$50))</f>
        <v>0.400468502858677</v>
      </c>
      <c r="E50" s="42">
        <f>IF($B$50="","",SUMIFS(tblOps[Energy cost per good part],tblOps[Part],$B$50))</f>
        <v>0.0480562203430412</v>
      </c>
      <c r="F50" s="40">
        <f>IF($B$50="","",INDEX(tblParts[Annual volume (good parts/yr)],3))</f>
        <v>40000</v>
      </c>
      <c r="G50" s="40">
        <f>IF($B$50="","",(SUMIFS(tblOps[Annual energy (kWh/yr)],tblOps[Part],$B$50)-SUMIFS(tblOps[Idle energy (kWh/yr)],tblOps[Part],$B$50))*Rate)</f>
        <v>1703.89795829524</v>
      </c>
      <c r="H50" s="40">
        <f>IF($B$50="","",SUMIFS(tblOps[Idle energy (kWh/yr)],tblOps[Part],$B$50)*Rate)</f>
        <v>218.350855426407</v>
      </c>
      <c r="I50" s="40">
        <f>IF($B$50="","",SUMIFS(tblOps[Annual energy cost],tblOps[Part],$B$50))</f>
        <v>1922.24881372165</v>
      </c>
      <c r="J50" s="43">
        <f>IF($B$50="","",IF(($I$50)=0,"",($H$50)/($I$50)))</f>
        <v>0.113591359176682</v>
      </c>
      <c r="K50" s="63">
        <f>IF($B$50="","",IF(ISNUMBER(INDEX(tblParts[Price],3)),INDEX(tblParts[Price],3),""))</f>
        <v>12.8</v>
      </c>
      <c r="L50" s="64">
        <f>IF($B$50="","",IF((N($K$50))=0,"",($E$50)/(N($K$50))))</f>
        <v>0.0037543922143001</v>
      </c>
    </row>
    <row r="51" spans="2:12" x14ac:dyDescent="0.25">
      <c r="B51" s="58" t="str">
        <f>IFERROR(INDEX(tblParts[Part],4)&amp;"","")</f>
        <v>Frame F-900</v>
      </c>
      <c r="C51" s="40">
        <f>IF($B$51="","",COUNTIFS(tblOps[Part],$B$51))</f>
        <v>4</v>
      </c>
      <c r="D51" s="62">
        <f>IF($B$51="","",SUMIFS(tblOps[Energy per good part (kWh/part)],tblOps[Part],$B$51))</f>
        <v>4.88792880810073</v>
      </c>
      <c r="E51" s="42">
        <f>IF($B$51="","",SUMIFS(tblOps[Energy cost per good part],tblOps[Part],$B$51))</f>
        <v>0.586551456972088</v>
      </c>
      <c r="F51" s="40">
        <f>IF($B$51="","",INDEX(tblParts[Annual volume (good parts/yr)],4))</f>
        <v>8000</v>
      </c>
      <c r="G51" s="40">
        <f>IF($B$51="","",(SUMIFS(tblOps[Annual energy (kWh/yr)],tblOps[Part],$B$51)-SUMIFS(tblOps[Idle energy (kWh/yr)],tblOps[Part],$B$51))*Rate)</f>
        <v>3901.86980639752</v>
      </c>
      <c r="H51" s="40">
        <f>IF($B$51="","",SUMIFS(tblOps[Idle energy (kWh/yr)],tblOps[Part],$B$51)*Rate)</f>
        <v>790.541849379183</v>
      </c>
      <c r="I51" s="40">
        <f>IF($B$51="","",SUMIFS(tblOps[Annual energy cost],tblOps[Part],$B$51))</f>
        <v>4692.41165577671</v>
      </c>
      <c r="J51" s="43">
        <f>IF($B$51="","",IF(($I$51)=0,"",($H$51)/($I$51)))</f>
        <v>0.168472399135308</v>
      </c>
      <c r="K51" s="63">
        <f>IF($B$51="","",IF(ISNUMBER(INDEX(tblParts[Price],4)),INDEX(tblParts[Price],4),""))</f>
        <v>145</v>
      </c>
      <c r="L51" s="64">
        <f>IF($B$51="","",IF((N($K$51))=0,"",($E$51)/(N($K$51))))</f>
        <v>0.00404518246187647</v>
      </c>
    </row>
    <row r="52" spans="2:12" x14ac:dyDescent="0.25">
      <c r="B52" s="58" t="str">
        <f>IFERROR(INDEX(tblParts[Part],5)&amp;"","")</f>
        <v>Clip C-12</v>
      </c>
      <c r="C52" s="40">
        <f>IF($B$52="","",COUNTIFS(tblOps[Part],$B$52))</f>
        <v>1</v>
      </c>
      <c r="D52" s="62">
        <f>IF($B$52="","",SUMIFS(tblOps[Energy per good part (kWh/part)],tblOps[Part],$B$52))</f>
        <v>0.0264682937701995</v>
      </c>
      <c r="E52" s="42">
        <f>IF($B$52="","",SUMIFS(tblOps[Energy cost per good part],tblOps[Part],$B$52))</f>
        <v>0.00317619525242394</v>
      </c>
      <c r="F52" s="40">
        <f>IF($B$52="","",INDEX(tblParts[Annual volume (good parts/yr)],5))</f>
        <v>600000</v>
      </c>
      <c r="G52" s="40">
        <f>IF($B$52="","",(SUMIFS(tblOps[Annual energy (kWh/yr)],tblOps[Part],$B$52)-SUMIFS(tblOps[Idle energy (kWh/yr)],tblOps[Part],$B$52))*Rate)</f>
        <v>1203.61083249749</v>
      </c>
      <c r="H52" s="40">
        <f>IF($B$52="","",SUMIFS(tblOps[Idle energy (kWh/yr)],tblOps[Part],$B$52)*Rate)</f>
        <v>702.106318956871</v>
      </c>
      <c r="I52" s="40">
        <f>IF($B$52="","",SUMIFS(tblOps[Annual energy cost],tblOps[Part],$B$52))</f>
        <v>1905.71715145436</v>
      </c>
      <c r="J52" s="43">
        <f>IF($B$52="","",IF(($I$52)=0,"",($H$52)/($I$52)))</f>
        <v>0.368421052631579</v>
      </c>
      <c r="K52" s="63">
        <f>IF($B$52="","",IF(ISNUMBER(INDEX(tblParts[Price],5)),INDEX(tblParts[Price],5),""))</f>
        <v>0.42</v>
      </c>
      <c r="L52" s="64">
        <f>IF($B$52="","",IF((N($K$52))=0,"",($E$52)/(N($K$52))))</f>
        <v>0.00756236964862843</v>
      </c>
    </row>
    <row r="54" spans="2:12" ht="26.76" customHeight="1" x14ac:dyDescent="0.25">
      <c r="B54" s="21" t="s">
        <v>175</v>
      </c>
      <c r="C54" s="21"/>
      <c r="D54" s="21"/>
      <c r="E54" s="21"/>
      <c r="F54" s="21"/>
      <c r="G54" s="21"/>
      <c r="H54" s="21"/>
      <c r="I54" s="21"/>
      <c r="J54" s="21"/>
      <c r="K54" s="21"/>
      <c r="L54" s="21"/>
    </row>
    <row r="55" spans="2:12" x14ac:dyDescent="0.25">
      <c r="B55" s="65">
        <f>IF(OR(COUNTA(tblMachines[Machine])&gt;6,COUNTA(tblParts[Part])&gt;5),"Setup lists are longer than the Dashboard blocks: some machines or parts are not shown.",IF(COUNTA(tblOps[Operation])&gt;$C$43,"Some operations use a machine that is not on the Setup list: they are missing from the By machine block.",""))</f>
        <v/>
      </c>
      <c r="C55" s="65"/>
      <c r="D55" s="65"/>
      <c r="E55" s="65"/>
      <c r="F55" s="65"/>
      <c r="G55" s="65"/>
      <c r="H55" s="65"/>
      <c r="I55" s="65"/>
      <c r="J55" s="65"/>
      <c r="K55" s="65"/>
      <c r="L55" s="65"/>
    </row>
  </sheetData>
  <sheetProtection sheet="1" formatColumns="0" formatRows="0"/>
  <mergeCells count="40">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8:C28"/>
    <mergeCell ref="B29:C30"/>
    <mergeCell ref="B31:C31"/>
    <mergeCell ref="B32:C32"/>
    <mergeCell ref="D28:F28"/>
    <mergeCell ref="D29:F30"/>
    <mergeCell ref="D31:F31"/>
    <mergeCell ref="D32:F32"/>
    <mergeCell ref="G28:I28"/>
    <mergeCell ref="G29:I30"/>
    <mergeCell ref="G31:I31"/>
    <mergeCell ref="G32:I32"/>
    <mergeCell ref="J28:L28"/>
    <mergeCell ref="J29:L30"/>
    <mergeCell ref="J31:L31"/>
    <mergeCell ref="J32:L32"/>
    <mergeCell ref="B34:L34"/>
    <mergeCell ref="B45:L45"/>
    <mergeCell ref="B54:L54"/>
    <mergeCell ref="B55:L55"/>
  </mergeCells>
  <conditionalFormatting sqref="G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37:G42">
    <cfRule type="expression" dxfId="3" priority="21" stopIfTrue="1">
      <formula>AND(ISNUMBER(G37),G37&lt;=(IdleLimit))</formula>
    </cfRule>
    <cfRule type="expression" dxfId="4" priority="22" stopIfTrue="1">
      <formula>AND(ISNUMBER(G37),G37&lt;=(IdleLimit)*(1+0.05))</formula>
    </cfRule>
    <cfRule type="expression" dxfId="5" priority="23">
      <formula>ISNUMBER(G37)</formula>
    </cfRule>
  </conditionalFormatting>
  <conditionalFormatting sqref="J48:J52">
    <cfRule type="expression" dxfId="3" priority="25" stopIfTrue="1">
      <formula>AND(ISNUMBER(J48),J48&lt;=(IdleLimit))</formula>
    </cfRule>
    <cfRule type="expression" dxfId="4" priority="26" stopIfTrue="1">
      <formula>AND(ISNUMBER(J48),J48&lt;=(IdleLimit)*(1+0.05))</formula>
    </cfRule>
    <cfRule type="expression" dxfId="5" priority="27">
      <formula>ISNUMBER(J48)</formula>
    </cfRule>
  </conditionalFormatting>
  <conditionalFormatting sqref="L37:L42">
    <cfRule type="dataBar" priority="24">
      <dataBar>
        <cfvo type="num" val="0"/>
        <cfvo type="max"/>
        <color rgb="FFA8BDF0"/>
      </dataBar>
      <extLst>
        <ext xmlns:x14="http://schemas.microsoft.com/office/spreadsheetml/2009/9/main" uri="{B025F937-C7B1-47D3-B67F-A62EFF666E3E}">
          <x14:id>{DA7ABA51-AAAA-BBBB-0004-000000000001}</x14:id>
        </ext>
      </extLst>
    </cfRule>
  </conditionalFormatting>
  <hyperlinks>
    <hyperlink ref="K2" r:id="rId1" tooltip="Free manufacturing calculators and templates"/>
  </hyperlinks>
  <pageMargins left="0.4" right="0.4" top="0.7" bottom="0.65" header="0.3" footer="0.3"/>
  <pageSetup fitToHeight="0" orientation="landscape"/>
  <headerFooter>
    <oddHeader>&amp;L&amp;8MFG Calcs - Energy Cost per Part&amp;R&amp;8&amp;A</oddHeader>
    <oddFooter>&amp;L&amp;8mfgcalcs.com - free manufacturing templates&amp;R&amp;8Page &amp;P of &amp;N</oddFooter>
  </headerFooter>
  <rowBreaks count="2" manualBreakCount="2">
    <brk id="27" max="16383" man="1"/>
    <brk id="4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L37:L42</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176</v>
      </c>
      <c r="C4" s="8"/>
      <c r="D4" s="8"/>
    </row>
    <row r="5" spans="1:4" ht="5" customHeight="1"/>
    <row r="6" spans="1:4" ht="69" customHeight="1">
      <c r="B6" s="10" t="s">
        <v>177</v>
      </c>
      <c r="C6" s="10"/>
      <c r="D6" s="10"/>
    </row>
    <row r="8" spans="1:4" ht="21" customHeight="1">
      <c r="B8" s="8" t="s">
        <v>178</v>
      </c>
      <c r="C8" s="8"/>
      <c r="D8" s="8"/>
    </row>
    <row r="9" spans="1:4" ht="5" customHeight="1"/>
    <row r="10" spans="1:4" ht="20" customHeight="1">
      <c r="B10" s="57" t="s">
        <v>179</v>
      </c>
      <c r="C10" s="57" t="s">
        <v>180</v>
      </c>
      <c r="D10" s="32" t="s">
        <v>181</v>
      </c>
    </row>
    <row r="11" spans="1:4" ht="17.2" customHeight="1">
      <c r="B11" s="66" t="s">
        <v>182</v>
      </c>
      <c r="C11" s="67" t="s">
        <v>183</v>
      </c>
      <c r="D11" s="68" t="s">
        <v>173</v>
      </c>
    </row>
    <row r="12" spans="1:4" ht="30.4" customHeight="1">
      <c r="B12" s="66" t="s">
        <v>169</v>
      </c>
      <c r="C12" s="67" t="s">
        <v>184</v>
      </c>
      <c r="D12" s="68" t="s">
        <v>173</v>
      </c>
    </row>
    <row r="13" spans="1:4" ht="17.2" customHeight="1">
      <c r="B13" s="66" t="s">
        <v>116</v>
      </c>
      <c r="C13" s="67" t="s">
        <v>185</v>
      </c>
      <c r="D13" s="68" t="s">
        <v>186</v>
      </c>
    </row>
    <row r="14" spans="1:4" ht="30.4" customHeight="1">
      <c r="B14" s="66" t="s">
        <v>117</v>
      </c>
      <c r="C14" s="67" t="s">
        <v>187</v>
      </c>
      <c r="D14" s="68" t="s">
        <v>165</v>
      </c>
    </row>
    <row r="15" spans="1:4" ht="30.4" customHeight="1">
      <c r="B15" s="66" t="s">
        <v>158</v>
      </c>
      <c r="C15" s="67" t="s">
        <v>188</v>
      </c>
      <c r="D15" s="68" t="s">
        <v>166</v>
      </c>
    </row>
    <row r="16" spans="1:4" ht="30.4" customHeight="1">
      <c r="B16" s="66" t="s">
        <v>189</v>
      </c>
      <c r="C16" s="67" t="s">
        <v>190</v>
      </c>
      <c r="D16" s="68" t="s">
        <v>163</v>
      </c>
    </row>
    <row r="17" spans="2:4" ht="30.4" customHeight="1">
      <c r="B17" s="66" t="s">
        <v>191</v>
      </c>
      <c r="C17" s="67" t="s">
        <v>192</v>
      </c>
      <c r="D17" s="68" t="s">
        <v>164</v>
      </c>
    </row>
    <row r="18" spans="2:4" ht="17.2" customHeight="1">
      <c r="B18" s="66" t="s">
        <v>123</v>
      </c>
      <c r="C18" s="67" t="s">
        <v>193</v>
      </c>
      <c r="D18" s="68" t="s">
        <v>194</v>
      </c>
    </row>
    <row r="19" spans="2:4" ht="30.4" customHeight="1">
      <c r="B19" s="66" t="s">
        <v>195</v>
      </c>
      <c r="C19" s="67" t="s">
        <v>196</v>
      </c>
      <c r="D19" s="68" t="s">
        <v>194</v>
      </c>
    </row>
    <row r="20" spans="2:4" ht="30.4" customHeight="1">
      <c r="B20" s="66" t="s">
        <v>197</v>
      </c>
      <c r="C20" s="67" t="s">
        <v>198</v>
      </c>
      <c r="D20" s="68" t="s">
        <v>199</v>
      </c>
    </row>
    <row r="21" spans="2:4" ht="30.4" customHeight="1">
      <c r="B21" s="66" t="s">
        <v>200</v>
      </c>
      <c r="C21" s="67" t="s">
        <v>201</v>
      </c>
      <c r="D21" s="68" t="s">
        <v>165</v>
      </c>
    </row>
    <row r="23" spans="2:4" ht="21" customHeight="1">
      <c r="B23" s="8" t="s">
        <v>202</v>
      </c>
      <c r="C23" s="8"/>
      <c r="D23" s="8"/>
    </row>
    <row r="24" spans="2:4" ht="5" customHeight="1"/>
    <row r="25" spans="2:4" ht="29.4" customHeight="1">
      <c r="B25" s="26" t="s">
        <v>55</v>
      </c>
      <c r="C25" s="10" t="s">
        <v>203</v>
      </c>
      <c r="D25" s="10"/>
    </row>
    <row r="26" spans="2:4" ht="29.4" customHeight="1">
      <c r="B26" s="26" t="s">
        <v>55</v>
      </c>
      <c r="C26" s="10" t="s">
        <v>204</v>
      </c>
      <c r="D26" s="10"/>
    </row>
    <row r="27" spans="2:4" ht="16.2" customHeight="1">
      <c r="B27" s="26" t="s">
        <v>55</v>
      </c>
      <c r="C27" s="10" t="s">
        <v>205</v>
      </c>
      <c r="D27" s="10"/>
    </row>
    <row r="28" spans="2:4" ht="29.4" customHeight="1">
      <c r="B28" s="26" t="s">
        <v>55</v>
      </c>
      <c r="C28" s="10" t="s">
        <v>206</v>
      </c>
      <c r="D28" s="10"/>
    </row>
    <row r="30" spans="2:4" ht="21" customHeight="1">
      <c r="B30" s="8" t="s">
        <v>207</v>
      </c>
      <c r="C30" s="8"/>
      <c r="D30" s="8"/>
    </row>
    <row r="31" spans="2:4" ht="5" customHeight="1"/>
    <row r="32" spans="2:4" ht="29.4" customHeight="1">
      <c r="B32" s="26" t="s">
        <v>55</v>
      </c>
      <c r="C32" s="10" t="s">
        <v>208</v>
      </c>
      <c r="D32" s="10"/>
    </row>
    <row r="33" spans="2:4" ht="29.4" customHeight="1">
      <c r="B33" s="26" t="s">
        <v>55</v>
      </c>
      <c r="C33" s="10" t="s">
        <v>209</v>
      </c>
      <c r="D33" s="10"/>
    </row>
    <row r="34" spans="2:4" ht="29.4" customHeight="1">
      <c r="B34" s="26" t="s">
        <v>55</v>
      </c>
      <c r="C34" s="10" t="s">
        <v>210</v>
      </c>
      <c r="D34" s="10"/>
    </row>
    <row r="36" spans="2:4" ht="21" customHeight="1">
      <c r="B36" s="8" t="s">
        <v>211</v>
      </c>
      <c r="C36" s="8"/>
      <c r="D36" s="8"/>
    </row>
    <row r="37" spans="2:4" ht="5" customHeight="1"/>
    <row r="38" spans="2:4" ht="69" customHeight="1">
      <c r="B38" s="10" t="s">
        <v>212</v>
      </c>
      <c r="C38" s="10"/>
      <c r="D38" s="10"/>
    </row>
    <row r="39" spans="2:4">
      <c r="B39" s="24" t="s">
        <v>213</v>
      </c>
      <c r="C39" s="24"/>
      <c r="D39" s="24"/>
    </row>
    <row r="41" spans="2:4" ht="21" customHeight="1">
      <c r="B41" s="8" t="s">
        <v>42</v>
      </c>
      <c r="C41" s="8"/>
      <c r="D41" s="8"/>
    </row>
    <row r="42" spans="2:4" ht="5" customHeight="1"/>
    <row r="43" spans="2:4" ht="42.6" customHeight="1">
      <c r="B43" s="10" t="s">
        <v>214</v>
      </c>
      <c r="C43" s="10"/>
      <c r="D43" s="10"/>
    </row>
    <row r="45" spans="2:4" ht="21" customHeight="1">
      <c r="B45" s="8" t="s">
        <v>215</v>
      </c>
      <c r="C45" s="8"/>
      <c r="D45" s="8"/>
    </row>
    <row r="46" spans="2:4" ht="5" customHeight="1"/>
    <row r="47" spans="2:4" ht="29.4" customHeight="1">
      <c r="B47" s="26" t="s">
        <v>55</v>
      </c>
      <c r="C47" s="10" t="s">
        <v>216</v>
      </c>
      <c r="D47" s="10"/>
    </row>
    <row r="48" spans="2:4" ht="29.4" customHeight="1">
      <c r="B48" s="26" t="s">
        <v>55</v>
      </c>
      <c r="C48" s="10" t="s">
        <v>217</v>
      </c>
      <c r="D48" s="10"/>
    </row>
    <row r="49" spans="2:4">
      <c r="B49" s="21" t="s">
        <v>218</v>
      </c>
      <c r="C49" s="21"/>
      <c r="D49" s="21"/>
    </row>
    <row r="51" spans="2:4" ht="21" customHeight="1">
      <c r="B51" s="8" t="s">
        <v>219</v>
      </c>
      <c r="C51" s="8"/>
      <c r="D51" s="8"/>
    </row>
    <row r="52" spans="2:4" ht="5" customHeight="1"/>
    <row r="53" spans="2:4">
      <c r="B53" s="57" t="s">
        <v>50</v>
      </c>
      <c r="C53" s="57" t="s">
        <v>220</v>
      </c>
      <c r="D53" s="32" t="s">
        <v>221</v>
      </c>
    </row>
    <row r="54" spans="2:4" ht="16.2" customHeight="1">
      <c r="B54" s="69" t="s">
        <v>222</v>
      </c>
      <c r="C54" s="70" t="s">
        <v>223</v>
      </c>
      <c r="D54" s="71" t="s">
        <v>224</v>
      </c>
    </row>
    <row r="56" spans="2:4">
      <c r="B56" s="21" t="s">
        <v>61</v>
      </c>
      <c r="C56" s="21"/>
      <c r="D56" s="21"/>
    </row>
  </sheetData>
  <sheetProtection sheet="1" formatColumns="0" formatRows="0"/>
  <mergeCells count="25">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B36:D36"/>
    <mergeCell ref="B38:D38"/>
    <mergeCell ref="B39:D39"/>
    <mergeCell ref="B41:D41"/>
    <mergeCell ref="B43:D43"/>
    <mergeCell ref="B45:D45"/>
    <mergeCell ref="C47:D47"/>
    <mergeCell ref="C48:D48"/>
    <mergeCell ref="B49:D49"/>
    <mergeCell ref="B51:D51"/>
    <mergeCell ref="B56:D56"/>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Energy Cost per Part&amp;R&amp;8&amp;A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V48"/>
  <sheetViews>
    <sheetView showGridLines="0" workbookViewId="0"/>
  </sheetViews>
  <sheetFormatPr defaultRowHeight="15"/>
  <cols>
    <col min="1" max="1" width="2.7109375" customWidth="1"/>
    <col min="2" max="19" width="12.7109375" customWidth="1"/>
    <col min="20" max="20" width="10.28515625" customWidth="1"/>
    <col min="21" max="21" width="22.7109375" customWidth="1"/>
    <col min="22" max="22" width="26.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28</v>
      </c>
      <c r="C2" s="2"/>
      <c r="D2" s="2"/>
      <c r="E2" s="2"/>
      <c r="F2" s="2"/>
      <c r="G2" s="2"/>
      <c r="H2" s="2"/>
      <c r="I2" s="2"/>
      <c r="J2" s="2"/>
      <c r="K2" s="2"/>
      <c r="L2" s="2"/>
      <c r="M2" s="2"/>
      <c r="N2" s="2"/>
      <c r="O2" s="2"/>
      <c r="P2" s="2"/>
      <c r="Q2" s="2"/>
      <c r="R2" s="2"/>
      <c r="S2" s="2"/>
      <c r="T2" s="2"/>
      <c r="U2" s="2"/>
      <c r="V2" s="3" t="s">
        <v>2</v>
      </c>
    </row>
    <row r="3" spans="1:22" ht="6" customHeight="1"/>
    <row r="4" spans="1:22" ht="30" customHeight="1">
      <c r="B4" s="72" t="s">
        <v>225</v>
      </c>
      <c r="C4" s="72"/>
      <c r="D4" s="22" t="str">
        <f>IF(COUNTIF($K$11:$K$33,"PASS")=23,"PASS","FAIL")</f>
        <v>PASS</v>
      </c>
      <c r="E4" s="22"/>
      <c r="F4" s="23" t="str">
        <f>COUNTIF($K$11:$K$33,"PASS")&amp;" of 23 checks pass"</f>
        <v>23 of 23 checks pass</v>
      </c>
      <c r="G4" s="23"/>
      <c r="H4" s="23"/>
      <c r="I4" s="23"/>
      <c r="J4" s="23"/>
    </row>
    <row r="6" spans="1:22" ht="29.4" customHeight="1">
      <c r="B6" s="10" t="s">
        <v>226</v>
      </c>
      <c r="C6" s="10"/>
      <c r="D6" s="10"/>
      <c r="E6" s="10"/>
      <c r="F6" s="10"/>
      <c r="G6" s="10"/>
      <c r="H6" s="10"/>
      <c r="I6" s="10"/>
      <c r="J6" s="10"/>
      <c r="K6" s="10"/>
      <c r="L6" s="10"/>
    </row>
    <row r="8" spans="1:22" ht="21" customHeight="1">
      <c r="B8" s="8" t="s">
        <v>227</v>
      </c>
      <c r="C8" s="8"/>
      <c r="D8" s="8"/>
      <c r="E8" s="8"/>
      <c r="F8" s="8"/>
      <c r="G8" s="8"/>
      <c r="H8" s="8"/>
      <c r="I8" s="8"/>
      <c r="J8" s="8"/>
      <c r="K8" s="8"/>
      <c r="L8" s="8"/>
    </row>
    <row r="9" spans="1:22" ht="5" customHeight="1"/>
    <row r="10" spans="1:22" ht="30" customHeight="1">
      <c r="B10" s="32" t="s">
        <v>228</v>
      </c>
      <c r="C10" s="57" t="s">
        <v>124</v>
      </c>
      <c r="D10" s="57"/>
      <c r="E10" s="57"/>
      <c r="F10" s="57"/>
      <c r="G10" s="32" t="s">
        <v>229</v>
      </c>
      <c r="H10" s="32" t="s">
        <v>230</v>
      </c>
      <c r="I10" s="32" t="s">
        <v>231</v>
      </c>
      <c r="J10" s="32" t="s">
        <v>232</v>
      </c>
      <c r="K10" s="32" t="s">
        <v>233</v>
      </c>
    </row>
    <row r="11" spans="1:22" ht="16.2" customHeight="1">
      <c r="B11" s="73">
        <v>1</v>
      </c>
      <c r="C11" s="70" t="s">
        <v>234</v>
      </c>
      <c r="D11" s="70"/>
      <c r="E11" s="70"/>
      <c r="F11" s="70"/>
      <c r="G11" s="74">
        <v>0.24</v>
      </c>
      <c r="H11" s="41">
        <f>$L$45</f>
        <v>0.24</v>
      </c>
      <c r="I11" s="75">
        <f>IF(AND(ISNUMBER($G$11),ISNUMBER($H$11)),ABS($H$11-$G$11),"")</f>
        <v>0</v>
      </c>
      <c r="J11" s="76">
        <v>1E-09</v>
      </c>
      <c r="K11" s="44" t="str">
        <f>IF(AND(ISNUMBER($G$11),ISNUMBER($H$11)),IF(ABS($H$11-$G$11)&lt;=$J$11,"PASS","FAIL"),"FAIL")</f>
        <v>PASS</v>
      </c>
    </row>
    <row r="12" spans="1:22" ht="16.2" customHeight="1">
      <c r="B12" s="73">
        <v>2</v>
      </c>
      <c r="C12" s="70" t="s">
        <v>235</v>
      </c>
      <c r="D12" s="70"/>
      <c r="E12" s="70"/>
      <c r="F12" s="70"/>
      <c r="G12" s="77">
        <v>0.0288</v>
      </c>
      <c r="H12" s="42">
        <f>$M$45</f>
        <v>0.0288</v>
      </c>
      <c r="I12" s="75">
        <f>IF(AND(ISNUMBER($G$12),ISNUMBER($H$12)),ABS($H$12-$G$12),"")</f>
        <v>0</v>
      </c>
      <c r="J12" s="76">
        <v>1E-09</v>
      </c>
      <c r="K12" s="44" t="str">
        <f>IF(AND(ISNUMBER($G$12),ISNUMBER($H$12)),IF(ABS($H$12-$G$12)&lt;=$J$12,"PASS","FAIL"),"FAIL")</f>
        <v>PASS</v>
      </c>
    </row>
    <row r="13" spans="1:22" ht="16.2" customHeight="1">
      <c r="B13" s="73">
        <v>3</v>
      </c>
      <c r="C13" s="70" t="s">
        <v>236</v>
      </c>
      <c r="D13" s="70"/>
      <c r="E13" s="70"/>
      <c r="F13" s="70"/>
      <c r="G13" s="78">
        <v>8</v>
      </c>
      <c r="H13" s="63">
        <f>$Q$45</f>
        <v>8</v>
      </c>
      <c r="I13" s="75">
        <f>IF(AND(ISNUMBER($G$13),ISNUMBER($H$13)),ABS($H$13-$G$13),"")</f>
        <v>0</v>
      </c>
      <c r="J13" s="76">
        <v>1E-09</v>
      </c>
      <c r="K13" s="44" t="str">
        <f>IF(AND(ISNUMBER($G$13),ISNUMBER($H$13)),IF(ABS($H$13-$G$13)&lt;=$J$13,"PASS","FAIL"),"FAIL")</f>
        <v>PASS</v>
      </c>
    </row>
    <row r="14" spans="1:22" ht="16.2" customHeight="1">
      <c r="B14" s="73">
        <v>4</v>
      </c>
      <c r="C14" s="70" t="s">
        <v>237</v>
      </c>
      <c r="D14" s="70"/>
      <c r="E14" s="70"/>
      <c r="F14" s="70"/>
      <c r="G14" s="78">
        <v>144</v>
      </c>
      <c r="H14" s="63">
        <f>$T$45</f>
        <v>144</v>
      </c>
      <c r="I14" s="75">
        <f>IF(AND(ISNUMBER($G$14),ISNUMBER($H$14)),ABS($H$14-$G$14),"")</f>
        <v>0</v>
      </c>
      <c r="J14" s="76">
        <v>1E-06</v>
      </c>
      <c r="K14" s="44" t="str">
        <f>IF(AND(ISNUMBER($G$14),ISNUMBER($H$14)),IF(ABS($H$14-$G$14)&lt;=$J$14,"PASS","FAIL"),"FAIL")</f>
        <v>PASS</v>
      </c>
    </row>
    <row r="15" spans="1:22" ht="16.2" customHeight="1">
      <c r="B15" s="73">
        <v>5</v>
      </c>
      <c r="C15" s="70" t="s">
        <v>238</v>
      </c>
      <c r="D15" s="70"/>
      <c r="E15" s="70"/>
      <c r="F15" s="70"/>
      <c r="G15" s="74">
        <v>0.4083333333333333</v>
      </c>
      <c r="H15" s="41">
        <f>$L$46</f>
        <v>0.408333333333333</v>
      </c>
      <c r="I15" s="75">
        <f>IF(AND(ISNUMBER($G$15),ISNUMBER($H$15)),ABS($H$15-$G$15),"")</f>
        <v>0</v>
      </c>
      <c r="J15" s="76">
        <v>1E-09</v>
      </c>
      <c r="K15" s="44" t="str">
        <f>IF(AND(ISNUMBER($G$15),ISNUMBER($H$15)),IF(ABS($H$15-$G$15)&lt;=$J$15,"PASS","FAIL"),"FAIL")</f>
        <v>PASS</v>
      </c>
    </row>
    <row r="16" spans="1:22" ht="16.2" customHeight="1">
      <c r="B16" s="73">
        <v>6</v>
      </c>
      <c r="C16" s="70" t="s">
        <v>239</v>
      </c>
      <c r="D16" s="70"/>
      <c r="E16" s="70"/>
      <c r="F16" s="70"/>
      <c r="G16" s="77">
        <v>0.04899999999999999</v>
      </c>
      <c r="H16" s="42">
        <f>$M$46</f>
        <v>0.049</v>
      </c>
      <c r="I16" s="75">
        <f>IF(AND(ISNUMBER($G$16),ISNUMBER($H$16)),ABS($H$16-$G$16),"")</f>
        <v>0</v>
      </c>
      <c r="J16" s="76">
        <v>1E-09</v>
      </c>
      <c r="K16" s="44" t="str">
        <f>IF(AND(ISNUMBER($G$16),ISNUMBER($H$16)),IF(ABS($H$16-$G$16)&lt;=$J$16,"PASS","FAIL"),"FAIL")</f>
        <v>PASS</v>
      </c>
    </row>
    <row r="17" spans="2:11" ht="16.2" customHeight="1">
      <c r="B17" s="73">
        <v>7</v>
      </c>
      <c r="C17" s="70" t="s">
        <v>240</v>
      </c>
      <c r="D17" s="70"/>
      <c r="E17" s="70"/>
      <c r="F17" s="70"/>
      <c r="G17" s="78">
        <v>9027.777777777777</v>
      </c>
      <c r="H17" s="63">
        <f>$Q$46</f>
        <v>9027.77777777778</v>
      </c>
      <c r="I17" s="75">
        <f>IF(AND(ISNUMBER($G$17),ISNUMBER($H$17)),ABS($H$17-$G$17),"")</f>
        <v>0</v>
      </c>
      <c r="J17" s="76">
        <v>1E-09</v>
      </c>
      <c r="K17" s="44" t="str">
        <f>IF(AND(ISNUMBER($G$17),ISNUMBER($H$17)),IF(ABS($H$17-$G$17)&lt;=$J$17,"PASS","FAIL"),"FAIL")</f>
        <v>PASS</v>
      </c>
    </row>
    <row r="18" spans="2:11" ht="16.2" customHeight="1">
      <c r="B18" s="73">
        <v>8</v>
      </c>
      <c r="C18" s="70" t="s">
        <v>241</v>
      </c>
      <c r="D18" s="70"/>
      <c r="E18" s="70"/>
      <c r="F18" s="70"/>
      <c r="G18" s="78">
        <v>24500</v>
      </c>
      <c r="H18" s="63">
        <f>$T$46</f>
        <v>24500</v>
      </c>
      <c r="I18" s="75">
        <f>IF(AND(ISNUMBER($G$18),ISNUMBER($H$18)),ABS($H$18-$G$18),"")</f>
        <v>0</v>
      </c>
      <c r="J18" s="76">
        <v>1E-06</v>
      </c>
      <c r="K18" s="44" t="str">
        <f>IF(AND(ISNUMBER($G$18),ISNUMBER($H$18)),IF(ABS($H$18-$G$18)&lt;=$J$18,"PASS","FAIL"),"FAIL")</f>
        <v>PASS</v>
      </c>
    </row>
    <row r="19" spans="2:11" ht="16.2" customHeight="1">
      <c r="B19" s="73">
        <v>9</v>
      </c>
      <c r="C19" s="70" t="s">
        <v>242</v>
      </c>
      <c r="D19" s="70"/>
      <c r="E19" s="70"/>
      <c r="F19" s="70"/>
      <c r="G19" s="74">
        <v>0.695906432748538</v>
      </c>
      <c r="H19" s="41">
        <f>$L$47</f>
        <v>0.695906432748538</v>
      </c>
      <c r="I19" s="75">
        <f>IF(AND(ISNUMBER($G$19),ISNUMBER($H$19)),ABS($H$19-$G$19),"")</f>
        <v>0</v>
      </c>
      <c r="J19" s="76">
        <v>1E-09</v>
      </c>
      <c r="K19" s="44" t="str">
        <f>IF(AND(ISNUMBER($G$19),ISNUMBER($H$19)),IF(ABS($H$19-$G$19)&lt;=$J$19,"PASS","FAIL"),"FAIL")</f>
        <v>PASS</v>
      </c>
    </row>
    <row r="20" spans="2:11" ht="16.2" customHeight="1">
      <c r="B20" s="73">
        <v>10</v>
      </c>
      <c r="C20" s="70" t="s">
        <v>243</v>
      </c>
      <c r="D20" s="70"/>
      <c r="E20" s="70"/>
      <c r="F20" s="70"/>
      <c r="G20" s="77">
        <v>0.08350877192982456</v>
      </c>
      <c r="H20" s="42">
        <f>$M$47</f>
        <v>0.0835087719298246</v>
      </c>
      <c r="I20" s="75">
        <f>IF(AND(ISNUMBER($G$20),ISNUMBER($H$20)),ABS($H$20-$G$20),"")</f>
        <v>0</v>
      </c>
      <c r="J20" s="76">
        <v>1E-09</v>
      </c>
      <c r="K20" s="44" t="str">
        <f>IF(AND(ISNUMBER($G$20),ISNUMBER($H$20)),IF(ABS($H$20-$G$20)&lt;=$J$20,"PASS","FAIL"),"FAIL")</f>
        <v>PASS</v>
      </c>
    </row>
    <row r="21" spans="2:11" ht="16.2" customHeight="1">
      <c r="B21" s="73">
        <v>11</v>
      </c>
      <c r="C21" s="70" t="s">
        <v>244</v>
      </c>
      <c r="D21" s="70"/>
      <c r="E21" s="70"/>
      <c r="F21" s="70"/>
      <c r="G21" s="78">
        <v>292.3976608187135</v>
      </c>
      <c r="H21" s="63">
        <f>$Q$47</f>
        <v>292.397660818713</v>
      </c>
      <c r="I21" s="75">
        <f>IF(AND(ISNUMBER($G$21),ISNUMBER($H$21)),ABS($H$21-$G$21),"")</f>
        <v>0</v>
      </c>
      <c r="J21" s="76">
        <v>1E-09</v>
      </c>
      <c r="K21" s="44" t="str">
        <f>IF(AND(ISNUMBER($G$21),ISNUMBER($H$21)),IF(ABS($H$21-$G$21)&lt;=$J$21,"PASS","FAIL"),"FAIL")</f>
        <v>PASS</v>
      </c>
    </row>
    <row r="22" spans="2:11" ht="16.2" customHeight="1">
      <c r="B22" s="73">
        <v>12</v>
      </c>
      <c r="C22" s="70" t="s">
        <v>245</v>
      </c>
      <c r="D22" s="70"/>
      <c r="E22" s="70"/>
      <c r="F22" s="70"/>
      <c r="G22" s="78">
        <v>668.0701754385965</v>
      </c>
      <c r="H22" s="63">
        <f>$T$47</f>
        <v>668.070175438597</v>
      </c>
      <c r="I22" s="75">
        <f>IF(AND(ISNUMBER($G$22),ISNUMBER($H$22)),ABS($H$22-$G$22),"")</f>
        <v>0</v>
      </c>
      <c r="J22" s="76">
        <v>1E-06</v>
      </c>
      <c r="K22" s="44" t="str">
        <f>IF(AND(ISNUMBER($G$22),ISNUMBER($H$22)),IF(ABS($H$22-$G$22)&lt;=$J$22,"PASS","FAIL"),"FAIL")</f>
        <v>PASS</v>
      </c>
    </row>
    <row r="23" spans="2:11" ht="16.2" customHeight="1">
      <c r="B23" s="73">
        <v>13</v>
      </c>
      <c r="C23" s="70" t="s">
        <v>246</v>
      </c>
      <c r="D23" s="70"/>
      <c r="E23" s="70"/>
      <c r="F23" s="70"/>
      <c r="G23" s="78">
        <v>150</v>
      </c>
      <c r="H23" s="63">
        <f>$P$45</f>
        <v>150</v>
      </c>
      <c r="I23" s="75">
        <f>IF(AND(ISNUMBER($G$23),ISNUMBER($H$23)),ABS($H$23-$G$23),"")</f>
        <v>0</v>
      </c>
      <c r="J23" s="76">
        <v>1E-09</v>
      </c>
      <c r="K23" s="44" t="str">
        <f>IF(AND(ISNUMBER($G$23),ISNUMBER($H$23)),IF(ABS($H$23-$G$23)&lt;=$J$23,"PASS","FAIL"),"FAIL")</f>
        <v>PASS</v>
      </c>
    </row>
    <row r="24" spans="2:11" ht="16.2" customHeight="1">
      <c r="B24" s="73">
        <v>14</v>
      </c>
      <c r="C24" s="70" t="s">
        <v>247</v>
      </c>
      <c r="D24" s="70"/>
      <c r="E24" s="70"/>
      <c r="F24" s="70"/>
      <c r="G24" s="74">
        <v>0.4083333333333333</v>
      </c>
      <c r="H24" s="41">
        <f>$K$46</f>
        <v>0.408333333333333</v>
      </c>
      <c r="I24" s="75">
        <f>IF(AND(ISNUMBER($G$24),ISNUMBER($H$24)),ABS($H$24-$G$24),"")</f>
        <v>0</v>
      </c>
      <c r="J24" s="76">
        <v>1E-09</v>
      </c>
      <c r="K24" s="44" t="str">
        <f>IF(AND(ISNUMBER($G$24),ISNUMBER($H$24)),IF(ABS($H$24-$G$24)&lt;=$J$24,"PASS","FAIL"),"FAIL")</f>
        <v>PASS</v>
      </c>
    </row>
    <row r="25" spans="2:11" ht="16.2" customHeight="1">
      <c r="B25" s="73">
        <v>15</v>
      </c>
      <c r="C25" s="70" t="s">
        <v>248</v>
      </c>
      <c r="D25" s="70"/>
      <c r="E25" s="70"/>
      <c r="F25" s="70"/>
      <c r="G25" s="79">
        <v>0.08163265306122448</v>
      </c>
      <c r="H25" s="43">
        <f>$N$46</f>
        <v>0.0816326530612245</v>
      </c>
      <c r="I25" s="75">
        <f>IF(AND(ISNUMBER($G$25),ISNUMBER($H$25)),ABS($H$25-$G$25),"")</f>
        <v>0</v>
      </c>
      <c r="J25" s="76">
        <v>1E-09</v>
      </c>
      <c r="K25" s="44" t="str">
        <f>IF(AND(ISNUMBER($G$25),ISNUMBER($H$25)),IF(ABS($H$25-$G$25)&lt;=$J$25,"PASS","FAIL"),"FAIL")</f>
        <v>PASS</v>
      </c>
    </row>
    <row r="26" spans="2:11" ht="16.2" customHeight="1">
      <c r="B26" s="73">
        <v>16</v>
      </c>
      <c r="C26" s="70" t="s">
        <v>249</v>
      </c>
      <c r="D26" s="70"/>
      <c r="E26" s="70"/>
      <c r="F26" s="70"/>
      <c r="G26" s="79">
        <v>0.5294117647058824</v>
      </c>
      <c r="H26" s="43">
        <f>$N$47</f>
        <v>0.529411764705882</v>
      </c>
      <c r="I26" s="75">
        <f>IF(AND(ISNUMBER($G$26),ISNUMBER($H$26)),ABS($H$26-$G$26),"")</f>
        <v>0</v>
      </c>
      <c r="J26" s="76">
        <v>1E-09</v>
      </c>
      <c r="K26" s="44" t="str">
        <f>IF(AND(ISNUMBER($G$26),ISNUMBER($H$26)),IF(ABS($H$26-$G$26)&lt;=$J$26,"PASS","FAIL"),"FAIL")</f>
        <v>PASS</v>
      </c>
    </row>
    <row r="27" spans="2:11" ht="16.2" customHeight="1">
      <c r="B27" s="73">
        <v>17</v>
      </c>
      <c r="C27" s="70" t="s">
        <v>250</v>
      </c>
      <c r="D27" s="70"/>
      <c r="E27" s="70"/>
      <c r="F27" s="70"/>
      <c r="G27" s="69" t="s">
        <v>251</v>
      </c>
      <c r="H27" s="80" t="str">
        <f>$O$47</f>
        <v>Above target</v>
      </c>
      <c r="I27" s="80"/>
      <c r="J27" s="71" t="s">
        <v>252</v>
      </c>
      <c r="K27" s="44" t="str">
        <f>IF($H$27&amp;""=$G$27&amp;"","PASS","FAIL")</f>
        <v>PASS</v>
      </c>
    </row>
    <row r="28" spans="2:11" ht="16.2" customHeight="1">
      <c r="B28" s="73">
        <v>18</v>
      </c>
      <c r="C28" s="70" t="s">
        <v>253</v>
      </c>
      <c r="D28" s="70"/>
      <c r="E28" s="70"/>
      <c r="F28" s="70"/>
      <c r="G28" s="81">
        <v>2947.368421052631</v>
      </c>
      <c r="H28" s="40">
        <f>$S$47</f>
        <v>2947.36842105263</v>
      </c>
      <c r="I28" s="75">
        <f>IF(AND(ISNUMBER($G$28),ISNUMBER($H$28)),ABS($H$28-$G$28),"")</f>
        <v>0</v>
      </c>
      <c r="J28" s="76">
        <v>1E-06</v>
      </c>
      <c r="K28" s="44" t="str">
        <f>IF(AND(ISNUMBER($G$28),ISNUMBER($H$28)),IF(ABS($H$28-$G$28)&lt;=$J$28,"PASS","FAIL"),"FAIL")</f>
        <v>PASS</v>
      </c>
    </row>
    <row r="29" spans="2:11" ht="16.2" customHeight="1">
      <c r="B29" s="73">
        <v>19</v>
      </c>
      <c r="C29" s="70" t="s">
        <v>254</v>
      </c>
      <c r="D29" s="70"/>
      <c r="E29" s="70"/>
      <c r="F29" s="70"/>
      <c r="G29" s="69" t="s">
        <v>255</v>
      </c>
      <c r="H29" s="80" t="str">
        <f>$U$48</f>
        <v>Idle power above run power</v>
      </c>
      <c r="I29" s="80"/>
      <c r="J29" s="71" t="s">
        <v>252</v>
      </c>
      <c r="K29" s="44" t="str">
        <f>IF($H$29&amp;""=$G$29&amp;"","PASS","FAIL")</f>
        <v>PASS</v>
      </c>
    </row>
    <row r="30" spans="2:11" ht="16.2" customHeight="1">
      <c r="B30" s="73">
        <v>20</v>
      </c>
      <c r="C30" s="70" t="s">
        <v>256</v>
      </c>
      <c r="D30" s="70"/>
      <c r="E30" s="70"/>
      <c r="F30" s="70"/>
      <c r="G30" s="78">
        <v>25315.07017543859</v>
      </c>
      <c r="H30" s="63">
        <f>SUM(tblVerifyOps[Annual energy cost])</f>
        <v>25315.0701754386</v>
      </c>
      <c r="I30" s="75">
        <f>IF(AND(ISNUMBER($G$30),ISNUMBER($H$30)),ABS($H$30-$G$30),"")</f>
        <v>0</v>
      </c>
      <c r="J30" s="76">
        <v>1E-06</v>
      </c>
      <c r="K30" s="44" t="str">
        <f>IF(AND(ISNUMBER($G$30),ISNUMBER($H$30)),IF(ABS($H$30-$G$30)&lt;=$J$30,"PASS","FAIL"),"FAIL")</f>
        <v>PASS</v>
      </c>
    </row>
    <row r="31" spans="2:11" ht="16.2" customHeight="1">
      <c r="B31" s="73">
        <v>21</v>
      </c>
      <c r="C31" s="70" t="s">
        <v>257</v>
      </c>
      <c r="D31" s="70"/>
      <c r="E31" s="70"/>
      <c r="F31" s="70"/>
      <c r="G31" s="79">
        <v>0.09302828424092438</v>
      </c>
      <c r="H31" s="43">
        <f>IF((SUM(tblVerifyOps[Annual energy (kWh/yr)]))=0,"",(SUM(tblVerifyOps[Idle energy (kWh/yr)]))/(SUM(tblVerifyOps[Annual energy (kWh/yr)])))</f>
        <v>0.0930282842409244</v>
      </c>
      <c r="I31" s="75">
        <f>IF(AND(ISNUMBER($G$31),ISNUMBER($H$31)),ABS($H$31-$G$31),"")</f>
        <v>0</v>
      </c>
      <c r="J31" s="76">
        <v>1E-09</v>
      </c>
      <c r="K31" s="44" t="str">
        <f>IF(AND(ISNUMBER($G$31),ISNUMBER($H$31)),IF(ABS($H$31-$G$31)&lt;=$J$31,"PASS","FAIL"),"FAIL")</f>
        <v>PASS</v>
      </c>
    </row>
    <row r="32" spans="2:11" ht="16.2" customHeight="1">
      <c r="B32" s="73">
        <v>22</v>
      </c>
      <c r="C32" s="70" t="s">
        <v>258</v>
      </c>
      <c r="D32" s="70"/>
      <c r="E32" s="70"/>
      <c r="F32" s="70"/>
      <c r="G32" s="78">
        <v>2355.017543859649</v>
      </c>
      <c r="H32" s="63">
        <f>SUM(tblVerifyOps[Idle energy (kWh/yr)])*$E$39</f>
        <v>2355.01754385965</v>
      </c>
      <c r="I32" s="75">
        <f>IF(AND(ISNUMBER($G$32),ISNUMBER($H$32)),ABS($H$32-$G$32),"")</f>
        <v>0</v>
      </c>
      <c r="J32" s="76">
        <v>1E-06</v>
      </c>
      <c r="K32" s="44" t="str">
        <f>IF(AND(ISNUMBER($G$32),ISNUMBER($H$32)),IF(ABS($H$32-$G$32)&lt;=$J$32,"PASS","FAIL"),"FAIL")</f>
        <v>PASS</v>
      </c>
    </row>
    <row r="33" spans="2:22" ht="16.2" customHeight="1">
      <c r="B33" s="73">
        <v>23</v>
      </c>
      <c r="C33" s="70" t="s">
        <v>259</v>
      </c>
      <c r="D33" s="70"/>
      <c r="E33" s="70"/>
      <c r="F33" s="70"/>
      <c r="G33" s="78">
        <v>9332.342105263158</v>
      </c>
      <c r="H33" s="63">
        <f>SUM(tblVerifyOps[Runtime (h/yr)])</f>
        <v>9332.34210526316</v>
      </c>
      <c r="I33" s="75">
        <f>IF(AND(ISNUMBER($G$33),ISNUMBER($H$33)),ABS($H$33-$G$33),"")</f>
        <v>0</v>
      </c>
      <c r="J33" s="76">
        <v>1E-09</v>
      </c>
      <c r="K33" s="44" t="str">
        <f>IF(AND(ISNUMBER($G$33),ISNUMBER($H$33)),IF(ABS($H$33-$G$33)&lt;=$J$33,"PASS","FAIL"),"FAIL")</f>
        <v>PASS</v>
      </c>
    </row>
    <row r="35" spans="2:22" ht="21" customHeight="1">
      <c r="B35" s="8" t="s">
        <v>260</v>
      </c>
      <c r="C35" s="8"/>
      <c r="D35" s="8"/>
      <c r="E35" s="8"/>
      <c r="F35" s="8"/>
      <c r="G35" s="8"/>
      <c r="H35" s="8"/>
      <c r="I35" s="8"/>
      <c r="J35" s="8"/>
      <c r="K35" s="8"/>
      <c r="L35" s="8"/>
    </row>
    <row r="36" spans="2:22" ht="5" customHeight="1"/>
    <row r="37" spans="2:22">
      <c r="B37" s="21" t="s">
        <v>261</v>
      </c>
      <c r="C37" s="21"/>
      <c r="D37" s="21"/>
      <c r="E37" s="21"/>
      <c r="F37" s="21"/>
      <c r="G37" s="21"/>
      <c r="H37" s="21"/>
      <c r="I37" s="21"/>
      <c r="J37" s="21"/>
      <c r="K37" s="21"/>
      <c r="L37" s="21"/>
    </row>
    <row r="38" spans="2:22">
      <c r="B38" s="31" t="s">
        <v>262</v>
      </c>
      <c r="C38" s="31"/>
      <c r="D38" s="31"/>
      <c r="E38" s="31"/>
      <c r="F38" s="31"/>
    </row>
    <row r="39" spans="2:22">
      <c r="B39" s="27" t="s">
        <v>263</v>
      </c>
      <c r="C39" s="27"/>
      <c r="D39" s="27"/>
      <c r="E39" s="77">
        <v>0.12</v>
      </c>
      <c r="F39" s="7"/>
    </row>
    <row r="40" spans="2:22">
      <c r="B40" s="27" t="s">
        <v>74</v>
      </c>
      <c r="C40" s="27"/>
      <c r="D40" s="27"/>
      <c r="E40" s="79">
        <v>0.25</v>
      </c>
      <c r="F40" s="7"/>
    </row>
    <row r="42" spans="2:22">
      <c r="B42" s="31" t="s">
        <v>264</v>
      </c>
      <c r="C42" s="31"/>
      <c r="D42" s="31"/>
      <c r="E42" s="31"/>
      <c r="F42" s="31"/>
      <c r="G42" s="31"/>
      <c r="H42" s="31"/>
      <c r="I42" s="31"/>
      <c r="J42" s="31"/>
      <c r="K42" s="31"/>
      <c r="L42" s="31"/>
    </row>
    <row r="43" spans="2:22" ht="14" customHeight="1">
      <c r="B43" s="33"/>
      <c r="C43" s="33"/>
      <c r="D43" s="33"/>
      <c r="E43" s="33"/>
      <c r="F43" s="33"/>
      <c r="G43" s="33"/>
      <c r="H43" s="33"/>
      <c r="I43" s="33"/>
      <c r="J43" s="33"/>
      <c r="K43" s="33"/>
      <c r="L43" s="33"/>
      <c r="M43" s="33" t="str">
        <f>Currency&amp;"/part"</f>
        <v>USD/part</v>
      </c>
      <c r="N43" s="33"/>
      <c r="O43" s="33"/>
      <c r="P43" s="33"/>
      <c r="Q43" s="33"/>
      <c r="R43" s="33"/>
      <c r="S43" s="33"/>
      <c r="T43" s="33" t="str">
        <f>Currency&amp;"/yr"</f>
        <v>USD/yr</v>
      </c>
      <c r="U43" s="33"/>
      <c r="V43" s="33"/>
    </row>
    <row r="44" spans="2:22" ht="45.5" customHeight="1">
      <c r="B44" s="32" t="s">
        <v>65</v>
      </c>
      <c r="C44" s="32" t="s">
        <v>108</v>
      </c>
      <c r="D44" s="32" t="s">
        <v>62</v>
      </c>
      <c r="E44" s="32" t="s">
        <v>109</v>
      </c>
      <c r="F44" s="32" t="s">
        <v>110</v>
      </c>
      <c r="G44" s="32" t="s">
        <v>111</v>
      </c>
      <c r="H44" s="32" t="s">
        <v>112</v>
      </c>
      <c r="I44" s="32" t="s">
        <v>113</v>
      </c>
      <c r="J44" s="32" t="s">
        <v>66</v>
      </c>
      <c r="K44" s="32" t="s">
        <v>114</v>
      </c>
      <c r="L44" s="32" t="s">
        <v>115</v>
      </c>
      <c r="M44" s="32" t="s">
        <v>116</v>
      </c>
      <c r="N44" s="32" t="s">
        <v>117</v>
      </c>
      <c r="O44" s="32" t="s">
        <v>118</v>
      </c>
      <c r="P44" s="32" t="s">
        <v>119</v>
      </c>
      <c r="Q44" s="32" t="s">
        <v>120</v>
      </c>
      <c r="R44" s="32" t="s">
        <v>121</v>
      </c>
      <c r="S44" s="32" t="s">
        <v>122</v>
      </c>
      <c r="T44" s="32" t="s">
        <v>123</v>
      </c>
      <c r="U44" s="32" t="s">
        <v>124</v>
      </c>
      <c r="V44" s="32" t="s">
        <v>64</v>
      </c>
    </row>
    <row r="45" spans="2:22">
      <c r="B45" s="69" t="s">
        <v>265</v>
      </c>
      <c r="C45" s="69" t="s">
        <v>266</v>
      </c>
      <c r="D45" s="69" t="s">
        <v>267</v>
      </c>
      <c r="E45" s="82">
        <v>150</v>
      </c>
      <c r="F45" s="82">
        <v>5.76</v>
      </c>
      <c r="G45" s="82">
        <v>0</v>
      </c>
      <c r="H45" s="82">
        <v>0</v>
      </c>
      <c r="I45" s="79">
        <v>0</v>
      </c>
      <c r="J45" s="81">
        <v>5000</v>
      </c>
      <c r="K45" s="41">
        <f>IF(tblVerifyOps[[#This Row],[Part]]="","",IF(AND(ISNUMBER(tblVerifyOps[[#This Row],[Run power (kW)]]),ISNUMBER(tblVerifyOps[[#This Row],[Cycle time (s/part)]])),(tblVerifyOps[[#This Row],[Run power (kW)]]*tblVerifyOps[[#This Row],[Cycle time (s/part)]]+N(tblVerifyOps[[#This Row],[Idle power (kW)]])*N(tblVerifyOps[[#This Row],[Idle time (s/part)]]))/3600,""))</f>
        <v>0.24</v>
      </c>
      <c r="L45" s="41">
        <f>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f>
        <v>0.24</v>
      </c>
      <c r="M45" s="42">
        <f>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Row],[Scrap]]))*$E$39,""))</f>
        <v>0.0288</v>
      </c>
      <c r="N45" s="43">
        <f>IF(tblVerifyOps[[#This Row],[Part]]="","",IF(AND(ISNUMBER(tblVerifyOps[[#This Row],[Run power (kW)]]),ISNUMBER(tblVerifyOps[[#This Row],[Cycle time (s/part)]])),IF((tblVerifyOps[[#This Row],[Run power (kW)]]*tblVerifyOps[[#This Row],[Cycle time (s/part)]]+N(tblVerifyOps[[#This Row],[Idle power (kW)]])*N(tblVerifyOps[[#This Row],[Idle time (s/part)]]))/3600&gt;0,N(tblVerifyOps[[#This Row],[Idle power (kW)]])*N(tblVerifyOps[[#This Row],[Idle time (s/part)]])/3600/((tblVerifyOps[[#This Row],[Run power (kW)]]*tblVerifyOps[[#This Row],[Cycle time (s/part)]]+N(tblVerifyOps[[#This Row],[Idle power (kW)]])*N(tblVerifyOps[[#This Row],[Idle time (s/part)]]))/3600),""),""))</f>
        <v>0</v>
      </c>
      <c r="O45" s="44" t="str">
        <f>IF(NOT(ISNUMBER(tblVerifyOps[[#This Row],[Idle share]])),"",IF(tblVerifyOps[[#This Row],[Idle share]]&lt;=$E$40,"On target",IF(tblVerifyOps[[#This Row],[Idle share]]&lt;=$E$40*(1+0.05),"Near target","Above target")))</f>
        <v>On target</v>
      </c>
      <c r="P45" s="45">
        <f>IF(tblVerifyOps[[#This Row],[Part]]="","",IF(AND(ISNUMBER(tblVerifyOps[[#This Row],[Run power (kW)]]),ISNUMBER(tblVerifyOps[[#This Row],[Cycle time (s/part)]])),(tblVerifyOps[[#This Row],[Run power (kW)]]*tblVerifyOps[[#This Row],[Cycle time (s/part)]]+N(tblVerifyOps[[#This Row],[Idle power (kW)]])*N(tblVerifyOps[[#This Row],[Idle time (s/part)]]))/3600*3600/(tblVerifyOps[[#This Row],[Cycle time (s/part)]]+N(tblVerifyOps[[#This Row],[Idle time (s/part)]])),""))</f>
        <v>150</v>
      </c>
      <c r="Q45" s="40">
        <f>IF(tblVerifyOps[[#This Row],[Part]]="","",IF(AND(ISNUMBER(tblVerifyOps[[#This Row],[Annual volume (good parts/yr)]]),ISNUMBER(tblVerifyOps[[#This Row],[Cycle time (s/part)]])),tblVerifyOps[[#This Row],[Annual volume (good parts/yr)]]/(1-N(tblVerifyOps[[#This Row],[Scrap]]))*(tblVerifyOps[[#This Row],[Cycle time (s/part)]]+N(tblVerifyOps[[#This Row],[Idle time (s/part)]]))/3600,""))</f>
        <v>8</v>
      </c>
      <c r="R45" s="40">
        <f>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f>
        <v>1200</v>
      </c>
      <c r="S45" s="40">
        <f>IF(tblVerifyOps[[#This Row],[Part]]="","",IF(AND(AND(ISNUMBER(tblVerifyOps[[#This Row],[Run power (kW)]]),ISNUMBER(tblVerifyOps[[#This Row],[Cycle time (s/part)]])),ISNUMBER(tblVerifyOps[[#This Row],[Annual volume (good parts/yr)]])),N(tblVerifyOps[[#This Row],[Idle power (kW)]])*N(tblVerifyOps[[#This Row],[Idle time (s/part)]])/3600/(1-N(tblVerifyOps[[#This Row],[Scrap]]))*tblVerifyOps[[#This Row],[Annual volume (good parts/yr)]],""))</f>
        <v>0</v>
      </c>
      <c r="T45" s="40">
        <f>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parts/yr)]]*$E$39,""))</f>
        <v>144</v>
      </c>
      <c r="U45" s="46" t="str">
        <f>IF(tblVerifyOps[[#This Row],[Part]]="","",IF(tblVerifyOps[[#This Row],[Operation]]="","Missing operation",IF(tblVerifyOps[[#This Row],[Machine]]="","Missing machine",IF(tblVerifyOps[[#This Row],[Run power (kW)]]="","Missing run power",IF(tblVerifyOps[[#This Row],[Cycle time (s/part)]]="","Missing cycle time",IF(tblVerifyOps[[#This Row],[Annual volume (good parts/yr)]]="","Part not on Setup list",IF(N(tblVerifyOps[[#This Row],[Idle power (kW)]])&gt;tblVerifyOps[[#This Row],[Run power (kW)]],"Idle power above run power",IF(AND(N(tblVerifyOps[[#This Row],[Idle time (s/part)]])&gt;0,tblVerifyOps[[#This Row],[Idle power (kW)]]=""),"Missing idle power",IF(COUNTIFS(tblVerifyOps[Part],tblVerifyOps[[#This Row],[Part]],tblVerifyOps[Operation],tblVerifyOps[[#This Row],[Operation]])&gt;1,"Duplicate part and operation","OK")))))))))</f>
        <v>OK</v>
      </c>
      <c r="V45" s="69" t="s">
        <v>127</v>
      </c>
    </row>
    <row r="46" spans="2:22">
      <c r="B46" s="69" t="s">
        <v>268</v>
      </c>
      <c r="C46" s="69" t="s">
        <v>269</v>
      </c>
      <c r="D46" s="69" t="s">
        <v>267</v>
      </c>
      <c r="E46" s="82">
        <v>30</v>
      </c>
      <c r="F46" s="82">
        <v>45</v>
      </c>
      <c r="G46" s="82">
        <v>6</v>
      </c>
      <c r="H46" s="82">
        <v>20</v>
      </c>
      <c r="I46" s="79">
        <v>0</v>
      </c>
      <c r="J46" s="81">
        <v>500000</v>
      </c>
      <c r="K46" s="41">
        <f>IF(tblVerifyOps[[#This Row],[Part]]="","",IF(AND(ISNUMBER(tblVerifyOps[[#This Row],[Run power (kW)]]),ISNUMBER(tblVerifyOps[[#This Row],[Cycle time (s/part)]])),(tblVerifyOps[[#This Row],[Run power (kW)]]*tblVerifyOps[[#This Row],[Cycle time (s/part)]]+N(tblVerifyOps[[#This Row],[Idle power (kW)]])*N(tblVerifyOps[[#This Row],[Idle time (s/part)]]))/3600,""))</f>
        <v>0.408333333333333</v>
      </c>
      <c r="L46" s="41">
        <f>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f>
        <v>0.408333333333333</v>
      </c>
      <c r="M46" s="42">
        <f>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Row],[Scrap]]))*$E$39,""))</f>
        <v>0.049</v>
      </c>
      <c r="N46" s="43">
        <f>IF(tblVerifyOps[[#This Row],[Part]]="","",IF(AND(ISNUMBER(tblVerifyOps[[#This Row],[Run power (kW)]]),ISNUMBER(tblVerifyOps[[#This Row],[Cycle time (s/part)]])),IF((tblVerifyOps[[#This Row],[Run power (kW)]]*tblVerifyOps[[#This Row],[Cycle time (s/part)]]+N(tblVerifyOps[[#This Row],[Idle power (kW)]])*N(tblVerifyOps[[#This Row],[Idle time (s/part)]]))/3600&gt;0,N(tblVerifyOps[[#This Row],[Idle power (kW)]])*N(tblVerifyOps[[#This Row],[Idle time (s/part)]])/3600/((tblVerifyOps[[#This Row],[Run power (kW)]]*tblVerifyOps[[#This Row],[Cycle time (s/part)]]+N(tblVerifyOps[[#This Row],[Idle power (kW)]])*N(tblVerifyOps[[#This Row],[Idle time (s/part)]]))/3600),""),""))</f>
        <v>0.0816326530612245</v>
      </c>
      <c r="O46" s="44" t="str">
        <f>IF(NOT(ISNUMBER(tblVerifyOps[[#This Row],[Idle share]])),"",IF(tblVerifyOps[[#This Row],[Idle share]]&lt;=$E$40,"On target",IF(tblVerifyOps[[#This Row],[Idle share]]&lt;=$E$40*(1+0.05),"Near target","Above target")))</f>
        <v>On target</v>
      </c>
      <c r="P46" s="45">
        <f>IF(tblVerifyOps[[#This Row],[Part]]="","",IF(AND(ISNUMBER(tblVerifyOps[[#This Row],[Run power (kW)]]),ISNUMBER(tblVerifyOps[[#This Row],[Cycle time (s/part)]])),(tblVerifyOps[[#This Row],[Run power (kW)]]*tblVerifyOps[[#This Row],[Cycle time (s/part)]]+N(tblVerifyOps[[#This Row],[Idle power (kW)]])*N(tblVerifyOps[[#This Row],[Idle time (s/part)]]))/3600*3600/(tblVerifyOps[[#This Row],[Cycle time (s/part)]]+N(tblVerifyOps[[#This Row],[Idle time (s/part)]])),""))</f>
        <v>22.6153846153846</v>
      </c>
      <c r="Q46" s="40">
        <f>IF(tblVerifyOps[[#This Row],[Part]]="","",IF(AND(ISNUMBER(tblVerifyOps[[#This Row],[Annual volume (good parts/yr)]]),ISNUMBER(tblVerifyOps[[#This Row],[Cycle time (s/part)]])),tblVerifyOps[[#This Row],[Annual volume (good parts/yr)]]/(1-N(tblVerifyOps[[#This Row],[Scrap]]))*(tblVerifyOps[[#This Row],[Cycle time (s/part)]]+N(tblVerifyOps[[#This Row],[Idle time (s/part)]]))/3600,""))</f>
        <v>9027.77777777778</v>
      </c>
      <c r="R46" s="40">
        <f>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f>
        <v>204166.666666667</v>
      </c>
      <c r="S46" s="40">
        <f>IF(tblVerifyOps[[#This Row],[Part]]="","",IF(AND(AND(ISNUMBER(tblVerifyOps[[#This Row],[Run power (kW)]]),ISNUMBER(tblVerifyOps[[#This Row],[Cycle time (s/part)]])),ISNUMBER(tblVerifyOps[[#This Row],[Annual volume (good parts/yr)]])),N(tblVerifyOps[[#This Row],[Idle power (kW)]])*N(tblVerifyOps[[#This Row],[Idle time (s/part)]])/3600/(1-N(tblVerifyOps[[#This Row],[Scrap]]))*tblVerifyOps[[#This Row],[Annual volume (good parts/yr)]],""))</f>
        <v>16666.6666666667</v>
      </c>
      <c r="T46" s="40">
        <f>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parts/yr)]]*$E$39,""))</f>
        <v>24500</v>
      </c>
      <c r="U46" s="46" t="str">
        <f>IF(tblVerifyOps[[#This Row],[Part]]="","",IF(tblVerifyOps[[#This Row],[Operation]]="","Missing operation",IF(tblVerifyOps[[#This Row],[Machine]]="","Missing machine",IF(tblVerifyOps[[#This Row],[Run power (kW)]]="","Missing run power",IF(tblVerifyOps[[#This Row],[Cycle time (s/part)]]="","Missing cycle time",IF(tblVerifyOps[[#This Row],[Annual volume (good parts/yr)]]="","Part not on Setup list",IF(N(tblVerifyOps[[#This Row],[Idle power (kW)]])&gt;tblVerifyOps[[#This Row],[Run power (kW)]],"Idle power above run power",IF(AND(N(tblVerifyOps[[#This Row],[Idle time (s/part)]])&gt;0,tblVerifyOps[[#This Row],[Idle power (kW)]]=""),"Missing idle power",IF(COUNTIFS(tblVerifyOps[Part],tblVerifyOps[[#This Row],[Part]],tblVerifyOps[Operation],tblVerifyOps[[#This Row],[Operation]])&gt;1,"Duplicate part and operation","OK")))))))))</f>
        <v>OK</v>
      </c>
      <c r="V46" s="69" t="s">
        <v>127</v>
      </c>
    </row>
    <row r="47" spans="2:22">
      <c r="B47" s="69" t="s">
        <v>270</v>
      </c>
      <c r="C47" s="69" t="s">
        <v>271</v>
      </c>
      <c r="D47" s="69" t="s">
        <v>272</v>
      </c>
      <c r="E47" s="82">
        <v>32</v>
      </c>
      <c r="F47" s="82">
        <v>35</v>
      </c>
      <c r="G47" s="82">
        <v>14</v>
      </c>
      <c r="H47" s="82">
        <v>90</v>
      </c>
      <c r="I47" s="79">
        <v>0.05</v>
      </c>
      <c r="J47" s="81">
        <v>8000</v>
      </c>
      <c r="K47" s="41">
        <f>IF(tblVerifyOps[[#This Row],[Part]]="","",IF(AND(ISNUMBER(tblVerifyOps[[#This Row],[Run power (kW)]]),ISNUMBER(tblVerifyOps[[#This Row],[Cycle time (s/part)]])),(tblVerifyOps[[#This Row],[Run power (kW)]]*tblVerifyOps[[#This Row],[Cycle time (s/part)]]+N(tblVerifyOps[[#This Row],[Idle power (kW)]])*N(tblVerifyOps[[#This Row],[Idle time (s/part)]]))/3600,""))</f>
        <v>0.661111111111111</v>
      </c>
      <c r="L47" s="41">
        <f>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f>
        <v>0.695906432748538</v>
      </c>
      <c r="M47" s="42">
        <f>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Row],[Scrap]]))*$E$39,""))</f>
        <v>0.0835087719298246</v>
      </c>
      <c r="N47" s="43">
        <f>IF(tblVerifyOps[[#This Row],[Part]]="","",IF(AND(ISNUMBER(tblVerifyOps[[#This Row],[Run power (kW)]]),ISNUMBER(tblVerifyOps[[#This Row],[Cycle time (s/part)]])),IF((tblVerifyOps[[#This Row],[Run power (kW)]]*tblVerifyOps[[#This Row],[Cycle time (s/part)]]+N(tblVerifyOps[[#This Row],[Idle power (kW)]])*N(tblVerifyOps[[#This Row],[Idle time (s/part)]]))/3600&gt;0,N(tblVerifyOps[[#This Row],[Idle power (kW)]])*N(tblVerifyOps[[#This Row],[Idle time (s/part)]])/3600/((tblVerifyOps[[#This Row],[Run power (kW)]]*tblVerifyOps[[#This Row],[Cycle time (s/part)]]+N(tblVerifyOps[[#This Row],[Idle power (kW)]])*N(tblVerifyOps[[#This Row],[Idle time (s/part)]]))/3600),""),""))</f>
        <v>0.529411764705882</v>
      </c>
      <c r="O47" s="44" t="str">
        <f>IF(NOT(ISNUMBER(tblVerifyOps[[#This Row],[Idle share]])),"",IF(tblVerifyOps[[#This Row],[Idle share]]&lt;=$E$40,"On target",IF(tblVerifyOps[[#This Row],[Idle share]]&lt;=$E$40*(1+0.05),"Near target","Above target")))</f>
        <v>Above target</v>
      </c>
      <c r="P47" s="45">
        <f>IF(tblVerifyOps[[#This Row],[Part]]="","",IF(AND(ISNUMBER(tblVerifyOps[[#This Row],[Run power (kW)]]),ISNUMBER(tblVerifyOps[[#This Row],[Cycle time (s/part)]])),(tblVerifyOps[[#This Row],[Run power (kW)]]*tblVerifyOps[[#This Row],[Cycle time (s/part)]]+N(tblVerifyOps[[#This Row],[Idle power (kW)]])*N(tblVerifyOps[[#This Row],[Idle time (s/part)]]))/3600*3600/(tblVerifyOps[[#This Row],[Cycle time (s/part)]]+N(tblVerifyOps[[#This Row],[Idle time (s/part)]])),""))</f>
        <v>19.04</v>
      </c>
      <c r="Q47" s="40">
        <f>IF(tblVerifyOps[[#This Row],[Part]]="","",IF(AND(ISNUMBER(tblVerifyOps[[#This Row],[Annual volume (good parts/yr)]]),ISNUMBER(tblVerifyOps[[#This Row],[Cycle time (s/part)]])),tblVerifyOps[[#This Row],[Annual volume (good parts/yr)]]/(1-N(tblVerifyOps[[#This Row],[Scrap]]))*(tblVerifyOps[[#This Row],[Cycle time (s/part)]]+N(tblVerifyOps[[#This Row],[Idle time (s/part)]]))/3600,""))</f>
        <v>292.397660818713</v>
      </c>
      <c r="R47" s="40">
        <f>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f>
        <v>5567.2514619883</v>
      </c>
      <c r="S47" s="40">
        <f>IF(tblVerifyOps[[#This Row],[Part]]="","",IF(AND(AND(ISNUMBER(tblVerifyOps[[#This Row],[Run power (kW)]]),ISNUMBER(tblVerifyOps[[#This Row],[Cycle time (s/part)]])),ISNUMBER(tblVerifyOps[[#This Row],[Annual volume (good parts/yr)]])),N(tblVerifyOps[[#This Row],[Idle power (kW)]])*N(tblVerifyOps[[#This Row],[Idle time (s/part)]])/3600/(1-N(tblVerifyOps[[#This Row],[Scrap]]))*tblVerifyOps[[#This Row],[Annual volume (good parts/yr)]],""))</f>
        <v>2947.36842105263</v>
      </c>
      <c r="T47" s="40">
        <f>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parts/yr)]]*$E$39,""))</f>
        <v>668.070175438597</v>
      </c>
      <c r="U47" s="46" t="str">
        <f>IF(tblVerifyOps[[#This Row],[Part]]="","",IF(tblVerifyOps[[#This Row],[Operation]]="","Missing operation",IF(tblVerifyOps[[#This Row],[Machine]]="","Missing machine",IF(tblVerifyOps[[#This Row],[Run power (kW)]]="","Missing run power",IF(tblVerifyOps[[#This Row],[Cycle time (s/part)]]="","Missing cycle time",IF(tblVerifyOps[[#This Row],[Annual volume (good parts/yr)]]="","Part not on Setup list",IF(N(tblVerifyOps[[#This Row],[Idle power (kW)]])&gt;tblVerifyOps[[#This Row],[Run power (kW)]],"Idle power above run power",IF(AND(N(tblVerifyOps[[#This Row],[Idle time (s/part)]])&gt;0,tblVerifyOps[[#This Row],[Idle power (kW)]]=""),"Missing idle power",IF(COUNTIFS(tblVerifyOps[Part],tblVerifyOps[[#This Row],[Part]],tblVerifyOps[Operation],tblVerifyOps[[#This Row],[Operation]])&gt;1,"Duplicate part and operation","OK")))))))))</f>
        <v>OK</v>
      </c>
      <c r="V47" s="69" t="s">
        <v>127</v>
      </c>
    </row>
    <row r="48" spans="2:22">
      <c r="B48" s="69" t="s">
        <v>273</v>
      </c>
      <c r="C48" s="69" t="s">
        <v>274</v>
      </c>
      <c r="D48" s="69" t="s">
        <v>272</v>
      </c>
      <c r="E48" s="82">
        <v>5</v>
      </c>
      <c r="F48" s="82">
        <v>10</v>
      </c>
      <c r="G48" s="82">
        <v>8</v>
      </c>
      <c r="H48" s="82">
        <v>5</v>
      </c>
      <c r="I48" s="79">
        <v>0</v>
      </c>
      <c r="J48" s="81">
        <v>1000</v>
      </c>
      <c r="K48" s="41">
        <f>IF(tblVerifyOps[[#This Row],[Part]]="","",IF(AND(ISNUMBER(tblVerifyOps[[#This Row],[Run power (kW)]]),ISNUMBER(tblVerifyOps[[#This Row],[Cycle time (s/part)]])),(tblVerifyOps[[#This Row],[Run power (kW)]]*tblVerifyOps[[#This Row],[Cycle time (s/part)]]+N(tblVerifyOps[[#This Row],[Idle power (kW)]])*N(tblVerifyOps[[#This Row],[Idle time (s/part)]]))/3600,""))</f>
        <v>0.025</v>
      </c>
      <c r="L48" s="41">
        <f>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f>
        <v>0.025</v>
      </c>
      <c r="M48" s="42">
        <f>IF(tblVerifyOps[[#This Row],[Part]]="","",IF(AND(ISNUMBER(tblVerifyOps[[#This Row],[Run power (kW)]]),ISNUMBER(tblVerifyOps[[#This Row],[Cycle time (s/part)]])),(tblVerifyOps[[#This Row],[Run power (kW)]]*tblVerifyOps[[#This Row],[Cycle time (s/part)]]+N(tblVerifyOps[[#This Row],[Idle power (kW)]])*N(tblVerifyOps[[#This Row],[Idle time (s/part)]]))/3600/(1-N(tblVerifyOps[[#This Row],[Scrap]]))*$E$39,""))</f>
        <v>0.003</v>
      </c>
      <c r="N48" s="43">
        <f>IF(tblVerifyOps[[#This Row],[Part]]="","",IF(AND(ISNUMBER(tblVerifyOps[[#This Row],[Run power (kW)]]),ISNUMBER(tblVerifyOps[[#This Row],[Cycle time (s/part)]])),IF((tblVerifyOps[[#This Row],[Run power (kW)]]*tblVerifyOps[[#This Row],[Cycle time (s/part)]]+N(tblVerifyOps[[#This Row],[Idle power (kW)]])*N(tblVerifyOps[[#This Row],[Idle time (s/part)]]))/3600&gt;0,N(tblVerifyOps[[#This Row],[Idle power (kW)]])*N(tblVerifyOps[[#This Row],[Idle time (s/part)]])/3600/((tblVerifyOps[[#This Row],[Run power (kW)]]*tblVerifyOps[[#This Row],[Cycle time (s/part)]]+N(tblVerifyOps[[#This Row],[Idle power (kW)]])*N(tblVerifyOps[[#This Row],[Idle time (s/part)]]))/3600),""),""))</f>
        <v>0.444444444444444</v>
      </c>
      <c r="O48" s="44" t="str">
        <f>IF(NOT(ISNUMBER(tblVerifyOps[[#This Row],[Idle share]])),"",IF(tblVerifyOps[[#This Row],[Idle share]]&lt;=$E$40,"On target",IF(tblVerifyOps[[#This Row],[Idle share]]&lt;=$E$40*(1+0.05),"Near target","Above target")))</f>
        <v>Above target</v>
      </c>
      <c r="P48" s="45">
        <f>IF(tblVerifyOps[[#This Row],[Part]]="","",IF(AND(ISNUMBER(tblVerifyOps[[#This Row],[Run power (kW)]]),ISNUMBER(tblVerifyOps[[#This Row],[Cycle time (s/part)]])),(tblVerifyOps[[#This Row],[Run power (kW)]]*tblVerifyOps[[#This Row],[Cycle time (s/part)]]+N(tblVerifyOps[[#This Row],[Idle power (kW)]])*N(tblVerifyOps[[#This Row],[Idle time (s/part)]]))/3600*3600/(tblVerifyOps[[#This Row],[Cycle time (s/part)]]+N(tblVerifyOps[[#This Row],[Idle time (s/part)]])),""))</f>
        <v>6</v>
      </c>
      <c r="Q48" s="40">
        <f>IF(tblVerifyOps[[#This Row],[Part]]="","",IF(AND(ISNUMBER(tblVerifyOps[[#This Row],[Annual volume (good parts/yr)]]),ISNUMBER(tblVerifyOps[[#This Row],[Cycle time (s/part)]])),tblVerifyOps[[#This Row],[Annual volume (good parts/yr)]]/(1-N(tblVerifyOps[[#This Row],[Scrap]]))*(tblVerifyOps[[#This Row],[Cycle time (s/part)]]+N(tblVerifyOps[[#This Row],[Idle time (s/part)]]))/3600,""))</f>
        <v>4.16666666666667</v>
      </c>
      <c r="R48" s="40">
        <f>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f>
        <v>25</v>
      </c>
      <c r="S48" s="40">
        <f>IF(tblVerifyOps[[#This Row],[Part]]="","",IF(AND(AND(ISNUMBER(tblVerifyOps[[#This Row],[Run power (kW)]]),ISNUMBER(tblVerifyOps[[#This Row],[Cycle time (s/part)]])),ISNUMBER(tblVerifyOps[[#This Row],[Annual volume (good parts/yr)]])),N(tblVerifyOps[[#This Row],[Idle power (kW)]])*N(tblVerifyOps[[#This Row],[Idle time (s/part)]])/3600/(1-N(tblVerifyOps[[#This Row],[Scrap]]))*tblVerifyOps[[#This Row],[Annual volume (good parts/yr)]],""))</f>
        <v>11.1111111111111</v>
      </c>
      <c r="T48" s="40">
        <f>IF(tblVerifyOps[[#This Row],[Part]]="","",IF(AND(AND(ISNUMBER(tblVerifyOps[[#This Row],[Run power (kW)]]),ISNUMBER(tblVerifyOps[[#This Row],[Cycle time (s/part)]])),ISNUMBER(tblVerifyOps[[#This Row],[Annual volume (good parts/yr)]])),(tblVerifyOps[[#This Row],[Run power (kW)]]*tblVerifyOps[[#This Row],[Cycle time (s/part)]]+N(tblVerifyOps[[#This Row],[Idle power (kW)]])*N(tblVerifyOps[[#This Row],[Idle time (s/part)]]))/3600/(1-N(tblVerifyOps[[#This Row],[Scrap]]))*tblVerifyOps[[#This Row],[Annual volume (good parts/yr)]]*$E$39,""))</f>
        <v>3</v>
      </c>
      <c r="U48" s="46" t="str">
        <f>IF(tblVerifyOps[[#This Row],[Part]]="","",IF(tblVerifyOps[[#This Row],[Operation]]="","Missing operation",IF(tblVerifyOps[[#This Row],[Machine]]="","Missing machine",IF(tblVerifyOps[[#This Row],[Run power (kW)]]="","Missing run power",IF(tblVerifyOps[[#This Row],[Cycle time (s/part)]]="","Missing cycle time",IF(tblVerifyOps[[#This Row],[Annual volume (good parts/yr)]]="","Part not on Setup list",IF(N(tblVerifyOps[[#This Row],[Idle power (kW)]])&gt;tblVerifyOps[[#This Row],[Run power (kW)]],"Idle power above run power",IF(AND(N(tblVerifyOps[[#This Row],[Idle time (s/part)]])&gt;0,tblVerifyOps[[#This Row],[Idle power (kW)]]=""),"Missing idle power",IF(COUNTIFS(tblVerifyOps[Part],tblVerifyOps[[#This Row],[Part]],tblVerifyOps[Operation],tblVerifyOps[[#This Row],[Operation]])&gt;1,"Duplicate part and operation","OK")))))))))</f>
        <v>Idle power above run power</v>
      </c>
      <c r="V48" s="69" t="s">
        <v>127</v>
      </c>
    </row>
  </sheetData>
  <sheetProtection sheet="1" formatColumns="0" formatRows="0"/>
  <mergeCells count="37">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B35:L35"/>
    <mergeCell ref="B37:L37"/>
    <mergeCell ref="B38:F38"/>
    <mergeCell ref="B39:D39"/>
    <mergeCell ref="B40:D40"/>
    <mergeCell ref="B42:L4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45:U48">
    <cfRule type="expression" dxfId="3" priority="41">
      <formula>$U45="OK"</formula>
    </cfRule>
    <cfRule type="expression" dxfId="1" priority="42">
      <formula>AND($U45&lt;&gt;"",$U45&lt;&gt;"OK")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Energy Cost per Part&amp;R&amp;8&amp;A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Start Here</vt:lpstr>
      <vt:lpstr>Setup</vt:lpstr>
      <vt:lpstr>Operations</vt:lpstr>
      <vt:lpstr>Dashboard</vt:lpstr>
      <vt:lpstr>Method</vt:lpstr>
      <vt:lpstr>Verify</vt:lpstr>
      <vt:lpstr>Currency</vt:lpstr>
      <vt:lpstr>IdleLimit</vt:lpstr>
      <vt:lpstr>KpiCost</vt:lpstr>
      <vt:lpstr>KpiHours</vt:lpstr>
      <vt:lpstr>KpiIdle</vt:lpstr>
      <vt:lpstr>KpiIdleCost</vt:lpstr>
      <vt:lpstr>KpiMWh</vt:lpstr>
      <vt:lpstr>KpiOver</vt:lpstr>
      <vt:lpstr>KpiShare</vt:lpstr>
      <vt:lpstr>KpiTopMachine</vt:lpstr>
      <vt:lpstr>PlantName</vt:lpstr>
      <vt:lpstr>Dashboard!Print_Area</vt:lpstr>
      <vt:lpstr>Method!Print_Area</vt:lpstr>
      <vt:lpstr>Operations!Print_Area</vt:lpstr>
      <vt:lpstr>Setup!Print_Area</vt:lpstr>
      <vt:lpstr>'Start Here'!Print_Area</vt:lpstr>
      <vt:lpstr>Verify!Print_Area</vt:lpstr>
      <vt:lpstr>Method!Print_Titles</vt:lpstr>
      <vt:lpstr>Operations!Print_Titles</vt:lpstr>
      <vt:lpstr>Rate</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Cost per Part - free Excel template from MFG Calcs</dc:title>
  <dc:subject>Turn measured machine power and cycle times into the electricity cost of each good part, by operation and by part, and see how much is idle energy.</dc:subject>
  <dc:creator>MFG Calcs</dc:creator>
  <cp:keywords>energy cost per part, electricity cost, kWh per part, idle energy, machine power, cycle time, unit cost, quoting</cp:keywords>
  <dc:description>https://www.mfgcalcs.com/templates/energy-cost-per-part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energy-cost-per-part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https://www.mfgcalcs.com/templates/energy-cost-per-part</vt:lpwstr>
  </property>
  <property fmtid="{D5CDD505-2E9C-101B-9397-08002B2CF9AE}" pid="7" name="Template sheet roles">
    <vt:lpwstr>Start Here=start;Setup=setup;Operations=work;Dashboard=dashboard;Method=method;Verify=verify</vt:lpwstr>
  </property>
</Properties>
</file>